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sempra.sharepoint.com/teams/sdgecp/po/nreep/ABAL/ABAL 2022-2023/(1-7-22) Supplemental BBAL/"/>
    </mc:Choice>
  </mc:AlternateContent>
  <xr:revisionPtr revIDLastSave="30" documentId="8_{54E78148-A0A5-48D5-BA8F-0133F35BAC51}" xr6:coauthVersionLast="47" xr6:coauthVersionMax="47" xr10:uidLastSave="{437BEC40-780C-4290-9BE2-384A3CB8962D}"/>
  <bookViews>
    <workbookView xWindow="38280" yWindow="-120" windowWidth="29040" windowHeight="15840" tabRatio="919" activeTab="7" xr2:uid="{00000000-000D-0000-FFFF-FFFF00000000}"/>
  </bookViews>
  <sheets>
    <sheet name="README" sheetId="56" r:id="rId1"/>
    <sheet name="Instructions Tab 4.1" sheetId="65" r:id="rId2"/>
    <sheet name="0 Validations" sheetId="59" r:id="rId3"/>
    <sheet name="1 Bill Payer Impacts-IOU Only " sheetId="14" r:id="rId4"/>
    <sheet name="2 Rates Rev- IOU Only" sheetId="41" r:id="rId5"/>
    <sheet name="3 Funding Source" sheetId="43" r:id="rId6"/>
    <sheet name="4 Program Budget" sheetId="44" r:id="rId7"/>
    <sheet name="4.1 Program Changes" sheetId="64" r:id="rId8"/>
    <sheet name="5 Commitments" sheetId="21" r:id="rId9"/>
    <sheet name="6 StatewidePgms" sheetId="60" r:id="rId10"/>
    <sheet name="7 PA PY budget_savings" sheetId="55" r:id="rId11"/>
    <sheet name="8 Cap &amp; Target" sheetId="53" r:id="rId12"/>
    <sheet name="Functions Definitions" sheetId="24" r:id="rId13"/>
    <sheet name="9 Portfolio Summary" sheetId="23" r:id="rId14"/>
    <sheet name="10 Portfolio FTE" sheetId="25" r:id="rId15"/>
    <sheet name="11 Residential" sheetId="47" r:id="rId16"/>
    <sheet name="12 Commercial" sheetId="48" r:id="rId17"/>
    <sheet name="13 Industrial" sheetId="49" r:id="rId18"/>
    <sheet name="14 Agricultural" sheetId="50" r:id="rId19"/>
    <sheet name="15 Public Sector" sheetId="51" r:id="rId20"/>
    <sheet name="16 Cross Cutting" sheetId="52" r:id="rId21"/>
    <sheet name="17 BP Metrics" sheetId="61" r:id="rId22"/>
  </sheets>
  <definedNames>
    <definedName name="_AMO_UniqueIdentifier" hidden="1">"'7f26e32b-2cc9-4f43-881e-47427f0e1ea5'"</definedName>
    <definedName name="_xlnm._FilterDatabase" localSheetId="21" hidden="1">'17 BP Metrics'!$A$1:$AC$337</definedName>
    <definedName name="_xlnm._FilterDatabase" localSheetId="6" hidden="1">'4 Program Budget'!$B$6:$AR$134</definedName>
    <definedName name="_xlnm._FilterDatabase" localSheetId="9" hidden="1">'6 StatewidePgms'!$5:$6</definedName>
    <definedName name="PA_NAME">README!$A$2</definedName>
    <definedName name="_xlnm.Print_Area" localSheetId="3">'1 Bill Payer Impacts-IOU Only '!$A$1:$F$23</definedName>
    <definedName name="_xlnm.Print_Area" localSheetId="14">'10 Portfolio FTE'!$A$1:$H$63</definedName>
    <definedName name="_xlnm.Print_Area" localSheetId="15">'11 Residential'!$A$1:$F$71</definedName>
    <definedName name="_xlnm.Print_Area" localSheetId="16">'12 Commercial'!$A$1:$F$72</definedName>
    <definedName name="_xlnm.Print_Area" localSheetId="17">'13 Industrial'!$A$1:$F$72</definedName>
    <definedName name="_xlnm.Print_Area" localSheetId="18">'14 Agricultural'!$A$1:$F$72</definedName>
    <definedName name="_xlnm.Print_Area" localSheetId="19">'15 Public Sector'!$A$1:$F$72</definedName>
    <definedName name="_xlnm.Print_Area" localSheetId="20">'16 Cross Cutting'!$A$1:$F$72</definedName>
    <definedName name="_xlnm.Print_Area" localSheetId="4">'2 Rates Rev- IOU Only'!$A$1:$O$53</definedName>
    <definedName name="_xlnm.Print_Area" localSheetId="5">'3 Funding Source'!$A$1:$L$81</definedName>
    <definedName name="_xlnm.Print_Area" localSheetId="6">'4 Program Budget'!$A$1:$AR$173</definedName>
    <definedName name="_xlnm.Print_Area" localSheetId="7">'4.1 Program Changes'!$A$9:$O$59</definedName>
    <definedName name="_xlnm.Print_Area" localSheetId="8">'5 Commitments'!$A$1:$F$34</definedName>
    <definedName name="_xlnm.Print_Area" localSheetId="9">'6 StatewidePgms'!$A$1:$AI$41</definedName>
    <definedName name="_xlnm.Print_Area" localSheetId="10">'7 PA PY budget_savings'!$A$1:$O$101</definedName>
    <definedName name="_xlnm.Print_Area" localSheetId="11">'8 Cap &amp; Target'!$A$1:$P$53</definedName>
    <definedName name="_xlnm.Print_Area" localSheetId="13">'9 Portfolio Summary'!$A$1:$V$40</definedName>
    <definedName name="_xlnm.Print_Area" localSheetId="12">'Functions Definitions'!$A$1:$G$29</definedName>
    <definedName name="_xlnm.Print_Titles" localSheetId="21">'17 BP Metrics'!$3:$6</definedName>
    <definedName name="_xlnm.Print_Titles" localSheetId="6">'4 Program Budget'!$A:$D,'4 Program Budget'!$1:$6</definedName>
    <definedName name="RPT_YEAR">README!$A$3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9" i="44" l="1"/>
  <c r="AA134" i="44" l="1"/>
  <c r="AA141" i="44" s="1"/>
  <c r="AA149" i="44" l="1"/>
  <c r="J71" i="64" l="1"/>
  <c r="J70" i="64"/>
  <c r="J69" i="64"/>
  <c r="J68" i="64"/>
  <c r="J67" i="64"/>
  <c r="J66" i="64"/>
  <c r="J65" i="64"/>
  <c r="F8" i="14" l="1"/>
  <c r="E8" i="14"/>
  <c r="E27" i="60" l="1"/>
  <c r="D27" i="60"/>
  <c r="F27" i="60"/>
  <c r="G27" i="60"/>
  <c r="AG154" i="44" l="1"/>
  <c r="AG153" i="44"/>
  <c r="AG133" i="44"/>
  <c r="AG132" i="44"/>
  <c r="AG131" i="44"/>
  <c r="AG130" i="44"/>
  <c r="AG129" i="44"/>
  <c r="AG128" i="44"/>
  <c r="AG127" i="44"/>
  <c r="AG126" i="44"/>
  <c r="AG125" i="44"/>
  <c r="AG124" i="44"/>
  <c r="AG123" i="44"/>
  <c r="AG122" i="44"/>
  <c r="AG121" i="44"/>
  <c r="AG120" i="44"/>
  <c r="AG119" i="44"/>
  <c r="AG118" i="44"/>
  <c r="AG117" i="44"/>
  <c r="AG116" i="44"/>
  <c r="L14" i="64" s="1"/>
  <c r="AG115" i="44"/>
  <c r="AG114" i="44"/>
  <c r="L13" i="64" s="1"/>
  <c r="AG113" i="44"/>
  <c r="L16" i="64" s="1"/>
  <c r="AG112" i="44"/>
  <c r="AG164" i="44"/>
  <c r="AG162" i="44"/>
  <c r="AC159" i="44"/>
  <c r="AG158" i="44"/>
  <c r="AG157" i="44"/>
  <c r="AG156" i="44"/>
  <c r="AG155" i="44"/>
  <c r="N68" i="55" l="1"/>
  <c r="M68" i="55"/>
  <c r="G41" i="55"/>
  <c r="H41" i="55"/>
  <c r="M41" i="55"/>
  <c r="H68" i="55"/>
  <c r="N41" i="55"/>
  <c r="G68" i="55"/>
  <c r="AG85" i="44"/>
  <c r="L71" i="64" s="1"/>
  <c r="AG77" i="44"/>
  <c r="L53" i="64" s="1"/>
  <c r="AG89" i="44"/>
  <c r="AG100" i="44"/>
  <c r="AG23" i="44"/>
  <c r="L54" i="64" s="1"/>
  <c r="AG27" i="44"/>
  <c r="L29" i="64" s="1"/>
  <c r="AG7" i="44"/>
  <c r="AG13" i="44"/>
  <c r="L28" i="64" s="1"/>
  <c r="AG34" i="44"/>
  <c r="AG63" i="44"/>
  <c r="AG72" i="44"/>
  <c r="AG82" i="44"/>
  <c r="AG93" i="44"/>
  <c r="AG104" i="44"/>
  <c r="AG56" i="44"/>
  <c r="AG10" i="44"/>
  <c r="L41" i="64" s="1"/>
  <c r="AG15" i="44"/>
  <c r="L22" i="64" s="1"/>
  <c r="AG21" i="44"/>
  <c r="L48" i="64" s="1"/>
  <c r="AG25" i="44"/>
  <c r="AG39" i="44"/>
  <c r="AG41" i="44"/>
  <c r="AG58" i="44"/>
  <c r="AG69" i="44"/>
  <c r="AG106" i="44"/>
  <c r="AG109" i="44"/>
  <c r="AG37" i="44"/>
  <c r="AG73" i="44"/>
  <c r="AG61" i="44"/>
  <c r="AG53" i="44"/>
  <c r="AG49" i="44"/>
  <c r="AG36" i="44"/>
  <c r="AG55" i="44"/>
  <c r="AG71" i="44"/>
  <c r="AG88" i="44"/>
  <c r="AG90" i="44"/>
  <c r="AG101" i="44"/>
  <c r="AG9" i="44"/>
  <c r="AG24" i="44"/>
  <c r="AG31" i="44"/>
  <c r="AG87" i="44"/>
  <c r="AG103" i="44"/>
  <c r="AG47" i="44"/>
  <c r="AG11" i="44"/>
  <c r="AG33" i="44"/>
  <c r="L27" i="64" s="1"/>
  <c r="AG45" i="44"/>
  <c r="AG105" i="44"/>
  <c r="AG16" i="44"/>
  <c r="L23" i="64" s="1"/>
  <c r="AG28" i="44"/>
  <c r="AG76" i="44"/>
  <c r="L52" i="64" s="1"/>
  <c r="AG107" i="44"/>
  <c r="AG8" i="44"/>
  <c r="L17" i="64" s="1"/>
  <c r="AG29" i="44"/>
  <c r="L30" i="64" s="1"/>
  <c r="AG38" i="44"/>
  <c r="AG40" i="44"/>
  <c r="AG43" i="44"/>
  <c r="AG84" i="44"/>
  <c r="L70" i="64" s="1"/>
  <c r="AG14" i="44"/>
  <c r="L21" i="64" s="1"/>
  <c r="AG35" i="44"/>
  <c r="AG75" i="44"/>
  <c r="AG12" i="44"/>
  <c r="AG20" i="44"/>
  <c r="L44" i="64" s="1"/>
  <c r="AG66" i="44"/>
  <c r="AG68" i="44"/>
  <c r="AG81" i="44"/>
  <c r="AG83" i="44"/>
  <c r="AG86" i="44"/>
  <c r="AG94" i="44"/>
  <c r="AG96" i="44"/>
  <c r="AG97" i="44"/>
  <c r="AG98" i="44"/>
  <c r="AG52" i="44"/>
  <c r="L56" i="64" s="1"/>
  <c r="AG62" i="44"/>
  <c r="AG64" i="44"/>
  <c r="AG65" i="44"/>
  <c r="AG80" i="44"/>
  <c r="AG92" i="44"/>
  <c r="AG95" i="44"/>
  <c r="AG99" i="44"/>
  <c r="AG111" i="44"/>
  <c r="AG18" i="44"/>
  <c r="L25" i="64" s="1"/>
  <c r="AG19" i="44"/>
  <c r="L26" i="64" s="1"/>
  <c r="AG22" i="44"/>
  <c r="L45" i="64" s="1"/>
  <c r="AG32" i="44"/>
  <c r="L46" i="64" s="1"/>
  <c r="AG60" i="44"/>
  <c r="AG67" i="44"/>
  <c r="AG110" i="44"/>
  <c r="AG50" i="44"/>
  <c r="L55" i="64" s="1"/>
  <c r="AG51" i="44"/>
  <c r="AG79" i="44"/>
  <c r="AG91" i="44"/>
  <c r="AG102" i="44"/>
  <c r="AG108" i="44"/>
  <c r="AG17" i="44"/>
  <c r="L24" i="64" s="1"/>
  <c r="AG26" i="44"/>
  <c r="AG30" i="44"/>
  <c r="L31" i="64" s="1"/>
  <c r="AG42" i="44"/>
  <c r="L68" i="64" s="1"/>
  <c r="AG44" i="44"/>
  <c r="L69" i="64" s="1"/>
  <c r="AG46" i="44"/>
  <c r="L66" i="64" s="1"/>
  <c r="AG48" i="44"/>
  <c r="L65" i="64" s="1"/>
  <c r="AG59" i="44"/>
  <c r="AG70" i="44"/>
  <c r="AG78" i="44"/>
  <c r="AC134" i="44"/>
  <c r="K12" i="53"/>
  <c r="AG54" i="44"/>
  <c r="L67" i="64" s="1"/>
  <c r="L14" i="53"/>
  <c r="AG74" i="44"/>
  <c r="L13" i="53"/>
  <c r="K14" i="53"/>
  <c r="AG57" i="44"/>
  <c r="L58" i="64" l="1"/>
  <c r="L18" i="64"/>
  <c r="L40" i="64"/>
  <c r="L57" i="64"/>
  <c r="L43" i="64"/>
  <c r="L20" i="64"/>
  <c r="L51" i="64"/>
  <c r="L19" i="64"/>
  <c r="L42" i="64"/>
  <c r="L64" i="64"/>
  <c r="L47" i="64"/>
  <c r="L59" i="64"/>
  <c r="AC149" i="44"/>
  <c r="G19" i="59" s="1"/>
  <c r="AC141" i="44"/>
  <c r="B2" i="64" l="1"/>
  <c r="B1" i="64"/>
  <c r="L12" i="64" l="1"/>
  <c r="L15" i="64"/>
  <c r="D25" i="21" l="1"/>
  <c r="C25" i="21"/>
  <c r="D24" i="21"/>
  <c r="C24" i="21"/>
  <c r="C9" i="21"/>
  <c r="D9" i="21" s="1"/>
  <c r="C8" i="21"/>
  <c r="D8" i="21" s="1"/>
  <c r="C17" i="21" l="1"/>
  <c r="D17" i="21" s="1"/>
  <c r="C16" i="21"/>
  <c r="D16" i="21" s="1"/>
  <c r="C12" i="21"/>
  <c r="D12" i="21" s="1"/>
  <c r="C20" i="21"/>
  <c r="D20" i="21" s="1"/>
  <c r="C21" i="21" l="1"/>
  <c r="D21" i="21" s="1"/>
  <c r="D12" i="23" l="1"/>
  <c r="D10" i="23"/>
  <c r="L10" i="23"/>
  <c r="H11" i="23"/>
  <c r="H13" i="23"/>
  <c r="H9" i="23"/>
  <c r="L11" i="23"/>
  <c r="H12" i="23"/>
  <c r="L13" i="23"/>
  <c r="D9" i="23"/>
  <c r="L9" i="23"/>
  <c r="H10" i="23"/>
  <c r="D11" i="23"/>
  <c r="D13" i="23"/>
  <c r="E36" i="49"/>
  <c r="F36" i="49"/>
  <c r="E36" i="50"/>
  <c r="F18" i="48"/>
  <c r="J9" i="23" s="1"/>
  <c r="E18" i="49"/>
  <c r="F10" i="23" s="1"/>
  <c r="F36" i="50"/>
  <c r="E36" i="51"/>
  <c r="E18" i="48"/>
  <c r="F9" i="23" s="1"/>
  <c r="L12" i="23"/>
  <c r="F18" i="49"/>
  <c r="J10" i="23" s="1"/>
  <c r="E18" i="51"/>
  <c r="F12" i="23" s="1"/>
  <c r="F18" i="51"/>
  <c r="J12" i="23" s="1"/>
  <c r="D36" i="48"/>
  <c r="E36" i="48"/>
  <c r="D36" i="49"/>
  <c r="E18" i="50"/>
  <c r="F11" i="23" s="1"/>
  <c r="D36" i="52"/>
  <c r="D18" i="48"/>
  <c r="B9" i="23" s="1"/>
  <c r="F36" i="48"/>
  <c r="D36" i="50"/>
  <c r="D18" i="49"/>
  <c r="B10" i="23" s="1"/>
  <c r="D18" i="50"/>
  <c r="B11" i="23" s="1"/>
  <c r="D36" i="51"/>
  <c r="D18" i="51"/>
  <c r="B12" i="23" s="1"/>
  <c r="F36" i="51"/>
  <c r="F18" i="50"/>
  <c r="J11" i="23" s="1"/>
  <c r="D18" i="52"/>
  <c r="B13" i="23" s="1"/>
  <c r="E18" i="23"/>
  <c r="E17" i="23"/>
  <c r="E16" i="23"/>
  <c r="E15" i="23"/>
  <c r="P14" i="23"/>
  <c r="P19" i="23" s="1"/>
  <c r="O14" i="23"/>
  <c r="O19" i="23" s="1"/>
  <c r="N14" i="23"/>
  <c r="N19" i="23" s="1"/>
  <c r="D8" i="23" l="1"/>
  <c r="C12" i="23"/>
  <c r="F37" i="48"/>
  <c r="G12" i="23"/>
  <c r="I12" i="23" s="1"/>
  <c r="G11" i="23"/>
  <c r="I11" i="23" s="1"/>
  <c r="F37" i="49"/>
  <c r="F37" i="50"/>
  <c r="E37" i="50"/>
  <c r="G10" i="23"/>
  <c r="I10" i="23" s="1"/>
  <c r="K10" i="23"/>
  <c r="M10" i="23" s="1"/>
  <c r="K11" i="23"/>
  <c r="M11" i="23" s="1"/>
  <c r="E37" i="51"/>
  <c r="E37" i="49"/>
  <c r="F18" i="47"/>
  <c r="J8" i="23" s="1"/>
  <c r="D37" i="51"/>
  <c r="D37" i="50"/>
  <c r="C11" i="23"/>
  <c r="D37" i="52"/>
  <c r="C13" i="23"/>
  <c r="D37" i="49"/>
  <c r="C10" i="23"/>
  <c r="E37" i="48"/>
  <c r="G9" i="23"/>
  <c r="I9" i="23" s="1"/>
  <c r="D37" i="48"/>
  <c r="C9" i="23"/>
  <c r="L8" i="23"/>
  <c r="L14" i="23" s="1"/>
  <c r="F37" i="51"/>
  <c r="K12" i="23"/>
  <c r="M12" i="23" s="1"/>
  <c r="D18" i="47"/>
  <c r="B8" i="23" s="1"/>
  <c r="K9" i="23"/>
  <c r="M9" i="23" s="1"/>
  <c r="E18" i="47"/>
  <c r="F8" i="23" s="1"/>
  <c r="M16" i="23"/>
  <c r="K16" i="23" s="1"/>
  <c r="M15" i="23"/>
  <c r="K15" i="23" s="1"/>
  <c r="J15" i="64"/>
  <c r="J14" i="64"/>
  <c r="J12" i="64"/>
  <c r="J13" i="64"/>
  <c r="J16" i="64"/>
  <c r="J53" i="64"/>
  <c r="J52" i="64"/>
  <c r="J51" i="64"/>
  <c r="J57" i="64"/>
  <c r="J58" i="64"/>
  <c r="J56" i="64"/>
  <c r="J55" i="64"/>
  <c r="J27" i="64"/>
  <c r="J46" i="64"/>
  <c r="J31" i="64"/>
  <c r="J30" i="64"/>
  <c r="J29" i="64"/>
  <c r="J54" i="64"/>
  <c r="J45" i="64"/>
  <c r="J48" i="64"/>
  <c r="J44" i="64"/>
  <c r="J26" i="64"/>
  <c r="J25" i="64"/>
  <c r="J24" i="64"/>
  <c r="J23" i="64"/>
  <c r="J22" i="64"/>
  <c r="J21" i="64"/>
  <c r="J28" i="64"/>
  <c r="J41" i="64"/>
  <c r="K37" i="55" l="1"/>
  <c r="M37" i="55"/>
  <c r="K41" i="55"/>
  <c r="J35" i="55"/>
  <c r="F39" i="55"/>
  <c r="F40" i="55"/>
  <c r="K40" i="55"/>
  <c r="L43" i="55"/>
  <c r="L40" i="55"/>
  <c r="N40" i="55"/>
  <c r="L35" i="55"/>
  <c r="D39" i="55"/>
  <c r="G42" i="55"/>
  <c r="K36" i="55"/>
  <c r="M43" i="55"/>
  <c r="N35" i="55"/>
  <c r="G38" i="55"/>
  <c r="E42" i="55"/>
  <c r="M36" i="55"/>
  <c r="L39" i="55"/>
  <c r="G37" i="55"/>
  <c r="H37" i="55"/>
  <c r="E38" i="55"/>
  <c r="D68" i="55"/>
  <c r="D49" i="55"/>
  <c r="M42" i="55"/>
  <c r="H40" i="55"/>
  <c r="G40" i="55"/>
  <c r="D41" i="55"/>
  <c r="F41" i="55"/>
  <c r="F68" i="55"/>
  <c r="H43" i="55"/>
  <c r="J39" i="55"/>
  <c r="H36" i="55"/>
  <c r="G35" i="55"/>
  <c r="E39" i="55"/>
  <c r="H35" i="55"/>
  <c r="N39" i="55"/>
  <c r="F37" i="55"/>
  <c r="K42" i="55"/>
  <c r="D40" i="55"/>
  <c r="M39" i="55"/>
  <c r="J43" i="55"/>
  <c r="K68" i="55"/>
  <c r="M38" i="55"/>
  <c r="F36" i="55"/>
  <c r="E43" i="55"/>
  <c r="K35" i="55"/>
  <c r="L37" i="55"/>
  <c r="N37" i="55"/>
  <c r="K38" i="55"/>
  <c r="G39" i="55"/>
  <c r="J40" i="55"/>
  <c r="M35" i="55"/>
  <c r="M40" i="55"/>
  <c r="J41" i="55"/>
  <c r="L41" i="55"/>
  <c r="D36" i="55"/>
  <c r="H42" i="55"/>
  <c r="L36" i="55"/>
  <c r="N43" i="55"/>
  <c r="D38" i="55"/>
  <c r="F38" i="55"/>
  <c r="H38" i="55"/>
  <c r="F42" i="55"/>
  <c r="J36" i="55"/>
  <c r="N42" i="55"/>
  <c r="E41" i="55"/>
  <c r="D42" i="55"/>
  <c r="E37" i="55"/>
  <c r="K39" i="55"/>
  <c r="D37" i="55"/>
  <c r="J37" i="55"/>
  <c r="F35" i="55"/>
  <c r="D35" i="55"/>
  <c r="E68" i="55"/>
  <c r="L42" i="55"/>
  <c r="E40" i="55"/>
  <c r="J38" i="55"/>
  <c r="E35" i="55"/>
  <c r="K43" i="55"/>
  <c r="J68" i="55"/>
  <c r="N38" i="55"/>
  <c r="G36" i="55"/>
  <c r="F43" i="55"/>
  <c r="D43" i="55"/>
  <c r="N36" i="55"/>
  <c r="L68" i="55"/>
  <c r="L38" i="55"/>
  <c r="J42" i="55"/>
  <c r="H39" i="55"/>
  <c r="G43" i="55"/>
  <c r="E36" i="55"/>
  <c r="J19" i="64"/>
  <c r="J42" i="64"/>
  <c r="J17" i="64"/>
  <c r="E17" i="64" s="1"/>
  <c r="J18" i="64"/>
  <c r="J40" i="64"/>
  <c r="J20" i="64"/>
  <c r="J43" i="64"/>
  <c r="J47" i="64"/>
  <c r="J59" i="64"/>
  <c r="J64" i="64"/>
  <c r="E39" i="50"/>
  <c r="E39" i="51"/>
  <c r="F39" i="50"/>
  <c r="L139" i="44"/>
  <c r="F39" i="49"/>
  <c r="E39" i="49"/>
  <c r="C42" i="55"/>
  <c r="C36" i="55"/>
  <c r="I43" i="55"/>
  <c r="C37" i="55"/>
  <c r="C38" i="55"/>
  <c r="C39" i="55"/>
  <c r="C40" i="55"/>
  <c r="J139" i="44"/>
  <c r="L17" i="23"/>
  <c r="M17" i="23" s="1"/>
  <c r="H17" i="23"/>
  <c r="I17" i="23" s="1"/>
  <c r="C43" i="55"/>
  <c r="I16" i="23"/>
  <c r="G16" i="23" s="1"/>
  <c r="I15" i="23"/>
  <c r="G15" i="23" s="1"/>
  <c r="I35" i="55"/>
  <c r="I36" i="55"/>
  <c r="I37" i="55"/>
  <c r="I38" i="55"/>
  <c r="I39" i="55"/>
  <c r="I40" i="55"/>
  <c r="C35" i="55"/>
  <c r="I42" i="55"/>
  <c r="F39" i="51"/>
  <c r="Q125" i="44" l="1"/>
  <c r="S125" i="44" s="1"/>
  <c r="Q124" i="44"/>
  <c r="S124" i="44" s="1"/>
  <c r="Q123" i="44"/>
  <c r="S123" i="44" s="1"/>
  <c r="Q122" i="44"/>
  <c r="S122" i="44" s="1"/>
  <c r="D14" i="23" l="1"/>
  <c r="E9" i="23" l="1"/>
  <c r="D39" i="48" s="1"/>
  <c r="E10" i="23"/>
  <c r="D39" i="49" s="1"/>
  <c r="E13" i="23"/>
  <c r="D39" i="52" s="1"/>
  <c r="E12" i="23"/>
  <c r="D39" i="51" s="1"/>
  <c r="E11" i="23"/>
  <c r="D39" i="50" s="1"/>
  <c r="B14" i="23" l="1"/>
  <c r="F36" i="52" l="1"/>
  <c r="K13" i="23" s="1"/>
  <c r="E36" i="52"/>
  <c r="G13" i="23" s="1"/>
  <c r="F36" i="47"/>
  <c r="K8" i="23" s="1"/>
  <c r="D36" i="47"/>
  <c r="C8" i="23" s="1"/>
  <c r="J50" i="55"/>
  <c r="T9" i="23" s="1"/>
  <c r="K50" i="55"/>
  <c r="U9" i="23" s="1"/>
  <c r="L50" i="55"/>
  <c r="V9" i="23" s="1"/>
  <c r="M50" i="55"/>
  <c r="N50" i="55"/>
  <c r="J51" i="55"/>
  <c r="T10" i="23" s="1"/>
  <c r="K51" i="55"/>
  <c r="U10" i="23" s="1"/>
  <c r="L51" i="55"/>
  <c r="V10" i="23" s="1"/>
  <c r="M51" i="55"/>
  <c r="N51" i="55"/>
  <c r="J52" i="55"/>
  <c r="T11" i="23" s="1"/>
  <c r="K52" i="55"/>
  <c r="U11" i="23" s="1"/>
  <c r="L52" i="55"/>
  <c r="V11" i="23" s="1"/>
  <c r="M52" i="55"/>
  <c r="N52" i="55"/>
  <c r="J53" i="55"/>
  <c r="K53" i="55"/>
  <c r="L53" i="55"/>
  <c r="M53" i="55"/>
  <c r="N53" i="55"/>
  <c r="J54" i="55"/>
  <c r="T12" i="23" s="1"/>
  <c r="K54" i="55"/>
  <c r="U12" i="23" s="1"/>
  <c r="L54" i="55"/>
  <c r="V12" i="23" s="1"/>
  <c r="M54" i="55"/>
  <c r="N54" i="55"/>
  <c r="J55" i="55"/>
  <c r="K55" i="55"/>
  <c r="L55" i="55"/>
  <c r="M55" i="55"/>
  <c r="N55" i="55"/>
  <c r="J56" i="55"/>
  <c r="K56" i="55"/>
  <c r="L56" i="55"/>
  <c r="M56" i="55"/>
  <c r="N56" i="55"/>
  <c r="J57" i="55"/>
  <c r="K57" i="55"/>
  <c r="L57" i="55"/>
  <c r="M57" i="55"/>
  <c r="N57" i="55"/>
  <c r="L49" i="55"/>
  <c r="V8" i="23" s="1"/>
  <c r="M49" i="55"/>
  <c r="N49" i="55"/>
  <c r="J22" i="55"/>
  <c r="K22" i="55"/>
  <c r="L22" i="55"/>
  <c r="M22" i="55"/>
  <c r="N22" i="55"/>
  <c r="J23" i="55"/>
  <c r="K23" i="55"/>
  <c r="L23" i="55"/>
  <c r="M23" i="55"/>
  <c r="N23" i="55"/>
  <c r="J24" i="55"/>
  <c r="K24" i="55"/>
  <c r="L24" i="55"/>
  <c r="M24" i="55"/>
  <c r="N24" i="55"/>
  <c r="J25" i="55"/>
  <c r="K25" i="55"/>
  <c r="L25" i="55"/>
  <c r="M25" i="55"/>
  <c r="N25" i="55"/>
  <c r="J26" i="55"/>
  <c r="K26" i="55"/>
  <c r="L26" i="55"/>
  <c r="M26" i="55"/>
  <c r="N26" i="55"/>
  <c r="J27" i="55"/>
  <c r="K27" i="55"/>
  <c r="L27" i="55"/>
  <c r="M27" i="55"/>
  <c r="N27" i="55"/>
  <c r="J28" i="55"/>
  <c r="K28" i="55"/>
  <c r="L28" i="55"/>
  <c r="M28" i="55"/>
  <c r="N28" i="55"/>
  <c r="J29" i="55"/>
  <c r="K29" i="55"/>
  <c r="L29" i="55"/>
  <c r="M29" i="55"/>
  <c r="N29" i="55"/>
  <c r="L21" i="55"/>
  <c r="M21" i="55"/>
  <c r="N21" i="55"/>
  <c r="J8" i="55"/>
  <c r="K8" i="55"/>
  <c r="L8" i="55"/>
  <c r="M8" i="55"/>
  <c r="N8" i="55"/>
  <c r="J9" i="55"/>
  <c r="K9" i="55"/>
  <c r="L9" i="55"/>
  <c r="M9" i="55"/>
  <c r="N9" i="55"/>
  <c r="J10" i="55"/>
  <c r="K10" i="55"/>
  <c r="L10" i="55"/>
  <c r="M10" i="55"/>
  <c r="N10" i="55"/>
  <c r="J11" i="55"/>
  <c r="K11" i="55"/>
  <c r="L11" i="55"/>
  <c r="M11" i="55"/>
  <c r="N11" i="55"/>
  <c r="J12" i="55"/>
  <c r="K12" i="55"/>
  <c r="L12" i="55"/>
  <c r="M12" i="55"/>
  <c r="N12" i="55"/>
  <c r="J13" i="55"/>
  <c r="K13" i="55"/>
  <c r="L13" i="55"/>
  <c r="M13" i="55"/>
  <c r="N13" i="55"/>
  <c r="J14" i="55"/>
  <c r="K14" i="55"/>
  <c r="L14" i="55"/>
  <c r="M14" i="55"/>
  <c r="N14" i="55"/>
  <c r="J15" i="55"/>
  <c r="K15" i="55"/>
  <c r="L15" i="55"/>
  <c r="M15" i="55"/>
  <c r="N15" i="55"/>
  <c r="L7" i="55"/>
  <c r="M7" i="55"/>
  <c r="N7" i="55"/>
  <c r="D50" i="55"/>
  <c r="Q9" i="23" s="1"/>
  <c r="E50" i="55"/>
  <c r="R9" i="23" s="1"/>
  <c r="F50" i="55"/>
  <c r="S9" i="23" s="1"/>
  <c r="G50" i="55"/>
  <c r="H50" i="55"/>
  <c r="D51" i="55"/>
  <c r="Q10" i="23" s="1"/>
  <c r="E51" i="55"/>
  <c r="R10" i="23" s="1"/>
  <c r="F51" i="55"/>
  <c r="S10" i="23" s="1"/>
  <c r="G51" i="55"/>
  <c r="H51" i="55"/>
  <c r="D52" i="55"/>
  <c r="Q11" i="23" s="1"/>
  <c r="E52" i="55"/>
  <c r="R11" i="23" s="1"/>
  <c r="F52" i="55"/>
  <c r="S11" i="23" s="1"/>
  <c r="G52" i="55"/>
  <c r="H52" i="55"/>
  <c r="D53" i="55"/>
  <c r="E53" i="55"/>
  <c r="F53" i="55"/>
  <c r="G53" i="55"/>
  <c r="H53" i="55"/>
  <c r="D54" i="55"/>
  <c r="Q12" i="23" s="1"/>
  <c r="E54" i="55"/>
  <c r="R12" i="23" s="1"/>
  <c r="F54" i="55"/>
  <c r="S12" i="23" s="1"/>
  <c r="G54" i="55"/>
  <c r="H54" i="55"/>
  <c r="D55" i="55"/>
  <c r="E55" i="55"/>
  <c r="F55" i="55"/>
  <c r="G55" i="55"/>
  <c r="H55" i="55"/>
  <c r="D56" i="55"/>
  <c r="E56" i="55"/>
  <c r="F56" i="55"/>
  <c r="G56" i="55"/>
  <c r="H56" i="55"/>
  <c r="D57" i="55"/>
  <c r="E57" i="55"/>
  <c r="F57" i="55"/>
  <c r="G57" i="55"/>
  <c r="H57" i="55"/>
  <c r="F49" i="55"/>
  <c r="S8" i="23" s="1"/>
  <c r="G49" i="55"/>
  <c r="H49" i="55"/>
  <c r="D22" i="55"/>
  <c r="E22" i="55"/>
  <c r="F22" i="55"/>
  <c r="G22" i="55"/>
  <c r="H22" i="55"/>
  <c r="D23" i="55"/>
  <c r="E23" i="55"/>
  <c r="F23" i="55"/>
  <c r="G23" i="55"/>
  <c r="H23" i="55"/>
  <c r="D24" i="55"/>
  <c r="E24" i="55"/>
  <c r="F24" i="55"/>
  <c r="G24" i="55"/>
  <c r="H24" i="55"/>
  <c r="D25" i="55"/>
  <c r="E25" i="55"/>
  <c r="F25" i="55"/>
  <c r="G25" i="55"/>
  <c r="H25" i="55"/>
  <c r="D26" i="55"/>
  <c r="E26" i="55"/>
  <c r="F26" i="55"/>
  <c r="G26" i="55"/>
  <c r="H26" i="55"/>
  <c r="D27" i="55"/>
  <c r="E27" i="55"/>
  <c r="F27" i="55"/>
  <c r="G27" i="55"/>
  <c r="H27" i="55"/>
  <c r="D28" i="55"/>
  <c r="E28" i="55"/>
  <c r="F28" i="55"/>
  <c r="G28" i="55"/>
  <c r="H28" i="55"/>
  <c r="D29" i="55"/>
  <c r="E29" i="55"/>
  <c r="F29" i="55"/>
  <c r="G29" i="55"/>
  <c r="H29" i="55"/>
  <c r="F21" i="55"/>
  <c r="G21" i="55"/>
  <c r="H21" i="55"/>
  <c r="D8" i="55"/>
  <c r="E8" i="55"/>
  <c r="F8" i="55"/>
  <c r="G8" i="55"/>
  <c r="H8" i="55"/>
  <c r="D9" i="55"/>
  <c r="E9" i="55"/>
  <c r="F9" i="55"/>
  <c r="G9" i="55"/>
  <c r="H9" i="55"/>
  <c r="D10" i="55"/>
  <c r="E10" i="55"/>
  <c r="F10" i="55"/>
  <c r="G10" i="55"/>
  <c r="H10" i="55"/>
  <c r="D11" i="55"/>
  <c r="E11" i="55"/>
  <c r="F11" i="55"/>
  <c r="G11" i="55"/>
  <c r="H11" i="55"/>
  <c r="D12" i="55"/>
  <c r="E12" i="55"/>
  <c r="F12" i="55"/>
  <c r="G12" i="55"/>
  <c r="H12" i="55"/>
  <c r="D13" i="55"/>
  <c r="E13" i="55"/>
  <c r="F13" i="55"/>
  <c r="G13" i="55"/>
  <c r="H13" i="55"/>
  <c r="D14" i="55"/>
  <c r="E14" i="55"/>
  <c r="F14" i="55"/>
  <c r="G14" i="55"/>
  <c r="H14" i="55"/>
  <c r="D15" i="55"/>
  <c r="E15" i="55"/>
  <c r="F15" i="55"/>
  <c r="G15" i="55"/>
  <c r="H15" i="55"/>
  <c r="F7" i="55"/>
  <c r="G7" i="55"/>
  <c r="H7" i="55"/>
  <c r="AN159" i="44"/>
  <c r="AM159" i="44"/>
  <c r="AN134" i="44"/>
  <c r="AN149" i="44" s="1"/>
  <c r="AM134" i="44"/>
  <c r="AM149" i="44" s="1"/>
  <c r="Z159" i="44"/>
  <c r="Z134" i="44"/>
  <c r="Z149" i="44" s="1"/>
  <c r="X159" i="44"/>
  <c r="W159" i="44"/>
  <c r="X134" i="44"/>
  <c r="X149" i="44" s="1"/>
  <c r="W134" i="44"/>
  <c r="W149" i="44" s="1"/>
  <c r="AQ159" i="44"/>
  <c r="AP159" i="44"/>
  <c r="AQ134" i="44"/>
  <c r="AQ149" i="44" s="1"/>
  <c r="AP134" i="44"/>
  <c r="AP149" i="44" s="1"/>
  <c r="B2" i="61"/>
  <c r="B1" i="61"/>
  <c r="B39" i="59"/>
  <c r="B38" i="59"/>
  <c r="B9" i="59"/>
  <c r="B8" i="59" a="1"/>
  <c r="B8" i="59" s="1"/>
  <c r="C14" i="23" l="1"/>
  <c r="E8" i="23"/>
  <c r="E14" i="23" s="1"/>
  <c r="M8" i="23"/>
  <c r="K14" i="23"/>
  <c r="AM141" i="44"/>
  <c r="Z141" i="44"/>
  <c r="AN141" i="44"/>
  <c r="X141" i="44"/>
  <c r="W141" i="44"/>
  <c r="AP141" i="44"/>
  <c r="AQ141" i="44"/>
  <c r="L58" i="55"/>
  <c r="V13" i="23" s="1"/>
  <c r="L30" i="55"/>
  <c r="L16" i="55"/>
  <c r="L44" i="55"/>
  <c r="M16" i="55"/>
  <c r="M44" i="55"/>
  <c r="M30" i="55"/>
  <c r="M58" i="55"/>
  <c r="F16" i="55"/>
  <c r="F44" i="55"/>
  <c r="F30" i="55"/>
  <c r="F58" i="55"/>
  <c r="S13" i="23" s="1"/>
  <c r="G16" i="55"/>
  <c r="G44" i="55"/>
  <c r="G30" i="55"/>
  <c r="G58" i="55"/>
  <c r="AH27" i="60"/>
  <c r="AG27" i="60"/>
  <c r="AE27" i="60"/>
  <c r="AD27" i="60"/>
  <c r="AC27" i="60"/>
  <c r="AA27" i="60"/>
  <c r="Z27" i="60"/>
  <c r="Y27" i="60"/>
  <c r="W27" i="60"/>
  <c r="V27" i="60"/>
  <c r="U27" i="60"/>
  <c r="T27" i="60"/>
  <c r="S27" i="60"/>
  <c r="R27" i="60"/>
  <c r="Q27" i="60"/>
  <c r="P27" i="60"/>
  <c r="O27" i="60"/>
  <c r="N27" i="60"/>
  <c r="B1" i="60"/>
  <c r="B2" i="60"/>
  <c r="D26" i="59"/>
  <c r="H34" i="43"/>
  <c r="G34" i="43"/>
  <c r="H35" i="43"/>
  <c r="G35" i="43"/>
  <c r="D27" i="59"/>
  <c r="B5" i="59"/>
  <c r="B6" i="59"/>
  <c r="S163" i="44"/>
  <c r="Q162" i="44"/>
  <c r="F14" i="53"/>
  <c r="E14" i="53"/>
  <c r="F13" i="53"/>
  <c r="E12" i="53"/>
  <c r="E31" i="53"/>
  <c r="E30" i="53"/>
  <c r="S162" i="44" l="1"/>
  <c r="L60" i="55"/>
  <c r="F60" i="55"/>
  <c r="S14" i="23"/>
  <c r="S19" i="23" s="1"/>
  <c r="D28" i="59"/>
  <c r="C80" i="55"/>
  <c r="C85" i="55"/>
  <c r="I85" i="55"/>
  <c r="I73" i="55"/>
  <c r="I72" i="55"/>
  <c r="H70" i="43"/>
  <c r="D70" i="43"/>
  <c r="B2" i="59"/>
  <c r="B1" i="59"/>
  <c r="K31" i="53"/>
  <c r="M31" i="53" s="1"/>
  <c r="K30" i="53"/>
  <c r="M30" i="53" s="1"/>
  <c r="K25" i="53"/>
  <c r="L25" i="53" s="1"/>
  <c r="K27" i="53"/>
  <c r="L27" i="53" s="1"/>
  <c r="E25" i="53"/>
  <c r="F25" i="53" s="1"/>
  <c r="K19" i="53"/>
  <c r="M19" i="53" s="1"/>
  <c r="K18" i="53"/>
  <c r="M39" i="59"/>
  <c r="M33" i="59"/>
  <c r="I63" i="55"/>
  <c r="I62" i="55"/>
  <c r="C63" i="55"/>
  <c r="C62" i="55"/>
  <c r="AI137" i="44"/>
  <c r="S137" i="44"/>
  <c r="AI138" i="44"/>
  <c r="S138" i="44"/>
  <c r="G31" i="53"/>
  <c r="E27" i="53"/>
  <c r="F27" i="53" s="1"/>
  <c r="E23" i="53"/>
  <c r="C30" i="59" l="1"/>
  <c r="C36" i="59" s="1"/>
  <c r="C17" i="59"/>
  <c r="D12" i="59"/>
  <c r="C12" i="59"/>
  <c r="D4" i="59"/>
  <c r="C4" i="59"/>
  <c r="D25" i="59"/>
  <c r="C25" i="59"/>
  <c r="G17" i="59"/>
  <c r="K29" i="53"/>
  <c r="M29" i="53" s="1"/>
  <c r="M27" i="53"/>
  <c r="M25" i="53" l="1"/>
  <c r="H45" i="43"/>
  <c r="G45" i="43"/>
  <c r="H44" i="43"/>
  <c r="G44" i="43"/>
  <c r="H43" i="43"/>
  <c r="G43" i="43"/>
  <c r="D44" i="43"/>
  <c r="D43" i="43"/>
  <c r="E44" i="43"/>
  <c r="E43" i="43"/>
  <c r="H37" i="43"/>
  <c r="G37" i="43"/>
  <c r="G36" i="43"/>
  <c r="H36" i="43"/>
  <c r="E11" i="43"/>
  <c r="E10" i="43"/>
  <c r="F18" i="52"/>
  <c r="E18" i="52"/>
  <c r="F37" i="47"/>
  <c r="B18" i="25"/>
  <c r="C18" i="25"/>
  <c r="D18" i="25"/>
  <c r="B19" i="23"/>
  <c r="C19" i="23"/>
  <c r="D19" i="23"/>
  <c r="D7" i="55"/>
  <c r="G30" i="53"/>
  <c r="E18" i="53"/>
  <c r="I20" i="59" l="1"/>
  <c r="E37" i="52"/>
  <c r="F13" i="23"/>
  <c r="F37" i="52"/>
  <c r="J13" i="23"/>
  <c r="F33" i="59"/>
  <c r="G39" i="59"/>
  <c r="F39" i="59"/>
  <c r="E39" i="59"/>
  <c r="F39" i="48"/>
  <c r="D39" i="59"/>
  <c r="F39" i="47"/>
  <c r="C39" i="59"/>
  <c r="E33" i="59"/>
  <c r="E39" i="48"/>
  <c r="D33" i="59"/>
  <c r="G33" i="59"/>
  <c r="D37" i="47"/>
  <c r="D39" i="47" s="1"/>
  <c r="E19" i="23"/>
  <c r="E29" i="53"/>
  <c r="G27" i="53"/>
  <c r="M13" i="23" l="1"/>
  <c r="M14" i="23" s="1"/>
  <c r="J14" i="23"/>
  <c r="J19" i="23" s="1"/>
  <c r="I13" i="23"/>
  <c r="F14" i="23"/>
  <c r="F19" i="23" s="1"/>
  <c r="G25" i="53"/>
  <c r="G29" i="53"/>
  <c r="E20" i="59" l="1"/>
  <c r="G14" i="53"/>
  <c r="G13" i="53"/>
  <c r="G12" i="53"/>
  <c r="S145" i="44"/>
  <c r="AI145" i="44"/>
  <c r="AH139" i="44"/>
  <c r="I42" i="43" s="1"/>
  <c r="R139" i="44"/>
  <c r="I52" i="43"/>
  <c r="I51" i="43"/>
  <c r="I53" i="43"/>
  <c r="F51" i="43"/>
  <c r="D35" i="43"/>
  <c r="E35" i="43"/>
  <c r="G53" i="43"/>
  <c r="H53" i="43"/>
  <c r="H52" i="43"/>
  <c r="G52" i="43"/>
  <c r="H51" i="43"/>
  <c r="G51" i="43"/>
  <c r="H38" i="43"/>
  <c r="G38" i="43"/>
  <c r="K49" i="55"/>
  <c r="U8" i="23" s="1"/>
  <c r="J49" i="55"/>
  <c r="T8" i="23" s="1"/>
  <c r="K21" i="55"/>
  <c r="J21" i="55"/>
  <c r="K7" i="55"/>
  <c r="J7" i="55"/>
  <c r="E49" i="55"/>
  <c r="R8" i="23" s="1"/>
  <c r="Q8" i="23"/>
  <c r="E21" i="55"/>
  <c r="D21" i="55"/>
  <c r="E7" i="55"/>
  <c r="B2" i="41"/>
  <c r="B2" i="43"/>
  <c r="B2" i="44"/>
  <c r="B2" i="21"/>
  <c r="B2" i="55"/>
  <c r="B2" i="53"/>
  <c r="B2" i="24"/>
  <c r="B2" i="23"/>
  <c r="B2" i="25"/>
  <c r="B2" i="47"/>
  <c r="B2" i="48"/>
  <c r="B2" i="49"/>
  <c r="B2" i="50"/>
  <c r="B2" i="51"/>
  <c r="B2" i="52"/>
  <c r="B2" i="14"/>
  <c r="B1" i="25"/>
  <c r="B1" i="47"/>
  <c r="B1" i="48"/>
  <c r="B1" i="49"/>
  <c r="B1" i="50"/>
  <c r="B1" i="51"/>
  <c r="B1" i="52"/>
  <c r="B1" i="23"/>
  <c r="B1" i="24"/>
  <c r="B1" i="53"/>
  <c r="B1" i="55"/>
  <c r="B1" i="21"/>
  <c r="B1" i="44"/>
  <c r="B1" i="43"/>
  <c r="B1" i="41"/>
  <c r="B1" i="14"/>
  <c r="I159" i="44"/>
  <c r="J159" i="44"/>
  <c r="K159" i="44"/>
  <c r="AR134" i="44"/>
  <c r="AO134" i="44"/>
  <c r="F10" i="14" s="1"/>
  <c r="AL134" i="44"/>
  <c r="AK134" i="44"/>
  <c r="AJ134" i="44"/>
  <c r="AH134" i="44"/>
  <c r="AF134" i="44"/>
  <c r="AE134" i="44"/>
  <c r="AD134" i="44"/>
  <c r="AB134" i="44"/>
  <c r="Y134" i="44"/>
  <c r="F9" i="14" s="1"/>
  <c r="V134" i="44"/>
  <c r="V149" i="44" s="1"/>
  <c r="U134" i="44"/>
  <c r="T134" i="44"/>
  <c r="R134" i="44"/>
  <c r="I134" i="44"/>
  <c r="I141" i="44" s="1"/>
  <c r="J134" i="44"/>
  <c r="J141" i="44" s="1"/>
  <c r="K134" i="44" s="1"/>
  <c r="AR159" i="44"/>
  <c r="AO159" i="44"/>
  <c r="AL159" i="44"/>
  <c r="AK159" i="44"/>
  <c r="AJ159" i="44"/>
  <c r="AH147" i="44"/>
  <c r="AG147" i="44"/>
  <c r="Q158" i="44"/>
  <c r="S158" i="44" s="1"/>
  <c r="Q157" i="44"/>
  <c r="S157" i="44" s="1"/>
  <c r="Q156" i="44"/>
  <c r="Q155" i="44"/>
  <c r="S155" i="44" s="1"/>
  <c r="Q154" i="44"/>
  <c r="S154" i="44" s="1"/>
  <c r="Q153" i="44"/>
  <c r="S153" i="44" s="1"/>
  <c r="Q164" i="44"/>
  <c r="S164" i="44" s="1"/>
  <c r="E19" i="53"/>
  <c r="Q15" i="44"/>
  <c r="K22" i="64" s="1"/>
  <c r="AI85" i="44"/>
  <c r="AI84" i="44"/>
  <c r="AI75" i="44"/>
  <c r="AI74" i="44"/>
  <c r="AD159" i="44"/>
  <c r="Y159" i="44"/>
  <c r="V159" i="44"/>
  <c r="U159" i="44"/>
  <c r="T159" i="44"/>
  <c r="L159" i="44"/>
  <c r="M134" i="44"/>
  <c r="N134" i="44"/>
  <c r="O134" i="44"/>
  <c r="P134" i="44"/>
  <c r="AI146" i="44"/>
  <c r="M159" i="44"/>
  <c r="N159" i="44"/>
  <c r="O159" i="44"/>
  <c r="P159" i="44"/>
  <c r="R159" i="44"/>
  <c r="AB159" i="44"/>
  <c r="AE159" i="44"/>
  <c r="AF159" i="44"/>
  <c r="AH159" i="44"/>
  <c r="Q9" i="44"/>
  <c r="Q10" i="44"/>
  <c r="K41" i="64" s="1"/>
  <c r="Q11" i="44"/>
  <c r="Q12" i="44"/>
  <c r="Q13" i="44"/>
  <c r="K28" i="64" s="1"/>
  <c r="Q14" i="44"/>
  <c r="K21" i="64" s="1"/>
  <c r="Q16" i="44"/>
  <c r="K23" i="64" s="1"/>
  <c r="Q17" i="44"/>
  <c r="K24" i="64" s="1"/>
  <c r="Q18" i="44"/>
  <c r="K25" i="64" s="1"/>
  <c r="Q19" i="44"/>
  <c r="K26" i="64" s="1"/>
  <c r="Q20" i="44"/>
  <c r="K44" i="64" s="1"/>
  <c r="Q21" i="44"/>
  <c r="Q22" i="44"/>
  <c r="K45" i="64" s="1"/>
  <c r="Q23" i="44"/>
  <c r="K54" i="64" s="1"/>
  <c r="Q24" i="44"/>
  <c r="S24" i="44" s="1"/>
  <c r="Q25" i="44"/>
  <c r="S25" i="44" s="1"/>
  <c r="Q26" i="44"/>
  <c r="S26" i="44" s="1"/>
  <c r="Q27" i="44"/>
  <c r="K29" i="64" s="1"/>
  <c r="Q28" i="44"/>
  <c r="S28" i="44" s="1"/>
  <c r="Q29" i="44"/>
  <c r="K30" i="64" s="1"/>
  <c r="Q30" i="44"/>
  <c r="K31" i="64" s="1"/>
  <c r="Q31" i="44"/>
  <c r="S31" i="44" s="1"/>
  <c r="Q32" i="44"/>
  <c r="K46" i="64" s="1"/>
  <c r="Q33" i="44"/>
  <c r="K27" i="64" s="1"/>
  <c r="Q34" i="44"/>
  <c r="Q35" i="44"/>
  <c r="S35" i="44" s="1"/>
  <c r="Q36" i="44"/>
  <c r="S36" i="44" s="1"/>
  <c r="Q37" i="44"/>
  <c r="S37" i="44" s="1"/>
  <c r="Q38" i="44"/>
  <c r="S38" i="44" s="1"/>
  <c r="Q39" i="44"/>
  <c r="S39" i="44" s="1"/>
  <c r="Q40" i="44"/>
  <c r="S40" i="44" s="1"/>
  <c r="Q41" i="44"/>
  <c r="S41" i="44" s="1"/>
  <c r="Q42" i="44"/>
  <c r="K68" i="64" s="1"/>
  <c r="Q43" i="44"/>
  <c r="S43" i="44" s="1"/>
  <c r="Q44" i="44"/>
  <c r="K69" i="64" s="1"/>
  <c r="Q45" i="44"/>
  <c r="S45" i="44" s="1"/>
  <c r="Q46" i="44"/>
  <c r="K66" i="64" s="1"/>
  <c r="Q47" i="44"/>
  <c r="S47" i="44" s="1"/>
  <c r="Q48" i="44"/>
  <c r="K65" i="64" s="1"/>
  <c r="Q49" i="44"/>
  <c r="S49" i="44" s="1"/>
  <c r="Q50" i="44"/>
  <c r="K55" i="64" s="1"/>
  <c r="Q51" i="44"/>
  <c r="S51" i="44" s="1"/>
  <c r="Q52" i="44"/>
  <c r="K56" i="64" s="1"/>
  <c r="Q53" i="44"/>
  <c r="S53" i="44" s="1"/>
  <c r="Q54" i="44"/>
  <c r="K67" i="64" s="1"/>
  <c r="Q55" i="44"/>
  <c r="S55" i="44" s="1"/>
  <c r="Q56" i="44"/>
  <c r="S56" i="44" s="1"/>
  <c r="Q57" i="44"/>
  <c r="Q58" i="44"/>
  <c r="S58" i="44" s="1"/>
  <c r="Q59" i="44"/>
  <c r="K57" i="64" s="1"/>
  <c r="E57" i="64" s="1"/>
  <c r="Q60" i="44"/>
  <c r="S60" i="44" s="1"/>
  <c r="Q61" i="44"/>
  <c r="Q62" i="44"/>
  <c r="S62" i="44" s="1"/>
  <c r="Q63" i="44"/>
  <c r="Q64" i="44"/>
  <c r="S64" i="44" s="1"/>
  <c r="Q65" i="44"/>
  <c r="Q66" i="44"/>
  <c r="S66" i="44" s="1"/>
  <c r="Q67" i="44"/>
  <c r="Q68" i="44"/>
  <c r="S68" i="44" s="1"/>
  <c r="Q69" i="44"/>
  <c r="Q70" i="44"/>
  <c r="S70" i="44" s="1"/>
  <c r="Q71" i="44"/>
  <c r="Q72" i="44"/>
  <c r="S72" i="44" s="1"/>
  <c r="Q73" i="44"/>
  <c r="Q74" i="44"/>
  <c r="S74" i="44" s="1"/>
  <c r="Q75" i="44"/>
  <c r="Q76" i="44"/>
  <c r="Q77" i="44"/>
  <c r="K53" i="64" s="1"/>
  <c r="E53" i="64" s="1"/>
  <c r="Q78" i="44"/>
  <c r="S78" i="44" s="1"/>
  <c r="Q79" i="44"/>
  <c r="Q80" i="44"/>
  <c r="Q81" i="44"/>
  <c r="Q82" i="44"/>
  <c r="S82" i="44" s="1"/>
  <c r="Q83" i="44"/>
  <c r="Q84" i="44"/>
  <c r="Q85" i="44"/>
  <c r="Q86" i="44"/>
  <c r="S86" i="44" s="1"/>
  <c r="Q87" i="44"/>
  <c r="Q88" i="44"/>
  <c r="S88" i="44" s="1"/>
  <c r="Q89" i="44"/>
  <c r="Q90" i="44"/>
  <c r="S90" i="44" s="1"/>
  <c r="Q91" i="44"/>
  <c r="S91" i="44" s="1"/>
  <c r="Q92" i="44"/>
  <c r="S92" i="44" s="1"/>
  <c r="Q93" i="44"/>
  <c r="S93" i="44" s="1"/>
  <c r="Q94" i="44"/>
  <c r="S94" i="44" s="1"/>
  <c r="Q95" i="44"/>
  <c r="S95" i="44" s="1"/>
  <c r="Q96" i="44"/>
  <c r="S96" i="44" s="1"/>
  <c r="Q97" i="44"/>
  <c r="S97" i="44" s="1"/>
  <c r="Q98" i="44"/>
  <c r="S98" i="44" s="1"/>
  <c r="Q99" i="44"/>
  <c r="Q100" i="44"/>
  <c r="S100" i="44" s="1"/>
  <c r="Q101" i="44"/>
  <c r="S101" i="44" s="1"/>
  <c r="Q102" i="44"/>
  <c r="S102" i="44" s="1"/>
  <c r="Q103" i="44"/>
  <c r="S103" i="44" s="1"/>
  <c r="Q104" i="44"/>
  <c r="S104" i="44" s="1"/>
  <c r="Q105" i="44"/>
  <c r="S105" i="44" s="1"/>
  <c r="Q106" i="44"/>
  <c r="S106" i="44" s="1"/>
  <c r="Q107" i="44"/>
  <c r="S107" i="44" s="1"/>
  <c r="Q108" i="44"/>
  <c r="S108" i="44" s="1"/>
  <c r="Q109" i="44"/>
  <c r="Q110" i="44"/>
  <c r="S110" i="44" s="1"/>
  <c r="Q111" i="44"/>
  <c r="Q112" i="44"/>
  <c r="S112" i="44" s="1"/>
  <c r="Q113" i="44"/>
  <c r="Q114" i="44"/>
  <c r="Q115" i="44"/>
  <c r="K12" i="64" s="1"/>
  <c r="Q116" i="44"/>
  <c r="Q117" i="44"/>
  <c r="K15" i="64" s="1"/>
  <c r="Q118" i="44"/>
  <c r="S118" i="44" s="1"/>
  <c r="Q119" i="44"/>
  <c r="S119" i="44" s="1"/>
  <c r="Q120" i="44"/>
  <c r="S120" i="44" s="1"/>
  <c r="Q121" i="44"/>
  <c r="S121" i="44" s="1"/>
  <c r="Q126" i="44"/>
  <c r="S126" i="44" s="1"/>
  <c r="Q127" i="44"/>
  <c r="S127" i="44" s="1"/>
  <c r="Q128" i="44"/>
  <c r="S128" i="44" s="1"/>
  <c r="Q129" i="44"/>
  <c r="S129" i="44" s="1"/>
  <c r="Q130" i="44"/>
  <c r="S130" i="44" s="1"/>
  <c r="Q131" i="44"/>
  <c r="S131" i="44" s="1"/>
  <c r="Q132" i="44"/>
  <c r="S132" i="44" s="1"/>
  <c r="Q133" i="44"/>
  <c r="S133" i="44" s="1"/>
  <c r="Q8" i="44"/>
  <c r="K17" i="64" s="1"/>
  <c r="Q7" i="44"/>
  <c r="S7" i="44" s="1"/>
  <c r="S114" i="44" l="1"/>
  <c r="K13" i="64"/>
  <c r="S113" i="44"/>
  <c r="K16" i="64"/>
  <c r="S116" i="44"/>
  <c r="K14" i="64"/>
  <c r="K71" i="64"/>
  <c r="S21" i="44"/>
  <c r="K48" i="64"/>
  <c r="E48" i="64" s="1"/>
  <c r="K43" i="64"/>
  <c r="E43" i="64" s="1"/>
  <c r="K20" i="64"/>
  <c r="S84" i="44"/>
  <c r="K70" i="64"/>
  <c r="S76" i="44"/>
  <c r="K52" i="64"/>
  <c r="E52" i="64" s="1"/>
  <c r="K19" i="64"/>
  <c r="K42" i="64"/>
  <c r="E42" i="64" s="1"/>
  <c r="K51" i="64"/>
  <c r="E51" i="64" s="1"/>
  <c r="K47" i="64"/>
  <c r="E47" i="64" s="1"/>
  <c r="K64" i="64"/>
  <c r="K59" i="64"/>
  <c r="K18" i="64"/>
  <c r="K40" i="64"/>
  <c r="E40" i="64" s="1"/>
  <c r="K58" i="64"/>
  <c r="E58" i="64" s="1"/>
  <c r="K23" i="53"/>
  <c r="L23" i="53" s="1"/>
  <c r="E10" i="14"/>
  <c r="F18" i="53"/>
  <c r="G18" i="53" s="1"/>
  <c r="K18" i="23"/>
  <c r="M18" i="23" s="1"/>
  <c r="E9" i="14"/>
  <c r="S99" i="44"/>
  <c r="S83" i="44"/>
  <c r="S67" i="44"/>
  <c r="S59" i="44"/>
  <c r="S89" i="44"/>
  <c r="S87" i="44"/>
  <c r="S81" i="44"/>
  <c r="S65" i="44"/>
  <c r="S111" i="44"/>
  <c r="S79" i="44"/>
  <c r="S63" i="44"/>
  <c r="S109" i="44"/>
  <c r="S61" i="44"/>
  <c r="Q146" i="44"/>
  <c r="S77" i="44"/>
  <c r="S69" i="44"/>
  <c r="S73" i="44"/>
  <c r="S57" i="44"/>
  <c r="S71" i="44"/>
  <c r="S75" i="44"/>
  <c r="S85" i="44"/>
  <c r="S117" i="44"/>
  <c r="S115" i="44"/>
  <c r="S23" i="44"/>
  <c r="E54" i="64"/>
  <c r="S54" i="44"/>
  <c r="S22" i="44"/>
  <c r="E45" i="64"/>
  <c r="S20" i="44"/>
  <c r="E44" i="64"/>
  <c r="S52" i="44"/>
  <c r="E56" i="64"/>
  <c r="S34" i="44"/>
  <c r="S48" i="44"/>
  <c r="S32" i="44"/>
  <c r="E46" i="64"/>
  <c r="S50" i="44"/>
  <c r="E55" i="64"/>
  <c r="S46" i="44"/>
  <c r="S44" i="44"/>
  <c r="S10" i="44"/>
  <c r="E41" i="64"/>
  <c r="S42" i="44"/>
  <c r="S15" i="44"/>
  <c r="S19" i="44"/>
  <c r="S33" i="44"/>
  <c r="S17" i="44"/>
  <c r="S18" i="44"/>
  <c r="S16" i="44"/>
  <c r="S8" i="44"/>
  <c r="S14" i="44"/>
  <c r="S30" i="44"/>
  <c r="S13" i="44"/>
  <c r="S29" i="44"/>
  <c r="S12" i="44"/>
  <c r="S11" i="44"/>
  <c r="S27" i="44"/>
  <c r="S9" i="44"/>
  <c r="S80" i="44"/>
  <c r="C41" i="55"/>
  <c r="C20" i="59"/>
  <c r="L35" i="53"/>
  <c r="F23" i="53"/>
  <c r="G23" i="53" s="1"/>
  <c r="F20" i="59" s="1"/>
  <c r="AD149" i="44"/>
  <c r="L18" i="53"/>
  <c r="M18" i="53" s="1"/>
  <c r="F34" i="43"/>
  <c r="F42" i="43"/>
  <c r="C68" i="55"/>
  <c r="I32" i="59" s="1"/>
  <c r="G19" i="53"/>
  <c r="E33" i="53"/>
  <c r="Q159" i="44"/>
  <c r="H30" i="55"/>
  <c r="E30" i="55"/>
  <c r="D30" i="55"/>
  <c r="AI147" i="44"/>
  <c r="AG139" i="44"/>
  <c r="S156" i="44"/>
  <c r="S159" i="44" s="1"/>
  <c r="J149" i="44"/>
  <c r="I149" i="44"/>
  <c r="Q134" i="44"/>
  <c r="B49" i="53" s="1"/>
  <c r="AJ149" i="44"/>
  <c r="AK141" i="44"/>
  <c r="AL141" i="44"/>
  <c r="AO141" i="44"/>
  <c r="U149" i="44"/>
  <c r="AR141" i="44"/>
  <c r="AD141" i="44"/>
  <c r="AO149" i="44"/>
  <c r="AJ141" i="44"/>
  <c r="AK149" i="44"/>
  <c r="AL149" i="44"/>
  <c r="AR149" i="44"/>
  <c r="AI139" i="44"/>
  <c r="Y149" i="44"/>
  <c r="AB149" i="44"/>
  <c r="U141" i="44"/>
  <c r="V141" i="44"/>
  <c r="AH149" i="44"/>
  <c r="P149" i="44"/>
  <c r="F19" i="59" s="1"/>
  <c r="T149" i="44"/>
  <c r="Y141" i="44"/>
  <c r="T141" i="44"/>
  <c r="AE149" i="44"/>
  <c r="I19" i="59" s="1"/>
  <c r="I21" i="59" s="1"/>
  <c r="M149" i="44"/>
  <c r="C19" i="59" s="1"/>
  <c r="R141" i="44"/>
  <c r="P141" i="44"/>
  <c r="M141" i="44"/>
  <c r="AH141" i="44"/>
  <c r="AB141" i="44"/>
  <c r="AF141" i="44"/>
  <c r="N141" i="44"/>
  <c r="AE141" i="44"/>
  <c r="N149" i="44"/>
  <c r="D19" i="59" s="1"/>
  <c r="AF149" i="44"/>
  <c r="J19" i="59" s="1"/>
  <c r="C72" i="55"/>
  <c r="D51" i="43"/>
  <c r="D10" i="43"/>
  <c r="C57" i="55"/>
  <c r="M32" i="59" s="1"/>
  <c r="M34" i="59" s="1"/>
  <c r="C56" i="55"/>
  <c r="K32" i="59" s="1"/>
  <c r="C55" i="55"/>
  <c r="J32" i="59" s="1"/>
  <c r="C54" i="55"/>
  <c r="G32" i="59" s="1"/>
  <c r="G34" i="59" s="1"/>
  <c r="C53" i="55"/>
  <c r="C52" i="55"/>
  <c r="C51" i="55"/>
  <c r="C50" i="55"/>
  <c r="I57" i="55"/>
  <c r="M38" i="59" s="1"/>
  <c r="M40" i="59" s="1"/>
  <c r="C49" i="55"/>
  <c r="I29" i="55"/>
  <c r="C29" i="55"/>
  <c r="C28" i="55"/>
  <c r="C27" i="55"/>
  <c r="C26" i="55"/>
  <c r="C25" i="55"/>
  <c r="C24" i="55"/>
  <c r="C23" i="55"/>
  <c r="C22" i="55"/>
  <c r="C21" i="55"/>
  <c r="I15" i="55"/>
  <c r="I14" i="55"/>
  <c r="I13" i="55"/>
  <c r="I11" i="55"/>
  <c r="I10" i="55"/>
  <c r="I9" i="55"/>
  <c r="C15" i="55"/>
  <c r="C14" i="55"/>
  <c r="C13" i="55"/>
  <c r="C12" i="55"/>
  <c r="C11" i="55"/>
  <c r="C10" i="55"/>
  <c r="C9" i="55"/>
  <c r="C8" i="55"/>
  <c r="C7" i="55"/>
  <c r="K68" i="43"/>
  <c r="G68" i="43"/>
  <c r="I80" i="55"/>
  <c r="K67" i="43" s="1"/>
  <c r="G67" i="43"/>
  <c r="I74" i="55"/>
  <c r="K66" i="43" s="1"/>
  <c r="N58" i="55"/>
  <c r="K58" i="55"/>
  <c r="U13" i="23" s="1"/>
  <c r="J58" i="55"/>
  <c r="T13" i="23" s="1"/>
  <c r="H58" i="55"/>
  <c r="E58" i="55"/>
  <c r="R13" i="23" s="1"/>
  <c r="D58" i="55"/>
  <c r="N44" i="55"/>
  <c r="K44" i="55"/>
  <c r="J44" i="55"/>
  <c r="H44" i="55"/>
  <c r="E44" i="55"/>
  <c r="D44" i="55"/>
  <c r="N30" i="55"/>
  <c r="K30" i="55"/>
  <c r="J30" i="55"/>
  <c r="N16" i="55"/>
  <c r="K16" i="55"/>
  <c r="J16" i="55"/>
  <c r="H16" i="55"/>
  <c r="E16" i="55"/>
  <c r="D16" i="55"/>
  <c r="D60" i="55" l="1"/>
  <c r="Q13" i="23"/>
  <c r="Q14" i="23" s="1"/>
  <c r="Q19" i="23" s="1"/>
  <c r="D20" i="59"/>
  <c r="D21" i="59" s="1"/>
  <c r="AB27" i="60"/>
  <c r="Q147" i="44"/>
  <c r="C73" i="55"/>
  <c r="C74" i="55" s="1"/>
  <c r="G66" i="43" s="1"/>
  <c r="R146" i="44"/>
  <c r="R147" i="44" s="1"/>
  <c r="R149" i="44" s="1"/>
  <c r="D11" i="43"/>
  <c r="C26" i="59"/>
  <c r="K141" i="44"/>
  <c r="F36" i="43" s="1"/>
  <c r="K149" i="44"/>
  <c r="H20" i="59"/>
  <c r="J60" i="55"/>
  <c r="T14" i="23"/>
  <c r="T19" i="23" s="1"/>
  <c r="K60" i="55"/>
  <c r="S134" i="44"/>
  <c r="D32" i="59"/>
  <c r="D34" i="59" s="1"/>
  <c r="H32" i="59"/>
  <c r="L32" i="59" s="1"/>
  <c r="C32" i="59"/>
  <c r="E60" i="55"/>
  <c r="R14" i="23"/>
  <c r="R19" i="23" s="1"/>
  <c r="V14" i="23"/>
  <c r="V19" i="23" s="1"/>
  <c r="F32" i="59"/>
  <c r="F34" i="59" s="1"/>
  <c r="E32" i="59"/>
  <c r="E34" i="59" s="1"/>
  <c r="F33" i="53"/>
  <c r="C21" i="59"/>
  <c r="K19" i="23"/>
  <c r="L19" i="23"/>
  <c r="J22" i="59" s="1"/>
  <c r="J23" i="59" s="1"/>
  <c r="L39" i="59"/>
  <c r="M23" i="53"/>
  <c r="J20" i="59" s="1"/>
  <c r="J21" i="59" s="1"/>
  <c r="L33" i="59"/>
  <c r="F21" i="59"/>
  <c r="M35" i="53"/>
  <c r="E34" i="43"/>
  <c r="D34" i="43"/>
  <c r="F46" i="43"/>
  <c r="E42" i="43"/>
  <c r="E46" i="43" s="1"/>
  <c r="D42" i="43"/>
  <c r="D46" i="43" s="1"/>
  <c r="G42" i="43"/>
  <c r="H42" i="43"/>
  <c r="I46" i="43"/>
  <c r="I38" i="43"/>
  <c r="I50" i="43"/>
  <c r="I70" i="55" s="1"/>
  <c r="F50" i="43"/>
  <c r="I61" i="55"/>
  <c r="K69" i="43" s="1"/>
  <c r="C58" i="55"/>
  <c r="C44" i="55"/>
  <c r="C30" i="55"/>
  <c r="S146" i="44" l="1"/>
  <c r="S147" i="44" s="1"/>
  <c r="G18" i="23"/>
  <c r="I18" i="23" s="1"/>
  <c r="F35" i="53"/>
  <c r="G35" i="53" s="1"/>
  <c r="L34" i="59"/>
  <c r="U14" i="23"/>
  <c r="U19" i="23" s="1"/>
  <c r="G33" i="53"/>
  <c r="E39" i="52"/>
  <c r="F39" i="52"/>
  <c r="M19" i="23"/>
  <c r="D9" i="59" s="1"/>
  <c r="I54" i="43"/>
  <c r="D50" i="43"/>
  <c r="G46" i="43"/>
  <c r="G54" i="43" s="1"/>
  <c r="G50" i="43"/>
  <c r="H50" i="43"/>
  <c r="H46" i="43"/>
  <c r="H54" i="43" s="1"/>
  <c r="E50" i="43"/>
  <c r="Q139" i="44"/>
  <c r="F39" i="53" l="1"/>
  <c r="H25" i="53"/>
  <c r="H29" i="53"/>
  <c r="H13" i="53"/>
  <c r="H12" i="53"/>
  <c r="H18" i="53"/>
  <c r="G37" i="53"/>
  <c r="C8" i="59" s="1"/>
  <c r="B51" i="53"/>
  <c r="C70" i="55"/>
  <c r="Q141" i="44"/>
  <c r="Q149" i="44"/>
  <c r="C6" i="59" s="1"/>
  <c r="D8" i="43"/>
  <c r="D12" i="43" s="1"/>
  <c r="C5" i="59" s="1"/>
  <c r="S139" i="44"/>
  <c r="C61" i="55"/>
  <c r="O141" i="44"/>
  <c r="O149" i="44"/>
  <c r="E19" i="59" s="1"/>
  <c r="E21" i="59" s="1"/>
  <c r="C16" i="55"/>
  <c r="B52" i="53" l="1"/>
  <c r="H39" i="53"/>
  <c r="C69" i="55"/>
  <c r="C7" i="59" s="1"/>
  <c r="G69" i="43"/>
  <c r="D19" i="43"/>
  <c r="D18" i="43"/>
  <c r="S141" i="44"/>
  <c r="S149" i="44"/>
  <c r="C13" i="59" s="1"/>
  <c r="G65" i="43" l="1"/>
  <c r="G70" i="43" s="1"/>
  <c r="C75" i="55"/>
  <c r="C14" i="59" s="1"/>
  <c r="C15" i="59" s="1"/>
  <c r="C76" i="55"/>
  <c r="D20" i="43"/>
  <c r="C90" i="55" l="1"/>
  <c r="E51" i="43" l="1"/>
  <c r="H8" i="23" l="1"/>
  <c r="H14" i="23" s="1"/>
  <c r="H19" i="23" s="1"/>
  <c r="F22" i="59" s="1"/>
  <c r="F23" i="59" s="1"/>
  <c r="E36" i="47"/>
  <c r="G8" i="23" l="1"/>
  <c r="E37" i="47"/>
  <c r="G14" i="23" l="1"/>
  <c r="G19" i="23" s="1"/>
  <c r="I8" i="23"/>
  <c r="C33" i="59" l="1"/>
  <c r="C34" i="59" s="1"/>
  <c r="I14" i="23"/>
  <c r="I19" i="23" s="1"/>
  <c r="C9" i="59" s="1"/>
  <c r="C10" i="59" s="1"/>
  <c r="E39" i="47"/>
  <c r="M13" i="53" l="1"/>
  <c r="I21" i="55"/>
  <c r="L33" i="53"/>
  <c r="AI7" i="44"/>
  <c r="I53" i="55"/>
  <c r="H38" i="59" s="1"/>
  <c r="I41" i="55"/>
  <c r="I44" i="55" s="1"/>
  <c r="I50" i="55"/>
  <c r="D38" i="59" s="1"/>
  <c r="D40" i="59" s="1"/>
  <c r="I54" i="55"/>
  <c r="G38" i="59" s="1"/>
  <c r="G40" i="59" s="1"/>
  <c r="E59" i="64"/>
  <c r="I49" i="55"/>
  <c r="C38" i="59" s="1"/>
  <c r="C40" i="59" s="1"/>
  <c r="H19" i="59"/>
  <c r="H21" i="59" s="1"/>
  <c r="I51" i="55"/>
  <c r="E38" i="59" s="1"/>
  <c r="E40" i="59" s="1"/>
  <c r="I52" i="55"/>
  <c r="F38" i="59" s="1"/>
  <c r="F40" i="59" s="1"/>
  <c r="I7" i="55"/>
  <c r="K33" i="53"/>
  <c r="M12" i="53"/>
  <c r="M14" i="53"/>
  <c r="AI124" i="44"/>
  <c r="AI48" i="44"/>
  <c r="AI156" i="44"/>
  <c r="AI80" i="44"/>
  <c r="AI32" i="44"/>
  <c r="AI64" i="44"/>
  <c r="AI16" i="44"/>
  <c r="AI96" i="44"/>
  <c r="AI25" i="44"/>
  <c r="AI41" i="44"/>
  <c r="AI89" i="44"/>
  <c r="AI105" i="44"/>
  <c r="AI123" i="44"/>
  <c r="AI155" i="44"/>
  <c r="AI9" i="44"/>
  <c r="AI23" i="44"/>
  <c r="I68" i="55"/>
  <c r="I38" i="59" s="1"/>
  <c r="AI39" i="44"/>
  <c r="AI55" i="44"/>
  <c r="AI87" i="44"/>
  <c r="AI103" i="44"/>
  <c r="I12" i="55"/>
  <c r="AI125" i="44"/>
  <c r="AI157" i="44"/>
  <c r="AI14" i="44"/>
  <c r="I23" i="55"/>
  <c r="AI30" i="44"/>
  <c r="AI46" i="44"/>
  <c r="AI62" i="44"/>
  <c r="AI78" i="44"/>
  <c r="AI94" i="44"/>
  <c r="AI110" i="44"/>
  <c r="AI126" i="44"/>
  <c r="AI158" i="44"/>
  <c r="AI21" i="44"/>
  <c r="AI37" i="44"/>
  <c r="AI53" i="44"/>
  <c r="AI101" i="44"/>
  <c r="I8" i="55"/>
  <c r="AI127" i="44"/>
  <c r="AI12" i="44"/>
  <c r="I56" i="55"/>
  <c r="K38" i="59" s="1"/>
  <c r="I28" i="55"/>
  <c r="AI28" i="44"/>
  <c r="AI44" i="44"/>
  <c r="AI60" i="44"/>
  <c r="AI76" i="44"/>
  <c r="AI92" i="44"/>
  <c r="AI108" i="44"/>
  <c r="AI112" i="44"/>
  <c r="AI128" i="44"/>
  <c r="AI162" i="44"/>
  <c r="AI19" i="44"/>
  <c r="AI35" i="44"/>
  <c r="AI51" i="44"/>
  <c r="AI67" i="44"/>
  <c r="AI83" i="44"/>
  <c r="AI99" i="44"/>
  <c r="AI113" i="44"/>
  <c r="AI129" i="44"/>
  <c r="AI163" i="44"/>
  <c r="AI10" i="44"/>
  <c r="I55" i="55"/>
  <c r="J38" i="59" s="1"/>
  <c r="I27" i="55"/>
  <c r="AI26" i="44"/>
  <c r="AI42" i="44"/>
  <c r="AI58" i="44"/>
  <c r="AI90" i="44"/>
  <c r="AI106" i="44"/>
  <c r="AI114" i="44"/>
  <c r="AI130" i="44"/>
  <c r="AI164" i="44"/>
  <c r="AI17" i="44"/>
  <c r="I24" i="55"/>
  <c r="AI33" i="44"/>
  <c r="AI49" i="44"/>
  <c r="AI65" i="44"/>
  <c r="AI81" i="44"/>
  <c r="AI97" i="44"/>
  <c r="AI115" i="44"/>
  <c r="AI131" i="44"/>
  <c r="AI57" i="44"/>
  <c r="AI8" i="44"/>
  <c r="I22" i="55"/>
  <c r="AI24" i="44"/>
  <c r="AI40" i="44"/>
  <c r="AI56" i="44"/>
  <c r="AI72" i="44"/>
  <c r="AI88" i="44"/>
  <c r="AI104" i="44"/>
  <c r="AI116" i="44"/>
  <c r="AI132" i="44"/>
  <c r="AI73" i="44"/>
  <c r="AI15" i="44"/>
  <c r="AI31" i="44"/>
  <c r="AI47" i="44"/>
  <c r="AI63" i="44"/>
  <c r="AI79" i="44"/>
  <c r="AI95" i="44"/>
  <c r="AI111" i="44"/>
  <c r="AI117" i="44"/>
  <c r="AI133" i="44"/>
  <c r="AI71" i="44"/>
  <c r="AI22" i="44"/>
  <c r="AI38" i="44"/>
  <c r="AI54" i="44"/>
  <c r="AI70" i="44"/>
  <c r="AI86" i="44"/>
  <c r="AI102" i="44"/>
  <c r="AI118" i="44"/>
  <c r="AI69" i="44"/>
  <c r="AI13" i="44"/>
  <c r="AI29" i="44"/>
  <c r="I26" i="55"/>
  <c r="AI45" i="44"/>
  <c r="AI61" i="44"/>
  <c r="AI77" i="44"/>
  <c r="AF27" i="60"/>
  <c r="AI93" i="44"/>
  <c r="AI109" i="44"/>
  <c r="AI119" i="44"/>
  <c r="AI20" i="44"/>
  <c r="I25" i="55"/>
  <c r="AI36" i="44"/>
  <c r="AI52" i="44"/>
  <c r="AI68" i="44"/>
  <c r="AI100" i="44"/>
  <c r="AI120" i="44"/>
  <c r="AG134" i="44"/>
  <c r="E8" i="43" s="1"/>
  <c r="E12" i="43" s="1"/>
  <c r="AI11" i="44"/>
  <c r="AI27" i="44"/>
  <c r="AI43" i="44"/>
  <c r="AI59" i="44"/>
  <c r="AI91" i="44"/>
  <c r="AI107" i="44"/>
  <c r="AI121" i="44"/>
  <c r="AI153" i="44"/>
  <c r="AI159" i="44" s="1"/>
  <c r="AG159" i="44"/>
  <c r="AI18" i="44"/>
  <c r="AI34" i="44"/>
  <c r="AI50" i="44"/>
  <c r="AI66" i="44"/>
  <c r="AI82" i="44"/>
  <c r="AI98" i="44"/>
  <c r="AI122" i="44"/>
  <c r="AI154" i="44"/>
  <c r="AI134" i="44" l="1"/>
  <c r="AI141" i="44" s="1"/>
  <c r="I16" i="55"/>
  <c r="AG141" i="44"/>
  <c r="M33" i="53"/>
  <c r="N13" i="53" s="1"/>
  <c r="I30" i="55"/>
  <c r="G20" i="59"/>
  <c r="G21" i="59" s="1"/>
  <c r="D5" i="59"/>
  <c r="F19" i="43"/>
  <c r="F27" i="43" s="1"/>
  <c r="F18" i="43"/>
  <c r="L38" i="59"/>
  <c r="L40" i="59" s="1"/>
  <c r="L39" i="53"/>
  <c r="I58" i="55"/>
  <c r="I69" i="55" s="1"/>
  <c r="AG149" i="44"/>
  <c r="D6" i="59" s="1"/>
  <c r="AI149" i="44" l="1"/>
  <c r="D13" i="59" s="1"/>
  <c r="M37" i="53"/>
  <c r="D8" i="59" s="1"/>
  <c r="N29" i="53"/>
  <c r="N25" i="53"/>
  <c r="N18" i="53"/>
  <c r="N12" i="53"/>
  <c r="I75" i="55"/>
  <c r="K65" i="43"/>
  <c r="D7" i="59"/>
  <c r="F20" i="43"/>
  <c r="F28" i="43" s="1"/>
  <c r="G27" i="43" s="1"/>
  <c r="F26" i="43"/>
  <c r="I76" i="55"/>
  <c r="D10" i="59" l="1"/>
  <c r="G26" i="43"/>
  <c r="I66" i="43" s="1"/>
  <c r="N39" i="53"/>
  <c r="J67" i="43"/>
  <c r="J69" i="43"/>
  <c r="J66" i="43"/>
  <c r="J68" i="43"/>
  <c r="J65" i="43"/>
  <c r="K70" i="43"/>
  <c r="I90" i="55"/>
  <c r="D14" i="59"/>
  <c r="D15" i="59" s="1"/>
  <c r="I68" i="43" l="1"/>
  <c r="I65" i="43"/>
  <c r="I67" i="43"/>
  <c r="I69" i="43"/>
  <c r="J70" i="43"/>
  <c r="I70" i="43" l="1"/>
  <c r="C13" i="21" l="1"/>
  <c r="D13" i="21" s="1"/>
  <c r="F52" i="43"/>
  <c r="F54" i="43" s="1"/>
  <c r="D28" i="43" s="1"/>
  <c r="E36" i="43"/>
  <c r="E38" i="43" s="1"/>
  <c r="D36" i="43"/>
  <c r="D52" i="43" s="1"/>
  <c r="D54" i="43" s="1"/>
  <c r="D26" i="43" s="1"/>
  <c r="F38" i="43"/>
  <c r="C27" i="59"/>
  <c r="C28" i="59" s="1"/>
  <c r="E26" i="43" l="1"/>
  <c r="E65" i="43" s="1"/>
  <c r="E52" i="43"/>
  <c r="E54" i="43" s="1"/>
  <c r="D27" i="43" s="1"/>
  <c r="E27" i="43" s="1"/>
  <c r="D38" i="43"/>
  <c r="E68" i="43" l="1"/>
  <c r="E66" i="43"/>
  <c r="E69" i="43"/>
  <c r="E67" i="43"/>
  <c r="E70" i="43"/>
  <c r="F65" i="43"/>
  <c r="F66" i="43"/>
  <c r="F68" i="43"/>
  <c r="F67" i="43"/>
  <c r="F69" i="43"/>
  <c r="F70" i="43" l="1"/>
  <c r="X27" i="60" l="1"/>
  <c r="L134" i="44" l="1"/>
  <c r="L141" i="44" l="1"/>
  <c r="L149" i="4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<sst xmlns="http://schemas.openxmlformats.org/spreadsheetml/2006/main" count="7763" uniqueCount="1735">
  <si>
    <t>General Instructions for Completing the Tables:</t>
  </si>
  <si>
    <t>San Diego Gas &amp; Electric Co</t>
  </si>
  <si>
    <t>&lt;&lt;&lt;&lt;&lt; Input your PA name here. This will appear on every report Cell B2.</t>
  </si>
  <si>
    <t>2022-2023</t>
  </si>
  <si>
    <t>Reference Years for all tabs</t>
  </si>
  <si>
    <t>All currency will be reported to the dollar, i.e., $0.</t>
  </si>
  <si>
    <t>Follow the legend to guide the input of various data requirements.</t>
  </si>
  <si>
    <t>WORKBOOK DROPDOWN MENU CONTROL</t>
  </si>
  <si>
    <r>
      <t xml:space="preserve">Other than </t>
    </r>
    <r>
      <rPr>
        <b/>
        <sz val="12"/>
        <color theme="1"/>
        <rFont val="Calibri"/>
        <family val="2"/>
        <scheme val="minor"/>
      </rPr>
      <t>Tabs 4 and 5</t>
    </r>
    <r>
      <rPr>
        <sz val="12"/>
        <color theme="1"/>
        <rFont val="Calibri"/>
        <family val="2"/>
        <scheme val="minor"/>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</si>
  <si>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</si>
  <si>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</si>
  <si>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</si>
  <si>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</si>
  <si>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</si>
  <si>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</si>
  <si>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</si>
  <si>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</si>
  <si>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</si>
  <si>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</si>
  <si>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</si>
  <si>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</si>
  <si>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</si>
  <si>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</si>
  <si>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</si>
  <si>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</si>
  <si>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</si>
  <si>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</si>
  <si>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</si>
  <si>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and Standards</t>
  </si>
  <si>
    <t>Emerging Tech</t>
  </si>
  <si>
    <t>Public</t>
  </si>
  <si>
    <t>Legend - What do the colors mean</t>
  </si>
  <si>
    <t>WE&amp;T</t>
  </si>
  <si>
    <t>Solid Gray, black font - FORMULA</t>
  </si>
  <si>
    <t>Finance</t>
  </si>
  <si>
    <t>Solid Blue, blue font - DATA INPUT CELL</t>
  </si>
  <si>
    <t>OBF Loan Pool</t>
  </si>
  <si>
    <t>Solid Gold, black font - HEADER/INFORMATION NO-INPUT CELL</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</si>
  <si>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</si>
  <si>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</si>
  <si>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</si>
  <si>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</si>
  <si>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</si>
  <si>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</si>
  <si>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</si>
  <si>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</si>
  <si>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</si>
  <si>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</si>
  <si>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</si>
  <si>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</si>
  <si>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t>
  </si>
  <si>
    <t>Populate only the blue highlighted cells.  For example, forecasted electric and gas portfolio allocation percentage.</t>
  </si>
  <si>
    <t>Tab 4</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</si>
  <si>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</si>
  <si>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</si>
  <si>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</si>
  <si>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</si>
  <si>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</si>
  <si>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</si>
  <si>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</si>
  <si>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</si>
  <si>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Tab 4.1</t>
  </si>
  <si>
    <t>This is the updated version of the required Program Changes table introduced in the 2021 ABAL</t>
  </si>
  <si>
    <t>Each PA may add as many lines to each section without impacting any other workbook tabs.</t>
  </si>
  <si>
    <t>Tab 7</t>
  </si>
  <si>
    <t>Read Col L for data specific instructions/descriptions.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</si>
  <si>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</si>
  <si>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</si>
  <si>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</si>
  <si>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(2022) and K13 (2023), Admin expenditures for non-PA, non-qualifying Third Party &amp; Partnerships (non-Target Exempt Programs) must be manually populated as the forecast admin expenditures from the "Core PA" program type (Tab 4, Col F).  The PA admin formula in Cell E12 will adjust for this manual entry.</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</si>
  <si>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</si>
  <si>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</si>
  <si>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</si>
  <si>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</si>
  <si>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Place program in Table based on status category the program falls in. Determine which status category using program status come Jan 1, 2021 (if the 2021 ABAL filing is approved as is).</t>
  </si>
  <si>
    <t xml:space="preserve">If a program is "zeroed out", i.e. has $0 planned in PY 2022 or 2023, but isn't listed in one of the first two "Programs to be closed" status categories, the PAs must list it in the Programs with reduced budgets category, and explain how/why the program is not marked for closure. </t>
  </si>
  <si>
    <t xml:space="preserve">Status </t>
  </si>
  <si>
    <t>Programs to be closed with the disposition of 2022-2023 BBAL</t>
  </si>
  <si>
    <t>These programs likely have $0 budget planned in 2022 or 2023, any any exceptions should be explained.</t>
  </si>
  <si>
    <t>Programs to be closed upon completion of commitments</t>
  </si>
  <si>
    <t>Separate from program level table, define/describe where the PA drew a line on which commitments to honor/complete</t>
  </si>
  <si>
    <t>Programs with reduced budgets (&gt;40% budget decrease), to continue in 2022 or 2023</t>
  </si>
  <si>
    <t>Programs that are new in 2022 or 2023</t>
  </si>
  <si>
    <t>These programs have $0 2020 budgets</t>
  </si>
  <si>
    <t>Programs with enhanced budgets (&gt;40% budget increase)</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</si>
  <si>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</si>
  <si>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</si>
  <si>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</si>
  <si>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</si>
  <si>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</si>
  <si>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</si>
  <si>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</si>
  <si>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</si>
  <si>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</si>
  <si>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</si>
  <si>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</si>
  <si>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</si>
  <si>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</si>
  <si>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</si>
  <si>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</si>
  <si>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</si>
  <si>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Unspent/Uncommitted compared to CEC 2020 and beyond</t>
  </si>
  <si>
    <t>Tab 4 - CEC value 2020 and Beyond amount</t>
  </si>
  <si>
    <t>Tab 3 - Table 3d - 2020 and 2021 Unspent/Uncommitted</t>
  </si>
  <si>
    <t>Portfolio Budget Total vs Budget by Function Summary Total</t>
  </si>
  <si>
    <t>Cross Cutting</t>
  </si>
  <si>
    <t>Tab 7 - PA Portfolio Budget by Function</t>
  </si>
  <si>
    <t>Tab 9 - PA Portfolio Budget by Function</t>
  </si>
  <si>
    <t>Codes &amp; Standards</t>
  </si>
  <si>
    <t>(This Table applies only to the IOU PAs)</t>
  </si>
  <si>
    <t>Table 1 -Bill Payer Impacts  -  Rates by Customer Class</t>
  </si>
  <si>
    <r>
      <t>Electric Average Rate (Res and Non-Res)  $/kWh</t>
    </r>
    <r>
      <rPr>
        <b/>
        <vertAlign val="superscript"/>
        <sz val="12"/>
        <rFont val="Times New Roman"/>
        <family val="1"/>
      </rPr>
      <t xml:space="preserve"> 1</t>
    </r>
  </si>
  <si>
    <r>
      <t xml:space="preserve">Gas Average Rate
(Res and Non-Res) 
 $/Therm </t>
    </r>
    <r>
      <rPr>
        <b/>
        <vertAlign val="superscript"/>
        <sz val="12"/>
        <rFont val="Times New Roman"/>
        <family val="1"/>
      </rPr>
      <t>2</t>
    </r>
  </si>
  <si>
    <t>Total Average Annual Bill Savings by Year ($)</t>
  </si>
  <si>
    <t>Total Average Lifecycle Bill Savings ($)</t>
  </si>
  <si>
    <t>Present Rates - System Average</t>
  </si>
  <si>
    <t>1. Electric rates are based on 11/1/2021 current effective rates and based on current allocation factors authorized in 2016 General Rate Case (GRC) Phase 2 D.17-08-030. The allocation factors will be updated January 1, 2022 with updated EE allocation factors authorized in 2019 GRC Phase 2 D.21-07-010.</t>
  </si>
  <si>
    <t>2.  Gas rates are based on 10/1/2021 current effective rates and based on current allocation factors authorized in the 2020 Triennial Cost Allocation Proceeding (TCAP) D.20-02-045.</t>
  </si>
  <si>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</si>
  <si>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</si>
  <si>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</si>
  <si>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</si>
  <si>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2021 Proposed Energy Efficiency Electric Annual Revenue Change 
 $000</t>
  </si>
  <si>
    <t>2021 Proposed Percentage Change In Electric Revenue and Rates</t>
  </si>
  <si>
    <t>2021 Electric 
Average Rate 
$/kWh</t>
  </si>
  <si>
    <t>2021 Energy Efficiency Portion of Electric Average Rate
$/kWh</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</si>
  <si>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</si>
  <si>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</si>
  <si>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</si>
  <si>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</si>
  <si>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</si>
  <si>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</si>
  <si>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</si>
  <si>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</si>
  <si>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Small Commercial</t>
  </si>
  <si>
    <t>Medium and Large Commercial</t>
  </si>
  <si>
    <t>Street Lighting</t>
  </si>
  <si>
    <t>* = Electric rates based on 11/1/2021 current effective rates and based on current allocation factors authorized in 2016 General Rate Case (GRC) Phase 2 D.17-08-030; the allocation factors will be updated January 1, 2022 with updated EE allocation factors authorized in 2019 GRC Phase 2 D.21-07-010.</t>
  </si>
  <si>
    <t xml:space="preserve">Table 2b - Gas Bill Payer Impacts  - Current and Proposed Revenues and Rates, Total and Energy Efficiency, by Customer Class </t>
  </si>
  <si>
    <t>2021 Proposed Energy Efficiency Gas Annual Revenue Change 
 $000</t>
  </si>
  <si>
    <t>2021 Proposed Percentage Change In Gas Revenue and Rates</t>
  </si>
  <si>
    <t>2021 Gas 
Average Rate 
$/Therm</t>
  </si>
  <si>
    <t>2021 Energy Efficiency Portion of Gas Average Rate
$/Therm</t>
  </si>
  <si>
    <t>2022 Proposed Energy Efficiency Gas Annual Revenue Change 
 $000</t>
  </si>
  <si>
    <t>2022 Proposed Percentage Change In Gas Revenue and Rates</t>
  </si>
  <si>
    <t>2022 Gas 
Average Rate 
$/Therm</t>
  </si>
  <si>
    <t>2022 Energy Efficiency Portion of Gas Average Rate
$/Therm</t>
  </si>
  <si>
    <t>2023 Proposed Energy Efficiency Gas Annual Revenue Change 
 $000</t>
  </si>
  <si>
    <t>2023 Proposed Percentage Change In Gas Revenue and Rates</t>
  </si>
  <si>
    <t>2023 Gas 
Average Rate 
$/Therm</t>
  </si>
  <si>
    <t>2023 Energy Efficiency Portion of Gas Average Rate
$/Therm</t>
  </si>
  <si>
    <t>Core Commercial/Industrial</t>
  </si>
  <si>
    <t>Non-Core Commercial/Industrial</t>
  </si>
  <si>
    <t>** = Based on 10/1/2021 current effective rates Gas rates and based on current allocation factors authorized in the  2020 Triennial Cost Allocation Proceeding (TCAP) D.20-02-045.</t>
  </si>
  <si>
    <t>Table 3 - Budget and Cost Recovery by Funding Source</t>
  </si>
  <si>
    <t>Table 3a - PA Spending Budget Request by Funding Source</t>
  </si>
  <si>
    <t>PA EE Programs and EM&amp;V</t>
  </si>
  <si>
    <t>Annual PA Spending Budget Request (Program and EM&amp;V total)</t>
  </si>
  <si>
    <t xml:space="preserve">CEC AB 841 Program Budget Request </t>
  </si>
  <si>
    <r>
      <t xml:space="preserve">Applicable percentage of difference between funding limitation and 2020 budget (70% for 2022 and 60% for 2023) </t>
    </r>
    <r>
      <rPr>
        <vertAlign val="superscript"/>
        <sz val="12"/>
        <rFont val="Times New Roman"/>
        <family val="1"/>
      </rPr>
      <t>1</t>
    </r>
  </si>
  <si>
    <t>Plus 2020 and Beyond Uncommitted and Unspent Carryover Balance</t>
  </si>
  <si>
    <t>PA Spending Budget Request (PA Program and EM&amp;V + CEC AB 841)</t>
  </si>
  <si>
    <t>1. Per D.21-01-004, the base for calculation for SDG&amp;E is $116,456,311 minus 2020 PY EE Budget of $81,485,692 multiplied by the percentage allocation of 70% for 2022 and 60% for 2023.</t>
  </si>
  <si>
    <t>Table 3b - Budget by Funding Source</t>
  </si>
  <si>
    <t>Portfolio Budget (Before Carryover)</t>
  </si>
  <si>
    <t>2022 Budget</t>
  </si>
  <si>
    <t>2022 %Allocation</t>
  </si>
  <si>
    <t>2023 Budget</t>
  </si>
  <si>
    <t>2023 %Allocation</t>
  </si>
  <si>
    <t>Electric Procurement EE Funds</t>
  </si>
  <si>
    <t>Gas PPP Surcharge Funds</t>
  </si>
  <si>
    <t>Total Funds</t>
  </si>
  <si>
    <t>Table 3c - Revenue Requirement for Cost Recovery by Funding Source</t>
  </si>
  <si>
    <t>Authorized Funding in Rates (including  Unspent/Uncommitted Funds )</t>
  </si>
  <si>
    <t>2022 Revenue Requirement</t>
  </si>
  <si>
    <t>2022 %Allocation after Carryover adjustment</t>
  </si>
  <si>
    <t>2023 Revenue Requirement</t>
  </si>
  <si>
    <t>2023 %Allocation after Carryover adjustment</t>
  </si>
  <si>
    <t>Table 3d - Unspent/Uncommitted Carryover Funds (in positive $ amounts)</t>
  </si>
  <si>
    <t xml:space="preserve">Program Year Unspent/Uncommitted Funds </t>
  </si>
  <si>
    <t xml:space="preserve"> Electric</t>
  </si>
  <si>
    <t>Gas</t>
  </si>
  <si>
    <t xml:space="preserve">Total </t>
  </si>
  <si>
    <t xml:space="preserve">Pre-2020 </t>
  </si>
  <si>
    <r>
      <t xml:space="preserve">2020 </t>
    </r>
    <r>
      <rPr>
        <vertAlign val="superscript"/>
        <sz val="12"/>
        <rFont val="Times New Roman"/>
        <family val="1"/>
      </rPr>
      <t>2</t>
    </r>
  </si>
  <si>
    <r>
      <t xml:space="preserve">2021 </t>
    </r>
    <r>
      <rPr>
        <vertAlign val="superscript"/>
        <sz val="12"/>
        <rFont val="Times New Roman"/>
        <family val="1"/>
      </rPr>
      <t>2</t>
    </r>
  </si>
  <si>
    <r>
      <t xml:space="preserve">2022 </t>
    </r>
    <r>
      <rPr>
        <vertAlign val="superscript"/>
        <sz val="12"/>
        <rFont val="Times New Roman"/>
        <family val="1"/>
      </rPr>
      <t>2</t>
    </r>
  </si>
  <si>
    <t xml:space="preserve">EM&amp;V Unspent/Uncommitted Funds </t>
  </si>
  <si>
    <t>Total Unspent/Uncommitted Funds</t>
  </si>
  <si>
    <t>2. These unspent and uncommitted funds are assigned to the California Energy Commission (CEC) and will be used as directed by California Assembly Bill 841. Any actual uncommitted/unspent funds for 2022 will be trued-up in the IOU's respective electric and gas PPP annual rates advice letter for 2024.</t>
  </si>
  <si>
    <r>
      <t xml:space="preserve">Table 3e - Total  Requested 2022-2023 Portfolio Budgets - Demand Response &amp; Energy Efficiency </t>
    </r>
    <r>
      <rPr>
        <b/>
        <vertAlign val="superscript"/>
        <sz val="12"/>
        <rFont val="Times New Roman"/>
        <family val="1"/>
      </rPr>
      <t>3,4</t>
    </r>
  </si>
  <si>
    <t>Demand Response</t>
  </si>
  <si>
    <t>Energy Efficiency</t>
  </si>
  <si>
    <t>Electric Demand Response Funds</t>
  </si>
  <si>
    <t>Electric Energy Efficiency Funds</t>
  </si>
  <si>
    <t>Natural Gas Public Purpose Funds</t>
  </si>
  <si>
    <t>Total Energy Efficiency Funds</t>
  </si>
  <si>
    <r>
      <t xml:space="preserve"> Program Funds - PA </t>
    </r>
    <r>
      <rPr>
        <vertAlign val="superscript"/>
        <sz val="12"/>
        <rFont val="Palatino"/>
      </rPr>
      <t>5</t>
    </r>
  </si>
  <si>
    <r>
      <t xml:space="preserve"> Program Funds - CEC </t>
    </r>
    <r>
      <rPr>
        <vertAlign val="superscript"/>
        <sz val="12"/>
        <rFont val="Palatino"/>
      </rPr>
      <t>6</t>
    </r>
  </si>
  <si>
    <r>
      <t xml:space="preserve"> Program Funds - REN </t>
    </r>
    <r>
      <rPr>
        <vertAlign val="superscript"/>
        <sz val="12"/>
        <rFont val="Palatino"/>
      </rPr>
      <t>6</t>
    </r>
  </si>
  <si>
    <r>
      <t xml:space="preserve"> Program Funds - CCA </t>
    </r>
    <r>
      <rPr>
        <vertAlign val="superscript"/>
        <sz val="12"/>
        <rFont val="Palatino"/>
      </rPr>
      <t>6</t>
    </r>
  </si>
  <si>
    <r>
      <t xml:space="preserve"> EM&amp;V </t>
    </r>
    <r>
      <rPr>
        <vertAlign val="superscript"/>
        <sz val="12"/>
        <rFont val="Palatino"/>
      </rPr>
      <t>7</t>
    </r>
  </si>
  <si>
    <t>Budget Total</t>
  </si>
  <si>
    <t>Notes:</t>
  </si>
  <si>
    <t>3. Authorized budget excludes reductions from past unspent funds, carryover and is consistent with funding approved in D. 09-09-047, D. 12-11-015, D.14-10-046 and D.15-10-028,  D.18-05-041 and D.21-01-004.</t>
  </si>
  <si>
    <t>4. REN and CCA information provided by all RENS and CCAs and is consistent with their respective ABALs.</t>
  </si>
  <si>
    <t>5. Program Funds represents the total program budget, excluding EM&amp;V.  Only the electric IOU PAs will complete the Demand Response funding columns.</t>
  </si>
  <si>
    <t>6. Only the IOU completes this line and should be consistent table 7.</t>
  </si>
  <si>
    <t>7. This represent total IOU+CCA+REN EM&amp;V.</t>
  </si>
  <si>
    <t>(report budgets to the $--do not round)</t>
  </si>
  <si>
    <t>Table 4 – Budget, Spent, Unspent, Carryover Details</t>
  </si>
  <si>
    <t>New/Existing Program #</t>
  </si>
  <si>
    <t>Discontinued Program #</t>
  </si>
  <si>
    <t>Program Name</t>
  </si>
  <si>
    <t xml:space="preserve"> Business Sector</t>
  </si>
  <si>
    <r>
      <t xml:space="preserve">Pre-2020 Unspent/Uncommitted EE Funds </t>
    </r>
    <r>
      <rPr>
        <b/>
        <vertAlign val="superscript"/>
        <sz val="10"/>
        <rFont val="Arial"/>
        <family val="2"/>
      </rPr>
      <t>6</t>
    </r>
  </si>
  <si>
    <t>2021 Authorized Budget</t>
  </si>
  <si>
    <r>
      <t xml:space="preserve">2021 Forecasted Unspent/ Uncommitted Funds as of 7/31/2021 </t>
    </r>
    <r>
      <rPr>
        <b/>
        <vertAlign val="superscript"/>
        <sz val="10"/>
        <rFont val="Arial"/>
        <family val="2"/>
      </rPr>
      <t>7</t>
    </r>
  </si>
  <si>
    <t>2021 Budget Spent as of 07/31/2021</t>
  </si>
  <si>
    <t>Administrative</t>
  </si>
  <si>
    <t>Marketing/ Outreach</t>
  </si>
  <si>
    <t>Direct Implementation Non-Incentive</t>
  </si>
  <si>
    <t>Incentive/ Rebate</t>
  </si>
  <si>
    <t>2022 PA Spending Budget Request</t>
  </si>
  <si>
    <t xml:space="preserve">2022 PA Pre-2020 Uncommitted and Unspent Carryover  Balance </t>
  </si>
  <si>
    <t>2022 PA Revenue Requirement Request</t>
  </si>
  <si>
    <t>First Year Net KWH</t>
  </si>
  <si>
    <t>First Year Net KW</t>
  </si>
  <si>
    <t>First Year Net Therms (MM)</t>
  </si>
  <si>
    <t>First Year Net Elec CO2 (ton)</t>
  </si>
  <si>
    <t>First Year Net Gas CO2 (ton)</t>
  </si>
  <si>
    <t>Lifecycle Net KWH</t>
  </si>
  <si>
    <t>Lifecycle Net Therms</t>
  </si>
  <si>
    <t>Lifecycle Net Elec CO2 (Ton)</t>
  </si>
  <si>
    <t>Lifecycle Net Gas CO2 (Ton)</t>
  </si>
  <si>
    <t>Incentive/Rebate</t>
  </si>
  <si>
    <t>2023 PA Spending Budget Request</t>
  </si>
  <si>
    <t xml:space="preserve">2023 PA Pre-2020 Uncommitted and Unspent Carryover  Balance </t>
  </si>
  <si>
    <t>2023 PA Revenue Requirement Request</t>
  </si>
  <si>
    <t>SDGE3201</t>
  </si>
  <si>
    <t>SW-CALS-Energy Advisor-HEES, UAT</t>
  </si>
  <si>
    <t>SDGE3217</t>
  </si>
  <si>
    <t>SW-COM-Customer Services- Audits NonRes</t>
  </si>
  <si>
    <t>SDGE3220</t>
  </si>
  <si>
    <t>SW-COM-Calculated Incentives-Calculated</t>
  </si>
  <si>
    <t>SDGE3222</t>
  </si>
  <si>
    <t>SW-COM-Calculated Incentives-Savings by Design</t>
  </si>
  <si>
    <t>SDGE3223</t>
  </si>
  <si>
    <t>SW-COM-Deemed Incentives-Commercial Rebates</t>
  </si>
  <si>
    <t>SDGE3226</t>
  </si>
  <si>
    <t>SW-COM Direct Install</t>
  </si>
  <si>
    <t>SDGE3227</t>
  </si>
  <si>
    <t>SW-IND-Strategic Energy Management</t>
  </si>
  <si>
    <t>SDGE3229</t>
  </si>
  <si>
    <t>SW-IND-Customer Services-Audits NonRes</t>
  </si>
  <si>
    <t>SDGE3231</t>
  </si>
  <si>
    <t>SW-IND-Calculated Incentives-Calculated</t>
  </si>
  <si>
    <t>SDGE3233</t>
  </si>
  <si>
    <t>SW-IND-Deemed Incentives</t>
  </si>
  <si>
    <t>SDGE3236</t>
  </si>
  <si>
    <t>SW-AG-Customer Services-Audits</t>
  </si>
  <si>
    <t>SDGE3237</t>
  </si>
  <si>
    <t>SW-AG-Calculated Incentives-Calculated</t>
  </si>
  <si>
    <t>SDGE3239</t>
  </si>
  <si>
    <t>SW-AG-Deemed Incentives</t>
  </si>
  <si>
    <t>SDGE3246</t>
  </si>
  <si>
    <t>SW-ET-Technology Introduction Support</t>
  </si>
  <si>
    <t>SDGE3247</t>
  </si>
  <si>
    <t>SW-ET-Technology Assessment Support</t>
  </si>
  <si>
    <t>SDGE3248</t>
  </si>
  <si>
    <t>SW-ET-Technology Deployment Support</t>
  </si>
  <si>
    <t>SDGE3251</t>
  </si>
  <si>
    <t>SW C&amp;S - Compliance Enhancement (NET SAVINGS)</t>
  </si>
  <si>
    <t>SDGE3252</t>
  </si>
  <si>
    <t>SW C&amp;S - Reach Codes (NET SAVINGS)</t>
  </si>
  <si>
    <t>SDGE3253</t>
  </si>
  <si>
    <t>SW C&amp;S - Planning Coordination (NET SAVINGS)</t>
  </si>
  <si>
    <t>SDGE3254</t>
  </si>
  <si>
    <t>Local WE&amp;T-Integrated Energy Education &amp; Training (IEET)</t>
  </si>
  <si>
    <t>SDGE3261</t>
  </si>
  <si>
    <t>Local-IDSM-ME&amp;O-Behavioral Programs (EE)</t>
  </si>
  <si>
    <t>SDGE3262</t>
  </si>
  <si>
    <t>SW-FIN-On-Bill Finance</t>
  </si>
  <si>
    <t>SDGE3267</t>
  </si>
  <si>
    <t>LInstP-California Community College Partnership</t>
  </si>
  <si>
    <t>SDGE3268</t>
  </si>
  <si>
    <t>LInstP-UC/CSU/IOU Partnership</t>
  </si>
  <si>
    <t>SDGE3280</t>
  </si>
  <si>
    <t>3P-IDEEA</t>
  </si>
  <si>
    <t>SDGE3317</t>
  </si>
  <si>
    <t xml:space="preserve">HOPPs - Building Retro-Commissioning </t>
  </si>
  <si>
    <t>SDGE3322</t>
  </si>
  <si>
    <t>3P-Streamlined Ag Efficiency (SAE)</t>
  </si>
  <si>
    <t>SDGE4001</t>
  </si>
  <si>
    <t>Single Family Program</t>
  </si>
  <si>
    <t>Single Family Program (Utility)</t>
  </si>
  <si>
    <t>SDGE4002</t>
  </si>
  <si>
    <t>Multi Family Program</t>
  </si>
  <si>
    <t>Multi Family Program (Utility)</t>
  </si>
  <si>
    <t>SDGE4003</t>
  </si>
  <si>
    <t>Commercial Small Customer Services (&lt;20KW) Program</t>
  </si>
  <si>
    <t>Commercial Small Customer Services (&lt;20KW) Program (Utility)</t>
  </si>
  <si>
    <t>SDGE4004</t>
  </si>
  <si>
    <t>Commercial Large Customer Services (&gt;20KW) Program</t>
  </si>
  <si>
    <t>Commercial Large Customer Services (&gt;20KW) Program (Utility)</t>
  </si>
  <si>
    <t>SDGE4006</t>
  </si>
  <si>
    <t>Industrial Sector Program</t>
  </si>
  <si>
    <t>Industrial Sector Program (Utility)</t>
  </si>
  <si>
    <t>SDGE4007</t>
  </si>
  <si>
    <t>Industrial Port Tenant Customers Services Programs</t>
  </si>
  <si>
    <t>Industrial Port Tenant Customers Services Programs (Utility)</t>
  </si>
  <si>
    <t>SDGE4009</t>
  </si>
  <si>
    <t>Agricultural Growers Services Program</t>
  </si>
  <si>
    <t>Agricultural Growers Services Program (Utility)</t>
  </si>
  <si>
    <t>SDGE4010</t>
  </si>
  <si>
    <t>Local Government Customers Program</t>
  </si>
  <si>
    <t>Local Government Customers Program (Utility)</t>
  </si>
  <si>
    <t>SDGE4011</t>
  </si>
  <si>
    <t>K-12 Customer Services Program</t>
  </si>
  <si>
    <t>K-12 Customer Services Program (Utility)</t>
  </si>
  <si>
    <t>SDGE4012</t>
  </si>
  <si>
    <t>Federal Customer Services Program</t>
  </si>
  <si>
    <t>Federal Customer Services Program (Utility)</t>
  </si>
  <si>
    <t>SDGE4040</t>
  </si>
  <si>
    <t>IDSM Local Residential Behavioral Program (EE)</t>
  </si>
  <si>
    <t>IDSM Local Residential Behavioral Program (EE) (Utility)</t>
  </si>
  <si>
    <t>SDGE_SW_CSA_Natl</t>
  </si>
  <si>
    <t>SW Codes &amp; Standards Advocacy - National Codes &amp; Standards Advocacy (NET SAVINGS)</t>
  </si>
  <si>
    <t>SDGE_SW_CSA_Natl_PA</t>
  </si>
  <si>
    <t>SW Codes &amp; Standards Advocacy - National Codes &amp; Standards Advocacy (Utility) (NET SAVINGS)</t>
  </si>
  <si>
    <t>SDGE_SW_CSA_Appl</t>
  </si>
  <si>
    <t>SW Codes &amp; Standards Advocacy - State Appliance Standards (NET SAVINGS)</t>
  </si>
  <si>
    <t>SDGE_SW_CSA_Appl_PA</t>
  </si>
  <si>
    <t>SW Codes &amp; Standards Advocacy - State Appliance Standards (Utility) (NET SAVINGS)</t>
  </si>
  <si>
    <t>SDGE_SW_CSA_Bldg</t>
  </si>
  <si>
    <t>SW Codes &amp; Standards Advocacy - State Building Codes (NET SAVINGS)</t>
  </si>
  <si>
    <t>SDGE_SW_CSA_Bldg_PA</t>
  </si>
  <si>
    <t>SW Codes &amp; Standards Advocacy - State Building Codes (Utility) (NET SAVINGS)</t>
  </si>
  <si>
    <t>SDGE_SW_ETP_Elec</t>
  </si>
  <si>
    <t>SW Emerging Technologies - Electric</t>
  </si>
  <si>
    <t>SDGE_SW_ETP_Elec_PA</t>
  </si>
  <si>
    <t>SW Emerging Technologies - Electric (Utility)</t>
  </si>
  <si>
    <t>SDGE_SW_IP_Gov</t>
  </si>
  <si>
    <t>Institutional Partnerships: DGS &amp; DoC</t>
  </si>
  <si>
    <t>SDGE_SW_IP_Gov_PA</t>
  </si>
  <si>
    <t>Institutional Partnerships: DGS &amp; DoC (Utility)</t>
  </si>
  <si>
    <t>SDGE_SW_IP_Colleges</t>
  </si>
  <si>
    <t>SW Higher Education</t>
  </si>
  <si>
    <t>SDGE_SW_IP_Colleges_PA</t>
  </si>
  <si>
    <t>SW Higher Education (Utility)</t>
  </si>
  <si>
    <t>SDGE_SW_MCWH</t>
  </si>
  <si>
    <t>SW Midstream Commercial Water Heating</t>
  </si>
  <si>
    <t>SDGE_SW_MCWH_PA</t>
  </si>
  <si>
    <t>SW Midstream Commercial Water Heating (Utility)</t>
  </si>
  <si>
    <t>SDGE_SW_FS</t>
  </si>
  <si>
    <t>SW Foodservice Point of Sale Program</t>
  </si>
  <si>
    <t>SDGE_SW_FS_PA</t>
  </si>
  <si>
    <t>SW Foodservice Point of Sale Program (Utility)</t>
  </si>
  <si>
    <t>SDGE_SW_UL</t>
  </si>
  <si>
    <t>SW Lighting Program</t>
  </si>
  <si>
    <t>SDGE_SW_UL_PA</t>
  </si>
  <si>
    <t>SW Lighting Program (Utility)</t>
  </si>
  <si>
    <t>SDGE_SW_HVAC_Up</t>
  </si>
  <si>
    <t>SW Upstream HVAC Program</t>
  </si>
  <si>
    <t>SDGE_SW_HVAC_Up_PA</t>
  </si>
  <si>
    <t>SW Upstream HVAC Program (Utility)</t>
  </si>
  <si>
    <t>SDGE_SW_PLA</t>
  </si>
  <si>
    <t>SW Plug Load and Appliances</t>
  </si>
  <si>
    <t>SDGE_SW_PLA_PA</t>
  </si>
  <si>
    <t>SW Plug Load and Appliances (Utility)</t>
  </si>
  <si>
    <t>SDGE_SW_WET_CC</t>
  </si>
  <si>
    <t>WET Career Connections</t>
  </si>
  <si>
    <t>SDGE_SW_WET_CC_PA</t>
  </si>
  <si>
    <t>WET Career Connections (Utility)</t>
  </si>
  <si>
    <t>SDGE_SW_WET_Work</t>
  </si>
  <si>
    <t>SW WE&amp;T Career &amp; Workforce Readiness (CWR)</t>
  </si>
  <si>
    <t>SDGE_SW_WET_Work_PA</t>
  </si>
  <si>
    <t>SW WE&amp;T Career &amp; Workforce Readiness (CWR) (Utility)</t>
  </si>
  <si>
    <t>SDGE_SW_WP</t>
  </si>
  <si>
    <t>SW Downstream Water/Wastewater Pumping Program</t>
  </si>
  <si>
    <t>SDGE_SW_WP_PA</t>
  </si>
  <si>
    <t>SW Downstream Water/Wastewater Pumping Program (Utility)</t>
  </si>
  <si>
    <t>SDGE_SW_HVAC_QIQM</t>
  </si>
  <si>
    <t>SW HVAC QI/QM Program</t>
  </si>
  <si>
    <t>SDGE_SW_HVAC_QIQM_PA</t>
  </si>
  <si>
    <t>SW HVAC QI/QM Program (Utility)</t>
  </si>
  <si>
    <t>SDGE_SW_ETP_Gas</t>
  </si>
  <si>
    <t>SW Emerging Technologies - Gas</t>
  </si>
  <si>
    <t>SDGE_SW_ETP_Gas_PA</t>
  </si>
  <si>
    <t>SW Emerging Technologies - Gas (Utility)</t>
  </si>
  <si>
    <t>SDGE_SW_NC_NonRes_Ag_electric</t>
  </si>
  <si>
    <t>SW New Construction Non Residential - Agricultural - All Electric</t>
  </si>
  <si>
    <t>SDGE_SW_NC_NonRes_Ag_electric_PA</t>
  </si>
  <si>
    <t>SW New Construction Non Residential - Agricultural - All Electric (Utility)</t>
  </si>
  <si>
    <t>SDGE_SW_NC_NonRes_Com_electric</t>
  </si>
  <si>
    <t>SW New Construction Non Residential - Commercial - All Electric</t>
  </si>
  <si>
    <t>SDGE_SW_NC_NonRes_Com_electric_PA</t>
  </si>
  <si>
    <t>SW New Construction Non Residential - Commercial - All Electric (Utility)</t>
  </si>
  <si>
    <t>SDGE_SW_NC_NonRes_Ind_electric</t>
  </si>
  <si>
    <t>SW New Construction Non Residential - Industrial - All Electric</t>
  </si>
  <si>
    <t>SDGE_SW_NC_NonRes_Ind_electric_PA</t>
  </si>
  <si>
    <t>SW New Construction Non Residential - Industrial - All Electric (Utility)</t>
  </si>
  <si>
    <t>SDGE_SW_NC_NonRes_Pub_electric</t>
  </si>
  <si>
    <t>SW New Construction Non Residential - Public - All Electric</t>
  </si>
  <si>
    <t>SDGE_SW_NC_NonRes_Pub_electric_PA</t>
  </si>
  <si>
    <t>SW New Construction Non Residential - Public - All Electric (Utility)</t>
  </si>
  <si>
    <t>SDGE_SW_NC_NonRes_Res_electric</t>
  </si>
  <si>
    <t>SW New Construction NonResidential - Residential - All Electric</t>
  </si>
  <si>
    <t>SDGE_SW_NC_NonRes_Res_electric_PA</t>
  </si>
  <si>
    <t>SW New Construction NonResidential - Residential - All Electric (Utility)</t>
  </si>
  <si>
    <t>SDGE_SW_NC_NonRes_Ag_mixed</t>
  </si>
  <si>
    <t>SW New Construction Non Residential - Agricultural - Mixed Fuel</t>
  </si>
  <si>
    <t>SDGE_SW_NC_NonRes_Ag_mixed_PA</t>
  </si>
  <si>
    <t>SW New Construction Non Residential - Agricultural - Mixed Fuel (Utility)</t>
  </si>
  <si>
    <t>SDGE_SW_NC_NonRes_Com_mixed</t>
  </si>
  <si>
    <t>SW New Construction Non Residential - Commercial - Mixed Fuel</t>
  </si>
  <si>
    <t>SDGE_SW_NC_NonRes_Com_mixed_PA</t>
  </si>
  <si>
    <t>SW New Construction Non Residential - Commercial - Mixed Fuel (Utility)</t>
  </si>
  <si>
    <t>SDGE_SW_NC_NonRes_Ind_mixed</t>
  </si>
  <si>
    <t>SW New Construction Non Residential - Industrial - Mixed Fuel</t>
  </si>
  <si>
    <t>SDGE_SW_NC_NonRes_Ind_mixed_PA</t>
  </si>
  <si>
    <t>SW New Construction Non Residential - Industrial - Mixed Fuel (Utility)</t>
  </si>
  <si>
    <t>SDGE_SW_NC_NonRes_Pub_mixed</t>
  </si>
  <si>
    <t>SW New Construction Non Residential - Public - Mixed Fuel</t>
  </si>
  <si>
    <t>SDGE_SW_NC_NonRes_Pub_mixed_PA</t>
  </si>
  <si>
    <t>SW New Construction Non Residential - Public - Mixed Fuel (Utility)</t>
  </si>
  <si>
    <t>SDGE_SW_NC_NonRes_Res_mixed</t>
  </si>
  <si>
    <t>SW New Construction NonResidential - Residential - Mixed Fuel</t>
  </si>
  <si>
    <t>SDGE_SW_NC_NonRes_Res_mixed_PA</t>
  </si>
  <si>
    <t>SW New Construction NonResidential - Residential - Mixed Fuel (Utility)</t>
  </si>
  <si>
    <t>SDGE_SW_NC_Res_electric</t>
  </si>
  <si>
    <t>SW New Construction Residential - All Electric</t>
  </si>
  <si>
    <t>SDGE_SW_NC_Res_electric_PA</t>
  </si>
  <si>
    <t>SW New Construction Residential - All Electric (Utility)</t>
  </si>
  <si>
    <t>SDGE_SW_NC_Res_mixed</t>
  </si>
  <si>
    <t>SW New Construction Residential - Mixed Fuel</t>
  </si>
  <si>
    <t>SDGE_SW_NC_Res_mixed_PA</t>
  </si>
  <si>
    <t>SW New Construction Residential - Mixed Fuel (Utility)</t>
  </si>
  <si>
    <t>SDGE3204</t>
  </si>
  <si>
    <t>SW-CALS-Plug Load and Appliances-POS Rebates</t>
  </si>
  <si>
    <t>SDGE3255</t>
  </si>
  <si>
    <t>SW-WE&amp;T-Connections</t>
  </si>
  <si>
    <t>SDGE3260</t>
  </si>
  <si>
    <t>Local-IDSM-ME&amp;O-Local Marketing (EE)</t>
  </si>
  <si>
    <t>SDGE3266</t>
  </si>
  <si>
    <t>LInstP-CA Department of Corrections Partnership</t>
  </si>
  <si>
    <t>SDGE3269</t>
  </si>
  <si>
    <t>LInstP-State of California /IOU</t>
  </si>
  <si>
    <t>SDGE3270</t>
  </si>
  <si>
    <t>LInstP-University of San Diego Partnership</t>
  </si>
  <si>
    <t>SDGE3272</t>
  </si>
  <si>
    <t>LGP- City of Chula Vista Partnership</t>
  </si>
  <si>
    <t>SDGE3273</t>
  </si>
  <si>
    <t>LGP- City of San Diego Partnership</t>
  </si>
  <si>
    <t>SDGE3274</t>
  </si>
  <si>
    <t>LGP- County of San Diego Partnership</t>
  </si>
  <si>
    <t>SDGE3275</t>
  </si>
  <si>
    <t>LGP- Port of San Diego Partnership</t>
  </si>
  <si>
    <t>SDGE3276</t>
  </si>
  <si>
    <t>LGP- SANDAG Partnership</t>
  </si>
  <si>
    <t>SDGE3278</t>
  </si>
  <si>
    <t>LGP- Emerging Cities Partnership</t>
  </si>
  <si>
    <t>SDGE4113</t>
  </si>
  <si>
    <t>SW CA Department of Corrections Partnership</t>
  </si>
  <si>
    <t>SDGE4114</t>
  </si>
  <si>
    <t>SW CA Department of Corrections Partnership (Utility)</t>
  </si>
  <si>
    <t>SDGE4115</t>
  </si>
  <si>
    <t>SW New Construction Non Residential</t>
  </si>
  <si>
    <t>SDGE4116</t>
  </si>
  <si>
    <t>SW New Construction Non Residential (Utility)</t>
  </si>
  <si>
    <t>SDGE4117</t>
  </si>
  <si>
    <t>SW New Construction Residential</t>
  </si>
  <si>
    <t>SDGE4118</t>
  </si>
  <si>
    <t>SW New Construction Residential (Utility)</t>
  </si>
  <si>
    <t>PA PROGRAM TOTAL</t>
  </si>
  <si>
    <r>
      <t xml:space="preserve">EM&amp;V (PA &amp; ED Portions) Total </t>
    </r>
    <r>
      <rPr>
        <b/>
        <vertAlign val="superscript"/>
        <sz val="10"/>
        <rFont val="Arial"/>
        <family val="2"/>
      </rPr>
      <t>5</t>
    </r>
  </si>
  <si>
    <t>SDGE3281</t>
  </si>
  <si>
    <t>EM&amp;V - PA</t>
  </si>
  <si>
    <t>EM&amp;V - ED</t>
  </si>
  <si>
    <t>EM&amp;V TOTAL</t>
  </si>
  <si>
    <t>PA Program and EM&amp;V Total</t>
  </si>
  <si>
    <t>CEC AB 841 Program Budget--IOU PA only</t>
  </si>
  <si>
    <r>
      <t xml:space="preserve">Applicable Annual % of difference between funding limitation &amp; 2020 EE ABAL budget </t>
    </r>
    <r>
      <rPr>
        <vertAlign val="superscript"/>
        <sz val="11"/>
        <rFont val="Calibri"/>
        <family val="2"/>
        <scheme val="minor"/>
      </rPr>
      <t>3</t>
    </r>
  </si>
  <si>
    <t xml:space="preserve">IOU 2020 and Beyond Uncommitted and Unspent Carryover Balance </t>
  </si>
  <si>
    <t>CEC AB 841 Total</t>
  </si>
  <si>
    <r>
      <t>Financing Pilot</t>
    </r>
    <r>
      <rPr>
        <b/>
        <vertAlign val="superscript"/>
        <sz val="10"/>
        <rFont val="Arial"/>
        <family val="2"/>
      </rPr>
      <t>2</t>
    </r>
    <r>
      <rPr>
        <b/>
        <sz val="10"/>
        <rFont val="Arial"/>
        <family val="2"/>
      </rPr>
      <t xml:space="preserve"> Programs </t>
    </r>
  </si>
  <si>
    <t>SW-FIN-New Finance Offerings</t>
  </si>
  <si>
    <t>Finance Pilot ME&amp;O OBR</t>
  </si>
  <si>
    <t>OBR Information Systems Activities</t>
  </si>
  <si>
    <t>SW-FIN-Finance Pilots - SDG&amp;E Administration</t>
  </si>
  <si>
    <t>3325B</t>
  </si>
  <si>
    <t>SW-FIN-Finance Pilots Credit Enhancement</t>
  </si>
  <si>
    <t>Financing Pilot Programs Total</t>
  </si>
  <si>
    <t>ME&amp;O &amp; ESA</t>
  </si>
  <si>
    <r>
      <t>ME&amp;O</t>
    </r>
    <r>
      <rPr>
        <vertAlign val="superscript"/>
        <sz val="10"/>
        <rFont val="Arial"/>
        <family val="2"/>
      </rPr>
      <t>1</t>
    </r>
  </si>
  <si>
    <r>
      <t>ESA</t>
    </r>
    <r>
      <rPr>
        <vertAlign val="superscript"/>
        <sz val="10"/>
        <rFont val="Arial"/>
        <family val="2"/>
      </rPr>
      <t>4</t>
    </r>
  </si>
  <si>
    <t>Notes: (PA to add as needed, e.g., relevant advice letter references, decision references and any other needed explanations.)</t>
  </si>
  <si>
    <t>1. ME&amp;O requested budget for 2021 per AL 3498-E/3835-G.  2021 was the final year of SW ME&amp;O.</t>
  </si>
  <si>
    <t>2. Additional program budgets were authorized via D.21-08-006 and will be funded through incremental ratepayer funding via the Public Purpose Program charge.</t>
  </si>
  <si>
    <t>3. Per D.21-01-004, percentage allocation is 70% for 2022 and 60% for 2023.  For SDG&amp;E, the base for calculation is $116,456,311 minus 2020 PY EE Budget of $81,485,692.</t>
  </si>
  <si>
    <t>4 ESA 2021 budget as requested in Decision D.21-06-015 ATT 1, Table 11.</t>
  </si>
  <si>
    <t xml:space="preserve">5. For all PAs, EM&amp;V costs only includes IOU's Total EM&amp;V budget (PA + ED).  For the IOU EM&amp;V budget it does not include REN or CCAs EM&amp;V budget. </t>
  </si>
  <si>
    <t>6. PAs have the option of inputting by program or by total</t>
  </si>
  <si>
    <t>7. The forecasted Unspent/Uncommitted funds for Program Year 2021 are $40,413,351.</t>
  </si>
  <si>
    <t xml:space="preserve">Table 4.1– 2022- 2023 Program Changes </t>
  </si>
  <si>
    <t>(report budgets to the $--do not round; add rows as needed)</t>
  </si>
  <si>
    <t>PA Justification</t>
  </si>
  <si>
    <t>Third Party Implementer or Core</t>
  </si>
  <si>
    <t>Statewide or Local</t>
  </si>
  <si>
    <t>Programs to be Closed with the Disposition of 2022-2023 ABAL</t>
  </si>
  <si>
    <t>% change</t>
  </si>
  <si>
    <t>2020 Claimed TRC</t>
  </si>
  <si>
    <t>2021 (Q2) Claimed TRC</t>
  </si>
  <si>
    <t>2022 Filed TRC</t>
  </si>
  <si>
    <t>2023 Filed TRC</t>
  </si>
  <si>
    <t>2021 Budget</t>
  </si>
  <si>
    <t>Year Program Started</t>
  </si>
  <si>
    <t>For existing third party implemented programs, MM/YY Program was due to sunset prior to PY 2022-2023 ABAL planning and new 3P contracting</t>
  </si>
  <si>
    <t>For existing third party implemented programs, MM/YY Program is extended to as a result of PY 2022-2023 ABAL planning and timing for new 3P contracts' ramp up</t>
  </si>
  <si>
    <t>This program will be replaced by new 3P that is serving this sector.</t>
  </si>
  <si>
    <t>Core</t>
  </si>
  <si>
    <t>Local</t>
  </si>
  <si>
    <t xml:space="preserve">SDGE3260 - Local-IDSM-ME&amp;O-Local Marketing (EE) </t>
  </si>
  <si>
    <t>NA</t>
  </si>
  <si>
    <t>12/21</t>
  </si>
  <si>
    <t>The program will be replace by a new SW program that serves this sector</t>
  </si>
  <si>
    <t>Statewise</t>
  </si>
  <si>
    <t>SDGE3255 - SW-WE&amp;T - Connections</t>
  </si>
  <si>
    <t>Statewide</t>
  </si>
  <si>
    <t>SDGE3266 -LInstP-CA Department of Corrections Partnership</t>
  </si>
  <si>
    <t xml:space="preserve">SDGE3269 - LInstP-State of California/IOU </t>
  </si>
  <si>
    <t>SDGE3204 - SW-CALS-Plug Load and Appliances-POS Rebates</t>
  </si>
  <si>
    <t xml:space="preserve">SDGE3217 - Comprehensive Audit Program (CAP) </t>
  </si>
  <si>
    <t>12/22</t>
  </si>
  <si>
    <t xml:space="preserve">SDGE3220 - SW-COM-Calculated Incentives (EEBI) </t>
  </si>
  <si>
    <t xml:space="preserve">SDGE3223 - SW-COM-Deemed Incentives (EEBR) </t>
  </si>
  <si>
    <t xml:space="preserve">SDGE3226 - SW-COM Direct Install (BES) </t>
  </si>
  <si>
    <t xml:space="preserve">SDGE3229 - Comprehensive Audit Program - Ind (CAP) </t>
  </si>
  <si>
    <t>9/22</t>
  </si>
  <si>
    <t xml:space="preserve">SDGE3231 - SW-IND – Calculated Incentives – Calc (EEBI) </t>
  </si>
  <si>
    <t xml:space="preserve">SDGE3233 - SW-IND-Deemed Incentives (EEBR) </t>
  </si>
  <si>
    <t xml:space="preserve">SDGE3236 - Comprehensive Audit Program - Ag (CAP) </t>
  </si>
  <si>
    <t xml:space="preserve">SDGE3237 - SW-Ag – Calculated Incentives – Calc (EEBI) </t>
  </si>
  <si>
    <t xml:space="preserve">SDGE3239 - SW-Ag-Deemed Incentives (EEBR) </t>
  </si>
  <si>
    <t xml:space="preserve">SDGE3322 - Streamline Ag Efficiency </t>
  </si>
  <si>
    <t xml:space="preserve">SDGE3227 - SW-IND-Strategic Energy Management </t>
  </si>
  <si>
    <t xml:space="preserve">SDGE3261 - Local-IDSM-ME&amp;O-Behavioral Programs (EE) </t>
  </si>
  <si>
    <t xml:space="preserve">SDGE3267 - LInstP-California Community College Partnerships </t>
  </si>
  <si>
    <t xml:space="preserve">SDGE3268 - LInstP-UC/CSU/IOU Partnership </t>
  </si>
  <si>
    <t>Programs to be Closed with the completion of Commitments</t>
  </si>
  <si>
    <t>N/A - none</t>
  </si>
  <si>
    <t>PA justification</t>
  </si>
  <si>
    <t>Third party implementer or Core</t>
  </si>
  <si>
    <t>Programs with reduced budgets (&gt;40% budget decrease)</t>
  </si>
  <si>
    <t>Year program started</t>
  </si>
  <si>
    <t>For existing third party implemented programs, MM/YY Program is extended to as a result of PY 2022-2023 ABAL planning and timing for new 3P contracts ramp up , or mark "NEW 3P" program if program is result of  3P solicitation process per D1801004.</t>
  </si>
  <si>
    <t>Program will only be serving some public sector customers during 2022</t>
  </si>
  <si>
    <t>SDGE3220 - SW-COM-Calculated Incentives-Calculated</t>
  </si>
  <si>
    <t>Program is no longer actively accepting new applications and will be closing out open projects.</t>
  </si>
  <si>
    <t>SDGE3222 - SW-COM-Calculated Incentives-Savings by Design</t>
  </si>
  <si>
    <t>6/24</t>
  </si>
  <si>
    <t>12/24</t>
  </si>
  <si>
    <t>SDGE3223 - SW-COM-Deemed Incentives-Commercial Rebates</t>
  </si>
  <si>
    <t>SDGE3226 - SW-COM Direct Install</t>
  </si>
  <si>
    <t>Program will be closing down for SW program (currently closing active projects)</t>
  </si>
  <si>
    <t>SDGE3246 - SW-ET-Technology Introduction Support</t>
  </si>
  <si>
    <t>SDGE3248 - SW-ET-Technology Deployment Support</t>
  </si>
  <si>
    <t>Program is not accepting new application and closing out projects</t>
  </si>
  <si>
    <t>SDGE3317 - HOPPs - Building Retro-Commissioning</t>
  </si>
  <si>
    <t>Program was targeted to be operational in 2021, however the solicitation was not able to finalize and SDG&amp;E had to restart the solicitation.  It is now targeted to be running for a partial year in 2022.</t>
  </si>
  <si>
    <t>SDGE4001 - Single Family Program</t>
  </si>
  <si>
    <t>SDGE3247 - SW-ET-Technology Assessment Support - 2023</t>
  </si>
  <si>
    <t xml:space="preserve">Program ran for a part of the 2021 year and a full year in 2022 </t>
  </si>
  <si>
    <t>Third-Party Implementer</t>
  </si>
  <si>
    <t>SDGE_SW_HVAC_Up_PA - SW Upstream HVAC Program (Utility)</t>
  </si>
  <si>
    <t>Program targeted to run a part of the 2021 year and a full year in 2022</t>
  </si>
  <si>
    <t>SDGE_SW_PLA - SW Plug Load and Appliances</t>
  </si>
  <si>
    <t>SDGE_SW_PLA_PA - SW Plug Load and Appliances (Utility)</t>
  </si>
  <si>
    <t xml:space="preserve">Increased local activities and initiatives required to align with and support the Statewide Codes and Standards Advocacy programs administration through developing and providing local code compliance trainings, resources and tools.  </t>
  </si>
  <si>
    <t>SDGE3251 - SW C&amp;S - Compliance Enhancement</t>
  </si>
  <si>
    <t>SDGE4011 - K-12 Customer Services Program</t>
  </si>
  <si>
    <t>SDGE4012 - Federal Customer Services Program</t>
  </si>
  <si>
    <t xml:space="preserve">Additional support required for the expanded advocacy activities and scope under the Statewide Codes and Standards Advocacy programs at the state level administration.  </t>
  </si>
  <si>
    <t>SDGE_SW_CSA_Appl_PA - SW Codes &amp; Standards Advocacy - State Appliance Standards (Utility) - 2023</t>
  </si>
  <si>
    <t>Additional support required for the expanded advocacy activities and scope under the Statewide Codes and Standards Advocacy programs at the national level administration.</t>
  </si>
  <si>
    <t>SDGE_SW_CSA_Natl_PA - SW Codes &amp; Standards Advocacy - National Codes &amp; Standards Advocacy (Utility) - 2023</t>
  </si>
  <si>
    <t>Program runs for part of the year in 2022 and a full year in 2023</t>
  </si>
  <si>
    <t>SDGE4001 - Single Family Program - 2023</t>
  </si>
  <si>
    <t>MM/YY program to start</t>
  </si>
  <si>
    <t>MM/YY Program is due to sunset; and flag as "NEW 3P" program if program is result of  3P solicitation process per D1801004</t>
  </si>
  <si>
    <t>For existing third party implemented programs, MM/YY Program is extended to as a result of PY 2022-2023 ABAL planning and timing for new 3P contracts ramp up , or mark "NEW 3P" program if program is result of  3P solicitation process per D1801004</t>
  </si>
  <si>
    <t>Solicitation is expected to finalize</t>
  </si>
  <si>
    <t>SDGE4001 -Single Family Program</t>
  </si>
  <si>
    <t>SDGE4010 - Local Government Program</t>
  </si>
  <si>
    <t>SDGE4009 - Agriculture Program</t>
  </si>
  <si>
    <t>SDGE4040 - Residential Behavioral Program</t>
  </si>
  <si>
    <t>SDGE4006 - Industrial Program</t>
  </si>
  <si>
    <t>SDGE4007 - Industrial Port Tenants Program</t>
  </si>
  <si>
    <t>SDGE_SW_HVAC_QIQM - SW Residential HVAC QIQM Pilot Program</t>
  </si>
  <si>
    <t>SDGE_SW_HVAC_QIQM_PA - SW Residential HVAC QIQM Pilot Program (Utility)</t>
  </si>
  <si>
    <t>Table 5 - Committed Energy Efficiency Program Funding - Funds Not Yet Spent as of 7/31/2021</t>
  </si>
  <si>
    <t xml:space="preserve">Accrued funds not yet spent </t>
  </si>
  <si>
    <t>Electric Procurement Funds</t>
  </si>
  <si>
    <t>Category</t>
  </si>
  <si>
    <t>Total*</t>
  </si>
  <si>
    <t>2017 and Prior to date EM&amp;V Funds</t>
  </si>
  <si>
    <t>2017 and Prior to date Program Funds - Utility</t>
  </si>
  <si>
    <t>2017 and Prior to date Program Funds - REN</t>
  </si>
  <si>
    <t>2017 and Prior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</si>
  <si>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</si>
  <si>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</si>
  <si>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</si>
  <si>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</si>
  <si>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</si>
  <si>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</si>
  <si>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</si>
  <si>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</si>
  <si>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</si>
  <si>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</si>
  <si>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</si>
  <si>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</si>
  <si>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</si>
  <si>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</si>
  <si>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</si>
  <si>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</si>
  <si>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Includes year-to-date July 2021 commitment cancellations.</t>
  </si>
  <si>
    <t>Table 6 - Statewide Programs</t>
  </si>
  <si>
    <t>(Col D)*(IOU 'Electric Proportional Share' from INPUT TABLE) +
[(1-Col D)*(IOU 'Gas Proportional Share' from INPUT TABLE)]</t>
  </si>
  <si>
    <t>Col D</t>
  </si>
  <si>
    <t>Col E</t>
  </si>
  <si>
    <t>Col F</t>
  </si>
  <si>
    <t>Col G</t>
  </si>
  <si>
    <t>Col H</t>
  </si>
  <si>
    <t xml:space="preserve">Statewide Program* </t>
  </si>
  <si>
    <t>Lead IOU</t>
  </si>
  <si>
    <r>
      <t xml:space="preserve">2020 Program Contract Budget
</t>
    </r>
    <r>
      <rPr>
        <b/>
        <sz val="10"/>
        <rFont val="Calibri"/>
        <family val="2"/>
        <scheme val="minor"/>
      </rPr>
      <t>(Total for all IOUs)**</t>
    </r>
  </si>
  <si>
    <r>
      <t xml:space="preserve">2021 Program Contract Budget
</t>
    </r>
    <r>
      <rPr>
        <b/>
        <sz val="10"/>
        <rFont val="Calibri"/>
        <family val="2"/>
        <scheme val="minor"/>
      </rPr>
      <t>(Total for all IOUs)**</t>
    </r>
  </si>
  <si>
    <r>
      <t xml:space="preserve">2022 Program Contract Budget
</t>
    </r>
    <r>
      <rPr>
        <b/>
        <sz val="10"/>
        <rFont val="Calibri"/>
        <family val="2"/>
        <scheme val="minor"/>
      </rPr>
      <t>(Total for all IOUs)**</t>
    </r>
  </si>
  <si>
    <r>
      <t xml:space="preserve">2023 Program Contract Budget
</t>
    </r>
    <r>
      <rPr>
        <b/>
        <sz val="10"/>
        <rFont val="Calibri"/>
        <family val="2"/>
        <scheme val="minor"/>
      </rPr>
      <t>(Total for all IOUs)**</t>
    </r>
  </si>
  <si>
    <r>
      <t xml:space="preserve">Expected or Actual Contract Execution Launch Date
</t>
    </r>
    <r>
      <rPr>
        <b/>
        <sz val="10"/>
        <rFont val="Calibri"/>
        <family val="2"/>
        <scheme val="minor"/>
      </rPr>
      <t>(MM/YYYY)***</t>
    </r>
  </si>
  <si>
    <t>Percent Electric</t>
  </si>
  <si>
    <r>
      <t xml:space="preserve">Combined (Electric &amp; Gas) Proportional Contribution to Contract Cost per Load-Share
</t>
    </r>
    <r>
      <rPr>
        <sz val="11"/>
        <rFont val="Calibri"/>
        <family val="2"/>
        <scheme val="minor"/>
      </rPr>
      <t>(Either as reflected in co-funding agreement, or expected in co-funding agreement. Funding share may be within +/-20% of Target per formula in row 1 above)</t>
    </r>
  </si>
  <si>
    <t>2020 Program Contract Expenditures by IOU**</t>
  </si>
  <si>
    <t>2020 IOU Administrative Expenditures^</t>
  </si>
  <si>
    <t>2021 Total Program Contract Expenditures, as Reported by Lead IOU** (YTD as of July 31, 2021)</t>
  </si>
  <si>
    <t>2021 IOU Administrative Expenditures (YTD as of July 31, 2021)^</t>
  </si>
  <si>
    <t>2022 IOU Administrative Budgets^</t>
  </si>
  <si>
    <t>2023 IOU Administrative Budgets^</t>
  </si>
  <si>
    <t>PG&amp;E</t>
  </si>
  <si>
    <t>SDG&amp;E</t>
  </si>
  <si>
    <t>SCE</t>
  </si>
  <si>
    <t>SCG</t>
  </si>
  <si>
    <t>2021 Total Contract Expenditures</t>
  </si>
  <si>
    <t xml:space="preserve">Workforce education, and training:  Career and workforce readiness </t>
  </si>
  <si>
    <t>Res New Construction (all electric)</t>
  </si>
  <si>
    <t>Res New Construction (mixed fuel)</t>
  </si>
  <si>
    <t>NonRes New Construction (all electric)</t>
  </si>
  <si>
    <t>NonRes New Construction (mixed fuel)</t>
  </si>
  <si>
    <t>Codes and Standards Advocacy (Appl)</t>
  </si>
  <si>
    <t>Codes and Standards Advocacy (Bldg)</t>
  </si>
  <si>
    <t>Codes and Standards Advocacy (Natl)</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</si>
  <si>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</si>
  <si>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</si>
  <si>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</si>
  <si>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</si>
  <si>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</si>
  <si>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</si>
  <si>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</si>
  <si>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</si>
  <si>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</si>
  <si>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</si>
  <si>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</si>
  <si>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</si>
  <si>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Total</t>
  </si>
  <si>
    <t xml:space="preserve">*Modify rows as needed to reflect consolidation or division of a program category per solicitation approach or contracts. Ultimately there should be one line per executed 3P contract. </t>
  </si>
  <si>
    <r>
      <t xml:space="preserve">**The contract budget or signed contract amount </t>
    </r>
    <r>
      <rPr>
        <b/>
        <sz val="12"/>
        <rFont val="Calibri"/>
        <family val="2"/>
        <scheme val="minor"/>
      </rPr>
      <t>for a given year</t>
    </r>
    <r>
      <rPr>
        <sz val="12"/>
        <rFont val="Calibri"/>
        <family val="2"/>
        <scheme val="minor"/>
      </rPr>
      <t xml:space="preserve"> accounts for the anticipated launch date of the program. </t>
    </r>
    <r>
      <rPr>
        <b/>
        <sz val="12"/>
        <rFont val="Calibri"/>
        <family val="2"/>
        <scheme val="minor"/>
      </rPr>
      <t>Program contract budgets reflect third party implementation contract values and expenditures.</t>
    </r>
  </si>
  <si>
    <t>^ Administrative budgets for statewide programs are IOU specific and are filed under separate program IDs. They include all non-contract program expenditures which cover coordination, support and management.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</si>
  <si>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</si>
  <si>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</si>
  <si>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</si>
  <si>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</si>
  <si>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</si>
  <si>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</si>
  <si>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</si>
  <si>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</si>
  <si>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</si>
  <si>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</si>
  <si>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</si>
  <si>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</si>
  <si>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</si>
  <si>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</si>
  <si>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</si>
  <si>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</si>
  <si>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</si>
  <si>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Table 7 - PA Program Year Budget Savings</t>
  </si>
  <si>
    <t>FORECAST ENERGY SAVINGS (Net)</t>
  </si>
  <si>
    <t>Line</t>
  </si>
  <si>
    <t>Sector</t>
  </si>
  <si>
    <t>Program Year (PY) 2022 Budget</t>
  </si>
  <si>
    <t>PA forecast kWh</t>
  </si>
  <si>
    <t>PA forecast kW</t>
  </si>
  <si>
    <t>PA forecast therms (MM)</t>
  </si>
  <si>
    <t>PA Forecast Elec CO2</t>
  </si>
  <si>
    <t>PA Forecast GasCO2</t>
  </si>
  <si>
    <t>Program Year (PY) 2023 Budget</t>
  </si>
  <si>
    <t>Row Notes--Delete for Final Submittal</t>
  </si>
  <si>
    <t>Resource Acquisition Program Segment</t>
  </si>
  <si>
    <t xml:space="preserve">DO NOT CHANGE ANYTHING ON THE TABLE TO ALLOW ED TO MATCH ALL ENTIRES ON </t>
  </si>
  <si>
    <t>THE TABLES ACROSS ALL PAs.</t>
  </si>
  <si>
    <t>PA Subtotal (does not include ESA budget and savings)</t>
  </si>
  <si>
    <t>Do not include ESA budget</t>
  </si>
  <si>
    <t>Resource Acquisition Forecasted Total System Benefit (TSB)</t>
  </si>
  <si>
    <t>Informational Only for 2022-2023 (D.21-05-031, p.53)</t>
  </si>
  <si>
    <t>Resource Acquisition Forecasted Total Resource Cost (TRC)</t>
  </si>
  <si>
    <t>Cost-effectiveness ratios shall also be calculated on only the resource acquisition portion of the portfolio, and must exceed 1.0 on a forecast basis. (D.21-05-031, p.22 &amp; 53)</t>
  </si>
  <si>
    <t>Portfolio Forecasted Portfolio Administrator Cost (PAC)</t>
  </si>
  <si>
    <t>Market Support Program Segment</t>
  </si>
  <si>
    <t>Portfolio Forecasted Total Resource Cost (TRC)</t>
  </si>
  <si>
    <t>Cost-effectiveness ratios shall also be calculated on only the resource acquisition portion of the portfolio, and must exceed 1.0 on a forecast basis. (D.21-05-031, p.22)</t>
  </si>
  <si>
    <t>Equity Program Segment</t>
  </si>
  <si>
    <t>Portfolio</t>
  </si>
  <si>
    <t>CPUC Savings Goal ( w/o C&amp;S)</t>
  </si>
  <si>
    <t>Forecast savings as % of CPUC Savings Goal (w/o C&amp;S)</t>
  </si>
  <si>
    <r>
      <t xml:space="preserve">Total EM&amp;V </t>
    </r>
    <r>
      <rPr>
        <b/>
        <vertAlign val="superscript"/>
        <sz val="11"/>
        <rFont val="Calibri"/>
        <family val="2"/>
        <scheme val="minor"/>
      </rPr>
      <t>7</t>
    </r>
    <r>
      <rPr>
        <b/>
        <sz val="11"/>
        <rFont val="Calibri"/>
        <family val="2"/>
        <scheme val="minor"/>
      </rPr>
      <t xml:space="preserve"> </t>
    </r>
  </si>
  <si>
    <t>This is 4% of PA PY Spending Budget Request  Row 9. (D.21-05-031, p.53)</t>
  </si>
  <si>
    <t>7a</t>
  </si>
  <si>
    <t>PA EM&amp;V</t>
  </si>
  <si>
    <t>Pulls from Table 4, EM&amp;V - PA section</t>
  </si>
  <si>
    <t>7b</t>
  </si>
  <si>
    <t>ED EM&amp;V</t>
  </si>
  <si>
    <t>Portfolio Forecasted Total System Benefit (TSB)</t>
  </si>
  <si>
    <t>Cost-effectiveness ratios shall also be calculated on only the resource acquisition portion of the portfolio, and must exceed 1.0 on a forecast basis. (D.21-05-031, p.53 and COL 8 [TRC])</t>
  </si>
  <si>
    <t>Portfolio Forecasted Ratepayer Impact Measure (RIM)</t>
  </si>
  <si>
    <r>
      <t>PA Spending Budget Request</t>
    </r>
    <r>
      <rPr>
        <b/>
        <vertAlign val="superscript"/>
        <sz val="11"/>
        <rFont val="Calibri"/>
        <family val="2"/>
        <scheme val="minor"/>
      </rPr>
      <t>1</t>
    </r>
  </si>
  <si>
    <t>Line 4 + Line 7 + Line 8</t>
  </si>
  <si>
    <r>
      <t>(LESS) PA Pre-2020 Uncommitted and Unspent Carryover  Balance</t>
    </r>
    <r>
      <rPr>
        <b/>
        <vertAlign val="superscript"/>
        <sz val="11"/>
        <rFont val="Calibri"/>
        <family val="2"/>
        <scheme val="minor"/>
      </rPr>
      <t>2</t>
    </r>
  </si>
  <si>
    <t>Applies only to pre-2020 uncommitted &amp; unspent funds consistent with D.21-01-004.</t>
  </si>
  <si>
    <r>
      <t xml:space="preserve">CEC AB 841 Program Funding </t>
    </r>
    <r>
      <rPr>
        <b/>
        <vertAlign val="superscript"/>
        <sz val="11"/>
        <color rgb="FFFF0000"/>
        <rFont val="Calibri"/>
        <family val="2"/>
        <scheme val="minor"/>
      </rPr>
      <t>3</t>
    </r>
  </si>
  <si>
    <t>Applies only to the IOUs</t>
  </si>
  <si>
    <t>Applicable percentage (70%) of difference between funding limitation and 2020 budget</t>
  </si>
  <si>
    <t>See D.21-01-004 Table 2(2022) or Table 3(2023)</t>
  </si>
  <si>
    <r>
      <t xml:space="preserve">PA 2020 and Beyond Uncommitted and Unspent Carryover  Balance </t>
    </r>
    <r>
      <rPr>
        <vertAlign val="superscript"/>
        <sz val="11"/>
        <color rgb="FFFF0000"/>
        <rFont val="Calibri"/>
        <family val="2"/>
        <scheme val="minor"/>
      </rPr>
      <t>4</t>
    </r>
  </si>
  <si>
    <t>CEC AB 841 Total  Program Funding</t>
  </si>
  <si>
    <t>Line 12 + Line 13</t>
  </si>
  <si>
    <r>
      <t xml:space="preserve">PA Revenue Requirement Request (Cost Recovery) </t>
    </r>
    <r>
      <rPr>
        <b/>
        <vertAlign val="superscript"/>
        <sz val="11"/>
        <rFont val="Calibri"/>
        <family val="2"/>
        <scheme val="minor"/>
      </rPr>
      <t>5</t>
    </r>
  </si>
  <si>
    <t>Line 9 - Line 10 + Line 12</t>
  </si>
  <si>
    <t>% of Equity and Market Support Program Budgets to PA Spending Budget Request (not to Exceed 30%)</t>
  </si>
  <si>
    <t>Decision 21-05-031, COL 9</t>
  </si>
  <si>
    <t>PA Authorized Budget Cap (D.18-05-041)</t>
  </si>
  <si>
    <t>As approved by D.18-05-041 and requested in BP application.</t>
  </si>
  <si>
    <t>For CCA &amp; RENS in IOU Service Territory Only--(IOU PA Only to complete)</t>
  </si>
  <si>
    <t>For IOU use only.  CCAs and RENs should only be for the portion that belongs to that specific IOU. Information Source are RENs.</t>
  </si>
  <si>
    <t>REN  Budget Recovery Request</t>
  </si>
  <si>
    <t>Sum of all RENs.  If there are new RENS, they will be added to the list. All IOUs will report the same list.</t>
  </si>
  <si>
    <t>21a</t>
  </si>
  <si>
    <t xml:space="preserve">   BayREN  PY Budget Recovery Request  (excl. REN Uncommitted/Unspent Carryover)</t>
  </si>
  <si>
    <t>If not applicable put $0</t>
  </si>
  <si>
    <t>21b</t>
  </si>
  <si>
    <t xml:space="preserve">   SoCal REN  PY Budget Recovery Request  (excl. REN Uncommitted/Unspent Carryover)</t>
  </si>
  <si>
    <t>21c</t>
  </si>
  <si>
    <t xml:space="preserve">   3CREN  PY Budget Recovery Request  (excl. REN Uncommitted/Unspent Carryover)</t>
  </si>
  <si>
    <t>21d</t>
  </si>
  <si>
    <t xml:space="preserve">   RCEA  PY Budget Recovery Request  (excl. REN Uncommitted/Unspent Carryover)</t>
  </si>
  <si>
    <t>CCA  Budget Recovery Request</t>
  </si>
  <si>
    <t>For IOU use only.  CCAs and RENs should only be for the portion that belongs to that specific IOU. Information Source are  CCAs.</t>
  </si>
  <si>
    <t>22a</t>
  </si>
  <si>
    <t xml:space="preserve">   MCE  PY Budget Recovery Request  (excl. REN Uncommitted/Unspent Carryover)</t>
  </si>
  <si>
    <t>22b</t>
  </si>
  <si>
    <t xml:space="preserve">   Lancaster  PY Budget Recovery Request  (excl. REN Uncommitted/Unspent Carryover)</t>
  </si>
  <si>
    <t xml:space="preserve">   Redwood Coast Energy Authority (excl. REN Uncommitted/Unspent Carryover)</t>
  </si>
  <si>
    <t xml:space="preserve">   San Jose Clean Energy (excl. REN Uncommitted/Unspent Carryover)</t>
  </si>
  <si>
    <r>
      <t>Total PA  (IOU+CCAs+RENs ) Recovery Budget</t>
    </r>
    <r>
      <rPr>
        <b/>
        <vertAlign val="superscript"/>
        <sz val="11"/>
        <rFont val="Calibri"/>
        <family val="2"/>
        <scheme val="minor"/>
      </rPr>
      <t>6</t>
    </r>
  </si>
  <si>
    <t>Total amount to be requested in IOU's PPP advice letter for their programs, RENs and CCAs in their service territory, Line 15+ Line 21 + Line 22.  For RENS &amp; CCAs, this should equal line 15.</t>
  </si>
  <si>
    <r>
      <rPr>
        <b/>
        <vertAlign val="superscript"/>
        <sz val="11"/>
        <color theme="1"/>
        <rFont val="Calibri"/>
        <family val="2"/>
        <scheme val="minor"/>
      </rPr>
      <t xml:space="preserve">1 </t>
    </r>
    <r>
      <rPr>
        <b/>
        <sz val="11"/>
        <color theme="1"/>
        <rFont val="Calibri"/>
        <family val="2"/>
        <scheme val="minor"/>
      </rPr>
      <t>This is the IOU's requested EE Portfolio budget.  This is the budget  by which the  Statewide Program compliance budget requirement of 25% will be measured.</t>
    </r>
  </si>
  <si>
    <r>
      <rPr>
        <b/>
        <vertAlign val="superscript"/>
        <sz val="11"/>
        <color theme="1"/>
        <rFont val="Calibri"/>
        <family val="2"/>
        <scheme val="minor"/>
      </rPr>
      <t xml:space="preserve">2 </t>
    </r>
    <r>
      <rPr>
        <b/>
        <sz val="11"/>
        <color theme="1"/>
        <rFont val="Calibri"/>
        <family val="2"/>
        <scheme val="minor"/>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</si>
  <si>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family val="2"/>
        <scheme val="minor"/>
      </rPr>
      <t>3</t>
    </r>
    <r>
      <rPr>
        <b/>
        <sz val="11"/>
        <color theme="1"/>
        <rFont val="Calibri"/>
        <family val="2"/>
        <scheme val="minor"/>
      </rPr>
      <t xml:space="preserve"> See D.21-01-004 Tables 2 (2022) and 3 (2022)</t>
    </r>
  </si>
  <si>
    <r>
      <rPr>
        <b/>
        <vertAlign val="superscript"/>
        <sz val="11"/>
        <color theme="1"/>
        <rFont val="Calibri"/>
        <family val="2"/>
        <scheme val="minor"/>
      </rPr>
      <t>4</t>
    </r>
    <r>
      <rPr>
        <b/>
        <sz val="11"/>
        <color theme="1"/>
        <rFont val="Calibri"/>
        <family val="2"/>
        <scheme val="minor"/>
      </rPr>
      <t xml:space="preserve"> Because each ABAL is filed in Q3, this unspent uncommitted amount will be an estimate for the year in which the ABAL is filed. </t>
    </r>
  </si>
  <si>
    <r>
      <rPr>
        <b/>
        <vertAlign val="superscript"/>
        <sz val="11"/>
        <color theme="1"/>
        <rFont val="Calibri"/>
        <family val="2"/>
        <scheme val="minor"/>
      </rPr>
      <t xml:space="preserve">5 </t>
    </r>
    <r>
      <rPr>
        <b/>
        <sz val="11"/>
        <color theme="1"/>
        <rFont val="Calibri"/>
        <family val="2"/>
        <scheme val="minor"/>
      </rPr>
      <t>The amount of funds to be collected (cost recovery) for the PA EE Program Year = Line 9 - Line 10 + Line 12</t>
    </r>
  </si>
  <si>
    <r>
      <rPr>
        <b/>
        <vertAlign val="superscript"/>
        <sz val="11"/>
        <color theme="1"/>
        <rFont val="Calibri"/>
        <family val="2"/>
        <scheme val="minor"/>
      </rPr>
      <t xml:space="preserve">6 </t>
    </r>
    <r>
      <rPr>
        <b/>
        <sz val="11"/>
        <color theme="1"/>
        <rFont val="Calibri"/>
        <family val="2"/>
        <scheme val="minor"/>
      </rPr>
      <t>Total amount to be requested in IOU's PPP advice letter for their programs, RENs and CCAs in their service territory, Line 15+ Line 21 + Line 22</t>
    </r>
  </si>
  <si>
    <r>
      <rPr>
        <b/>
        <vertAlign val="superscript"/>
        <sz val="11"/>
        <color theme="1"/>
        <rFont val="Calibri"/>
        <family val="2"/>
        <scheme val="minor"/>
      </rPr>
      <t xml:space="preserve">7 </t>
    </r>
    <r>
      <rPr>
        <b/>
        <sz val="11"/>
        <color theme="1"/>
        <rFont val="Calibri"/>
        <family val="2"/>
        <scheme val="minor"/>
      </rPr>
      <t>For IOUs, EM&amp;V costs only includes IOU's Total EM&amp;V budget (PA + ED) and does not include REN or CCAs EM&amp;V budget. For RENs &amp; CCAs, include EM&amp;V-PA Budget and EM&amp;V-ED = $0 .</t>
    </r>
  </si>
  <si>
    <t>https://sempra.sharepoint.com/teams/sdgecp/FinancialBusinessAnalys/Team Documents/EE (Reg-10-14)/2022/2022-2023 ABAL/[ABAL Attachment A Template-Working Copy_2021_Oct 22.xlsx]8 Cap &amp; Target</t>
  </si>
  <si>
    <t>Table 8 - Caps &amp; Targets</t>
  </si>
  <si>
    <t>2022 Energy Efficiency Cap And Target Expenditure Projections</t>
  </si>
  <si>
    <t>2023 Energy Efficiency Cap And Target Expenditure Projections</t>
  </si>
  <si>
    <t>Expenditures</t>
  </si>
  <si>
    <t>Cap &amp; Target Performance</t>
  </si>
  <si>
    <t>Budget Category</t>
  </si>
  <si>
    <r>
      <t xml:space="preserve">Non-Third Party Qualifying Costs 
</t>
    </r>
    <r>
      <rPr>
        <sz val="10"/>
        <rFont val="Arial"/>
        <family val="2"/>
      </rPr>
      <t>(including PA costs and old-definition 3P/GP contracts that don't meet the new definition)</t>
    </r>
  </si>
  <si>
    <r>
      <t xml:space="preserve">Third Party Qualifying Costs </t>
    </r>
    <r>
      <rPr>
        <b/>
        <vertAlign val="superscript"/>
        <sz val="10"/>
        <rFont val="Arial"/>
        <family val="2"/>
      </rPr>
      <t>2</t>
    </r>
    <r>
      <rPr>
        <b/>
        <sz val="10"/>
        <rFont val="Arial"/>
        <family val="2"/>
      </rPr>
      <t xml:space="preserve"> 
</t>
    </r>
    <r>
      <rPr>
        <sz val="10"/>
        <rFont val="Arial"/>
        <family val="2"/>
      </rPr>
      <t>(Local SW, CEC &amp; AB 841)</t>
    </r>
  </si>
  <si>
    <t>Total Portfolio</t>
  </si>
  <si>
    <r>
      <t xml:space="preserve">Percent of Budget </t>
    </r>
    <r>
      <rPr>
        <b/>
        <vertAlign val="superscript"/>
        <sz val="9"/>
        <rFont val="Arial"/>
        <family val="2"/>
      </rPr>
      <t>8</t>
    </r>
  </si>
  <si>
    <t>Cap %</t>
  </si>
  <si>
    <t>Target %</t>
  </si>
  <si>
    <r>
      <t xml:space="preserve">Third Party Qualifying Costs </t>
    </r>
    <r>
      <rPr>
        <b/>
        <vertAlign val="superscript"/>
        <sz val="10"/>
        <rFont val="Arial"/>
        <family val="2"/>
      </rPr>
      <t>2</t>
    </r>
    <r>
      <rPr>
        <b/>
        <sz val="10"/>
        <rFont val="Arial"/>
        <family val="2"/>
      </rPr>
      <t xml:space="preserve"> 
</t>
    </r>
    <r>
      <rPr>
        <sz val="10"/>
        <rFont val="Arial"/>
        <family val="2"/>
      </rPr>
      <t>(including SW)</t>
    </r>
  </si>
  <si>
    <t>Administrative Costs</t>
  </si>
  <si>
    <r>
      <t>PA</t>
    </r>
    <r>
      <rPr>
        <vertAlign val="superscript"/>
        <sz val="12"/>
        <rFont val="Arial"/>
        <family val="2"/>
      </rPr>
      <t xml:space="preserve"> 1</t>
    </r>
  </si>
  <si>
    <r>
      <t xml:space="preserve">Non-PA Third Party &amp; Partnership </t>
    </r>
    <r>
      <rPr>
        <vertAlign val="superscript"/>
        <sz val="12"/>
        <rFont val="Arial"/>
        <family val="2"/>
      </rPr>
      <t>2</t>
    </r>
  </si>
  <si>
    <r>
      <t xml:space="preserve">PA &amp; Non-PA Target Exempt Programs </t>
    </r>
    <r>
      <rPr>
        <vertAlign val="superscript"/>
        <sz val="12"/>
        <rFont val="Arial"/>
        <family val="2"/>
      </rPr>
      <t>3</t>
    </r>
  </si>
  <si>
    <r>
      <t>Marketing and Outreach Costs</t>
    </r>
    <r>
      <rPr>
        <b/>
        <vertAlign val="superscript"/>
        <sz val="12"/>
        <rFont val="Arial"/>
        <family val="2"/>
      </rPr>
      <t xml:space="preserve"> 4</t>
    </r>
  </si>
  <si>
    <t>Marketing &amp; Outreach</t>
  </si>
  <si>
    <r>
      <t xml:space="preserve">Statewide Marketing &amp; Outreach </t>
    </r>
    <r>
      <rPr>
        <vertAlign val="superscript"/>
        <sz val="12"/>
        <rFont val="Arial"/>
        <family val="2"/>
      </rPr>
      <t>5</t>
    </r>
  </si>
  <si>
    <t xml:space="preserve">Direct Implementation Costs </t>
  </si>
  <si>
    <t xml:space="preserve">Direct Implementation (Incentives and Rebates) </t>
  </si>
  <si>
    <t>Direct Implementation (Non Incentives and Non Rebates)</t>
  </si>
  <si>
    <r>
      <t>Direct Implementation Target Exempt Programs (Non Incentives and Non Rebates)</t>
    </r>
    <r>
      <rPr>
        <vertAlign val="superscript"/>
        <sz val="12"/>
        <rFont val="Arial"/>
        <family val="2"/>
      </rPr>
      <t xml:space="preserve"> 3</t>
    </r>
  </si>
  <si>
    <r>
      <t xml:space="preserve">EM&amp;V Costs (PA and Energy Division) </t>
    </r>
    <r>
      <rPr>
        <b/>
        <vertAlign val="superscript"/>
        <sz val="12"/>
        <rFont val="Arial"/>
        <family val="2"/>
      </rPr>
      <t>6,7</t>
    </r>
  </si>
  <si>
    <t>12a</t>
  </si>
  <si>
    <t>12b</t>
  </si>
  <si>
    <r>
      <t xml:space="preserve">Total Portfolio Budget (includes PA Program and EM&amp;V Budget + SW ME&amp;O) </t>
    </r>
    <r>
      <rPr>
        <b/>
        <vertAlign val="superscript"/>
        <sz val="12"/>
        <rFont val="Arial"/>
        <family val="2"/>
      </rPr>
      <t>8</t>
    </r>
  </si>
  <si>
    <t>CEC AB 841 (per CPUC Code Section 1613 counts as a Third Party Program as defined in D.18-08-019, OP 10)</t>
  </si>
  <si>
    <r>
      <t xml:space="preserve">PA Spending Budget Request (PA Program and EM&amp;V + CEC AB 841) </t>
    </r>
    <r>
      <rPr>
        <b/>
        <vertAlign val="superscript"/>
        <sz val="12"/>
        <rFont val="Arial"/>
        <family val="2"/>
      </rPr>
      <t>9</t>
    </r>
  </si>
  <si>
    <r>
      <t xml:space="preserve">Total Third-Party Implementer Contracts + CEC AB 841 (as defined per D.16-08-019, OP 10 and D.21-01-004 OP ) </t>
    </r>
    <r>
      <rPr>
        <b/>
        <vertAlign val="superscript"/>
        <sz val="12"/>
        <rFont val="Arial"/>
        <family val="2"/>
      </rPr>
      <t>10, 11</t>
    </r>
  </si>
  <si>
    <t xml:space="preserve">1. IOU administrative costs (excluding non-IOU, third party and/or government partnership programs, and target exempt programs) are limited to 10 percent of total EE budgets based on D. 09-09-047. </t>
  </si>
  <si>
    <t xml:space="preserve">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  Third-party and government, direct costs are limited 10 percent of total third-party and government partnership budget based on D. 09-09-047. </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</si>
  <si>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</si>
  <si>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Marketing and Outreach costs are limited to 6 percent of total EE budgets based on D. 09-09-047. Statewide Marketing &amp; Outreach (SW ME&amp;O) is excluded from the Marketing and Outreach cost target calculation per D.13-12-038, at p. 82.</t>
  </si>
  <si>
    <t>5.  Statewide ME&amp;O budgets for October 2019 through 2021 were requested in Advice Letter 4098-G/5544-E and supplements, and are pending approval.  Program year 2021 was the final year of SW ME&amp;O.</t>
  </si>
  <si>
    <t>6.  For IOUs, EM&amp;V costs only includes IOU's Total EM&amp;V budget (PA + ED) and does not include REN or CCAs EM&amp;V budget. For RENs &amp; CCAs, include EM&amp;V-PA Budget and EM&amp;V-ED = $0 .</t>
  </si>
  <si>
    <t>8.  As directed in the Energy Efficiency Policy Manual Version 5 July 2013, page 92, this total includes SW ME&amp;O and excludes REN and CCA budgets and is the denominator used to calculate the IOU PA Admin, Marketing, and Direct Implementation Non-Incentives percentages.</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</si>
  <si>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</si>
  <si>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</si>
  <si>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</si>
  <si>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</si>
  <si>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</si>
  <si>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</si>
  <si>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</si>
  <si>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</si>
  <si>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t>Includes policy, strategy, compliance, audits and regulatory support</t>
  </si>
  <si>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</si>
  <si>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</si>
  <si>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</si>
  <si>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</si>
  <si>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</si>
  <si>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</si>
  <si>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</si>
  <si>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</si>
  <si>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</si>
  <si>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</si>
  <si>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</si>
  <si>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</si>
  <si>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</si>
  <si>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</si>
  <si>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</si>
  <si>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</si>
  <si>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</si>
  <si>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</si>
  <si>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</si>
  <si>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</si>
  <si>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</si>
  <si>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</si>
  <si>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</si>
  <si>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</si>
  <si>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</si>
  <si>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</si>
  <si>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</si>
  <si>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</si>
  <si>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</si>
  <si>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</si>
  <si>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</si>
  <si>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</si>
  <si>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</si>
  <si>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</si>
  <si>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</si>
  <si>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</si>
  <si>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</si>
  <si>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</si>
  <si>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</si>
  <si>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</si>
  <si>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</si>
  <si>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</si>
  <si>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</si>
  <si>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</si>
  <si>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</si>
  <si>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</si>
  <si>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</si>
  <si>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</si>
  <si>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</si>
  <si>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</si>
  <si>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</si>
  <si>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</si>
  <si>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SUMMARY</t>
  </si>
  <si>
    <t>SOURCE - CEDARS net values for 2020YR</t>
  </si>
  <si>
    <t>2020 EE Portfolio Expenditures</t>
  </si>
  <si>
    <t>2022 EE Portfolio Budget</t>
  </si>
  <si>
    <t>2023 EE Portfolio Budget</t>
  </si>
  <si>
    <t>2020 EE Portfolio Savings</t>
  </si>
  <si>
    <t>2022 EE Portfolio Forecasted Savings</t>
  </si>
  <si>
    <t>2023 EE Portfolio Forecasted Savings</t>
  </si>
  <si>
    <t>Labor</t>
  </si>
  <si>
    <t>Non-Labor (excl. Incentives)</t>
  </si>
  <si>
    <t>KWH</t>
  </si>
  <si>
    <t>KW</t>
  </si>
  <si>
    <t>MTHERMS</t>
  </si>
  <si>
    <r>
      <t xml:space="preserve">Cross Cutting </t>
    </r>
    <r>
      <rPr>
        <vertAlign val="superscript"/>
        <sz val="11"/>
        <rFont val="Calibri"/>
        <family val="2"/>
        <scheme val="minor"/>
      </rPr>
      <t>1</t>
    </r>
  </si>
  <si>
    <t>Total Sector Budget</t>
  </si>
  <si>
    <t>EM&amp;V-PA</t>
  </si>
  <si>
    <t>EM&amp;V-ED</t>
  </si>
  <si>
    <r>
      <t xml:space="preserve">OBF - Loan Pool </t>
    </r>
    <r>
      <rPr>
        <vertAlign val="superscript"/>
        <sz val="11"/>
        <color theme="1"/>
        <rFont val="Calibri"/>
        <family val="2"/>
        <scheme val="minor"/>
      </rPr>
      <t>2</t>
    </r>
  </si>
  <si>
    <r>
      <t xml:space="preserve">CEC AB 841 </t>
    </r>
    <r>
      <rPr>
        <vertAlign val="superscript"/>
        <sz val="11"/>
        <color theme="1"/>
        <rFont val="Calibri"/>
        <family val="2"/>
        <scheme val="minor"/>
      </rPr>
      <t>3,4</t>
    </r>
  </si>
  <si>
    <t>1. Cross Cutting Sector includes Codes &amp; Standards, Emerging Technologies, Workforce Education &amp; Training, Finance.</t>
  </si>
  <si>
    <t>2. For SDG&amp;E and SCG the loan pool is not part of the authorized EE portfolio budget and is collected and tracked through a separate balancing account.</t>
  </si>
  <si>
    <t>3. Per D.21-01-004, the base for calculation for SDG&amp;E is $116,456,311 minus 2020 PY EE Budget of $81,485,692 multiplied by the percentage allocation of 70% for 2022 and 60% for 2023.</t>
  </si>
  <si>
    <t>4. The CEC AB 841 budget for 2022 of $64.9M is the sum of the base calculation as noted in footnote 3 above of $24.5M plus the Program Year 2021 Unspent/Uncommitted funds of $40.4M.</t>
  </si>
  <si>
    <t>PORTFOLIO STAFFING</t>
  </si>
  <si>
    <t>Functional Group</t>
  </si>
  <si>
    <r>
      <t xml:space="preserve">2020 EE Portfolio FTE </t>
    </r>
    <r>
      <rPr>
        <vertAlign val="superscript"/>
        <sz val="11"/>
        <color theme="1"/>
        <rFont val="Calibri"/>
        <family val="2"/>
        <scheme val="minor"/>
      </rPr>
      <t>(1)</t>
    </r>
  </si>
  <si>
    <r>
      <t xml:space="preserve">2022 EE Portfolio FTE </t>
    </r>
    <r>
      <rPr>
        <vertAlign val="superscript"/>
        <sz val="11"/>
        <color theme="1"/>
        <rFont val="Calibri"/>
        <family val="2"/>
        <scheme val="minor"/>
      </rPr>
      <t>(1)</t>
    </r>
  </si>
  <si>
    <r>
      <t xml:space="preserve">2023 EE Portfolio FTE </t>
    </r>
    <r>
      <rPr>
        <vertAlign val="superscript"/>
        <sz val="11"/>
        <color theme="1"/>
        <rFont val="Calibri"/>
        <family val="2"/>
        <scheme val="minor"/>
      </rPr>
      <t>(1)</t>
    </r>
  </si>
  <si>
    <t>Program Management</t>
  </si>
  <si>
    <t>Customer Application/Rebate/Incentive Processing</t>
  </si>
  <si>
    <t>Customer Project Inspections</t>
  </si>
  <si>
    <t>ME&amp;O (Local)</t>
  </si>
  <si>
    <t>(1) FTE is equal to productive labor of 1788 hour per year.</t>
  </si>
  <si>
    <t>RESIDENTIAL BUDGET DETAIL</t>
  </si>
  <si>
    <t>Cost Element</t>
  </si>
  <si>
    <t>2023EE Portfolio Budget</t>
  </si>
  <si>
    <t>Labor(1)</t>
  </si>
  <si>
    <t>Engineering services</t>
  </si>
  <si>
    <t>Labor Total</t>
  </si>
  <si>
    <t>Non-Labor</t>
  </si>
  <si>
    <r>
      <t xml:space="preserve">Third-Party Implementer </t>
    </r>
    <r>
      <rPr>
        <sz val="11"/>
        <rFont val="Calibri"/>
        <family val="2"/>
        <scheme val="minor"/>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</si>
  <si>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</si>
  <si>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</si>
  <si>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</si>
  <si>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</si>
  <si>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</si>
  <si>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</si>
  <si>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</si>
  <si>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</si>
  <si>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</si>
  <si>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</si>
  <si>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</si>
  <si>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r>
      <t xml:space="preserve">    IT</t>
    </r>
    <r>
      <rPr>
        <sz val="12"/>
        <color theme="0"/>
        <rFont val="Calibri"/>
        <family val="2"/>
        <scheme val="minor"/>
      </rPr>
      <t xml:space="preserve"> (4)</t>
    </r>
  </si>
  <si>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</si>
  <si>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</si>
  <si>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</si>
  <si>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</si>
  <si>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</si>
  <si>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</si>
  <si>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</si>
  <si>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</si>
  <si>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Payroll Taxes, Vacation, and Sick.</t>
  </si>
  <si>
    <t>(2) These labor overheads are collected through GRC D.19-09-051.</t>
  </si>
  <si>
    <t>(3) LGP contracts that directly support the sector is included in this item.</t>
  </si>
  <si>
    <t>COMMERCIAL BUDGET DETAIL</t>
  </si>
  <si>
    <t>Commercial Total</t>
  </si>
  <si>
    <t>These three programs are now classified as Commercial with the elimination of Cross Cutting programs.</t>
  </si>
  <si>
    <t>INDUSTRIAL BUDGET DETAIL</t>
  </si>
  <si>
    <t>Industrial Total</t>
  </si>
  <si>
    <t>AGRICULTURAL BUDGET DETAIL</t>
  </si>
  <si>
    <t>Agricultural Total</t>
  </si>
  <si>
    <t>PUBLIC SECTOR BUDGET DETAIL</t>
  </si>
  <si>
    <t>Public Sector</t>
  </si>
  <si>
    <t>Public Sector Total</t>
  </si>
  <si>
    <t>CROSS -CUTTING BUDGET DETAIL</t>
  </si>
  <si>
    <t>Cross-Cutting</t>
  </si>
  <si>
    <t>Cross-Cutting Total</t>
  </si>
  <si>
    <t>Table 17: Metrics Compliance Filing</t>
  </si>
  <si>
    <t>2022-2023 Forecast is embedded in the Mid Term Forecast.  Final results are provided in the Annual Report.</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</si>
  <si>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</si>
  <si>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</si>
  <si>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</si>
  <si>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</si>
  <si>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</si>
  <si>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</si>
  <si>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</si>
  <si>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</si>
  <si>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</si>
  <si>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</si>
  <si>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</si>
  <si>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</si>
  <si>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</si>
  <si>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</si>
  <si>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</si>
  <si>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</si>
  <si>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</si>
  <si>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</si>
  <si>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</si>
  <si>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</si>
  <si>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</si>
  <si>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</si>
  <si>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</si>
  <si>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Methodology</t>
  </si>
  <si>
    <t>Key Definitions</t>
  </si>
  <si>
    <t xml:space="preserve">Proxy Explanation
</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</si>
  <si>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</si>
  <si>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</si>
  <si>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</si>
  <si>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</si>
  <si>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</si>
  <si>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</si>
  <si>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</si>
  <si>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</si>
  <si>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</si>
  <si>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N/A</t>
  </si>
  <si>
    <t xml:space="preserve"> 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</si>
  <si>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</si>
  <si>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</si>
  <si>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</si>
  <si>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</si>
  <si>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</si>
  <si>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</si>
  <si>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</si>
  <si>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</si>
  <si>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</si>
  <si>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</si>
  <si>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</si>
  <si>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</si>
  <si>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</si>
  <si>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</si>
  <si>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</si>
  <si>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</si>
  <si>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</si>
  <si>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</si>
  <si>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</si>
  <si>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</si>
  <si>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</si>
  <si>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</si>
  <si>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</si>
  <si>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</si>
  <si>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</si>
  <si>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</si>
  <si>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</si>
  <si>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</si>
  <si>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</si>
  <si>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</si>
  <si>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</si>
  <si>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</si>
  <si>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</si>
  <si>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</si>
  <si>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</si>
  <si>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</si>
  <si>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</si>
  <si>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</si>
  <si>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</si>
  <si>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</si>
  <si>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</si>
  <si>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</si>
  <si>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</si>
  <si>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</si>
  <si>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</si>
  <si>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</si>
  <si>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</si>
  <si>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</si>
  <si>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</si>
  <si>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</si>
  <si>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</si>
  <si>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</si>
  <si>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</si>
  <si>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</si>
  <si>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</si>
  <si>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</si>
  <si>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</si>
  <si>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</si>
  <si>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</si>
  <si>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</si>
  <si>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</si>
  <si>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</si>
  <si>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</si>
  <si>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</si>
  <si>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</si>
  <si>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</si>
  <si>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</si>
  <si>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</si>
  <si>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</si>
  <si>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</si>
  <si>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</si>
  <si>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</si>
  <si>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</si>
  <si>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</si>
  <si>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</si>
  <si>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</si>
  <si>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</si>
  <si>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</si>
  <si>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</si>
  <si>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</si>
  <si>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</si>
  <si>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</si>
  <si>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</si>
  <si>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</si>
  <si>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</si>
  <si>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</si>
  <si>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</si>
  <si>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</si>
  <si>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</si>
  <si>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</si>
  <si>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</si>
  <si>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</si>
  <si>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</si>
  <si>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</si>
  <si>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</si>
  <si>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</si>
  <si>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</si>
  <si>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</si>
  <si>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</si>
  <si>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</si>
  <si>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</si>
  <si>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</si>
  <si>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</si>
  <si>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</si>
  <si>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</si>
  <si>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</si>
  <si>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</si>
  <si>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</si>
  <si>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</si>
  <si>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</si>
  <si>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</si>
  <si>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</si>
  <si>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</si>
  <si>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</si>
  <si>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</si>
  <si>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</si>
  <si>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</si>
  <si>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</si>
  <si>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</si>
  <si>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</si>
  <si>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</si>
  <si>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</si>
  <si>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</si>
  <si>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</si>
  <si>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</si>
  <si>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</si>
  <si>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</si>
  <si>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</si>
  <si>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</si>
  <si>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</si>
  <si>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</si>
  <si>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</si>
  <si>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</si>
  <si>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</si>
  <si>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</si>
  <si>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</si>
  <si>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</si>
  <si>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</si>
  <si>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</si>
  <si>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</si>
  <si>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</si>
  <si>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</si>
  <si>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</si>
  <si>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</si>
  <si>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</si>
  <si>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</si>
  <si>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</si>
  <si>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</si>
  <si>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</si>
  <si>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</si>
  <si>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</si>
  <si>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</si>
  <si>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</si>
  <si>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</si>
  <si>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</si>
  <si>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</si>
  <si>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</si>
  <si>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</si>
  <si>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</si>
  <si>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</si>
  <si>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</si>
  <si>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</si>
  <si>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</si>
  <si>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</si>
  <si>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</si>
  <si>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</si>
  <si>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</si>
  <si>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</si>
  <si>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</si>
  <si>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</si>
  <si>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</si>
  <si>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</si>
  <si>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</si>
  <si>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</si>
  <si>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</si>
  <si>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</si>
  <si>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</si>
  <si>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</si>
  <si>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</si>
  <si>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</si>
  <si>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</si>
  <si>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</si>
  <si>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</si>
  <si>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</si>
  <si>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</si>
  <si>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</si>
  <si>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</si>
  <si>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</si>
  <si>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</si>
  <si>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</si>
  <si>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</si>
  <si>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</si>
  <si>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</si>
  <si>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</si>
  <si>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</si>
  <si>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</si>
  <si>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</si>
  <si>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</si>
  <si>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</si>
  <si>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</si>
  <si>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</si>
  <si>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</si>
  <si>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</si>
  <si>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</si>
  <si>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</si>
  <si>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</si>
  <si>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</si>
  <si>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</si>
  <si>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</si>
  <si>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</si>
  <si>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</si>
  <si>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</si>
  <si>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</si>
  <si>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</si>
  <si>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</si>
  <si>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</si>
  <si>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</si>
  <si>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</si>
  <si>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</si>
  <si>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</si>
  <si>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</si>
  <si>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</si>
  <si>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</si>
  <si>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</si>
  <si>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</si>
  <si>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</si>
  <si>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</si>
  <si>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</si>
  <si>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</si>
  <si>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</si>
  <si>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</si>
  <si>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</si>
  <si>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</si>
  <si>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</si>
  <si>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</si>
  <si>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</si>
  <si>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</si>
  <si>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</si>
  <si>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</si>
  <si>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</si>
  <si>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</si>
  <si>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</si>
  <si>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</si>
  <si>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</si>
  <si>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</si>
  <si>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</si>
  <si>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</si>
  <si>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</si>
  <si>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</si>
  <si>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</si>
  <si>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</si>
  <si>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</si>
  <si>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</si>
  <si>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</si>
  <si>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</si>
  <si>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</si>
  <si>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</si>
  <si>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</si>
  <si>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</si>
  <si>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</si>
  <si>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</si>
  <si>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</si>
  <si>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</si>
  <si>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</si>
  <si>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</si>
  <si>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</si>
  <si>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</si>
  <si>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</si>
  <si>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</si>
  <si>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</si>
  <si>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</si>
  <si>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</si>
  <si>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</si>
  <si>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</si>
  <si>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</si>
  <si>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</si>
  <si>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</si>
  <si>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</si>
  <si>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</si>
  <si>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</si>
  <si>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</si>
  <si>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</si>
  <si>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</si>
  <si>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</si>
  <si>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</si>
  <si>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</si>
  <si>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</si>
  <si>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</si>
  <si>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</si>
  <si>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</si>
  <si>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</si>
  <si>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</si>
  <si>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</si>
  <si>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</si>
  <si>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</si>
  <si>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</si>
  <si>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</si>
  <si>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</si>
  <si>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kWh</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</si>
  <si>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</si>
  <si>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</si>
  <si>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</si>
  <si>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</si>
  <si>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</si>
  <si>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</si>
  <si>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</si>
  <si>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</si>
  <si>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</si>
  <si>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</si>
  <si>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</si>
  <si>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</si>
  <si>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</si>
  <si>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</si>
  <si>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</si>
  <si>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</si>
  <si>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</si>
  <si>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</si>
  <si>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</si>
  <si>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</si>
  <si>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</si>
  <si>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</si>
  <si>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</si>
  <si>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</si>
  <si>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</si>
  <si>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</si>
  <si>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</si>
  <si>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</si>
  <si>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</si>
  <si>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</si>
  <si>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</si>
  <si>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</si>
  <si>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</si>
  <si>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</si>
  <si>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</si>
  <si>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</si>
  <si>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</si>
  <si>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</si>
  <si>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</si>
  <si>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</si>
  <si>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</si>
  <si>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</si>
  <si>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</si>
  <si>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</si>
  <si>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</si>
  <si>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</si>
  <si>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</si>
  <si>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</si>
  <si>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</si>
  <si>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</si>
  <si>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</si>
  <si>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</si>
  <si>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</si>
  <si>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</si>
  <si>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</si>
  <si>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</si>
  <si>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</si>
  <si>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</si>
  <si>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</si>
  <si>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</si>
  <si>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</si>
  <si>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</si>
  <si>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</si>
  <si>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</si>
  <si>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</si>
  <si>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</si>
  <si>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</si>
  <si>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</si>
  <si>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</si>
  <si>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</si>
  <si>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</si>
  <si>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</si>
  <si>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</si>
  <si>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</si>
  <si>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</si>
  <si>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</si>
  <si>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</si>
  <si>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</si>
  <si>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</si>
  <si>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</si>
  <si>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</si>
  <si>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</si>
  <si>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</si>
  <si>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</si>
  <si>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</si>
  <si>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</si>
  <si>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</si>
  <si>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</si>
  <si>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</si>
  <si>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</si>
  <si>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</si>
  <si>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</si>
  <si>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</si>
  <si>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</si>
  <si>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</si>
  <si>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</si>
  <si>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</si>
  <si>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</si>
  <si>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</si>
  <si>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</si>
  <si>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</si>
  <si>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</si>
  <si>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</si>
  <si>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</si>
  <si>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</si>
  <si>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</si>
  <si>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</si>
  <si>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</si>
  <si>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</si>
  <si>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</si>
  <si>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</si>
  <si>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</si>
  <si>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</si>
  <si>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</si>
  <si>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</si>
  <si>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</si>
  <si>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</si>
  <si>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</si>
  <si>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</si>
  <si>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</si>
  <si>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</si>
  <si>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</si>
  <si>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</si>
  <si>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</si>
  <si>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</si>
  <si>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</si>
  <si>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</si>
  <si>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</si>
  <si>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</si>
  <si>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</si>
  <si>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</si>
  <si>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</si>
  <si>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</si>
  <si>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</si>
  <si>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</si>
  <si>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</si>
  <si>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</si>
  <si>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</si>
  <si>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</si>
  <si>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</si>
  <si>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</si>
  <si>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</si>
  <si>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</si>
  <si>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</si>
  <si>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</si>
  <si>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</si>
  <si>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</si>
  <si>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</si>
  <si>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</si>
  <si>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</si>
  <si>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</si>
  <si>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</si>
  <si>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</si>
  <si>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</si>
  <si>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</si>
  <si>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</si>
  <si>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</si>
  <si>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</si>
  <si>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</si>
  <si>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</si>
  <si>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</si>
  <si>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</si>
  <si>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</si>
  <si>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</si>
  <si>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</si>
  <si>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</si>
  <si>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</si>
  <si>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</si>
  <si>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</si>
  <si>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</si>
  <si>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</si>
  <si>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</si>
  <si>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</si>
  <si>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</si>
  <si>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</si>
  <si>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</si>
  <si>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</si>
  <si>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</si>
  <si>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</si>
  <si>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</si>
  <si>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</si>
  <si>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</si>
  <si>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</si>
  <si>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</si>
  <si>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</si>
  <si>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</si>
  <si>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</si>
  <si>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</si>
  <si>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</si>
  <si>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</si>
  <si>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</si>
  <si>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</si>
  <si>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</si>
  <si>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</si>
  <si>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</si>
  <si>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</si>
  <si>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</si>
  <si>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</si>
  <si>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</si>
  <si>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</si>
  <si>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</si>
  <si>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</si>
  <si>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</si>
  <si>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</si>
  <si>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</si>
  <si>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</si>
  <si>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</si>
  <si>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</si>
  <si>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</si>
  <si>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</si>
  <si>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</si>
  <si>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</si>
  <si>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</si>
  <si>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</si>
  <si>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</si>
  <si>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</si>
  <si>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</si>
  <si>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</si>
  <si>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</si>
  <si>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</si>
  <si>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</si>
  <si>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</si>
  <si>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</si>
  <si>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</si>
  <si>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</si>
  <si>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</si>
  <si>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</si>
  <si>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</si>
  <si>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</si>
  <si>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</si>
  <si>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</si>
  <si>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</si>
  <si>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</si>
  <si>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</si>
  <si>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</si>
  <si>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</si>
  <si>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</si>
  <si>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</si>
  <si>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</si>
  <si>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</si>
  <si>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</si>
  <si>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</si>
  <si>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</si>
  <si>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</si>
  <si>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</si>
  <si>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</si>
  <si>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</si>
  <si>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</si>
  <si>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</si>
  <si>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</si>
  <si>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</si>
  <si>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</si>
  <si>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</si>
  <si>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</si>
  <si>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</si>
  <si>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</si>
  <si>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</si>
  <si>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</si>
  <si>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</si>
  <si>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</si>
  <si>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</si>
  <si>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</si>
  <si>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</si>
  <si>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</si>
  <si>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</si>
  <si>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</si>
  <si>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</si>
  <si>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</si>
  <si>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</si>
  <si>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</si>
  <si>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</si>
  <si>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</si>
  <si>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</si>
  <si>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</si>
  <si>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</si>
  <si>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</si>
  <si>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</si>
  <si>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</si>
  <si>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</si>
  <si>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</si>
  <si>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</si>
  <si>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</si>
  <si>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</si>
  <si>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</si>
  <si>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</si>
  <si>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</si>
  <si>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</si>
  <si>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</si>
  <si>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</si>
  <si>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</si>
  <si>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</si>
  <si>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</si>
  <si>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</si>
  <si>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</si>
  <si>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</si>
  <si>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</si>
  <si>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</si>
  <si>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</si>
  <si>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</si>
  <si>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</si>
  <si>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</si>
  <si>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</si>
  <si>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</si>
  <si>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</si>
  <si>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</si>
  <si>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</si>
  <si>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</si>
  <si>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</si>
  <si>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</si>
  <si>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</si>
  <si>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</si>
  <si>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</si>
  <si>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</si>
  <si>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</si>
  <si>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</si>
  <si>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</si>
  <si>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</si>
  <si>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</si>
  <si>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</si>
  <si>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</si>
  <si>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</si>
  <si>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</si>
  <si>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</si>
  <si>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</si>
  <si>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</si>
  <si>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</si>
  <si>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</si>
  <si>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</si>
  <si>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</si>
  <si>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</si>
  <si>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tbd projects*</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</si>
  <si>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</si>
  <si>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</si>
  <si>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</si>
  <si>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</si>
  <si>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</si>
  <si>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</si>
  <si>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</si>
  <si>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</si>
  <si>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</si>
  <si>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</si>
  <si>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</si>
  <si>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</si>
  <si>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</si>
  <si>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</si>
  <si>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</si>
  <si>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</si>
  <si>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</si>
  <si>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</si>
  <si>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</si>
  <si>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</si>
  <si>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</si>
  <si>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</si>
  <si>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</si>
  <si>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</si>
  <si>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</si>
  <si>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</si>
  <si>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</si>
  <si>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</si>
  <si>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</si>
  <si>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</si>
  <si>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</si>
  <si>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</si>
  <si>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</si>
  <si>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</si>
  <si>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</si>
  <si>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</si>
  <si>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</si>
  <si>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</si>
  <si>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</si>
  <si>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</si>
  <si>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</si>
  <si>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</si>
  <si>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</si>
  <si>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</si>
  <si>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</si>
  <si>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</si>
  <si>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</si>
  <si>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</si>
  <si>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</si>
  <si>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</si>
  <si>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</si>
  <si>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</si>
  <si>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</si>
  <si>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</si>
  <si>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</si>
  <si>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</si>
  <si>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</si>
  <si>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</si>
  <si>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</si>
  <si>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</si>
  <si>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</si>
  <si>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</si>
  <si>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</si>
  <si>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</si>
  <si>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</si>
  <si>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</si>
  <si>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</si>
  <si>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</si>
  <si>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</si>
  <si>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</si>
  <si>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</si>
  <si>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</si>
  <si>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</si>
  <si>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</si>
  <si>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</si>
  <si>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</si>
  <si>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</si>
  <si>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</si>
  <si>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</si>
  <si>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</si>
  <si>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</si>
  <si>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</si>
  <si>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</si>
  <si>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</si>
  <si>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</si>
  <si>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</si>
  <si>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</si>
  <si>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</si>
  <si>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</si>
  <si>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</si>
  <si>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</si>
  <si>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</si>
  <si>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</si>
  <si>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</si>
  <si>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</si>
  <si>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</si>
  <si>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</si>
  <si>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</si>
  <si>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</si>
  <si>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</si>
  <si>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</si>
  <si>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</si>
  <si>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</si>
  <si>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3 lists cumulative</t>
  </si>
  <si>
    <t>2 lists cumulative</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</si>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</sst>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0.0%"/>
    <numFmt numFmtId="169" formatCode="0_);\(0\)"/>
    <numFmt numFmtId="170" formatCode="[$$-409]#,##0.00"/>
    <numFmt numFmtId="171" formatCode="_(* #,##0_);_(* \(#,##0\);_(* &quot;-&quot;??_);_(@_)"/>
    <numFmt numFmtId="172" formatCode="&quot;$&quot;#,##0.00"/>
    <numFmt numFmtId="173" formatCode="mmmddyyyy"/>
    <numFmt numFmtId="174" formatCode="yymmmmdd"/>
    <numFmt numFmtId="175" formatCode="0.0%;_(* &quot;-&quot;_)"/>
    <numFmt numFmtId="176" formatCode="#,##0.0,,,&quot;bn&quot;"/>
    <numFmt numFmtId="177" formatCode="#,##0;\-#,##0;&quot;-&quot;"/>
    <numFmt numFmtId="178" formatCode="&quot;$&quot;#,\);\(&quot;$&quot;#,##0\)"/>
    <numFmt numFmtId="179" formatCode="_-* #,##0.00_-;\-* #,##0.00_-;_-* &quot;-&quot;??_-;_-@_-"/>
    <numFmt numFmtId="180" formatCode="hh:mm"/>
    <numFmt numFmtId="181" formatCode="00000"/>
    <numFmt numFmtId="182" formatCode="_-&quot;$&quot;* #,##0.00_-;\-&quot;$&quot;* #,##0.00_-;_-&quot;$&quot;* &quot;-&quot;??_-;_-@_-"/>
    <numFmt numFmtId="183" formatCode="&quot;$&quot;\ #,##0.00_);\(&quot;$&quot;\ #,##0.00\)"/>
    <numFmt numFmtId="184" formatCode="mm/dd/yyyy;@"/>
    <numFmt numFmtId="185" formatCode="#,##0.00;[Red]#,##0.00"/>
    <numFmt numFmtId="186" formatCode="_([$€-2]* #,##0.00_);_([$€-2]* \(#,##0.00\);_([$€-2]* &quot;-&quot;??_)"/>
    <numFmt numFmtId="187" formatCode="\€#,##0.0,,,&quot;bn&quot;"/>
    <numFmt numFmtId="188" formatCode="\€#,##0.0,,&quot;m&quot;"/>
    <numFmt numFmtId="189" formatCode="\€#,##0.0,&quot;k&quot;"/>
    <numFmt numFmtId="190" formatCode="\€#,##0.00"/>
    <numFmt numFmtId="191" formatCode="_-* #,##0.0_-;\-* #,##0.0_-;_-* &quot;-&quot;??_-;_-@_-"/>
    <numFmt numFmtId="192" formatCode="yyyy"/>
    <numFmt numFmtId="193" formatCode="\£#,##0.00"/>
    <numFmt numFmtId="194" formatCode="\£#,##0.0,,,&quot;bn&quot;"/>
    <numFmt numFmtId="195" formatCode="\£#,##0.0,,&quot;m&quot;"/>
    <numFmt numFmtId="196" formatCode="\£#,##0.0,&quot;k&quot;"/>
    <numFmt numFmtId="197" formatCode="#,##0.00&quot; $&quot;;\-#,##0.00&quot; $&quot;"/>
    <numFmt numFmtId="198" formatCode=";;;"/>
    <numFmt numFmtId="199" formatCode="General_)"/>
    <numFmt numFmtId="200" formatCode="@*."/>
    <numFmt numFmtId="201" formatCode="_ * #,##0_ ;_ * \-#,##0_ ;_ * &quot;-&quot;_ ;_ @_ "/>
    <numFmt numFmtId="202" formatCode="_ * #,##0.00_ ;_ * \-#,##0.00_ ;_ * &quot;-&quot;??_ ;_ @_ "/>
    <numFmt numFmtId="203" formatCode="#,##0.0,,&quot;m&quot;"/>
    <numFmt numFmtId="204" formatCode="dd/mm/yy"/>
    <numFmt numFmtId="205" formatCode="0.0%;_(&quot;-&quot;_)"/>
    <numFmt numFmtId="206" formatCode="0.0000%"/>
    <numFmt numFmtId="207" formatCode="[&lt;=9999999]###\-####;\(###\)\ ###\-####"/>
    <numFmt numFmtId="208" formatCode="&quot;$&quot;#,##0"/>
    <numFmt numFmtId="209" formatCode="mmm\-yyyy"/>
    <numFmt numFmtId="210" formatCode="#,###,##0,&quot;k&quot;"/>
    <numFmt numFmtId="211" formatCode="#,##0,_);\(#,##0,\)"/>
    <numFmt numFmtId="212" formatCode="\$#,##0.0,,,&quot;bn&quot;"/>
    <numFmt numFmtId="213" formatCode="\$#,##0.0,,&quot;m&quot;"/>
    <numFmt numFmtId="214" formatCode="\$#,##0.0,&quot;k&quot;"/>
    <numFmt numFmtId="215" formatCode="[$-409]d\-mmm\-yy;@"/>
    <numFmt numFmtId="216" formatCode="00\-0000000"/>
    <numFmt numFmtId="217" formatCode="_(* #,##0.0_);_(* \(#,##0.0\);_(* &quot;-&quot;??_);_(@_)"/>
    <numFmt numFmtId="218" formatCode="_-* #,##0.00\ &quot;DM&quot;_-;\-* #,##0.00\ &quot;DM&quot;_-;_-* &quot;-&quot;??\ &quot;DM&quot;_-;_-@_-"/>
    <numFmt numFmtId="219" formatCode="_-* #,##0_-;\-* #,##0_-;_-* &quot;-&quot;??_-;_-@_-"/>
    <numFmt numFmtId="220" formatCode="_(&quot;$&quot;* #,##0.0000_);_(&quot;$&quot;* \(#,##0.0000\);_(&quot;$&quot;* &quot;-&quot;????_);_(@_)"/>
  </numFmts>
  <fonts count="24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2"/>
      <name val="Palatino"/>
      <family val="1"/>
    </font>
    <font>
      <sz val="11"/>
      <name val="Palatino"/>
      <family val="1"/>
    </font>
    <font>
      <sz val="10"/>
      <color rgb="FFFF0000"/>
      <name val="Arial"/>
      <family val="2"/>
    </font>
    <font>
      <sz val="12"/>
      <color theme="1"/>
      <name val="Calibri"/>
      <family val="2"/>
      <scheme val="minor"/>
    </font>
    <font>
      <vertAlign val="superscript"/>
      <sz val="12"/>
      <name val="Palatino"/>
    </font>
    <font>
      <b/>
      <vertAlign val="superscript"/>
      <sz val="10"/>
      <name val="Arial"/>
      <family val="2"/>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2"/>
      <color theme="0"/>
      <name val="Calibri"/>
      <family val="2"/>
      <scheme val="minor"/>
    </font>
    <font>
      <b/>
      <sz val="11"/>
      <name val="Calibri"/>
      <family val="2"/>
      <scheme val="minor"/>
    </font>
    <font>
      <sz val="12"/>
      <color theme="1"/>
      <name val="Calibri"/>
      <family val="2"/>
      <charset val="204"/>
      <scheme val="minor"/>
    </font>
    <font>
      <b/>
      <vertAlign val="superscript"/>
      <sz val="11"/>
      <color theme="1"/>
      <name val="Calibri"/>
      <family val="2"/>
      <scheme val="minor"/>
    </font>
    <font>
      <b/>
      <vertAlign val="superscript"/>
      <sz val="11"/>
      <name val="Calibri"/>
      <family val="2"/>
      <scheme val="minor"/>
    </font>
    <font>
      <vertAlign val="superscript"/>
      <sz val="12"/>
      <name val="Times New Roman"/>
      <family val="1"/>
    </font>
    <font>
      <b/>
      <sz val="13"/>
      <name val="Arial"/>
      <family val="2"/>
    </font>
    <font>
      <sz val="11"/>
      <name val="Arial"/>
      <family val="2"/>
    </font>
    <font>
      <vertAlign val="superscript"/>
      <sz val="12"/>
      <name val="Arial"/>
      <family val="2"/>
    </font>
    <font>
      <b/>
      <vertAlign val="superscript"/>
      <sz val="12"/>
      <name val="Arial"/>
      <family val="2"/>
    </font>
    <font>
      <sz val="8"/>
      <name val="Calibri"/>
      <family val="2"/>
      <scheme val="minor"/>
    </font>
    <font>
      <b/>
      <vertAlign val="superscript"/>
      <sz val="9"/>
      <name val="Arial"/>
      <family val="2"/>
    </font>
    <font>
      <sz val="12"/>
      <color rgb="FF000000"/>
      <name val="Calibri"/>
      <family val="2"/>
      <scheme val="minor"/>
    </font>
    <font>
      <b/>
      <vertAlign val="superscript"/>
      <sz val="11"/>
      <color rgb="FFFF0000"/>
      <name val="Calibri"/>
      <family val="2"/>
      <scheme val="minor"/>
    </font>
    <font>
      <vertAlign val="superscript"/>
      <sz val="11"/>
      <color rgb="FFFF0000"/>
      <name val="Calibri"/>
      <family val="2"/>
      <scheme val="minor"/>
    </font>
    <font>
      <b/>
      <sz val="12"/>
      <name val="Palatino"/>
    </font>
    <font>
      <sz val="12"/>
      <color rgb="FF0000FF"/>
      <name val="Times New Roman"/>
      <family val="1"/>
    </font>
    <font>
      <sz val="10"/>
      <color rgb="FF0000FF"/>
      <name val="Arial"/>
      <family val="2"/>
    </font>
    <font>
      <sz val="12"/>
      <color rgb="FF0000FF"/>
      <name val="Calibri"/>
      <family val="2"/>
      <scheme val="minor"/>
    </font>
    <font>
      <sz val="12"/>
      <color rgb="FFFF0000"/>
      <name val="Calibri"/>
      <family val="2"/>
      <scheme val="minor"/>
    </font>
    <font>
      <u/>
      <sz val="12"/>
      <color rgb="FF0000FF"/>
      <name val="Times New Roman"/>
      <family val="1"/>
    </font>
    <font>
      <b/>
      <sz val="12"/>
      <color rgb="FF0000FF"/>
      <name val="Times New Roman"/>
      <family val="1"/>
    </font>
    <font>
      <b/>
      <sz val="10"/>
      <color rgb="FF0000FF"/>
      <name val="Arial"/>
      <family val="2"/>
    </font>
    <font>
      <b/>
      <sz val="12"/>
      <color rgb="FF0000FF"/>
      <name val="Palatino"/>
      <family val="1"/>
    </font>
    <font>
      <b/>
      <sz val="12"/>
      <color rgb="FFFF0000"/>
      <name val="Calibri"/>
      <family val="2"/>
      <scheme val="minor"/>
    </font>
    <font>
      <sz val="10"/>
      <name val="Calibri"/>
      <family val="2"/>
      <scheme val="minor"/>
    </font>
    <font>
      <sz val="9"/>
      <name val="Calibri"/>
      <family val="2"/>
      <scheme val="minor"/>
    </font>
    <font>
      <sz val="9"/>
      <name val="Calibri"/>
      <family val="2"/>
    </font>
    <font>
      <sz val="9"/>
      <name val="Palatino"/>
      <family val="1"/>
    </font>
    <font>
      <sz val="12"/>
      <color rgb="FF9C6500"/>
      <name val="Calibri"/>
      <family val="2"/>
      <scheme val="minor"/>
    </font>
    <font>
      <strike/>
      <sz val="8"/>
      <name val="Calibri"/>
      <family val="2"/>
      <scheme val="minor"/>
    </font>
    <font>
      <sz val="12"/>
      <color rgb="FF006100"/>
      <name val="Calibri"/>
      <family val="2"/>
      <scheme val="minor"/>
    </font>
    <font>
      <b/>
      <sz val="10"/>
      <name val="Calibri"/>
      <family val="2"/>
    </font>
    <font>
      <sz val="24"/>
      <color rgb="FFFF0000"/>
      <name val="Calibri"/>
      <family val="2"/>
      <scheme val="minor"/>
    </font>
    <font>
      <b/>
      <vertAlign val="superscript"/>
      <sz val="12"/>
      <name val="Times New Roman"/>
      <family val="1"/>
    </font>
    <font>
      <sz val="12"/>
      <color theme="1"/>
      <name val="Calibri"/>
      <family val="2"/>
    </font>
    <font>
      <sz val="12"/>
      <name val="Calibri"/>
      <family val="2"/>
    </font>
    <font>
      <sz val="10"/>
      <name val="Arial"/>
      <family val="2"/>
    </font>
    <font>
      <sz val="10"/>
      <color theme="0"/>
      <name val="Arial"/>
      <family val="2"/>
    </font>
    <font>
      <b/>
      <sz val="10"/>
      <color theme="0"/>
      <name val="Arial"/>
      <family val="2"/>
    </font>
    <font>
      <u/>
      <sz val="12"/>
      <color theme="10"/>
      <name val="Calibri"/>
      <family val="2"/>
      <scheme val="minor"/>
    </font>
    <font>
      <vertAlign val="superscript"/>
      <sz val="11"/>
      <name val="Calibri"/>
      <family val="2"/>
      <scheme val="minor"/>
    </font>
    <font>
      <sz val="12"/>
      <color theme="0"/>
      <name val="Calibri"/>
      <family val="2"/>
      <scheme val="minor"/>
    </font>
    <font>
      <sz val="24"/>
      <color theme="1"/>
      <name val="Calibri"/>
      <family val="2"/>
      <scheme val="minor"/>
    </font>
    <font>
      <sz val="16"/>
      <color theme="1"/>
      <name val="Calibri"/>
      <family val="2"/>
      <scheme val="minor"/>
    </font>
    <font>
      <vertAlign val="superscript"/>
      <sz val="11"/>
      <color theme="1"/>
      <name val="Calibri"/>
      <family val="2"/>
      <scheme val="minor"/>
    </font>
    <font>
      <sz val="11"/>
      <color theme="1"/>
      <name val="Times New Roman"/>
      <family val="1"/>
    </font>
    <font>
      <sz val="11"/>
      <name val="Times New Roman"/>
      <family val="1"/>
    </font>
  </fonts>
  <fills count="15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style="thin">
        <color indexed="64"/>
      </right>
      <top/>
      <bottom style="medium">
        <color auto="1"/>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auto="1"/>
      </right>
      <top style="medium">
        <color auto="1"/>
      </top>
      <bottom/>
      <diagonal/>
    </border>
    <border>
      <left style="medium">
        <color indexed="64"/>
      </left>
      <right style="medium">
        <color auto="1"/>
      </right>
      <top style="thin">
        <color indexed="64"/>
      </top>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s>
  <cellStyleXfs count="20590">
    <xf numFmtId="0" fontId="0" fillId="0" borderId="0"/>
    <xf numFmtId="0" fontId="19" fillId="0" borderId="0"/>
    <xf numFmtId="0" fontId="22" fillId="0" borderId="0"/>
    <xf numFmtId="44" fontId="19" fillId="0" borderId="0" applyFont="0" applyFill="0" applyBorder="0" applyAlignment="0" applyProtection="0"/>
    <xf numFmtId="43" fontId="19" fillId="0" borderId="0" applyFont="0" applyFill="0" applyBorder="0" applyAlignment="0" applyProtection="0"/>
    <xf numFmtId="0" fontId="26" fillId="0" borderId="0"/>
    <xf numFmtId="0" fontId="22" fillId="0" borderId="0"/>
    <xf numFmtId="44" fontId="26" fillId="0" borderId="0" applyFont="0" applyFill="0" applyBorder="0" applyAlignment="0" applyProtection="0"/>
    <xf numFmtId="0" fontId="18" fillId="0" borderId="0"/>
    <xf numFmtId="0" fontId="26" fillId="0" borderId="0"/>
    <xf numFmtId="44" fontId="18"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9"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5" fillId="0" borderId="0"/>
    <xf numFmtId="0" fontId="14" fillId="0" borderId="0"/>
    <xf numFmtId="43" fontId="39" fillId="0" borderId="0" applyFont="0" applyFill="0" applyBorder="0" applyAlignment="0" applyProtection="0"/>
    <xf numFmtId="0" fontId="44" fillId="0" borderId="0" applyNumberFormat="0" applyFill="0" applyBorder="0" applyAlignment="0" applyProtection="0"/>
    <xf numFmtId="0" fontId="45"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0" applyNumberFormat="0" applyBorder="0" applyAlignment="0" applyProtection="0"/>
    <xf numFmtId="0" fontId="51" fillId="8" borderId="14" applyNumberFormat="0" applyAlignment="0" applyProtection="0"/>
    <xf numFmtId="0" fontId="52" fillId="9" borderId="15" applyNumberFormat="0" applyAlignment="0" applyProtection="0"/>
    <xf numFmtId="0" fontId="53" fillId="9" borderId="14" applyNumberFormat="0" applyAlignment="0" applyProtection="0"/>
    <xf numFmtId="0" fontId="54" fillId="0" borderId="16" applyNumberFormat="0" applyFill="0" applyAlignment="0" applyProtection="0"/>
    <xf numFmtId="0" fontId="55" fillId="10" borderId="17"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7" fillId="0" borderId="19" applyNumberFormat="0" applyFill="0" applyAlignment="0" applyProtection="0"/>
    <xf numFmtId="0" fontId="58"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58"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58"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58"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58"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58"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66" fillId="38" borderId="0" applyNumberFormat="0" applyBorder="0" applyAlignment="0" applyProtection="0"/>
    <xf numFmtId="0" fontId="13" fillId="0" borderId="0"/>
    <xf numFmtId="0" fontId="66" fillId="42" borderId="0" applyNumberFormat="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66" fillId="36" borderId="0" applyNumberFormat="0" applyBorder="0" applyAlignment="0" applyProtection="0"/>
    <xf numFmtId="0" fontId="22" fillId="0" borderId="0"/>
    <xf numFmtId="0" fontId="13" fillId="0" borderId="0"/>
    <xf numFmtId="0" fontId="66" fillId="41" borderId="0" applyNumberFormat="0" applyBorder="0" applyAlignment="0" applyProtection="0"/>
    <xf numFmtId="44" fontId="13" fillId="0" borderId="0" applyFont="0" applyFill="0" applyBorder="0" applyAlignment="0" applyProtection="0"/>
    <xf numFmtId="0" fontId="22" fillId="0" borderId="0" applyNumberFormat="0" applyFill="0" applyBorder="0" applyAlignment="0" applyProtection="0"/>
    <xf numFmtId="0" fontId="22"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66" fillId="40" borderId="0" applyNumberFormat="0" applyBorder="0" applyAlignment="0" applyProtection="0"/>
    <xf numFmtId="0" fontId="60" fillId="0" borderId="0"/>
    <xf numFmtId="0" fontId="22" fillId="0" borderId="0"/>
    <xf numFmtId="0" fontId="66" fillId="36" borderId="0" applyNumberFormat="0" applyBorder="0" applyAlignment="0" applyProtection="0"/>
    <xf numFmtId="0" fontId="66"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3" borderId="0" applyNumberFormat="0" applyBorder="0" applyAlignment="0" applyProtection="0"/>
    <xf numFmtId="9" fontId="13" fillId="0" borderId="0" applyFont="0" applyFill="0" applyBorder="0" applyAlignment="0" applyProtection="0"/>
    <xf numFmtId="0" fontId="22" fillId="0" borderId="0"/>
    <xf numFmtId="0" fontId="22" fillId="0" borderId="0"/>
    <xf numFmtId="0" fontId="60" fillId="0" borderId="0"/>
    <xf numFmtId="0" fontId="66" fillId="40" borderId="0" applyNumberFormat="0" applyBorder="0" applyAlignment="0" applyProtection="0"/>
    <xf numFmtId="0" fontId="63" fillId="0" borderId="0" applyNumberFormat="0" applyFill="0" applyBorder="0" applyAlignment="0" applyProtection="0">
      <alignment vertical="top"/>
    </xf>
    <xf numFmtId="0" fontId="64" fillId="0" borderId="0" applyNumberFormat="0" applyFill="0" applyBorder="0" applyAlignment="0" applyProtection="0">
      <alignment vertical="top"/>
    </xf>
    <xf numFmtId="0" fontId="65" fillId="0" borderId="0" applyNumberFormat="0" applyFill="0" applyBorder="0" applyAlignment="0" applyProtection="0">
      <alignment vertical="top"/>
    </xf>
    <xf numFmtId="0" fontId="22" fillId="0" borderId="0"/>
    <xf numFmtId="0" fontId="22" fillId="0" borderId="0" applyFont="0" applyFill="0" applyBorder="0" applyProtection="0"/>
    <xf numFmtId="0" fontId="66" fillId="36"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2" borderId="0" applyNumberFormat="0" applyBorder="0" applyAlignment="0" applyProtection="0"/>
    <xf numFmtId="173" fontId="22" fillId="0" borderId="0" applyFont="0" applyFill="0" applyBorder="0" applyAlignment="0" applyProtection="0"/>
    <xf numFmtId="0" fontId="22" fillId="0" borderId="0" applyNumberFormat="0" applyFill="0" applyBorder="0" applyAlignment="0" applyProtection="0"/>
    <xf numFmtId="0" fontId="66" fillId="38" borderId="0" applyNumberFormat="0" applyBorder="0" applyAlignment="0" applyProtection="0"/>
    <xf numFmtId="0" fontId="62" fillId="0" borderId="0" applyNumberFormat="0" applyFill="0" applyBorder="0" applyAlignment="0" applyProtection="0">
      <alignment vertical="top"/>
      <protection locked="0"/>
    </xf>
    <xf numFmtId="0" fontId="66" fillId="36" borderId="0" applyNumberFormat="0" applyBorder="0" applyAlignment="0" applyProtection="0"/>
    <xf numFmtId="0" fontId="66" fillId="39" borderId="0" applyNumberFormat="0" applyBorder="0" applyAlignment="0" applyProtection="0"/>
    <xf numFmtId="0" fontId="66" fillId="37" borderId="0" applyNumberFormat="0" applyBorder="0" applyAlignment="0" applyProtection="0"/>
    <xf numFmtId="0" fontId="22" fillId="0" borderId="0" applyNumberFormat="0" applyFill="0" applyBorder="0" applyAlignment="0" applyProtection="0"/>
    <xf numFmtId="0" fontId="61" fillId="0" borderId="0"/>
    <xf numFmtId="0" fontId="66" fillId="36" borderId="0" applyNumberFormat="0" applyBorder="0" applyAlignment="0" applyProtection="0"/>
    <xf numFmtId="0" fontId="22" fillId="0" borderId="0"/>
    <xf numFmtId="0" fontId="66" fillId="36" borderId="0" applyNumberFormat="0" applyBorder="0" applyAlignment="0" applyProtection="0"/>
    <xf numFmtId="0" fontId="22" fillId="0" borderId="0" applyNumberFormat="0" applyFill="0" applyBorder="0" applyAlignment="0" applyProtection="0"/>
    <xf numFmtId="0" fontId="66" fillId="38" borderId="0" applyNumberFormat="0" applyBorder="0" applyAlignment="0" applyProtection="0"/>
    <xf numFmtId="0" fontId="60" fillId="0" borderId="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44"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39" fontId="26" fillId="0" borderId="0" applyFont="0" applyFill="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1"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50"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22" fillId="0" borderId="0" applyFont="0" applyFill="0" applyBorder="0" applyProtection="0"/>
    <xf numFmtId="0" fontId="67" fillId="51"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2"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6" fillId="63"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7" fillId="65" borderId="0" applyNumberFormat="0" applyBorder="0" applyAlignment="0" applyProtection="0"/>
    <xf numFmtId="0" fontId="67" fillId="52"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6" fillId="67" borderId="0" applyNumberFormat="0" applyBorder="0" applyAlignment="0" applyProtection="0"/>
    <xf numFmtId="0" fontId="66" fillId="60" borderId="0" applyNumberFormat="0" applyBorder="0" applyAlignment="0" applyProtection="0"/>
    <xf numFmtId="0" fontId="67" fillId="68" borderId="0" applyNumberFormat="0" applyBorder="0" applyAlignment="0" applyProtection="0"/>
    <xf numFmtId="0" fontId="67" fillId="69"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174" fontId="68" fillId="70" borderId="20">
      <alignment horizontal="center" vertical="center"/>
    </xf>
    <xf numFmtId="175" fontId="22" fillId="70" borderId="20">
      <alignment horizontal="center" vertical="center"/>
    </xf>
    <xf numFmtId="175" fontId="22" fillId="70" borderId="20">
      <alignment horizontal="center" vertical="center"/>
    </xf>
    <xf numFmtId="175" fontId="22" fillId="70" borderId="20">
      <alignment horizontal="center" vertical="center"/>
    </xf>
    <xf numFmtId="49" fontId="22" fillId="0" borderId="21"/>
    <xf numFmtId="0" fontId="69" fillId="49" borderId="21" applyNumberFormat="0" applyFont="0" applyBorder="0" applyAlignment="0" applyProtection="0">
      <protection hidden="1"/>
    </xf>
    <xf numFmtId="0" fontId="70" fillId="37"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3" fontId="71" fillId="0" borderId="0" applyFill="0" applyBorder="0" applyProtection="0">
      <alignment horizontal="right"/>
    </xf>
    <xf numFmtId="176" fontId="22" fillId="0" borderId="0" applyFont="0" applyFill="0" applyBorder="0" applyAlignment="0" applyProtection="0"/>
    <xf numFmtId="177" fontId="72" fillId="0" borderId="0" applyFill="0" applyBorder="0" applyAlignment="0"/>
    <xf numFmtId="0" fontId="73" fillId="49" borderId="22" applyNumberFormat="0" applyAlignment="0" applyProtection="0"/>
    <xf numFmtId="0" fontId="73" fillId="49"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4" fillId="42" borderId="22" applyNumberFormat="0" applyAlignment="0" applyProtection="0"/>
    <xf numFmtId="0" fontId="75" fillId="46" borderId="23" applyNumberFormat="0" applyAlignment="0" applyProtection="0"/>
    <xf numFmtId="0" fontId="75" fillId="71" borderId="23" applyNumberFormat="0" applyAlignment="0" applyProtection="0"/>
    <xf numFmtId="0" fontId="75" fillId="71" borderId="23" applyNumberFormat="0" applyAlignment="0" applyProtection="0"/>
    <xf numFmtId="0" fontId="75" fillId="71" borderId="23" applyNumberFormat="0" applyAlignment="0" applyProtection="0"/>
    <xf numFmtId="0" fontId="75" fillId="71" borderId="23" applyNumberFormat="0" applyAlignment="0" applyProtection="0"/>
    <xf numFmtId="0" fontId="75" fillId="71" borderId="23" applyNumberFormat="0" applyAlignment="0" applyProtection="0"/>
    <xf numFmtId="49" fontId="22" fillId="0" borderId="21"/>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77" fillId="0" borderId="0" applyNumberFormat="0" applyAlignment="0">
      <alignment horizontal="left"/>
    </xf>
    <xf numFmtId="180" fontId="22" fillId="0" borderId="0" applyFont="0" applyFill="0" applyBorder="0" applyAlignment="0" applyProtection="0"/>
    <xf numFmtId="181" fontId="78" fillId="0" borderId="0" applyFont="0" applyFill="0" applyBorder="0" applyAlignment="0" applyProtection="0"/>
    <xf numFmtId="44" fontId="66" fillId="0" borderId="0" applyFont="0" applyFill="0" applyBorder="0" applyAlignment="0" applyProtection="0"/>
    <xf numFmtId="0" fontId="13" fillId="43" borderId="0" applyNumberFormat="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3" fillId="40" borderId="0" applyNumberFormat="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79"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5" fontId="80" fillId="0" borderId="0" applyFont="0" applyFill="0" applyBorder="0" applyAlignment="0" applyProtection="0"/>
    <xf numFmtId="183" fontId="26" fillId="0" borderId="0" applyFont="0" applyFill="0" applyBorder="0" applyAlignment="0" applyProtection="0"/>
    <xf numFmtId="14" fontId="22" fillId="0" borderId="0" applyFont="0" applyFill="0" applyBorder="0" applyAlignment="0" applyProtection="0"/>
    <xf numFmtId="6" fontId="81" fillId="0" borderId="0">
      <protection locked="0"/>
    </xf>
    <xf numFmtId="6" fontId="81" fillId="0" borderId="0">
      <protection locked="0"/>
    </xf>
    <xf numFmtId="184" fontId="22" fillId="72" borderId="0">
      <alignment horizontal="center"/>
    </xf>
    <xf numFmtId="0" fontId="22" fillId="0" borderId="21"/>
    <xf numFmtId="185" fontId="60" fillId="0" borderId="0">
      <alignment horizontal="right"/>
      <protection locked="0"/>
    </xf>
    <xf numFmtId="0" fontId="82" fillId="0" borderId="0" applyNumberFormat="0" applyAlignment="0">
      <alignment horizontal="left"/>
    </xf>
    <xf numFmtId="186"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21">
      <alignment horizontal="left"/>
    </xf>
    <xf numFmtId="2" fontId="22" fillId="0" borderId="0" applyFont="0" applyFill="0" applyBorder="0" applyAlignment="0" applyProtection="0"/>
    <xf numFmtId="191" fontId="22" fillId="0" borderId="0">
      <protection locked="0"/>
    </xf>
    <xf numFmtId="191" fontId="22" fillId="0" borderId="0">
      <protection locked="0"/>
    </xf>
    <xf numFmtId="191" fontId="22" fillId="0" borderId="0">
      <protection locked="0"/>
    </xf>
    <xf numFmtId="38" fontId="84" fillId="0" borderId="24">
      <alignment horizontal="right"/>
    </xf>
    <xf numFmtId="171" fontId="78" fillId="0" borderId="0" applyFont="0" applyFill="0" applyBorder="0" applyAlignment="0" applyProtection="0"/>
    <xf numFmtId="192" fontId="22" fillId="0" borderId="0" applyFont="0" applyFill="0" applyBorder="0" applyAlignment="0" applyProtection="0">
      <alignment horizontal="center"/>
    </xf>
    <xf numFmtId="193" fontId="22" fillId="0" borderId="0" applyFont="0" applyFill="0" applyBorder="0" applyAlignment="0" applyProtection="0"/>
    <xf numFmtId="194" fontId="85" fillId="0" borderId="0" applyFont="0" applyFill="0" applyBorder="0" applyAlignment="0" applyProtection="0"/>
    <xf numFmtId="195" fontId="22" fillId="0" borderId="0" applyFont="0" applyFill="0" applyBorder="0" applyAlignment="0" applyProtection="0"/>
    <xf numFmtId="196" fontId="85" fillId="0" borderId="0" applyFont="0" applyFill="0" applyBorder="0" applyAlignment="0" applyProtection="0"/>
    <xf numFmtId="0" fontId="22" fillId="0" borderId="0" applyFont="0" applyFill="0" applyBorder="0"/>
    <xf numFmtId="0" fontId="86" fillId="39"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38" fontId="84" fillId="74" borderId="0" applyNumberFormat="0" applyBorder="0" applyAlignment="0" applyProtection="0"/>
    <xf numFmtId="38" fontId="84" fillId="74" borderId="0" applyNumberFormat="0" applyBorder="0" applyAlignment="0" applyProtection="0"/>
    <xf numFmtId="38" fontId="84" fillId="74" borderId="0" applyNumberFormat="0" applyBorder="0" applyAlignment="0" applyProtection="0"/>
    <xf numFmtId="0" fontId="87" fillId="0" borderId="0" applyNumberFormat="0" applyFill="0" applyBorder="0" applyAlignment="0" applyProtection="0"/>
    <xf numFmtId="0" fontId="34" fillId="0" borderId="25" applyNumberFormat="0" applyAlignment="0" applyProtection="0">
      <alignment horizontal="left" vertical="center"/>
    </xf>
    <xf numFmtId="0" fontId="34" fillId="0" borderId="9">
      <alignment horizontal="left" vertical="center"/>
    </xf>
    <xf numFmtId="0" fontId="34" fillId="0" borderId="9">
      <alignment horizontal="left" vertical="center"/>
    </xf>
    <xf numFmtId="0" fontId="88" fillId="0" borderId="0" applyNumberFormat="0" applyFont="0" applyFill="0" applyBorder="0" applyProtection="0"/>
    <xf numFmtId="0" fontId="89" fillId="0" borderId="26"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34" fillId="0" borderId="0" applyNumberFormat="0" applyFont="0" applyFill="0" applyBorder="0" applyProtection="0"/>
    <xf numFmtId="0" fontId="91" fillId="0" borderId="28" applyNumberFormat="0" applyFill="0" applyAlignment="0" applyProtection="0"/>
    <xf numFmtId="0" fontId="91" fillId="0" borderId="28"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97" fontId="22" fillId="0" borderId="0">
      <protection locked="0"/>
    </xf>
    <xf numFmtId="197" fontId="22" fillId="0" borderId="0">
      <protection locked="0"/>
    </xf>
    <xf numFmtId="197" fontId="22" fillId="0" borderId="0">
      <protection locked="0"/>
    </xf>
    <xf numFmtId="197" fontId="22" fillId="0" borderId="0">
      <protection locked="0"/>
    </xf>
    <xf numFmtId="197" fontId="22" fillId="0" borderId="0">
      <protection locked="0"/>
    </xf>
    <xf numFmtId="197" fontId="22" fillId="0" borderId="0">
      <protection locked="0"/>
    </xf>
    <xf numFmtId="197" fontId="22" fillId="0" borderId="0">
      <protection locked="0"/>
    </xf>
    <xf numFmtId="197" fontId="22" fillId="0" borderId="0">
      <protection locked="0"/>
    </xf>
    <xf numFmtId="198" fontId="22" fillId="0" borderId="0" applyFont="0" applyFill="0" applyBorder="0" applyAlignment="0" applyProtection="0">
      <alignment horizontal="center"/>
    </xf>
    <xf numFmtId="0" fontId="95" fillId="0" borderId="32" applyNumberFormat="0" applyFill="0" applyAlignment="0" applyProtection="0"/>
    <xf numFmtId="39" fontId="96" fillId="0" borderId="0">
      <protection locked="0"/>
    </xf>
    <xf numFmtId="199" fontId="96" fillId="0" borderId="0"/>
    <xf numFmtId="10" fontId="84" fillId="75" borderId="1" applyNumberFormat="0" applyBorder="0" applyAlignment="0" applyProtection="0"/>
    <xf numFmtId="10" fontId="84" fillId="75" borderId="1" applyNumberFormat="0" applyBorder="0" applyAlignment="0" applyProtection="0"/>
    <xf numFmtId="10" fontId="84" fillId="75" borderId="1" applyNumberFormat="0" applyBorder="0" applyAlignment="0" applyProtection="0"/>
    <xf numFmtId="10" fontId="84" fillId="75" borderId="1" applyNumberFormat="0" applyBorder="0" applyAlignment="0" applyProtection="0"/>
    <xf numFmtId="10" fontId="84" fillId="75" borderId="1" applyNumberFormat="0" applyBorder="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0" fontId="97" fillId="44" borderId="22" applyNumberFormat="0" applyAlignment="0" applyProtection="0"/>
    <xf numFmtId="200" fontId="26" fillId="0" borderId="0" applyFont="0" applyFill="0" applyBorder="0" applyAlignment="0" applyProtection="0">
      <alignment horizontal="left" indent="1"/>
    </xf>
    <xf numFmtId="0" fontId="22" fillId="0" borderId="21">
      <alignment horizontal="left"/>
    </xf>
    <xf numFmtId="0" fontId="22" fillId="76" borderId="21" applyNumberFormat="0">
      <alignment horizontal="left" vertical="top"/>
    </xf>
    <xf numFmtId="0" fontId="98" fillId="0" borderId="33"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0" fontId="99" fillId="0" borderId="34" applyNumberFormat="0" applyFill="0" applyAlignment="0" applyProtection="0"/>
    <xf numFmtId="201" fontId="22" fillId="0" borderId="0" applyFont="0" applyFill="0" applyBorder="0" applyAlignment="0" applyProtection="0"/>
    <xf numFmtId="202"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4" fillId="0" borderId="0"/>
    <xf numFmtId="0" fontId="22" fillId="0" borderId="21"/>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37" fontId="101" fillId="0" borderId="0"/>
    <xf numFmtId="204" fontId="102" fillId="0" borderId="0"/>
    <xf numFmtId="205" fontId="22" fillId="0" borderId="0"/>
    <xf numFmtId="205" fontId="22" fillId="0" borderId="0"/>
    <xf numFmtId="205" fontId="22" fillId="0" borderId="0"/>
    <xf numFmtId="199" fontId="103" fillId="0" borderId="0"/>
    <xf numFmtId="199" fontId="103" fillId="0" borderId="0"/>
    <xf numFmtId="199" fontId="103" fillId="0" borderId="0"/>
    <xf numFmtId="199" fontId="103" fillId="0" borderId="0"/>
    <xf numFmtId="199" fontId="103" fillId="0" borderId="0"/>
    <xf numFmtId="199" fontId="103" fillId="0" borderId="0"/>
    <xf numFmtId="199" fontId="103" fillId="0" borderId="0"/>
    <xf numFmtId="0" fontId="76" fillId="0" borderId="0"/>
    <xf numFmtId="0" fontId="13" fillId="40" borderId="0" applyNumberFormat="0" applyBorder="0" applyAlignment="0" applyProtection="0"/>
    <xf numFmtId="0" fontId="22" fillId="0" borderId="0"/>
    <xf numFmtId="0" fontId="22" fillId="0" borderId="0"/>
    <xf numFmtId="0" fontId="22" fillId="0" borderId="0"/>
    <xf numFmtId="0" fontId="79" fillId="0" borderId="0"/>
    <xf numFmtId="0" fontId="79" fillId="0" borderId="0"/>
    <xf numFmtId="0" fontId="76" fillId="0" borderId="0"/>
    <xf numFmtId="0" fontId="22" fillId="0" borderId="0"/>
    <xf numFmtId="0" fontId="22" fillId="0" borderId="0"/>
    <xf numFmtId="0" fontId="22" fillId="0" borderId="0"/>
    <xf numFmtId="0" fontId="104" fillId="0" borderId="0"/>
    <xf numFmtId="0" fontId="66" fillId="0" borderId="0"/>
    <xf numFmtId="0" fontId="66" fillId="0" borderId="0"/>
    <xf numFmtId="0" fontId="22" fillId="0" borderId="0"/>
    <xf numFmtId="0" fontId="22" fillId="0" borderId="0"/>
    <xf numFmtId="0" fontId="66" fillId="0" borderId="0"/>
    <xf numFmtId="0" fontId="66" fillId="0" borderId="0"/>
    <xf numFmtId="0" fontId="22" fillId="0" borderId="0"/>
    <xf numFmtId="0" fontId="66" fillId="0" borderId="0"/>
    <xf numFmtId="0" fontId="66" fillId="0" borderId="0"/>
    <xf numFmtId="0" fontId="22" fillId="0" borderId="0"/>
    <xf numFmtId="0" fontId="66" fillId="0" borderId="0"/>
    <xf numFmtId="0" fontId="66" fillId="0" borderId="0"/>
    <xf numFmtId="0" fontId="22" fillId="0" borderId="0"/>
    <xf numFmtId="0" fontId="104" fillId="0" borderId="0"/>
    <xf numFmtId="0" fontId="104" fillId="0" borderId="0"/>
    <xf numFmtId="0" fontId="22" fillId="0" borderId="0"/>
    <xf numFmtId="0" fontId="22" fillId="0" borderId="0"/>
    <xf numFmtId="0" fontId="26" fillId="0" borderId="0"/>
    <xf numFmtId="0" fontId="26" fillId="0" borderId="0"/>
    <xf numFmtId="0" fontId="76" fillId="0" borderId="0"/>
    <xf numFmtId="0" fontId="22" fillId="0" borderId="0"/>
    <xf numFmtId="0" fontId="13" fillId="40"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66" fillId="0" borderId="0"/>
    <xf numFmtId="0" fontId="22" fillId="0" borderId="0"/>
    <xf numFmtId="0" fontId="13" fillId="0" borderId="0"/>
    <xf numFmtId="0" fontId="79" fillId="0" borderId="0"/>
    <xf numFmtId="0" fontId="79" fillId="0" borderId="0"/>
    <xf numFmtId="0" fontId="22" fillId="0" borderId="0"/>
    <xf numFmtId="0" fontId="13" fillId="0" borderId="0"/>
    <xf numFmtId="0" fontId="13" fillId="0" borderId="0"/>
    <xf numFmtId="0" fontId="22" fillId="0" borderId="0"/>
    <xf numFmtId="0" fontId="13" fillId="0" borderId="0"/>
    <xf numFmtId="0" fontId="13" fillId="0" borderId="0"/>
    <xf numFmtId="0" fontId="22" fillId="0" borderId="0"/>
    <xf numFmtId="0" fontId="13" fillId="0" borderId="0"/>
    <xf numFmtId="0" fontId="13" fillId="0" borderId="0"/>
    <xf numFmtId="0" fontId="13" fillId="0" borderId="0"/>
    <xf numFmtId="0" fontId="26" fillId="0" borderId="0"/>
    <xf numFmtId="0" fontId="13" fillId="0" borderId="0"/>
    <xf numFmtId="0" fontId="13" fillId="40"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13" fillId="0" borderId="0"/>
    <xf numFmtId="0" fontId="22" fillId="0" borderId="0"/>
    <xf numFmtId="0" fontId="22" fillId="0" borderId="0"/>
    <xf numFmtId="0" fontId="76" fillId="0" borderId="0"/>
    <xf numFmtId="0" fontId="13"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22" fillId="0" borderId="0"/>
    <xf numFmtId="0" fontId="66"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76" fillId="0" borderId="0"/>
    <xf numFmtId="0" fontId="22" fillId="0" borderId="0"/>
    <xf numFmtId="0" fontId="22" fillId="0" borderId="0"/>
    <xf numFmtId="0" fontId="13" fillId="0" borderId="0"/>
    <xf numFmtId="0" fontId="22" fillId="40" borderId="35"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0" fontId="22" fillId="40" borderId="22" applyNumberFormat="0" applyFont="0" applyAlignment="0" applyProtection="0"/>
    <xf numFmtId="49" fontId="105" fillId="0" borderId="0" applyAlignment="0">
      <alignment horizontal="left" vertical="top"/>
    </xf>
    <xf numFmtId="0" fontId="106" fillId="49" borderId="36" applyNumberFormat="0" applyAlignment="0" applyProtection="0"/>
    <xf numFmtId="0" fontId="106" fillId="49"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0" fontId="106" fillId="42" borderId="36" applyNumberFormat="0" applyAlignment="0" applyProtection="0"/>
    <xf numFmtId="8" fontId="22" fillId="0" borderId="21"/>
    <xf numFmtId="172" fontId="22" fillId="0" borderId="21">
      <alignment horizontal="right"/>
    </xf>
    <xf numFmtId="199" fontId="107" fillId="0" borderId="3">
      <alignment vertical="center"/>
    </xf>
    <xf numFmtId="10" fontId="22" fillId="0" borderId="21"/>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76"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6"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6" fontId="108" fillId="0" borderId="0" applyProtection="0"/>
    <xf numFmtId="207" fontId="22" fillId="0" borderId="21">
      <alignment horizontal="center"/>
    </xf>
    <xf numFmtId="0" fontId="109" fillId="0" borderId="21" applyNumberFormat="0" applyFill="0" applyBorder="0" applyAlignment="0" applyProtection="0">
      <protection hidden="1"/>
    </xf>
    <xf numFmtId="0" fontId="110" fillId="0" borderId="0" applyNumberFormat="0" applyFill="0" applyBorder="0" applyAlignment="0"/>
    <xf numFmtId="208" fontId="71" fillId="0" borderId="0" applyFill="0" applyBorder="0" applyProtection="0">
      <alignment horizontal="right"/>
    </xf>
    <xf numFmtId="14" fontId="111" fillId="0" borderId="0" applyNumberFormat="0" applyFill="0" applyBorder="0" applyAlignment="0" applyProtection="0">
      <alignment horizontal="left"/>
    </xf>
    <xf numFmtId="0" fontId="22" fillId="0" borderId="0"/>
    <xf numFmtId="8" fontId="22" fillId="0" borderId="21"/>
    <xf numFmtId="4" fontId="72" fillId="78" borderId="36" applyNumberFormat="0" applyProtection="0">
      <alignment vertical="center"/>
    </xf>
    <xf numFmtId="4" fontId="112" fillId="79" borderId="1" applyNumberFormat="0" applyProtection="0">
      <alignment horizontal="right" vertical="center" wrapText="1"/>
    </xf>
    <xf numFmtId="4" fontId="112" fillId="79" borderId="1" applyNumberFormat="0" applyProtection="0">
      <alignment horizontal="right" vertical="center" wrapText="1"/>
    </xf>
    <xf numFmtId="4" fontId="113" fillId="78" borderId="37" applyNumberFormat="0" applyProtection="0">
      <alignment vertical="center"/>
    </xf>
    <xf numFmtId="4" fontId="113" fillId="78" borderId="37" applyNumberFormat="0" applyProtection="0">
      <alignment vertical="center"/>
    </xf>
    <xf numFmtId="4" fontId="114" fillId="80" borderId="28">
      <alignment vertical="center"/>
    </xf>
    <xf numFmtId="4" fontId="115" fillId="80" borderId="28">
      <alignment vertical="center"/>
    </xf>
    <xf numFmtId="4" fontId="114" fillId="81" borderId="28">
      <alignment vertical="center"/>
    </xf>
    <xf numFmtId="4" fontId="115" fillId="81" borderId="28">
      <alignment vertical="center"/>
    </xf>
    <xf numFmtId="4" fontId="112" fillId="79" borderId="1" applyNumberFormat="0" applyProtection="0">
      <alignment horizontal="left" vertical="center" indent="1"/>
    </xf>
    <xf numFmtId="0" fontId="116" fillId="78" borderId="37" applyNumberFormat="0" applyProtection="0">
      <alignment horizontal="left" vertical="top" indent="1"/>
    </xf>
    <xf numFmtId="0" fontId="116" fillId="78" borderId="37" applyNumberFormat="0" applyProtection="0">
      <alignment horizontal="left" vertical="top" indent="1"/>
    </xf>
    <xf numFmtId="4" fontId="117" fillId="82" borderId="1" applyNumberFormat="0" applyProtection="0">
      <alignment horizontal="left" vertical="center"/>
    </xf>
    <xf numFmtId="4" fontId="117" fillId="82" borderId="1" applyNumberFormat="0" applyProtection="0">
      <alignment horizontal="left" vertical="center"/>
    </xf>
    <xf numFmtId="4" fontId="117" fillId="82" borderId="1" applyNumberFormat="0" applyProtection="0">
      <alignment horizontal="left" vertical="center"/>
    </xf>
    <xf numFmtId="4" fontId="118" fillId="83" borderId="1" applyNumberFormat="0">
      <alignment horizontal="right" vertical="center"/>
    </xf>
    <xf numFmtId="4" fontId="72" fillId="37" borderId="37" applyNumberFormat="0" applyProtection="0">
      <alignment horizontal="right" vertical="center"/>
    </xf>
    <xf numFmtId="4" fontId="72" fillId="37" borderId="37" applyNumberFormat="0" applyProtection="0">
      <alignment horizontal="right" vertical="center"/>
    </xf>
    <xf numFmtId="4" fontId="72" fillId="38" borderId="37" applyNumberFormat="0" applyProtection="0">
      <alignment horizontal="right" vertical="center"/>
    </xf>
    <xf numFmtId="4" fontId="72" fillId="38" borderId="37" applyNumberFormat="0" applyProtection="0">
      <alignment horizontal="right" vertical="center"/>
    </xf>
    <xf numFmtId="4" fontId="72" fillId="62" borderId="37" applyNumberFormat="0" applyProtection="0">
      <alignment horizontal="right" vertical="center"/>
    </xf>
    <xf numFmtId="4" fontId="72" fillId="62" borderId="37" applyNumberFormat="0" applyProtection="0">
      <alignment horizontal="right" vertical="center"/>
    </xf>
    <xf numFmtId="4" fontId="72" fillId="50" borderId="37" applyNumberFormat="0" applyProtection="0">
      <alignment horizontal="right" vertical="center"/>
    </xf>
    <xf numFmtId="4" fontId="72" fillId="50" borderId="37" applyNumberFormat="0" applyProtection="0">
      <alignment horizontal="right" vertical="center"/>
    </xf>
    <xf numFmtId="4" fontId="72" fillId="54" borderId="37" applyNumberFormat="0" applyProtection="0">
      <alignment horizontal="right" vertical="center"/>
    </xf>
    <xf numFmtId="4" fontId="72" fillId="54" borderId="37" applyNumberFormat="0" applyProtection="0">
      <alignment horizontal="right" vertical="center"/>
    </xf>
    <xf numFmtId="4" fontId="72" fillId="69" borderId="37" applyNumberFormat="0" applyProtection="0">
      <alignment horizontal="right" vertical="center"/>
    </xf>
    <xf numFmtId="4" fontId="72" fillId="69" borderId="37" applyNumberFormat="0" applyProtection="0">
      <alignment horizontal="right" vertical="center"/>
    </xf>
    <xf numFmtId="4" fontId="72" fillId="48" borderId="37" applyNumberFormat="0" applyProtection="0">
      <alignment horizontal="right" vertical="center"/>
    </xf>
    <xf numFmtId="4" fontId="72" fillId="48" borderId="37" applyNumberFormat="0" applyProtection="0">
      <alignment horizontal="right" vertical="center"/>
    </xf>
    <xf numFmtId="4" fontId="72" fillId="73" borderId="37" applyNumberFormat="0" applyProtection="0">
      <alignment horizontal="right" vertical="center"/>
    </xf>
    <xf numFmtId="4" fontId="72" fillId="73" borderId="37" applyNumberFormat="0" applyProtection="0">
      <alignment horizontal="right" vertical="center"/>
    </xf>
    <xf numFmtId="4" fontId="72" fillId="47" borderId="37" applyNumberFormat="0" applyProtection="0">
      <alignment horizontal="right" vertical="center"/>
    </xf>
    <xf numFmtId="4" fontId="72" fillId="47" borderId="37" applyNumberFormat="0" applyProtection="0">
      <alignment horizontal="right" vertical="center"/>
    </xf>
    <xf numFmtId="4" fontId="116" fillId="0" borderId="1" applyNumberFormat="0" applyProtection="0">
      <alignment horizontal="left" vertical="center" indent="1"/>
    </xf>
    <xf numFmtId="4" fontId="72" fillId="0" borderId="1" applyNumberFormat="0" applyProtection="0">
      <alignment horizontal="left" vertical="center" indent="1"/>
    </xf>
    <xf numFmtId="4" fontId="119" fillId="84" borderId="0" applyNumberFormat="0" applyProtection="0">
      <alignment horizontal="left" vertical="center" indent="1"/>
    </xf>
    <xf numFmtId="4" fontId="120" fillId="49" borderId="37" applyNumberFormat="0" applyProtection="0">
      <alignment horizontal="center" vertical="center"/>
    </xf>
    <xf numFmtId="4" fontId="120" fillId="49" borderId="37" applyNumberFormat="0" applyProtection="0">
      <alignment horizontal="center" vertical="center"/>
    </xf>
    <xf numFmtId="4" fontId="121" fillId="76" borderId="38">
      <alignment horizontal="left" vertical="center" indent="1"/>
    </xf>
    <xf numFmtId="4" fontId="117" fillId="0" borderId="0" applyNumberFormat="0" applyProtection="0">
      <alignment horizontal="left" vertical="center" indent="1"/>
    </xf>
    <xf numFmtId="4" fontId="117" fillId="0" borderId="0" applyNumberFormat="0" applyProtection="0">
      <alignment horizontal="left" vertical="center" indent="1"/>
    </xf>
    <xf numFmtId="4" fontId="117" fillId="0" borderId="0" applyNumberFormat="0" applyProtection="0">
      <alignment horizontal="left" vertical="center" indent="1"/>
    </xf>
    <xf numFmtId="4" fontId="117" fillId="0" borderId="0" applyNumberFormat="0" applyProtection="0">
      <alignment horizontal="left" vertical="center" indent="1"/>
    </xf>
    <xf numFmtId="4" fontId="117" fillId="0" borderId="0" applyNumberFormat="0" applyProtection="0">
      <alignment horizontal="left" vertical="center" indent="1"/>
    </xf>
    <xf numFmtId="4" fontId="117" fillId="0" borderId="0" applyNumberFormat="0" applyProtection="0">
      <alignment horizontal="left" vertical="center" indent="1"/>
    </xf>
    <xf numFmtId="0" fontId="117" fillId="85" borderId="1" applyNumberFormat="0" applyProtection="0">
      <alignment horizontal="left" vertical="center" indent="2"/>
    </xf>
    <xf numFmtId="0" fontId="117" fillId="85" borderId="1" applyNumberFormat="0" applyProtection="0">
      <alignment horizontal="left" vertical="center" indent="2"/>
    </xf>
    <xf numFmtId="0" fontId="117" fillId="85" borderId="1" applyNumberFormat="0" applyProtection="0">
      <alignment horizontal="left" vertical="center" indent="2"/>
    </xf>
    <xf numFmtId="0" fontId="22" fillId="84" borderId="37" applyNumberFormat="0" applyProtection="0">
      <alignment horizontal="left" vertical="top" indent="1"/>
    </xf>
    <xf numFmtId="0" fontId="22" fillId="84" borderId="37" applyNumberFormat="0" applyProtection="0">
      <alignment horizontal="left" vertical="top" indent="1"/>
    </xf>
    <xf numFmtId="0" fontId="22" fillId="84" borderId="37" applyNumberFormat="0" applyProtection="0">
      <alignment horizontal="left" vertical="top" indent="1"/>
    </xf>
    <xf numFmtId="0" fontId="22" fillId="84" borderId="37" applyNumberFormat="0" applyProtection="0">
      <alignment horizontal="left" vertical="top" indent="1"/>
    </xf>
    <xf numFmtId="0" fontId="22" fillId="84" borderId="37" applyNumberFormat="0" applyProtection="0">
      <alignment horizontal="left" vertical="top" indent="1"/>
    </xf>
    <xf numFmtId="0" fontId="22" fillId="84" borderId="37" applyNumberFormat="0" applyProtection="0">
      <alignment horizontal="left" vertical="top" indent="1"/>
    </xf>
    <xf numFmtId="0" fontId="22" fillId="84" borderId="37" applyNumberFormat="0" applyProtection="0">
      <alignment horizontal="left" vertical="top" indent="1"/>
    </xf>
    <xf numFmtId="0" fontId="104" fillId="0" borderId="1" applyNumberFormat="0" applyProtection="0">
      <alignment horizontal="left" vertical="center" indent="2"/>
    </xf>
    <xf numFmtId="0" fontId="22" fillId="86" borderId="37" applyNumberFormat="0" applyProtection="0">
      <alignment horizontal="left" vertical="top" indent="1"/>
    </xf>
    <xf numFmtId="0" fontId="22" fillId="86" borderId="37" applyNumberFormat="0" applyProtection="0">
      <alignment horizontal="left" vertical="top" indent="1"/>
    </xf>
    <xf numFmtId="0" fontId="22" fillId="86" borderId="37" applyNumberFormat="0" applyProtection="0">
      <alignment horizontal="left" vertical="top" indent="1"/>
    </xf>
    <xf numFmtId="0" fontId="22" fillId="86" borderId="37" applyNumberFormat="0" applyProtection="0">
      <alignment horizontal="left" vertical="top" indent="1"/>
    </xf>
    <xf numFmtId="0" fontId="22" fillId="86" borderId="37" applyNumberFormat="0" applyProtection="0">
      <alignment horizontal="left" vertical="top" indent="1"/>
    </xf>
    <xf numFmtId="0" fontId="22" fillId="86" borderId="37" applyNumberFormat="0" applyProtection="0">
      <alignment horizontal="left" vertical="top" indent="1"/>
    </xf>
    <xf numFmtId="0" fontId="22" fillId="86" borderId="37" applyNumberFormat="0" applyProtection="0">
      <alignment horizontal="left" vertical="top" indent="1"/>
    </xf>
    <xf numFmtId="0" fontId="104" fillId="0" borderId="1" applyNumberFormat="0" applyProtection="0">
      <alignment horizontal="left" vertical="center" indent="2"/>
    </xf>
    <xf numFmtId="0" fontId="22" fillId="70" borderId="37" applyNumberFormat="0" applyProtection="0">
      <alignment horizontal="left" vertical="top" indent="1"/>
    </xf>
    <xf numFmtId="0" fontId="22" fillId="70" borderId="37" applyNumberFormat="0" applyProtection="0">
      <alignment horizontal="left" vertical="top" indent="1"/>
    </xf>
    <xf numFmtId="0" fontId="22" fillId="70" borderId="37" applyNumberFormat="0" applyProtection="0">
      <alignment horizontal="left" vertical="top" indent="1"/>
    </xf>
    <xf numFmtId="0" fontId="22" fillId="70" borderId="37" applyNumberFormat="0" applyProtection="0">
      <alignment horizontal="left" vertical="top" indent="1"/>
    </xf>
    <xf numFmtId="0" fontId="22" fillId="70" borderId="37" applyNumberFormat="0" applyProtection="0">
      <alignment horizontal="left" vertical="top" indent="1"/>
    </xf>
    <xf numFmtId="0" fontId="22" fillId="70" borderId="37" applyNumberFormat="0" applyProtection="0">
      <alignment horizontal="left" vertical="top" indent="1"/>
    </xf>
    <xf numFmtId="0" fontId="22" fillId="70" borderId="37" applyNumberFormat="0" applyProtection="0">
      <alignment horizontal="left" vertical="top" indent="1"/>
    </xf>
    <xf numFmtId="0" fontId="104" fillId="0" borderId="1" applyNumberFormat="0" applyProtection="0">
      <alignment horizontal="left" vertical="center" indent="2"/>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7" borderId="37" applyNumberFormat="0" applyProtection="0">
      <alignment horizontal="left" vertical="top" indent="1"/>
    </xf>
    <xf numFmtId="0" fontId="22" fillId="88" borderId="1" applyNumberFormat="0">
      <protection locked="0"/>
    </xf>
    <xf numFmtId="0" fontId="22" fillId="88" borderId="1" applyNumberFormat="0">
      <protection locked="0"/>
    </xf>
    <xf numFmtId="0" fontId="22" fillId="88" borderId="1" applyNumberFormat="0">
      <protection locked="0"/>
    </xf>
    <xf numFmtId="0" fontId="22" fillId="88" borderId="1" applyNumberFormat="0">
      <protection locked="0"/>
    </xf>
    <xf numFmtId="4" fontId="72" fillId="75" borderId="37" applyNumberFormat="0" applyProtection="0">
      <alignment vertical="center"/>
    </xf>
    <xf numFmtId="4" fontId="72" fillId="75" borderId="37" applyNumberFormat="0" applyProtection="0">
      <alignment vertical="center"/>
    </xf>
    <xf numFmtId="4" fontId="122" fillId="75" borderId="37" applyNumberFormat="0" applyProtection="0">
      <alignment vertical="center"/>
    </xf>
    <xf numFmtId="4" fontId="122" fillId="75" borderId="37" applyNumberFormat="0" applyProtection="0">
      <alignment vertical="center"/>
    </xf>
    <xf numFmtId="4" fontId="123" fillId="80" borderId="38">
      <alignment vertical="center"/>
    </xf>
    <xf numFmtId="4" fontId="124" fillId="80" borderId="38">
      <alignment vertical="center"/>
    </xf>
    <xf numFmtId="4" fontId="123" fillId="81" borderId="38">
      <alignment vertical="center"/>
    </xf>
    <xf numFmtId="4" fontId="124" fillId="81" borderId="38">
      <alignment vertical="center"/>
    </xf>
    <xf numFmtId="4" fontId="108" fillId="0" borderId="0" applyNumberFormat="0" applyProtection="0">
      <alignment horizontal="left" vertical="center" indent="1"/>
    </xf>
    <xf numFmtId="0" fontId="72" fillId="75" borderId="37" applyNumberFormat="0" applyProtection="0">
      <alignment horizontal="left" vertical="top" indent="1"/>
    </xf>
    <xf numFmtId="0" fontId="72" fillId="75" borderId="37" applyNumberFormat="0" applyProtection="0">
      <alignment horizontal="left" vertical="top" indent="1"/>
    </xf>
    <xf numFmtId="0" fontId="118" fillId="83" borderId="1" applyNumberFormat="0">
      <alignment horizontal="left" vertical="center"/>
    </xf>
    <xf numFmtId="4" fontId="84" fillId="0" borderId="1" applyNumberFormat="0" applyProtection="0">
      <alignment horizontal="left" vertical="center" indent="1"/>
    </xf>
    <xf numFmtId="4" fontId="72" fillId="89" borderId="36" applyNumberFormat="0" applyProtection="0">
      <alignment horizontal="right" vertical="center"/>
    </xf>
    <xf numFmtId="4" fontId="125" fillId="0" borderId="1" applyNumberFormat="0" applyProtection="0">
      <alignment horizontal="right" vertical="center" wrapText="1"/>
    </xf>
    <xf numFmtId="4" fontId="108" fillId="0" borderId="0" applyNumberFormat="0" applyProtection="0">
      <alignment horizontal="right" vertical="center" wrapText="1"/>
    </xf>
    <xf numFmtId="4" fontId="122" fillId="90" borderId="37" applyNumberFormat="0" applyProtection="0">
      <alignment horizontal="right" vertical="center"/>
    </xf>
    <xf numFmtId="4" fontId="122" fillId="90" borderId="37" applyNumberFormat="0" applyProtection="0">
      <alignment horizontal="right" vertical="center"/>
    </xf>
    <xf numFmtId="4" fontId="126" fillId="80" borderId="38">
      <alignment vertical="center"/>
    </xf>
    <xf numFmtId="4" fontId="127" fillId="80" borderId="38">
      <alignment vertical="center"/>
    </xf>
    <xf numFmtId="4" fontId="126" fillId="81" borderId="38">
      <alignment vertical="center"/>
    </xf>
    <xf numFmtId="4" fontId="127" fillId="91" borderId="38">
      <alignment vertical="center"/>
    </xf>
    <xf numFmtId="4" fontId="125" fillId="0" borderId="1" applyNumberFormat="0" applyProtection="0">
      <alignment horizontal="left" vertical="center" indent="1"/>
    </xf>
    <xf numFmtId="4" fontId="125" fillId="0" borderId="1" applyNumberFormat="0" applyProtection="0">
      <alignment horizontal="left" vertical="center" indent="1"/>
    </xf>
    <xf numFmtId="4" fontId="108" fillId="0" borderId="0" applyNumberFormat="0" applyProtection="0">
      <alignment horizontal="left" vertical="center" indent="1"/>
    </xf>
    <xf numFmtId="0" fontId="117" fillId="92" borderId="1" applyNumberFormat="0" applyProtection="0">
      <alignment horizontal="center" vertical="top" wrapText="1"/>
    </xf>
    <xf numFmtId="0" fontId="117" fillId="92" borderId="1" applyNumberFormat="0" applyProtection="0">
      <alignment horizontal="center" vertical="top" wrapText="1"/>
    </xf>
    <xf numFmtId="0" fontId="117" fillId="92" borderId="1" applyNumberFormat="0" applyProtection="0">
      <alignment horizontal="center" vertical="top" wrapText="1"/>
    </xf>
    <xf numFmtId="4" fontId="128" fillId="76" borderId="39">
      <alignment vertical="center"/>
    </xf>
    <xf numFmtId="4" fontId="129" fillId="76" borderId="39">
      <alignment vertical="center"/>
    </xf>
    <xf numFmtId="4" fontId="114" fillId="80" borderId="39">
      <alignment vertical="center"/>
    </xf>
    <xf numFmtId="4" fontId="115" fillId="80" borderId="39">
      <alignment vertical="center"/>
    </xf>
    <xf numFmtId="4" fontId="114" fillId="81" borderId="38">
      <alignment vertical="center"/>
    </xf>
    <xf numFmtId="4" fontId="115" fillId="81" borderId="38">
      <alignment vertical="center"/>
    </xf>
    <xf numFmtId="4" fontId="130" fillId="75" borderId="39">
      <alignment horizontal="left" vertical="center" indent="1"/>
    </xf>
    <xf numFmtId="4" fontId="131" fillId="0" borderId="0" applyNumberFormat="0" applyProtection="0">
      <alignment vertical="center"/>
    </xf>
    <xf numFmtId="4" fontId="132" fillId="0" borderId="37" applyNumberFormat="0" applyProtection="0">
      <alignment horizontal="right" vertical="center"/>
    </xf>
    <xf numFmtId="4" fontId="132" fillId="0" borderId="37" applyNumberFormat="0" applyProtection="0">
      <alignment horizontal="right" vertical="center"/>
    </xf>
    <xf numFmtId="1" fontId="22" fillId="0" borderId="2" applyFill="0" applyBorder="0">
      <alignment horizontal="center"/>
    </xf>
    <xf numFmtId="0" fontId="133" fillId="93" borderId="0"/>
    <xf numFmtId="49" fontId="134" fillId="93" borderId="0"/>
    <xf numFmtId="49" fontId="135" fillId="93" borderId="40"/>
    <xf numFmtId="49" fontId="135" fillId="93" borderId="0"/>
    <xf numFmtId="0" fontId="133" fillId="76" borderId="40">
      <protection locked="0"/>
    </xf>
    <xf numFmtId="0" fontId="133" fillId="93" borderId="0"/>
    <xf numFmtId="0" fontId="136" fillId="94" borderId="0"/>
    <xf numFmtId="0" fontId="136" fillId="95" borderId="0"/>
    <xf numFmtId="0" fontId="136" fillId="96" borderId="0"/>
    <xf numFmtId="0" fontId="137" fillId="0" borderId="0" applyNumberFormat="0" applyFill="0" applyBorder="0" applyAlignment="0" applyProtection="0"/>
    <xf numFmtId="199" fontId="138" fillId="0" borderId="41">
      <alignment horizontal="center"/>
    </xf>
    <xf numFmtId="199" fontId="138" fillId="0" borderId="41">
      <alignment horizontal="center"/>
    </xf>
    <xf numFmtId="0" fontId="22" fillId="0" borderId="21">
      <alignment horizontal="right"/>
    </xf>
    <xf numFmtId="49" fontId="22" fillId="0" borderId="21"/>
    <xf numFmtId="49" fontId="34" fillId="0" borderId="0" applyAlignment="0">
      <alignment horizontal="left" vertical="top"/>
    </xf>
    <xf numFmtId="0" fontId="60" fillId="0" borderId="0"/>
    <xf numFmtId="0" fontId="22" fillId="0" borderId="0"/>
    <xf numFmtId="0" fontId="139" fillId="0" borderId="0" applyNumberFormat="0" applyFont="0" applyFill="0" applyBorder="0" applyAlignment="0" applyProtection="0"/>
    <xf numFmtId="209" fontId="22" fillId="0" borderId="0" applyFill="0" applyBorder="0" applyAlignment="0" applyProtection="0">
      <alignment wrapText="1"/>
    </xf>
    <xf numFmtId="41" fontId="26" fillId="0" borderId="0" applyFont="0" applyFill="0" applyBorder="0" applyAlignment="0" applyProtection="0"/>
    <xf numFmtId="0" fontId="30" fillId="0" borderId="0" applyNumberFormat="0" applyFill="0" applyBorder="0">
      <alignment horizontal="center" wrapText="1"/>
    </xf>
    <xf numFmtId="0" fontId="30" fillId="0" borderId="0" applyNumberFormat="0" applyFill="0" applyBorder="0">
      <alignment horizontal="center" wrapText="1"/>
    </xf>
    <xf numFmtId="40" fontId="140" fillId="0" borderId="0" applyBorder="0">
      <alignment horizontal="right"/>
    </xf>
    <xf numFmtId="49" fontId="141" fillId="0" borderId="3">
      <alignment vertical="center"/>
    </xf>
    <xf numFmtId="49" fontId="34" fillId="0" borderId="0" applyFont="0" applyFill="0" applyBorder="0" applyAlignment="0" applyProtection="0"/>
    <xf numFmtId="210" fontId="34" fillId="0" borderId="0" applyFont="0" applyFill="0" applyBorder="0" applyAlignment="0" applyProtection="0"/>
    <xf numFmtId="211" fontId="26" fillId="0" borderId="0" applyFont="0" applyFill="0" applyBorder="0" applyAlignment="0" applyProtection="0"/>
    <xf numFmtId="0" fontId="142"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2" fillId="0" borderId="42" applyNumberFormat="0" applyFill="0" applyBorder="0" applyAlignment="0" applyProtection="0"/>
    <xf numFmtId="0" fontId="143" fillId="0" borderId="43" applyNumberFormat="0" applyFill="0" applyAlignment="0" applyProtection="0"/>
    <xf numFmtId="0" fontId="143" fillId="0" borderId="43" applyNumberFormat="0" applyFill="0" applyAlignment="0" applyProtection="0"/>
    <xf numFmtId="197" fontId="22" fillId="0" borderId="44">
      <protection locked="0"/>
    </xf>
    <xf numFmtId="197" fontId="22" fillId="0" borderId="44">
      <protection locked="0"/>
    </xf>
    <xf numFmtId="197" fontId="22" fillId="0" borderId="44">
      <protection locked="0"/>
    </xf>
    <xf numFmtId="197" fontId="22" fillId="0" borderId="44">
      <protection locked="0"/>
    </xf>
    <xf numFmtId="197" fontId="22" fillId="0" borderId="44">
      <protection locked="0"/>
    </xf>
    <xf numFmtId="37" fontId="84" fillId="78" borderId="0" applyNumberFormat="0" applyBorder="0" applyAlignment="0" applyProtection="0"/>
    <xf numFmtId="37" fontId="84" fillId="78" borderId="0" applyNumberFormat="0" applyBorder="0" applyAlignment="0" applyProtection="0"/>
    <xf numFmtId="37" fontId="84" fillId="78" borderId="0" applyNumberFormat="0" applyBorder="0" applyAlignment="0" applyProtection="0"/>
    <xf numFmtId="37" fontId="84" fillId="0" borderId="0"/>
    <xf numFmtId="3" fontId="144" fillId="0" borderId="32" applyProtection="0"/>
    <xf numFmtId="170" fontId="145" fillId="0" borderId="0" applyFont="0" applyFill="0" applyBorder="0" applyAlignment="0" applyProtection="0"/>
    <xf numFmtId="212" fontId="85" fillId="0" borderId="0" applyFont="0" applyFill="0" applyBorder="0" applyAlignment="0" applyProtection="0"/>
    <xf numFmtId="213" fontId="85" fillId="0" borderId="0" applyFont="0" applyFill="0" applyBorder="0" applyAlignment="0" applyProtection="0"/>
    <xf numFmtId="214" fontId="85" fillId="0" borderId="0" applyFont="0" applyFill="0" applyBorder="0" applyAlignment="0" applyProtection="0"/>
    <xf numFmtId="0" fontId="122" fillId="0" borderId="0" applyFill="0" applyBorder="0" applyAlignment="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2" fillId="0" borderId="2" applyNumberFormat="0" applyAlignment="0"/>
    <xf numFmtId="0" fontId="22" fillId="0" borderId="21" applyNumberFormat="0" applyAlignment="0"/>
    <xf numFmtId="0" fontId="22" fillId="0" borderId="45" applyNumberFormat="0" applyAlignment="0">
      <alignment horizontal="center"/>
    </xf>
    <xf numFmtId="0" fontId="22" fillId="0" borderId="45" applyNumberFormat="0" applyAlignment="0">
      <alignment horizontal="center"/>
    </xf>
    <xf numFmtId="0" fontId="30" fillId="97" borderId="0" applyBorder="0">
      <alignment horizontal="center"/>
    </xf>
    <xf numFmtId="0" fontId="22" fillId="78" borderId="0" applyBorder="0"/>
    <xf numFmtId="0" fontId="22" fillId="0" borderId="0" applyBorder="0"/>
    <xf numFmtId="208" fontId="30" fillId="98" borderId="0" applyBorder="0"/>
    <xf numFmtId="0" fontId="22" fillId="93" borderId="0" applyBorder="0"/>
    <xf numFmtId="0" fontId="22" fillId="83" borderId="0" applyBorder="0"/>
    <xf numFmtId="0" fontId="22" fillId="93" borderId="0" applyBorder="0">
      <alignment wrapText="1"/>
    </xf>
    <xf numFmtId="208" fontId="30" fillId="83" borderId="0" applyBorder="0"/>
    <xf numFmtId="208" fontId="30" fillId="99" borderId="0" applyBorder="0"/>
    <xf numFmtId="208" fontId="22" fillId="93" borderId="0" applyBorder="0"/>
    <xf numFmtId="0" fontId="22" fillId="100" borderId="0" applyBorder="0"/>
    <xf numFmtId="208" fontId="22" fillId="96" borderId="0" applyBorder="0"/>
    <xf numFmtId="0" fontId="22" fillId="94" borderId="0" applyBorder="0"/>
    <xf numFmtId="0" fontId="147" fillId="101" borderId="0" applyBorder="0"/>
    <xf numFmtId="0" fontId="30" fillId="99" borderId="0" applyNumberFormat="0" applyBorder="0" applyAlignment="0"/>
    <xf numFmtId="0" fontId="30" fillId="37" borderId="0" applyNumberFormat="0" applyBorder="0" applyAlignment="0"/>
    <xf numFmtId="0" fontId="30" fillId="46" borderId="0" applyNumberFormat="0" applyBorder="0" applyAlignment="0"/>
    <xf numFmtId="0" fontId="30" fillId="102" borderId="0" applyNumberFormat="0" applyBorder="0" applyAlignment="0"/>
    <xf numFmtId="0" fontId="30" fillId="103" borderId="0" applyNumberFormat="0" applyBorder="0" applyAlignment="0"/>
    <xf numFmtId="0" fontId="30" fillId="58" borderId="0" applyNumberFormat="0" applyBorder="0" applyAlignment="0"/>
    <xf numFmtId="0" fontId="30" fillId="104" borderId="0" applyNumberFormat="0" applyBorder="0" applyAlignment="0"/>
    <xf numFmtId="1" fontId="30" fillId="94" borderId="1" applyNumberFormat="0" applyAlignment="0">
      <alignment horizontal="center"/>
    </xf>
    <xf numFmtId="1" fontId="30" fillId="94" borderId="1" applyNumberFormat="0" applyAlignment="0">
      <alignment horizontal="center"/>
    </xf>
    <xf numFmtId="1" fontId="30" fillId="94" borderId="1" applyNumberFormat="0" applyAlignment="0">
      <alignment horizontal="center"/>
    </xf>
    <xf numFmtId="1" fontId="30" fillId="70" borderId="1" applyNumberFormat="0" applyAlignment="0">
      <alignment horizontal="left"/>
    </xf>
    <xf numFmtId="1" fontId="30" fillId="70" borderId="1" applyNumberFormat="0" applyAlignment="0">
      <alignment horizontal="left"/>
    </xf>
    <xf numFmtId="1" fontId="30" fillId="70" borderId="1" applyNumberFormat="0" applyAlignment="0">
      <alignment horizontal="left"/>
    </xf>
    <xf numFmtId="0" fontId="30" fillId="70" borderId="1" applyNumberFormat="0" applyAlignment="0"/>
    <xf numFmtId="0" fontId="30" fillId="70" borderId="1" applyNumberFormat="0" applyAlignment="0"/>
    <xf numFmtId="0" fontId="30" fillId="70" borderId="1" applyNumberFormat="0" applyAlignment="0"/>
    <xf numFmtId="1" fontId="22" fillId="0" borderId="0" applyFont="0" applyFill="0" applyBorder="0">
      <alignment horizontal="center"/>
    </xf>
    <xf numFmtId="0" fontId="148" fillId="0" borderId="0" applyFill="0" applyBorder="0" applyAlignment="0" applyProtection="0"/>
    <xf numFmtId="49" fontId="22" fillId="54" borderId="21">
      <alignment horizontal="center"/>
    </xf>
    <xf numFmtId="0" fontId="149" fillId="0" borderId="0"/>
    <xf numFmtId="9" fontId="26" fillId="0" borderId="0" applyFont="0" applyFill="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9" borderId="0" applyNumberFormat="0" applyBorder="0" applyAlignment="0" applyProtection="0"/>
    <xf numFmtId="0" fontId="13" fillId="40"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39" fillId="0" borderId="0"/>
    <xf numFmtId="0" fontId="13" fillId="14"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10" fontId="84" fillId="75" borderId="1" applyNumberFormat="0" applyBorder="0" applyAlignment="0" applyProtection="0"/>
    <xf numFmtId="10" fontId="84" fillId="75" borderId="1" applyNumberFormat="0" applyBorder="0" applyAlignment="0" applyProtection="0"/>
    <xf numFmtId="10" fontId="84" fillId="75" borderId="1" applyNumberFormat="0" applyBorder="0" applyAlignment="0" applyProtection="0"/>
    <xf numFmtId="10" fontId="84" fillId="75" borderId="1"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 fontId="112" fillId="79" borderId="1" applyNumberFormat="0" applyProtection="0">
      <alignment horizontal="right" vertical="center" wrapText="1"/>
    </xf>
    <xf numFmtId="4" fontId="112" fillId="79" borderId="1" applyNumberFormat="0" applyProtection="0">
      <alignment horizontal="left" vertical="center" indent="1"/>
    </xf>
    <xf numFmtId="4" fontId="117" fillId="82" borderId="1" applyNumberFormat="0" applyProtection="0">
      <alignment horizontal="left" vertical="center"/>
    </xf>
    <xf numFmtId="4" fontId="117" fillId="82" borderId="1" applyNumberFormat="0" applyProtection="0">
      <alignment horizontal="left" vertical="center"/>
    </xf>
    <xf numFmtId="4" fontId="116" fillId="0" borderId="1" applyNumberFormat="0" applyProtection="0">
      <alignment horizontal="left" vertical="center" indent="1"/>
    </xf>
    <xf numFmtId="4" fontId="72" fillId="0" borderId="1" applyNumberFormat="0" applyProtection="0">
      <alignment horizontal="left" vertical="center" indent="1"/>
    </xf>
    <xf numFmtId="0" fontId="117" fillId="85" borderId="1" applyNumberFormat="0" applyProtection="0">
      <alignment horizontal="left" vertical="center" indent="2"/>
    </xf>
    <xf numFmtId="0" fontId="117" fillId="85" borderId="1" applyNumberFormat="0" applyProtection="0">
      <alignment horizontal="left" vertical="center" indent="2"/>
    </xf>
    <xf numFmtId="0" fontId="104" fillId="0" borderId="1" applyNumberFormat="0" applyProtection="0">
      <alignment horizontal="left" vertical="center" indent="2"/>
    </xf>
    <xf numFmtId="0" fontId="104" fillId="0" borderId="1" applyNumberFormat="0" applyProtection="0">
      <alignment horizontal="left" vertical="center" indent="2"/>
    </xf>
    <xf numFmtId="0" fontId="104" fillId="0" borderId="1" applyNumberFormat="0" applyProtection="0">
      <alignment horizontal="left" vertical="center" indent="2"/>
    </xf>
    <xf numFmtId="0" fontId="22" fillId="88" borderId="1" applyNumberFormat="0">
      <protection locked="0"/>
    </xf>
    <xf numFmtId="0" fontId="22" fillId="88" borderId="1" applyNumberFormat="0">
      <protection locked="0"/>
    </xf>
    <xf numFmtId="0" fontId="22" fillId="88" borderId="1" applyNumberFormat="0">
      <protection locked="0"/>
    </xf>
    <xf numFmtId="4" fontId="125" fillId="0" borderId="1" applyNumberFormat="0" applyProtection="0">
      <alignment horizontal="right" vertical="center" wrapText="1"/>
    </xf>
    <xf numFmtId="4" fontId="125" fillId="0" borderId="1" applyNumberFormat="0" applyProtection="0">
      <alignment horizontal="left" vertical="center" indent="1"/>
    </xf>
    <xf numFmtId="4" fontId="125" fillId="0" borderId="1" applyNumberFormat="0" applyProtection="0">
      <alignment horizontal="left" vertical="center" indent="1"/>
    </xf>
    <xf numFmtId="0" fontId="117" fillId="92" borderId="1" applyNumberFormat="0" applyProtection="0">
      <alignment horizontal="center" vertical="top" wrapText="1"/>
    </xf>
    <xf numFmtId="0" fontId="117" fillId="92" borderId="1" applyNumberFormat="0" applyProtection="0">
      <alignment horizontal="center" vertical="top" wrapText="1"/>
    </xf>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1" fontId="30" fillId="94" borderId="1" applyNumberFormat="0" applyAlignment="0">
      <alignment horizontal="center"/>
    </xf>
    <xf numFmtId="1" fontId="30" fillId="94" borderId="1" applyNumberFormat="0" applyAlignment="0">
      <alignment horizontal="center"/>
    </xf>
    <xf numFmtId="1" fontId="30" fillId="70" borderId="1" applyNumberFormat="0" applyAlignment="0">
      <alignment horizontal="left"/>
    </xf>
    <xf numFmtId="1" fontId="30" fillId="70" borderId="1" applyNumberFormat="0" applyAlignment="0">
      <alignment horizontal="left"/>
    </xf>
    <xf numFmtId="0" fontId="30" fillId="70" borderId="1" applyNumberFormat="0" applyAlignment="0"/>
    <xf numFmtId="0" fontId="30" fillId="70" borderId="1" applyNumberFormat="0" applyAlignment="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40"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33" borderId="0" applyNumberFormat="0" applyBorder="0" applyAlignment="0" applyProtection="0"/>
    <xf numFmtId="0" fontId="13" fillId="43" borderId="0" applyNumberFormat="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4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66" fillId="37"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72" fillId="37"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66" fillId="4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3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43" borderId="0" applyNumberFormat="0" applyBorder="0" applyAlignment="0" applyProtection="0"/>
    <xf numFmtId="0" fontId="72" fillId="4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6" fillId="4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66" fillId="4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6"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6" fillId="41" borderId="0" applyNumberFormat="0" applyBorder="0" applyAlignment="0" applyProtection="0"/>
    <xf numFmtId="0" fontId="72" fillId="8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6" fillId="4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2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66" fillId="4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39" borderId="0" applyNumberFormat="0" applyBorder="0" applyAlignment="0" applyProtection="0"/>
    <xf numFmtId="0" fontId="72" fillId="4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6" fillId="39"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66" fillId="3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66"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66" fillId="37" borderId="0" applyNumberFormat="0" applyBorder="0" applyAlignment="0" applyProtection="0"/>
    <xf numFmtId="0" fontId="72" fillId="3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66" fillId="3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1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6"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66" fillId="36"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22" fillId="0" borderId="0"/>
    <xf numFmtId="0" fontId="13" fillId="0" borderId="0"/>
    <xf numFmtId="0" fontId="13" fillId="0" borderId="0"/>
    <xf numFmtId="0" fontId="2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4" fontId="2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22" fillId="94" borderId="0" applyBorder="0"/>
    <xf numFmtId="208" fontId="22" fillId="96" borderId="0" applyBorder="0"/>
    <xf numFmtId="0" fontId="22" fillId="100" borderId="0" applyBorder="0"/>
    <xf numFmtId="208" fontId="22" fillId="93" borderId="0" applyBorder="0"/>
    <xf numFmtId="0" fontId="22" fillId="93" borderId="0" applyBorder="0">
      <alignment wrapText="1"/>
    </xf>
    <xf numFmtId="0" fontId="22" fillId="83" borderId="0" applyBorder="0"/>
    <xf numFmtId="0" fontId="22" fillId="93" borderId="0" applyBorder="0"/>
    <xf numFmtId="0" fontId="22" fillId="0" borderId="0" applyBorder="0"/>
    <xf numFmtId="0" fontId="22" fillId="78" borderId="0" applyBorder="0"/>
    <xf numFmtId="0" fontId="22" fillId="0" borderId="47" applyNumberFormat="0" applyAlignment="0"/>
    <xf numFmtId="0" fontId="22" fillId="0" borderId="2" applyNumberFormat="0" applyAlignment="0"/>
    <xf numFmtId="37" fontId="84" fillId="0" borderId="0"/>
    <xf numFmtId="0" fontId="22" fillId="0" borderId="42" applyNumberFormat="0" applyFill="0" applyBorder="0" applyAlignment="0" applyProtection="0"/>
    <xf numFmtId="0" fontId="22" fillId="0" borderId="42" applyNumberFormat="0" applyFill="0" applyBorder="0" applyAlignment="0" applyProtection="0"/>
    <xf numFmtId="49" fontId="22" fillId="0" borderId="47"/>
    <xf numFmtId="0" fontId="34" fillId="0" borderId="73" applyNumberFormat="0" applyAlignment="0" applyProtection="0">
      <alignment horizontal="left" vertical="center"/>
    </xf>
    <xf numFmtId="0" fontId="34" fillId="0" borderId="74">
      <alignment horizontal="left" vertical="center"/>
    </xf>
    <xf numFmtId="9" fontId="22"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0" fontId="95" fillId="0" borderId="75" applyNumberFormat="0" applyFill="0" applyAlignment="0" applyProtection="0"/>
    <xf numFmtId="10" fontId="84" fillId="75" borderId="72" applyNumberFormat="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0" fontId="22" fillId="0" borderId="0"/>
    <xf numFmtId="0" fontId="76" fillId="0" borderId="0"/>
    <xf numFmtId="0" fontId="22" fillId="0" borderId="0"/>
    <xf numFmtId="0" fontId="76" fillId="0" borderId="0"/>
    <xf numFmtId="0" fontId="13" fillId="0" borderId="0"/>
    <xf numFmtId="0" fontId="76" fillId="0" borderId="0"/>
    <xf numFmtId="0" fontId="76" fillId="0" borderId="0"/>
    <xf numFmtId="0" fontId="76" fillId="0" borderId="0"/>
    <xf numFmtId="0" fontId="13" fillId="0" borderId="0"/>
    <xf numFmtId="0" fontId="76" fillId="0" borderId="0"/>
    <xf numFmtId="0" fontId="22" fillId="0" borderId="0"/>
    <xf numFmtId="0" fontId="76" fillId="0" borderId="0"/>
    <xf numFmtId="0" fontId="2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2" fillId="0" borderId="0"/>
    <xf numFmtId="0" fontId="76" fillId="0" borderId="0"/>
    <xf numFmtId="0" fontId="26" fillId="0" borderId="0"/>
    <xf numFmtId="0" fontId="13" fillId="0" borderId="0"/>
    <xf numFmtId="0" fontId="26" fillId="0" borderId="0"/>
    <xf numFmtId="0"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2" fillId="0" borderId="0"/>
    <xf numFmtId="0" fontId="76" fillId="0" borderId="0"/>
    <xf numFmtId="0" fontId="22" fillId="0" borderId="0"/>
    <xf numFmtId="0" fontId="76" fillId="0" borderId="0"/>
    <xf numFmtId="0" fontId="22" fillId="0" borderId="0"/>
    <xf numFmtId="0" fontId="76" fillId="0" borderId="0"/>
    <xf numFmtId="0" fontId="22" fillId="0" borderId="0"/>
    <xf numFmtId="0" fontId="76" fillId="0" borderId="0"/>
    <xf numFmtId="0" fontId="22" fillId="0" borderId="0"/>
    <xf numFmtId="0" fontId="76" fillId="0" borderId="0"/>
    <xf numFmtId="0" fontId="22" fillId="0" borderId="0"/>
    <xf numFmtId="0" fontId="76" fillId="0" borderId="0"/>
    <xf numFmtId="0" fontId="76" fillId="0" borderId="0"/>
    <xf numFmtId="0" fontId="76" fillId="0" borderId="0"/>
    <xf numFmtId="0" fontId="22" fillId="0" borderId="0"/>
    <xf numFmtId="0" fontId="22" fillId="0" borderId="0"/>
    <xf numFmtId="0" fontId="76" fillId="0" borderId="0"/>
    <xf numFmtId="0" fontId="76" fillId="0" borderId="0"/>
    <xf numFmtId="0" fontId="22" fillId="0" borderId="0"/>
    <xf numFmtId="0" fontId="76" fillId="0" borderId="0"/>
    <xf numFmtId="0" fontId="22" fillId="0" borderId="0"/>
    <xf numFmtId="0" fontId="76" fillId="0" borderId="0"/>
    <xf numFmtId="0" fontId="76" fillId="0" borderId="0"/>
    <xf numFmtId="204" fontId="102" fillId="0" borderId="0"/>
    <xf numFmtId="37" fontId="101" fillId="0" borderId="0"/>
    <xf numFmtId="0" fontId="22" fillId="0" borderId="47"/>
    <xf numFmtId="198" fontId="22" fillId="0" borderId="0" applyFont="0" applyFill="0" applyBorder="0" applyAlignment="0" applyProtection="0">
      <alignment horizontal="center"/>
    </xf>
    <xf numFmtId="0" fontId="34" fillId="0" borderId="0" applyNumberFormat="0" applyFont="0" applyFill="0" applyBorder="0" applyProtection="0"/>
    <xf numFmtId="0" fontId="34" fillId="0" borderId="0" applyNumberFormat="0" applyFont="0" applyFill="0" applyBorder="0" applyProtection="0"/>
    <xf numFmtId="0" fontId="88" fillId="0" borderId="0" applyNumberFormat="0" applyFont="0" applyFill="0" applyBorder="0" applyProtection="0"/>
    <xf numFmtId="0" fontId="88" fillId="0" borderId="0" applyNumberFormat="0" applyFont="0" applyFill="0" applyBorder="0" applyProtection="0"/>
    <xf numFmtId="192" fontId="22" fillId="0" borderId="0" applyFont="0" applyFill="0" applyBorder="0" applyAlignment="0" applyProtection="0">
      <alignment horizontal="center"/>
    </xf>
    <xf numFmtId="171" fontId="78" fillId="0" borderId="0" applyFont="0" applyFill="0" applyBorder="0" applyAlignment="0" applyProtection="0"/>
    <xf numFmtId="2" fontId="22" fillId="0" borderId="0" applyFont="0" applyFill="0" applyBorder="0" applyAlignment="0" applyProtection="0"/>
    <xf numFmtId="0" fontId="82" fillId="0" borderId="0" applyNumberFormat="0" applyAlignment="0">
      <alignment horizontal="left"/>
    </xf>
    <xf numFmtId="184" fontId="22" fillId="72" borderId="0">
      <alignment horizontal="center"/>
    </xf>
    <xf numFmtId="44" fontId="7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2" fontId="22" fillId="0" borderId="0" applyFont="0" applyFill="0" applyBorder="0" applyAlignment="0" applyProtection="0"/>
    <xf numFmtId="44" fontId="7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0" fontId="22" fillId="0" borderId="0" applyFont="0" applyFill="0" applyBorder="0" applyAlignment="0" applyProtection="0"/>
    <xf numFmtId="0" fontId="77" fillId="0" borderId="0" applyNumberFormat="0" applyAlignment="0">
      <alignment horizontal="left"/>
    </xf>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49" fontId="22" fillId="0" borderId="47"/>
    <xf numFmtId="49" fontId="22" fillId="0" borderId="47"/>
    <xf numFmtId="174" fontId="68" fillId="70" borderId="20">
      <alignment horizontal="center" vertical="center"/>
    </xf>
    <xf numFmtId="0" fontId="22" fillId="0" borderId="0" applyNumberFormat="0" applyFill="0" applyBorder="0" applyAlignment="0" applyProtection="0"/>
    <xf numFmtId="182" fontId="22" fillId="0" borderId="0" applyFont="0" applyFill="0" applyBorder="0" applyAlignment="0" applyProtection="0"/>
    <xf numFmtId="0" fontId="13" fillId="0" borderId="0"/>
    <xf numFmtId="0" fontId="22" fillId="0" borderId="47">
      <alignment horizontal="center"/>
    </xf>
    <xf numFmtId="0" fontId="151" fillId="0" borderId="0"/>
    <xf numFmtId="179" fontId="22" fillId="0" borderId="0" applyFont="0" applyFill="0" applyBorder="0" applyAlignment="0" applyProtection="0"/>
    <xf numFmtId="0" fontId="22" fillId="0" borderId="47" applyNumberFormat="0" applyAlignment="0"/>
    <xf numFmtId="49" fontId="22" fillId="0" borderId="47"/>
    <xf numFmtId="9" fontId="22" fillId="0" borderId="0" applyFont="0" applyFill="0" applyBorder="0" applyAlignment="0" applyProtection="0"/>
    <xf numFmtId="9" fontId="22" fillId="0" borderId="0" applyFont="0" applyFill="0" applyBorder="0" applyAlignment="0" applyProtection="0"/>
    <xf numFmtId="0" fontId="22" fillId="0" borderId="47"/>
    <xf numFmtId="185" fontId="152" fillId="0" borderId="0">
      <alignment horizontal="right"/>
      <protection locked="0"/>
    </xf>
    <xf numFmtId="179" fontId="22" fillId="0" borderId="0" applyFont="0" applyFill="0" applyBorder="0" applyAlignment="0" applyProtection="0"/>
    <xf numFmtId="49" fontId="22" fillId="0" borderId="47"/>
    <xf numFmtId="0" fontId="151" fillId="0" borderId="0"/>
    <xf numFmtId="0" fontId="13" fillId="40" borderId="0" applyNumberFormat="0" applyBorder="0" applyAlignment="0" applyProtection="0"/>
    <xf numFmtId="0" fontId="13" fillId="33" borderId="0" applyNumberFormat="0" applyBorder="0" applyAlignment="0" applyProtection="0"/>
    <xf numFmtId="0" fontId="22" fillId="0" borderId="0"/>
    <xf numFmtId="0" fontId="13" fillId="40" borderId="0" applyNumberFormat="0" applyBorder="0" applyAlignment="0" applyProtection="0"/>
    <xf numFmtId="0" fontId="13" fillId="40" borderId="0" applyNumberFormat="0" applyBorder="0" applyAlignment="0" applyProtection="0"/>
    <xf numFmtId="0" fontId="13" fillId="2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22" fillId="0" borderId="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76" fillId="0" borderId="0"/>
    <xf numFmtId="1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1" fontId="78"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178" fontId="22" fillId="0" borderId="0"/>
    <xf numFmtId="179" fontId="22" fillId="0" borderId="0" applyFont="0" applyFill="0" applyBorder="0" applyAlignment="0" applyProtection="0"/>
    <xf numFmtId="0" fontId="22" fillId="0" borderId="0" applyNumberFormat="0" applyFill="0" applyBorder="0" applyAlignment="0" applyProtection="0"/>
    <xf numFmtId="44" fontId="13" fillId="0" borderId="0" applyFont="0" applyFill="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13" borderId="0" applyNumberFormat="0" applyBorder="0" applyAlignment="0" applyProtection="0"/>
    <xf numFmtId="49" fontId="22" fillId="0" borderId="47"/>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76" fillId="0" borderId="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40" borderId="0" applyNumberFormat="0" applyBorder="0" applyAlignment="0" applyProtection="0"/>
    <xf numFmtId="0" fontId="13" fillId="21" borderId="0" applyNumberFormat="0" applyBorder="0" applyAlignment="0" applyProtection="0"/>
    <xf numFmtId="0" fontId="13" fillId="13"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3" borderId="0" applyNumberFormat="0" applyBorder="0" applyAlignment="0" applyProtection="0"/>
    <xf numFmtId="0" fontId="13" fillId="45" borderId="0" applyNumberFormat="0" applyBorder="0" applyAlignment="0" applyProtection="0"/>
    <xf numFmtId="0" fontId="22" fillId="0" borderId="0"/>
    <xf numFmtId="0" fontId="22" fillId="0" borderId="0"/>
    <xf numFmtId="0" fontId="13" fillId="40"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72" fillId="10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66" fillId="36"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33"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33"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66" fillId="45"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72" fillId="66" borderId="0" applyNumberFormat="0" applyBorder="0" applyAlignment="0" applyProtection="0"/>
    <xf numFmtId="0" fontId="66" fillId="4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66" fillId="46"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4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72" fillId="3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66"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66" fillId="4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72" fillId="48" borderId="0" applyNumberFormat="0" applyBorder="0" applyAlignment="0" applyProtection="0"/>
    <xf numFmtId="0" fontId="66" fillId="4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66" fillId="4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66" fillId="48"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77" borderId="0" applyNumberFormat="0" applyBorder="0" applyAlignment="0" applyProtection="0"/>
    <xf numFmtId="0" fontId="13" fillId="22"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66" fillId="41"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72" fillId="49" borderId="0" applyNumberFormat="0" applyBorder="0" applyAlignment="0" applyProtection="0"/>
    <xf numFmtId="0" fontId="66" fillId="41"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6" fillId="4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66" fillId="49"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13" fillId="2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66" fillId="45"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72" fillId="66" borderId="0" applyNumberFormat="0" applyBorder="0" applyAlignment="0" applyProtection="0"/>
    <xf numFmtId="0" fontId="66" fillId="4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66" fillId="4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66" fillId="46"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3" borderId="0" applyNumberFormat="0" applyBorder="0" applyAlignment="0" applyProtection="0"/>
    <xf numFmtId="0" fontId="13" fillId="3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66"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72" fillId="44" borderId="0" applyNumberFormat="0" applyBorder="0" applyAlignment="0" applyProtection="0"/>
    <xf numFmtId="0" fontId="66" fillId="5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6" fillId="4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66" fillId="44"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4" borderId="0" applyNumberFormat="0" applyBorder="0" applyAlignment="0" applyProtection="0"/>
    <xf numFmtId="0" fontId="67" fillId="51" borderId="0" applyNumberFormat="0" applyBorder="0" applyAlignment="0" applyProtection="0"/>
    <xf numFmtId="0" fontId="147" fillId="66" borderId="0" applyNumberFormat="0" applyBorder="0" applyAlignment="0" applyProtection="0"/>
    <xf numFmtId="0" fontId="67" fillId="46" borderId="0" applyNumberFormat="0" applyBorder="0" applyAlignment="0" applyProtection="0"/>
    <xf numFmtId="0" fontId="58" fillId="15" borderId="0" applyNumberFormat="0" applyBorder="0" applyAlignment="0" applyProtection="0"/>
    <xf numFmtId="0" fontId="58" fillId="43" borderId="0" applyNumberFormat="0" applyBorder="0" applyAlignment="0" applyProtection="0"/>
    <xf numFmtId="0" fontId="58" fillId="15" borderId="0" applyNumberFormat="0" applyBorder="0" applyAlignment="0" applyProtection="0"/>
    <xf numFmtId="0" fontId="67" fillId="38" borderId="0" applyNumberFormat="0" applyBorder="0" applyAlignment="0" applyProtection="0"/>
    <xf numFmtId="0" fontId="147" fillId="38" borderId="0" applyNumberFormat="0" applyBorder="0" applyAlignment="0" applyProtection="0"/>
    <xf numFmtId="0" fontId="67" fillId="38" borderId="0" applyNumberFormat="0" applyBorder="0" applyAlignment="0" applyProtection="0"/>
    <xf numFmtId="0" fontId="58" fillId="19" borderId="0" applyNumberFormat="0" applyBorder="0" applyAlignment="0" applyProtection="0"/>
    <xf numFmtId="0" fontId="58" fillId="69" borderId="0" applyNumberFormat="0" applyBorder="0" applyAlignment="0" applyProtection="0"/>
    <xf numFmtId="0" fontId="58" fillId="19" borderId="0" applyNumberFormat="0" applyBorder="0" applyAlignment="0" applyProtection="0"/>
    <xf numFmtId="0" fontId="67" fillId="47" borderId="0" applyNumberFormat="0" applyBorder="0" applyAlignment="0" applyProtection="0"/>
    <xf numFmtId="0" fontId="147" fillId="48" borderId="0" applyNumberFormat="0" applyBorder="0" applyAlignment="0" applyProtection="0"/>
    <xf numFmtId="0" fontId="67" fillId="48" borderId="0" applyNumberFormat="0" applyBorder="0" applyAlignment="0" applyProtection="0"/>
    <xf numFmtId="0" fontId="58" fillId="23" borderId="0" applyNumberFormat="0" applyBorder="0" applyAlignment="0" applyProtection="0"/>
    <xf numFmtId="0" fontId="58" fillId="50" borderId="0" applyNumberFormat="0" applyBorder="0" applyAlignment="0" applyProtection="0"/>
    <xf numFmtId="0" fontId="58" fillId="23" borderId="0" applyNumberFormat="0" applyBorder="0" applyAlignment="0" applyProtection="0"/>
    <xf numFmtId="0" fontId="67" fillId="52" borderId="0" applyNumberFormat="0" applyBorder="0" applyAlignment="0" applyProtection="0"/>
    <xf numFmtId="0" fontId="147" fillId="49" borderId="0" applyNumberFormat="0" applyBorder="0" applyAlignment="0" applyProtection="0"/>
    <xf numFmtId="0" fontId="67" fillId="49" borderId="0" applyNumberFormat="0" applyBorder="0" applyAlignment="0" applyProtection="0"/>
    <xf numFmtId="0" fontId="58" fillId="27" borderId="0" applyNumberFormat="0" applyBorder="0" applyAlignment="0" applyProtection="0"/>
    <xf numFmtId="0" fontId="58" fillId="37" borderId="0" applyNumberFormat="0" applyBorder="0" applyAlignment="0" applyProtection="0"/>
    <xf numFmtId="0" fontId="58" fillId="27" borderId="0" applyNumberFormat="0" applyBorder="0" applyAlignment="0" applyProtection="0"/>
    <xf numFmtId="0" fontId="67" fillId="53" borderId="0" applyNumberFormat="0" applyBorder="0" applyAlignment="0" applyProtection="0"/>
    <xf numFmtId="0" fontId="147" fillId="66" borderId="0" applyNumberFormat="0" applyBorder="0" applyAlignment="0" applyProtection="0"/>
    <xf numFmtId="0" fontId="67" fillId="53" borderId="0" applyNumberFormat="0" applyBorder="0" applyAlignment="0" applyProtection="0"/>
    <xf numFmtId="0" fontId="58" fillId="31" borderId="0" applyNumberFormat="0" applyBorder="0" applyAlignment="0" applyProtection="0"/>
    <xf numFmtId="0" fontId="58" fillId="43" borderId="0" applyNumberFormat="0" applyBorder="0" applyAlignment="0" applyProtection="0"/>
    <xf numFmtId="0" fontId="58" fillId="31" borderId="0" applyNumberFormat="0" applyBorder="0" applyAlignment="0" applyProtection="0"/>
    <xf numFmtId="0" fontId="67" fillId="54" borderId="0" applyNumberFormat="0" applyBorder="0" applyAlignment="0" applyProtection="0"/>
    <xf numFmtId="0" fontId="147" fillId="44" borderId="0" applyNumberFormat="0" applyBorder="0" applyAlignment="0" applyProtection="0"/>
    <xf numFmtId="0" fontId="67" fillId="44" borderId="0" applyNumberFormat="0" applyBorder="0" applyAlignment="0" applyProtection="0"/>
    <xf numFmtId="0" fontId="58" fillId="35" borderId="0" applyNumberFormat="0" applyBorder="0" applyAlignment="0" applyProtection="0"/>
    <xf numFmtId="0" fontId="58" fillId="38" borderId="0" applyNumberFormat="0" applyBorder="0" applyAlignment="0" applyProtection="0"/>
    <xf numFmtId="0" fontId="58" fillId="35" borderId="0" applyNumberFormat="0" applyBorder="0" applyAlignment="0" applyProtection="0"/>
    <xf numFmtId="0" fontId="66" fillId="106" borderId="0" applyNumberFormat="0" applyBorder="0" applyAlignment="0" applyProtection="0"/>
    <xf numFmtId="0" fontId="66" fillId="106"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106"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5" borderId="0" applyNumberFormat="0" applyBorder="0" applyAlignment="0" applyProtection="0"/>
    <xf numFmtId="0" fontId="67" fillId="10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107"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5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58" fillId="12"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58" fillId="12"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58" fillId="12"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58" fillId="12"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58" fillId="12" borderId="0" applyNumberFormat="0" applyBorder="0" applyAlignment="0" applyProtection="0"/>
    <xf numFmtId="0" fontId="58" fillId="109" borderId="0" applyNumberFormat="0" applyBorder="0" applyAlignment="0" applyProtection="0"/>
    <xf numFmtId="0" fontId="58" fillId="109" borderId="0" applyNumberFormat="0" applyBorder="0" applyAlignment="0" applyProtection="0"/>
    <xf numFmtId="0" fontId="58" fillId="12" borderId="0" applyNumberFormat="0" applyBorder="0" applyAlignment="0" applyProtection="0"/>
    <xf numFmtId="0" fontId="67" fillId="58" borderId="0" applyNumberFormat="0" applyBorder="0" applyAlignment="0" applyProtection="0"/>
    <xf numFmtId="0" fontId="67" fillId="108" borderId="0" applyNumberFormat="0" applyBorder="0" applyAlignment="0" applyProtection="0"/>
    <xf numFmtId="0" fontId="67" fillId="53" borderId="0" applyNumberFormat="0" applyBorder="0" applyAlignment="0" applyProtection="0"/>
    <xf numFmtId="0" fontId="58" fillId="12" borderId="0" applyNumberFormat="0" applyBorder="0" applyAlignment="0" applyProtection="0"/>
    <xf numFmtId="0" fontId="67" fillId="58"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67" fillId="58" borderId="0" applyNumberFormat="0" applyBorder="0" applyAlignment="0" applyProtection="0"/>
    <xf numFmtId="0" fontId="67" fillId="108" borderId="0" applyNumberFormat="0" applyBorder="0" applyAlignment="0" applyProtection="0"/>
    <xf numFmtId="0" fontId="67" fillId="53"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67" fillId="58" borderId="0" applyNumberFormat="0" applyBorder="0" applyAlignment="0" applyProtection="0"/>
    <xf numFmtId="0" fontId="67" fillId="108" borderId="0" applyNumberFormat="0" applyBorder="0" applyAlignment="0" applyProtection="0"/>
    <xf numFmtId="0" fontId="67" fillId="53"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67" fillId="10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108" borderId="0" applyNumberFormat="0" applyBorder="0" applyAlignment="0" applyProtection="0"/>
    <xf numFmtId="0" fontId="67" fillId="53"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7" fillId="53" borderId="0" applyNumberFormat="0" applyBorder="0" applyAlignment="0" applyProtection="0"/>
    <xf numFmtId="0" fontId="67" fillId="108" borderId="0" applyNumberFormat="0" applyBorder="0" applyAlignment="0" applyProtection="0"/>
    <xf numFmtId="0" fontId="67" fillId="108" borderId="0" applyNumberFormat="0" applyBorder="0" applyAlignment="0" applyProtection="0"/>
    <xf numFmtId="0" fontId="66" fillId="110" borderId="0" applyNumberFormat="0" applyBorder="0" applyAlignment="0" applyProtection="0"/>
    <xf numFmtId="0" fontId="66" fillId="11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11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0"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62"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67" fillId="6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7" fillId="111" borderId="0" applyNumberFormat="0" applyBorder="0" applyAlignment="0" applyProtection="0"/>
    <xf numFmtId="0" fontId="67" fillId="62"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7" fillId="62" borderId="0" applyNumberFormat="0" applyBorder="0" applyAlignment="0" applyProtection="0"/>
    <xf numFmtId="0" fontId="67" fillId="111" borderId="0" applyNumberFormat="0" applyBorder="0" applyAlignment="0" applyProtection="0"/>
    <xf numFmtId="0" fontId="67" fillId="111" borderId="0" applyNumberFormat="0" applyBorder="0" applyAlignment="0" applyProtection="0"/>
    <xf numFmtId="0" fontId="66" fillId="112" borderId="0" applyNumberFormat="0" applyBorder="0" applyAlignment="0" applyProtection="0"/>
    <xf numFmtId="0" fontId="66" fillId="112"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112" borderId="0" applyNumberFormat="0" applyBorder="0" applyAlignment="0" applyProtection="0"/>
    <xf numFmtId="0" fontId="66" fillId="113" borderId="0" applyNumberFormat="0" applyBorder="0" applyAlignment="0" applyProtection="0"/>
    <xf numFmtId="0" fontId="66" fillId="11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113" borderId="0" applyNumberFormat="0" applyBorder="0" applyAlignment="0" applyProtection="0"/>
    <xf numFmtId="0" fontId="67" fillId="114"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114"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48"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67" fillId="48"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7" fillId="115"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115" borderId="0" applyNumberFormat="0" applyBorder="0" applyAlignment="0" applyProtection="0"/>
    <xf numFmtId="0" fontId="67" fillId="61" borderId="0" applyNumberFormat="0" applyBorder="0" applyAlignment="0" applyProtection="0"/>
    <xf numFmtId="0" fontId="67" fillId="115" borderId="0" applyNumberFormat="0" applyBorder="0" applyAlignment="0" applyProtection="0"/>
    <xf numFmtId="0" fontId="67" fillId="48"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6" fillId="110" borderId="0" applyNumberFormat="0" applyBorder="0" applyAlignment="0" applyProtection="0"/>
    <xf numFmtId="0" fontId="66" fillId="11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110"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1" borderId="0" applyNumberFormat="0" applyBorder="0" applyAlignment="0" applyProtection="0"/>
    <xf numFmtId="0" fontId="67" fillId="64"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4"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52"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58" fillId="24"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58" fillId="24"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58" fillId="24"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58" fillId="24"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58" fillId="24"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24" borderId="0" applyNumberFormat="0" applyBorder="0" applyAlignment="0" applyProtection="0"/>
    <xf numFmtId="0" fontId="67" fillId="52" borderId="0" applyNumberFormat="0" applyBorder="0" applyAlignment="0" applyProtection="0"/>
    <xf numFmtId="0" fontId="67" fillId="116" borderId="0" applyNumberFormat="0" applyBorder="0" applyAlignment="0" applyProtection="0"/>
    <xf numFmtId="0" fontId="67" fillId="66" borderId="0" applyNumberFormat="0" applyBorder="0" applyAlignment="0" applyProtection="0"/>
    <xf numFmtId="0" fontId="58" fillId="24" borderId="0" applyNumberFormat="0" applyBorder="0" applyAlignment="0" applyProtection="0"/>
    <xf numFmtId="0" fontId="67" fillId="52"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7" fillId="52" borderId="0" applyNumberFormat="0" applyBorder="0" applyAlignment="0" applyProtection="0"/>
    <xf numFmtId="0" fontId="67" fillId="116" borderId="0" applyNumberFormat="0" applyBorder="0" applyAlignment="0" applyProtection="0"/>
    <xf numFmtId="0" fontId="67" fillId="66"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7" fillId="52" borderId="0" applyNumberFormat="0" applyBorder="0" applyAlignment="0" applyProtection="0"/>
    <xf numFmtId="0" fontId="67" fillId="116" borderId="0" applyNumberFormat="0" applyBorder="0" applyAlignment="0" applyProtection="0"/>
    <xf numFmtId="0" fontId="67" fillId="66"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7" fillId="117"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116" borderId="0" applyNumberFormat="0" applyBorder="0" applyAlignment="0" applyProtection="0"/>
    <xf numFmtId="0" fontId="67" fillId="66" borderId="0" applyNumberFormat="0" applyBorder="0" applyAlignment="0" applyProtection="0"/>
    <xf numFmtId="0" fontId="67" fillId="117" borderId="0" applyNumberFormat="0" applyBorder="0" applyAlignment="0" applyProtection="0"/>
    <xf numFmtId="0" fontId="67" fillId="116" borderId="0" applyNumberFormat="0" applyBorder="0" applyAlignment="0" applyProtection="0"/>
    <xf numFmtId="0" fontId="67" fillId="66" borderId="0" applyNumberFormat="0" applyBorder="0" applyAlignment="0" applyProtection="0"/>
    <xf numFmtId="0" fontId="67" fillId="116" borderId="0" applyNumberFormat="0" applyBorder="0" applyAlignment="0" applyProtection="0"/>
    <xf numFmtId="0" fontId="67" fillId="116"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63" borderId="0" applyNumberFormat="0" applyBorder="0" applyAlignment="0" applyProtection="0"/>
    <xf numFmtId="0" fontId="66" fillId="56" borderId="0" applyNumberFormat="0" applyBorder="0" applyAlignment="0" applyProtection="0"/>
    <xf numFmtId="0" fontId="67" fillId="107"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53"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67" fillId="53"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7" fillId="10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7" fillId="118" borderId="0" applyNumberFormat="0" applyBorder="0" applyAlignment="0" applyProtection="0"/>
    <xf numFmtId="0" fontId="67" fillId="53" borderId="0" applyNumberFormat="0" applyBorder="0" applyAlignment="0" applyProtection="0"/>
    <xf numFmtId="0" fontId="67" fillId="107" borderId="0" applyNumberFormat="0" applyBorder="0" applyAlignment="0" applyProtection="0"/>
    <xf numFmtId="0" fontId="67" fillId="118" borderId="0" applyNumberFormat="0" applyBorder="0" applyAlignment="0" applyProtection="0"/>
    <xf numFmtId="0" fontId="67" fillId="107" borderId="0" applyNumberFormat="0" applyBorder="0" applyAlignment="0" applyProtection="0"/>
    <xf numFmtId="0" fontId="67" fillId="53" borderId="0" applyNumberFormat="0" applyBorder="0" applyAlignment="0" applyProtection="0"/>
    <xf numFmtId="0" fontId="67" fillId="107" borderId="0" applyNumberFormat="0" applyBorder="0" applyAlignment="0" applyProtection="0"/>
    <xf numFmtId="0" fontId="67" fillId="107" borderId="0" applyNumberFormat="0" applyBorder="0" applyAlignment="0" applyProtection="0"/>
    <xf numFmtId="0" fontId="66" fillId="67"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7" fillId="119"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119"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69"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58" fillId="32"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58" fillId="32"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58" fillId="32"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58" fillId="32"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0" fontId="58" fillId="3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32" borderId="0" applyNumberFormat="0" applyBorder="0" applyAlignment="0" applyProtection="0"/>
    <xf numFmtId="0" fontId="67" fillId="69" borderId="0" applyNumberFormat="0" applyBorder="0" applyAlignment="0" applyProtection="0"/>
    <xf numFmtId="0" fontId="67" fillId="120" borderId="0" applyNumberFormat="0" applyBorder="0" applyAlignment="0" applyProtection="0"/>
    <xf numFmtId="0" fontId="67" fillId="50" borderId="0" applyNumberFormat="0" applyBorder="0" applyAlignment="0" applyProtection="0"/>
    <xf numFmtId="0" fontId="58" fillId="32" borderId="0" applyNumberFormat="0" applyBorder="0" applyAlignment="0" applyProtection="0"/>
    <xf numFmtId="0" fontId="67" fillId="69"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7" fillId="69" borderId="0" applyNumberFormat="0" applyBorder="0" applyAlignment="0" applyProtection="0"/>
    <xf numFmtId="0" fontId="67" fillId="120" borderId="0" applyNumberFormat="0" applyBorder="0" applyAlignment="0" applyProtection="0"/>
    <xf numFmtId="0" fontId="67" fillId="50"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7" fillId="69" borderId="0" applyNumberFormat="0" applyBorder="0" applyAlignment="0" applyProtection="0"/>
    <xf numFmtId="0" fontId="67" fillId="120" borderId="0" applyNumberFormat="0" applyBorder="0" applyAlignment="0" applyProtection="0"/>
    <xf numFmtId="0" fontId="67" fillId="50"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7" fillId="121"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120" borderId="0" applyNumberFormat="0" applyBorder="0" applyAlignment="0" applyProtection="0"/>
    <xf numFmtId="0" fontId="67" fillId="50" borderId="0" applyNumberFormat="0" applyBorder="0" applyAlignment="0" applyProtection="0"/>
    <xf numFmtId="0" fontId="67" fillId="121" borderId="0" applyNumberFormat="0" applyBorder="0" applyAlignment="0" applyProtection="0"/>
    <xf numFmtId="0" fontId="67" fillId="120" borderId="0" applyNumberFormat="0" applyBorder="0" applyAlignment="0" applyProtection="0"/>
    <xf numFmtId="0" fontId="67" fillId="50" borderId="0" applyNumberFormat="0" applyBorder="0" applyAlignment="0" applyProtection="0"/>
    <xf numFmtId="0" fontId="67" fillId="120" borderId="0" applyNumberFormat="0" applyBorder="0" applyAlignment="0" applyProtection="0"/>
    <xf numFmtId="0" fontId="67" fillId="120" borderId="0" applyNumberFormat="0" applyBorder="0" applyAlignment="0" applyProtection="0"/>
    <xf numFmtId="175" fontId="22" fillId="70" borderId="20">
      <alignment horizontal="center" vertical="center"/>
    </xf>
    <xf numFmtId="174" fontId="68" fillId="70" borderId="20">
      <alignment horizontal="center" vertical="center"/>
    </xf>
    <xf numFmtId="175" fontId="22" fillId="70" borderId="20">
      <alignment horizontal="center" vertical="center"/>
    </xf>
    <xf numFmtId="174" fontId="68" fillId="70" borderId="20">
      <alignment horizontal="center" vertical="center"/>
    </xf>
    <xf numFmtId="199" fontId="155" fillId="0" borderId="0"/>
    <xf numFmtId="199" fontId="155" fillId="0" borderId="0"/>
    <xf numFmtId="199" fontId="155" fillId="0" borderId="0"/>
    <xf numFmtId="199" fontId="155" fillId="0" borderId="0"/>
    <xf numFmtId="0" fontId="69" fillId="49" borderId="47" applyNumberFormat="0" applyFont="0" applyBorder="0" applyAlignment="0" applyProtection="0">
      <protection hidden="1"/>
    </xf>
    <xf numFmtId="0" fontId="156" fillId="60" borderId="0" applyNumberFormat="0" applyBorder="0" applyAlignment="0" applyProtection="0"/>
    <xf numFmtId="0" fontId="157" fillId="67"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57" fillId="67" borderId="0" applyNumberFormat="0" applyBorder="0" applyAlignment="0" applyProtection="0"/>
    <xf numFmtId="0" fontId="49" fillId="6"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57" fillId="67" borderId="0" applyNumberFormat="0" applyBorder="0" applyAlignment="0" applyProtection="0"/>
    <xf numFmtId="0" fontId="49" fillId="6" borderId="0" applyNumberFormat="0" applyBorder="0" applyAlignment="0" applyProtection="0"/>
    <xf numFmtId="0" fontId="70" fillId="37"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70" fillId="37" borderId="0" applyNumberFormat="0" applyBorder="0" applyAlignment="0" applyProtection="0"/>
    <xf numFmtId="0" fontId="73" fillId="49" borderId="22" applyNumberFormat="0" applyAlignment="0" applyProtection="0"/>
    <xf numFmtId="0" fontId="74" fillId="122" borderId="22" applyNumberFormat="0" applyAlignment="0" applyProtection="0"/>
    <xf numFmtId="0" fontId="158" fillId="123" borderId="54" applyNumberFormat="0" applyAlignment="0" applyProtection="0"/>
    <xf numFmtId="0" fontId="158" fillId="123" borderId="54" applyNumberFormat="0" applyAlignment="0" applyProtection="0"/>
    <xf numFmtId="0" fontId="158" fillId="123" borderId="54" applyNumberFormat="0" applyAlignment="0" applyProtection="0"/>
    <xf numFmtId="0" fontId="53" fillId="9" borderId="14" applyNumberFormat="0" applyAlignment="0" applyProtection="0"/>
    <xf numFmtId="0" fontId="159" fillId="88" borderId="14" applyNumberFormat="0" applyAlignment="0" applyProtection="0"/>
    <xf numFmtId="0" fontId="53" fillId="9" borderId="14" applyNumberFormat="0" applyAlignment="0" applyProtection="0"/>
    <xf numFmtId="0" fontId="75" fillId="61" borderId="23" applyNumberFormat="0" applyAlignment="0" applyProtection="0"/>
    <xf numFmtId="0" fontId="75" fillId="116" borderId="23" applyNumberFormat="0" applyAlignment="0" applyProtection="0"/>
    <xf numFmtId="0" fontId="75" fillId="46" borderId="23" applyNumberFormat="0" applyAlignment="0" applyProtection="0"/>
    <xf numFmtId="0" fontId="75" fillId="116" borderId="23" applyNumberFormat="0" applyAlignment="0" applyProtection="0"/>
    <xf numFmtId="0" fontId="75" fillId="116" borderId="23" applyNumberFormat="0" applyAlignment="0" applyProtection="0"/>
    <xf numFmtId="0" fontId="75" fillId="71" borderId="23" applyNumberFormat="0" applyAlignment="0" applyProtection="0"/>
    <xf numFmtId="0" fontId="55" fillId="10" borderId="17" applyNumberFormat="0" applyAlignment="0" applyProtection="0"/>
    <xf numFmtId="0" fontId="55" fillId="10" borderId="17" applyNumberFormat="0" applyAlignment="0" applyProtection="0"/>
    <xf numFmtId="0" fontId="75" fillId="46" borderId="23" applyNumberFormat="0" applyAlignment="0" applyProtection="0"/>
    <xf numFmtId="41" fontId="26" fillId="0" borderId="0" applyFont="0" applyFill="0" applyBorder="0" applyAlignment="0" applyProtection="0"/>
    <xf numFmtId="41" fontId="26" fillId="0" borderId="0" applyFont="0" applyFill="0" applyBorder="0" applyAlignment="0" applyProtection="0"/>
    <xf numFmtId="41" fontId="160" fillId="0" borderId="0" applyFont="0" applyFill="0" applyBorder="0" applyAlignment="0" applyProtection="0"/>
    <xf numFmtId="38" fontId="76" fillId="0" borderId="0" applyFont="0" applyFill="0" applyBorder="0" applyAlignment="0" applyProtection="0"/>
    <xf numFmtId="41"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9"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9"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2" fillId="0" borderId="0" applyFont="0" applyFill="0" applyBorder="0" applyAlignment="0" applyProtection="0"/>
    <xf numFmtId="43" fontId="26"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9"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22" fillId="0" borderId="0" applyFont="0" applyFill="0" applyBorder="0" applyAlignment="0" applyProtection="0"/>
    <xf numFmtId="43" fontId="10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10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2"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2" fillId="0" borderId="0" applyFont="0" applyFill="0" applyBorder="0" applyAlignment="0" applyProtection="0"/>
    <xf numFmtId="43" fontId="13"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43" fontId="76"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182"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182" fontId="2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8"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76" fillId="0" borderId="0" applyFont="0" applyFill="0" applyBorder="0" applyAlignment="0" applyProtection="0"/>
    <xf numFmtId="6" fontId="81" fillId="0" borderId="0">
      <protection locked="0"/>
    </xf>
    <xf numFmtId="14" fontId="22" fillId="0" borderId="0" applyFont="0" applyFill="0" applyBorder="0" applyAlignment="0" applyProtection="0"/>
    <xf numFmtId="0" fontId="143" fillId="124" borderId="0" applyNumberFormat="0" applyBorder="0" applyAlignment="0" applyProtection="0"/>
    <xf numFmtId="0" fontId="143" fillId="125" borderId="0" applyNumberFormat="0" applyBorder="0" applyAlignment="0" applyProtection="0"/>
    <xf numFmtId="0" fontId="143" fillId="124" borderId="0" applyNumberFormat="0" applyBorder="0" applyAlignment="0" applyProtection="0"/>
    <xf numFmtId="0" fontId="143" fillId="126" borderId="0" applyNumberFormat="0" applyBorder="0" applyAlignment="0" applyProtection="0"/>
    <xf numFmtId="0" fontId="143" fillId="127" borderId="0" applyNumberFormat="0" applyBorder="0" applyAlignment="0" applyProtection="0"/>
    <xf numFmtId="0" fontId="143" fillId="126" borderId="0" applyNumberFormat="0" applyBorder="0" applyAlignment="0" applyProtection="0"/>
    <xf numFmtId="0" fontId="143" fillId="128" borderId="0" applyNumberFormat="0" applyBorder="0" applyAlignment="0" applyProtection="0"/>
    <xf numFmtId="0" fontId="143" fillId="128" borderId="0" applyNumberFormat="0" applyBorder="0" applyAlignment="0" applyProtection="0"/>
    <xf numFmtId="0" fontId="161" fillId="0" borderId="0" applyNumberFormat="0" applyFill="0" applyBorder="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pplyNumberFormat="0" applyFill="0" applyBorder="0" applyAlignment="0" applyProtection="0"/>
    <xf numFmtId="191" fontId="22" fillId="0" borderId="0">
      <protection locked="0"/>
    </xf>
    <xf numFmtId="2" fontId="22" fillId="0" borderId="0" applyFont="0" applyFill="0" applyBorder="0" applyAlignment="0" applyProtection="0"/>
    <xf numFmtId="191" fontId="22" fillId="0" borderId="0">
      <protection locked="0"/>
    </xf>
    <xf numFmtId="2" fontId="22" fillId="0" borderId="0" applyFont="0" applyFill="0" applyBorder="0" applyAlignment="0" applyProtection="0"/>
    <xf numFmtId="0" fontId="86" fillId="39" borderId="0" applyNumberFormat="0" applyBorder="0" applyAlignment="0" applyProtection="0"/>
    <xf numFmtId="0" fontId="86" fillId="129" borderId="0" applyNumberFormat="0" applyBorder="0" applyAlignment="0" applyProtection="0"/>
    <xf numFmtId="0" fontId="66" fillId="113" borderId="0" applyNumberFormat="0" applyBorder="0" applyAlignment="0" applyProtection="0"/>
    <xf numFmtId="0" fontId="86" fillId="39" borderId="0" applyNumberFormat="0" applyBorder="0" applyAlignment="0" applyProtection="0"/>
    <xf numFmtId="0" fontId="66" fillId="113" borderId="0" applyNumberFormat="0" applyBorder="0" applyAlignment="0" applyProtection="0"/>
    <xf numFmtId="0" fontId="66" fillId="113" borderId="0" applyNumberFormat="0" applyBorder="0" applyAlignment="0" applyProtection="0"/>
    <xf numFmtId="0" fontId="66" fillId="113" borderId="0" applyNumberFormat="0" applyBorder="0" applyAlignment="0" applyProtection="0"/>
    <xf numFmtId="0" fontId="86" fillId="73" borderId="0" applyNumberFormat="0" applyBorder="0" applyAlignment="0" applyProtection="0"/>
    <xf numFmtId="0" fontId="48" fillId="5" borderId="0" applyNumberFormat="0" applyBorder="0" applyAlignment="0" applyProtection="0"/>
    <xf numFmtId="0" fontId="48" fillId="43" borderId="0" applyNumberFormat="0" applyBorder="0" applyAlignment="0" applyProtection="0"/>
    <xf numFmtId="0" fontId="48" fillId="5" borderId="0" applyNumberFormat="0" applyBorder="0" applyAlignment="0" applyProtection="0"/>
    <xf numFmtId="0" fontId="89" fillId="0" borderId="26" applyNumberFormat="0" applyFill="0" applyAlignment="0" applyProtection="0"/>
    <xf numFmtId="0" fontId="88" fillId="0" borderId="0" applyNumberFormat="0" applyFont="0" applyFill="0" applyBorder="0" applyProtection="0"/>
    <xf numFmtId="0" fontId="88" fillId="0" borderId="0" applyNumberFormat="0" applyFont="0" applyFill="0" applyBorder="0" applyProtection="0"/>
    <xf numFmtId="0" fontId="90" fillId="0" borderId="55" applyNumberFormat="0" applyFill="0" applyAlignment="0" applyProtection="0"/>
    <xf numFmtId="0" fontId="90" fillId="0" borderId="55" applyNumberFormat="0" applyFill="0" applyAlignment="0" applyProtection="0"/>
    <xf numFmtId="0" fontId="88" fillId="0" borderId="0" applyNumberFormat="0" applyFont="0" applyFill="0" applyBorder="0" applyProtection="0"/>
    <xf numFmtId="0" fontId="88" fillId="0" borderId="0" applyNumberFormat="0" applyFont="0" applyFill="0" applyBorder="0" applyProtection="0"/>
    <xf numFmtId="0" fontId="90" fillId="0" borderId="27" applyNumberFormat="0" applyFill="0" applyAlignment="0" applyProtection="0"/>
    <xf numFmtId="0" fontId="45" fillId="0" borderId="11" applyNumberFormat="0" applyFill="0" applyAlignment="0" applyProtection="0"/>
    <xf numFmtId="0" fontId="162" fillId="0" borderId="56" applyNumberFormat="0" applyFill="0" applyAlignment="0" applyProtection="0"/>
    <xf numFmtId="0" fontId="45" fillId="0" borderId="11" applyNumberFormat="0" applyFill="0" applyAlignment="0" applyProtection="0"/>
    <xf numFmtId="0" fontId="91" fillId="0" borderId="28" applyNumberFormat="0" applyFill="0" applyAlignment="0" applyProtection="0"/>
    <xf numFmtId="0" fontId="34" fillId="0" borderId="0" applyNumberFormat="0" applyFont="0" applyFill="0" applyBorder="0" applyProtection="0"/>
    <xf numFmtId="0" fontId="34" fillId="0" borderId="0" applyNumberFormat="0" applyFont="0" applyFill="0" applyBorder="0" applyProtection="0"/>
    <xf numFmtId="0" fontId="92" fillId="0" borderId="57" applyNumberFormat="0" applyFill="0" applyAlignment="0" applyProtection="0"/>
    <xf numFmtId="0" fontId="92" fillId="0" borderId="57" applyNumberFormat="0" applyFill="0" applyAlignment="0" applyProtection="0"/>
    <xf numFmtId="0" fontId="34" fillId="0" borderId="0" applyNumberFormat="0" applyFont="0" applyFill="0" applyBorder="0" applyProtection="0"/>
    <xf numFmtId="0" fontId="34" fillId="0" borderId="0" applyNumberFormat="0" applyFont="0" applyFill="0" applyBorder="0" applyProtection="0"/>
    <xf numFmtId="0" fontId="92" fillId="0" borderId="29" applyNumberFormat="0" applyFill="0" applyAlignment="0" applyProtection="0"/>
    <xf numFmtId="0" fontId="46" fillId="0" borderId="12" applyNumberFormat="0" applyFill="0" applyAlignment="0" applyProtection="0"/>
    <xf numFmtId="0" fontId="163" fillId="0" borderId="58" applyNumberFormat="0" applyFill="0" applyAlignment="0" applyProtection="0"/>
    <xf numFmtId="0" fontId="46" fillId="0" borderId="12" applyNumberFormat="0" applyFill="0" applyAlignment="0" applyProtection="0"/>
    <xf numFmtId="0" fontId="93" fillId="0" borderId="30" applyNumberFormat="0" applyFill="0" applyAlignment="0" applyProtection="0"/>
    <xf numFmtId="0" fontId="94" fillId="0" borderId="59" applyNumberFormat="0" applyFill="0" applyAlignment="0" applyProtection="0"/>
    <xf numFmtId="0" fontId="94" fillId="0" borderId="60" applyNumberFormat="0" applyFill="0" applyAlignment="0" applyProtection="0"/>
    <xf numFmtId="0" fontId="93" fillId="0" borderId="30" applyNumberFormat="0" applyFill="0" applyAlignment="0" applyProtection="0"/>
    <xf numFmtId="0" fontId="94" fillId="0" borderId="60" applyNumberFormat="0" applyFill="0" applyAlignment="0" applyProtection="0"/>
    <xf numFmtId="0" fontId="94" fillId="0" borderId="60" applyNumberFormat="0" applyFill="0" applyAlignment="0" applyProtection="0"/>
    <xf numFmtId="0" fontId="94" fillId="0" borderId="31" applyNumberFormat="0" applyFill="0" applyAlignment="0" applyProtection="0"/>
    <xf numFmtId="0" fontId="47" fillId="0" borderId="13" applyNumberFormat="0" applyFill="0" applyAlignment="0" applyProtection="0"/>
    <xf numFmtId="0" fontId="164" fillId="0" borderId="61" applyNumberFormat="0" applyFill="0" applyAlignment="0" applyProtection="0"/>
    <xf numFmtId="0" fontId="47" fillId="0" borderId="13"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7" fillId="0" borderId="0" applyNumberFormat="0" applyFill="0" applyBorder="0" applyAlignment="0" applyProtection="0"/>
    <xf numFmtId="0" fontId="164" fillId="0" borderId="0" applyNumberFormat="0" applyFill="0" applyBorder="0" applyAlignment="0" applyProtection="0"/>
    <xf numFmtId="0" fontId="47" fillId="0" borderId="0" applyNumberFormat="0" applyFill="0" applyBorder="0" applyAlignment="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59" fillId="0" borderId="0" applyNumberFormat="0" applyFill="0" applyBorder="0" applyAlignment="0" applyProtection="0"/>
    <xf numFmtId="0" fontId="165"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97" fillId="44" borderId="22"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169" fillId="68" borderId="54" applyNumberFormat="0" applyAlignment="0" applyProtection="0"/>
    <xf numFmtId="0" fontId="169" fillId="68" borderId="54" applyNumberFormat="0" applyAlignment="0" applyProtection="0"/>
    <xf numFmtId="0" fontId="169" fillId="68" borderId="5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97" fillId="44" borderId="22" applyNumberFormat="0" applyAlignment="0" applyProtection="0"/>
    <xf numFmtId="0" fontId="97" fillId="44" borderId="22" applyNumberFormat="0" applyAlignment="0" applyProtection="0"/>
    <xf numFmtId="0" fontId="51" fillId="8" borderId="14" applyNumberFormat="0" applyAlignment="0" applyProtection="0"/>
    <xf numFmtId="0" fontId="51" fillId="8" borderId="14" applyNumberFormat="0" applyAlignment="0" applyProtection="0"/>
    <xf numFmtId="0" fontId="169" fillId="68" borderId="22" applyNumberFormat="0" applyAlignment="0" applyProtection="0"/>
    <xf numFmtId="0" fontId="97" fillId="44" borderId="22" applyNumberFormat="0" applyAlignment="0" applyProtection="0"/>
    <xf numFmtId="0" fontId="169" fillId="68" borderId="22"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8" borderId="14" applyNumberFormat="0" applyAlignment="0" applyProtection="0"/>
    <xf numFmtId="0" fontId="51" fillId="77" borderId="14" applyNumberFormat="0" applyAlignment="0" applyProtection="0"/>
    <xf numFmtId="0" fontId="51" fillId="77" borderId="14" applyNumberFormat="0" applyAlignment="0" applyProtection="0"/>
    <xf numFmtId="0" fontId="51" fillId="8" borderId="14" applyNumberFormat="0" applyAlignment="0" applyProtection="0"/>
    <xf numFmtId="0" fontId="51" fillId="8" borderId="14" applyNumberFormat="0" applyAlignment="0" applyProtection="0"/>
    <xf numFmtId="0" fontId="98" fillId="0" borderId="33" applyNumberFormat="0" applyFill="0" applyAlignment="0" applyProtection="0"/>
    <xf numFmtId="0" fontId="86" fillId="0" borderId="62" applyNumberFormat="0" applyFill="0" applyAlignment="0" applyProtection="0"/>
    <xf numFmtId="0" fontId="98" fillId="0" borderId="33" applyNumberFormat="0" applyFill="0" applyAlignment="0" applyProtection="0"/>
    <xf numFmtId="0" fontId="86" fillId="0" borderId="62" applyNumberFormat="0" applyFill="0" applyAlignment="0" applyProtection="0"/>
    <xf numFmtId="0" fontId="86" fillId="0" borderId="62" applyNumberFormat="0" applyFill="0" applyAlignment="0" applyProtection="0"/>
    <xf numFmtId="0" fontId="99" fillId="0" borderId="34" applyNumberFormat="0" applyFill="0" applyAlignment="0" applyProtection="0"/>
    <xf numFmtId="0" fontId="54" fillId="0" borderId="16" applyNumberFormat="0" applyFill="0" applyAlignment="0" applyProtection="0"/>
    <xf numFmtId="0" fontId="170" fillId="0" borderId="63" applyNumberFormat="0" applyFill="0" applyAlignment="0" applyProtection="0"/>
    <xf numFmtId="0" fontId="54" fillId="0" borderId="16" applyNumberFormat="0" applyFill="0" applyAlignment="0" applyProtection="0"/>
    <xf numFmtId="0" fontId="100" fillId="68" borderId="0" applyNumberFormat="0" applyBorder="0" applyAlignment="0" applyProtection="0"/>
    <xf numFmtId="0" fontId="86" fillId="68" borderId="0" applyNumberFormat="0" applyBorder="0" applyAlignment="0" applyProtection="0"/>
    <xf numFmtId="0" fontId="171" fillId="7" borderId="0" applyNumberFormat="0" applyBorder="0" applyAlignment="0" applyProtection="0"/>
    <xf numFmtId="0" fontId="171" fillId="7" borderId="0" applyNumberFormat="0" applyBorder="0" applyAlignment="0" applyProtection="0"/>
    <xf numFmtId="0" fontId="86" fillId="68" borderId="0" applyNumberFormat="0" applyBorder="0" applyAlignment="0" applyProtection="0"/>
    <xf numFmtId="0" fontId="154" fillId="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86" fillId="68" borderId="0" applyNumberFormat="0" applyBorder="0" applyAlignment="0" applyProtection="0"/>
    <xf numFmtId="0" fontId="154" fillId="7" borderId="0" applyNumberFormat="0" applyBorder="0" applyAlignment="0" applyProtection="0"/>
    <xf numFmtId="0" fontId="100" fillId="7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00" fillId="77" borderId="0" applyNumberFormat="0" applyBorder="0" applyAlignment="0" applyProtection="0"/>
    <xf numFmtId="205" fontId="22" fillId="0" borderId="0"/>
    <xf numFmtId="204" fontId="102" fillId="0" borderId="0"/>
    <xf numFmtId="205" fontId="22" fillId="0" borderId="0"/>
    <xf numFmtId="204" fontId="102" fillId="0" borderId="0"/>
    <xf numFmtId="0" fontId="13" fillId="0" borderId="0"/>
    <xf numFmtId="0" fontId="102" fillId="0" borderId="0"/>
    <xf numFmtId="0" fontId="13" fillId="0" borderId="0"/>
    <xf numFmtId="0" fontId="13" fillId="0" borderId="0"/>
    <xf numFmtId="0" fontId="102" fillId="0" borderId="0"/>
    <xf numFmtId="0" fontId="13" fillId="0" borderId="0"/>
    <xf numFmtId="0" fontId="13" fillId="0" borderId="0"/>
    <xf numFmtId="0" fontId="10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9" fontId="172" fillId="0" borderId="0"/>
    <xf numFmtId="0" fontId="13" fillId="0" borderId="0"/>
    <xf numFmtId="0" fontId="22" fillId="0" borderId="0"/>
    <xf numFmtId="0" fontId="22"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6" fillId="0" borderId="0"/>
    <xf numFmtId="0" fontId="13" fillId="0" borderId="0"/>
    <xf numFmtId="0" fontId="13"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79"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6" fillId="0" borderId="0"/>
    <xf numFmtId="0" fontId="13" fillId="0" borderId="0"/>
    <xf numFmtId="199" fontId="172"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22" fillId="0" borderId="0"/>
    <xf numFmtId="0" fontId="13" fillId="0" borderId="0"/>
    <xf numFmtId="0" fontId="13" fillId="0" borderId="0"/>
    <xf numFmtId="0" fontId="13" fillId="0" borderId="0"/>
    <xf numFmtId="0" fontId="22"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13" fillId="0" borderId="0"/>
    <xf numFmtId="0" fontId="104" fillId="0" borderId="0"/>
    <xf numFmtId="0" fontId="104" fillId="0" borderId="0"/>
    <xf numFmtId="0" fontId="26" fillId="0" borderId="0"/>
    <xf numFmtId="0" fontId="22" fillId="0" borderId="0"/>
    <xf numFmtId="0" fontId="26" fillId="0" borderId="0"/>
    <xf numFmtId="0" fontId="13" fillId="0" borderId="0"/>
    <xf numFmtId="0" fontId="84" fillId="130" borderId="0"/>
    <xf numFmtId="0" fontId="13" fillId="0" borderId="0"/>
    <xf numFmtId="0" fontId="22" fillId="0" borderId="0"/>
    <xf numFmtId="0" fontId="22" fillId="0" borderId="0"/>
    <xf numFmtId="0" fontId="84" fillId="130" borderId="0"/>
    <xf numFmtId="0" fontId="22" fillId="0" borderId="0"/>
    <xf numFmtId="0" fontId="66" fillId="0" borderId="0"/>
    <xf numFmtId="0" fontId="6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13" fillId="0" borderId="0"/>
    <xf numFmtId="0" fontId="13" fillId="0" borderId="0"/>
    <xf numFmtId="0" fontId="76" fillId="0" borderId="0"/>
    <xf numFmtId="0" fontId="13" fillId="0" borderId="0"/>
    <xf numFmtId="0" fontId="13" fillId="0" borderId="0"/>
    <xf numFmtId="0" fontId="172"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22" fillId="0" borderId="0"/>
    <xf numFmtId="0" fontId="13" fillId="0" borderId="0"/>
    <xf numFmtId="0" fontId="26" fillId="0" borderId="0"/>
    <xf numFmtId="0" fontId="26"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76" fillId="0" borderId="0"/>
    <xf numFmtId="0" fontId="13" fillId="0" borderId="0"/>
    <xf numFmtId="0" fontId="13" fillId="0" borderId="0"/>
    <xf numFmtId="0" fontId="13" fillId="0" borderId="0"/>
    <xf numFmtId="0" fontId="76" fillId="0" borderId="0"/>
    <xf numFmtId="0" fontId="13" fillId="0" borderId="0"/>
    <xf numFmtId="0" fontId="13" fillId="0" borderId="0"/>
    <xf numFmtId="0" fontId="76" fillId="0" borderId="0"/>
    <xf numFmtId="0" fontId="13" fillId="0" borderId="0"/>
    <xf numFmtId="0" fontId="13" fillId="0" borderId="0"/>
    <xf numFmtId="0" fontId="76" fillId="0" borderId="0"/>
    <xf numFmtId="0" fontId="13" fillId="0" borderId="0"/>
    <xf numFmtId="0" fontId="76"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72" fillId="0" borderId="0"/>
    <xf numFmtId="0" fontId="22" fillId="0" borderId="0"/>
    <xf numFmtId="0" fontId="66" fillId="0" borderId="0"/>
    <xf numFmtId="0" fontId="13" fillId="0" borderId="0"/>
    <xf numFmtId="0" fontId="26" fillId="0" borderId="0"/>
    <xf numFmtId="0" fontId="26" fillId="0" borderId="0"/>
    <xf numFmtId="0" fontId="72"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22" fillId="0" borderId="0"/>
    <xf numFmtId="0" fontId="22" fillId="0" borderId="0"/>
    <xf numFmtId="0" fontId="76" fillId="0" borderId="0"/>
    <xf numFmtId="0" fontId="66" fillId="0" borderId="0"/>
    <xf numFmtId="0" fontId="13" fillId="0" borderId="0"/>
    <xf numFmtId="0" fontId="22"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72" fillId="0" borderId="0"/>
    <xf numFmtId="0" fontId="66" fillId="0" borderId="0"/>
    <xf numFmtId="0" fontId="26" fillId="0" borderId="0"/>
    <xf numFmtId="0" fontId="84" fillId="130" borderId="0"/>
    <xf numFmtId="0" fontId="72" fillId="0" borderId="0"/>
    <xf numFmtId="0" fontId="26" fillId="0" borderId="0"/>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4"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6"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6"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26"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22" fillId="0" borderId="0"/>
    <xf numFmtId="0" fontId="26" fillId="0" borderId="0"/>
    <xf numFmtId="0" fontId="26"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21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66" fillId="0" borderId="0"/>
    <xf numFmtId="0" fontId="66" fillId="0" borderId="0"/>
    <xf numFmtId="0" fontId="66" fillId="0" borderId="0"/>
    <xf numFmtId="0" fontId="66" fillId="0" borderId="0"/>
    <xf numFmtId="0" fontId="26" fillId="0" borderId="0"/>
    <xf numFmtId="0" fontId="84" fillId="130" borderId="0"/>
    <xf numFmtId="0" fontId="84" fillId="130" borderId="0"/>
    <xf numFmtId="0" fontId="66" fillId="0" borderId="0"/>
    <xf numFmtId="0" fontId="66" fillId="0" borderId="0"/>
    <xf numFmtId="0" fontId="84" fillId="130" borderId="0"/>
    <xf numFmtId="0" fontId="84" fillId="130" borderId="0"/>
    <xf numFmtId="0" fontId="22" fillId="0" borderId="0"/>
    <xf numFmtId="0" fontId="66" fillId="0" borderId="0"/>
    <xf numFmtId="0" fontId="66" fillId="0" borderId="0"/>
    <xf numFmtId="21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15" fontId="13" fillId="0" borderId="0"/>
    <xf numFmtId="215"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4" fillId="130" borderId="0"/>
    <xf numFmtId="0" fontId="84" fillId="130" borderId="0"/>
    <xf numFmtId="0" fontId="66" fillId="0" borderId="0"/>
    <xf numFmtId="0" fontId="66" fillId="0" borderId="0"/>
    <xf numFmtId="0" fontId="66"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79" fillId="0" borderId="0"/>
    <xf numFmtId="0" fontId="76" fillId="0" borderId="0"/>
    <xf numFmtId="0" fontId="79" fillId="0" borderId="0"/>
    <xf numFmtId="0" fontId="150" fillId="0" borderId="0"/>
    <xf numFmtId="0" fontId="22" fillId="0" borderId="0"/>
    <xf numFmtId="0" fontId="22" fillId="0" borderId="0"/>
    <xf numFmtId="0" fontId="22" fillId="0" borderId="0"/>
    <xf numFmtId="0" fontId="13" fillId="0" borderId="0"/>
    <xf numFmtId="0" fontId="13" fillId="0" borderId="0"/>
    <xf numFmtId="0" fontId="13" fillId="0" borderId="0"/>
    <xf numFmtId="0" fontId="22" fillId="0" borderId="0"/>
    <xf numFmtId="0" fontId="76"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22" fillId="0" borderId="0"/>
    <xf numFmtId="0" fontId="76"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6"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2" fillId="0" borderId="0"/>
    <xf numFmtId="0" fontId="26"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79" fillId="0" borderId="0"/>
    <xf numFmtId="0" fontId="76" fillId="0" borderId="0"/>
    <xf numFmtId="0" fontId="7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6"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76" applyNumberFormat="0" applyAlignment="0">
      <alignment horizontal="center"/>
    </xf>
    <xf numFmtId="0" fontId="22" fillId="0" borderId="0"/>
    <xf numFmtId="0" fontId="22" fillId="0" borderId="0"/>
    <xf numFmtId="0" fontId="22" fillId="0" borderId="21" applyNumberFormat="0" applyAlignment="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 fillId="0" borderId="21"/>
    <xf numFmtId="0" fontId="22" fillId="0" borderId="0"/>
    <xf numFmtId="0" fontId="22" fillId="0" borderId="0"/>
    <xf numFmtId="4" fontId="72" fillId="89" borderId="77" applyNumberFormat="0" applyProtection="0">
      <alignment horizontal="right" vertical="center"/>
    </xf>
    <xf numFmtId="0" fontId="22" fillId="0" borderId="0"/>
    <xf numFmtId="0" fontId="22" fillId="0" borderId="0"/>
    <xf numFmtId="4" fontId="72" fillId="78" borderId="77"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4" fillId="13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21"/>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13" fillId="0" borderId="0"/>
    <xf numFmtId="0" fontId="26" fillId="0" borderId="0"/>
    <xf numFmtId="0" fontId="13" fillId="0" borderId="0"/>
    <xf numFmtId="0" fontId="13" fillId="0" borderId="0"/>
    <xf numFmtId="0" fontId="72" fillId="0" borderId="0"/>
    <xf numFmtId="0"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15" fontId="16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7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22" fillId="0" borderId="0"/>
    <xf numFmtId="0" fontId="13" fillId="0" borderId="0"/>
    <xf numFmtId="0" fontId="22" fillId="0" borderId="0"/>
    <xf numFmtId="0" fontId="13" fillId="0" borderId="0"/>
    <xf numFmtId="0" fontId="13" fillId="0" borderId="0"/>
    <xf numFmtId="0" fontId="13"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22" fillId="0" borderId="0"/>
    <xf numFmtId="0" fontId="13" fillId="0" borderId="0"/>
    <xf numFmtId="215" fontId="13" fillId="0" borderId="0"/>
    <xf numFmtId="0" fontId="22" fillId="0" borderId="0"/>
    <xf numFmtId="0" fontId="22" fillId="0" borderId="0"/>
    <xf numFmtId="0" fontId="13" fillId="0" borderId="0"/>
    <xf numFmtId="0" fontId="22" fillId="0" borderId="0"/>
    <xf numFmtId="0" fontId="13" fillId="0" borderId="0"/>
    <xf numFmtId="215"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13" fillId="0" borderId="0"/>
    <xf numFmtId="0"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7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215" fontId="13"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215" fontId="13" fillId="0" borderId="0"/>
    <xf numFmtId="0" fontId="13" fillId="0" borderId="0"/>
    <xf numFmtId="0" fontId="26"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72" fillId="0" borderId="0"/>
    <xf numFmtId="0" fontId="13" fillId="0" borderId="0"/>
    <xf numFmtId="0" fontId="13"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76" fillId="0" borderId="0"/>
    <xf numFmtId="0" fontId="22" fillId="0" borderId="0"/>
    <xf numFmtId="0" fontId="22" fillId="0" borderId="0"/>
    <xf numFmtId="0" fontId="76" fillId="0" borderId="0"/>
    <xf numFmtId="0" fontId="22" fillId="0" borderId="0"/>
    <xf numFmtId="0" fontId="22" fillId="0" borderId="0"/>
    <xf numFmtId="0" fontId="7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76" fillId="0" borderId="0"/>
    <xf numFmtId="0" fontId="22" fillId="0" borderId="0"/>
    <xf numFmtId="0" fontId="13" fillId="0" borderId="0"/>
    <xf numFmtId="0" fontId="22" fillId="0" borderId="0"/>
    <xf numFmtId="0" fontId="22" fillId="0" borderId="0"/>
    <xf numFmtId="0" fontId="13" fillId="0" borderId="0"/>
    <xf numFmtId="0" fontId="66" fillId="0" borderId="0"/>
    <xf numFmtId="0" fontId="22" fillId="0" borderId="0"/>
    <xf numFmtId="0" fontId="22" fillId="0" borderId="0"/>
    <xf numFmtId="0" fontId="22" fillId="0" borderId="0"/>
    <xf numFmtId="0" fontId="26" fillId="0" borderId="0"/>
    <xf numFmtId="0" fontId="13" fillId="0" borderId="0"/>
    <xf numFmtId="0" fontId="22" fillId="0" borderId="0"/>
    <xf numFmtId="0" fontId="22" fillId="0" borderId="0"/>
    <xf numFmtId="0" fontId="13" fillId="0" borderId="0"/>
    <xf numFmtId="0" fontId="26" fillId="0" borderId="0"/>
    <xf numFmtId="0" fontId="76"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 fillId="0" borderId="21"/>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13" fillId="0" borderId="0"/>
    <xf numFmtId="0" fontId="22" fillId="0" borderId="0"/>
    <xf numFmtId="0" fontId="76" fillId="0" borderId="0"/>
    <xf numFmtId="0" fontId="13" fillId="0" borderId="0"/>
    <xf numFmtId="49" fontId="22" fillId="0" borderId="21"/>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76" fillId="0" borderId="0"/>
    <xf numFmtId="0" fontId="22" fillId="0" borderId="0"/>
    <xf numFmtId="0" fontId="22" fillId="0" borderId="0"/>
    <xf numFmtId="0" fontId="66" fillId="0" borderId="0"/>
    <xf numFmtId="0" fontId="22" fillId="0" borderId="0"/>
    <xf numFmtId="0" fontId="13" fillId="0" borderId="0"/>
    <xf numFmtId="0" fontId="22" fillId="0" borderId="0"/>
    <xf numFmtId="0" fontId="22" fillId="0" borderId="0"/>
    <xf numFmtId="0" fontId="13" fillId="0" borderId="0"/>
    <xf numFmtId="0" fontId="26" fillId="0" borderId="0"/>
    <xf numFmtId="0" fontId="76" fillId="0" borderId="0"/>
    <xf numFmtId="0" fontId="22" fillId="0" borderId="0"/>
    <xf numFmtId="0" fontId="13" fillId="0" borderId="0"/>
    <xf numFmtId="0" fontId="76" fillId="0" borderId="0"/>
    <xf numFmtId="0" fontId="76" fillId="0" borderId="0"/>
    <xf numFmtId="0" fontId="22" fillId="0" borderId="0"/>
    <xf numFmtId="0" fontId="22" fillId="0" borderId="0"/>
    <xf numFmtId="0" fontId="66" fillId="0" borderId="0"/>
    <xf numFmtId="0" fontId="22" fillId="0" borderId="0"/>
    <xf numFmtId="0" fontId="13" fillId="0" borderId="0"/>
    <xf numFmtId="0" fontId="13" fillId="0" borderId="0"/>
    <xf numFmtId="0" fontId="76" fillId="0" borderId="0"/>
    <xf numFmtId="0" fontId="22" fillId="0" borderId="0"/>
    <xf numFmtId="0" fontId="22" fillId="0" borderId="0"/>
    <xf numFmtId="0" fontId="13" fillId="0" borderId="0"/>
    <xf numFmtId="0" fontId="76" fillId="0" borderId="0"/>
    <xf numFmtId="0" fontId="22" fillId="0" borderId="0"/>
    <xf numFmtId="0" fontId="76" fillId="0" borderId="0"/>
    <xf numFmtId="0" fontId="22" fillId="0" borderId="0"/>
    <xf numFmtId="0" fontId="22" fillId="0" borderId="0"/>
    <xf numFmtId="0" fontId="66" fillId="0" borderId="0"/>
    <xf numFmtId="0" fontId="22" fillId="0" borderId="0"/>
    <xf numFmtId="0" fontId="22" fillId="0" borderId="0"/>
    <xf numFmtId="0" fontId="13" fillId="0" borderId="0"/>
    <xf numFmtId="0" fontId="76" fillId="0" borderId="0"/>
    <xf numFmtId="0" fontId="76" fillId="0" borderId="0"/>
    <xf numFmtId="0" fontId="13" fillId="0" borderId="0"/>
    <xf numFmtId="0" fontId="22" fillId="0" borderId="0"/>
    <xf numFmtId="0" fontId="22" fillId="0" borderId="0"/>
    <xf numFmtId="0" fontId="76" fillId="0" borderId="0"/>
    <xf numFmtId="0" fontId="22" fillId="0" borderId="0"/>
    <xf numFmtId="0" fontId="22" fillId="0" borderId="0"/>
    <xf numFmtId="0" fontId="66"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13" fillId="0" borderId="0"/>
    <xf numFmtId="0" fontId="76" fillId="0" borderId="0"/>
    <xf numFmtId="0" fontId="13" fillId="0" borderId="0"/>
    <xf numFmtId="0" fontId="13" fillId="0" borderId="0"/>
    <xf numFmtId="0" fontId="22" fillId="0" borderId="0"/>
    <xf numFmtId="0" fontId="13" fillId="0" borderId="0"/>
    <xf numFmtId="0" fontId="22" fillId="0" borderId="0"/>
    <xf numFmtId="0" fontId="76" fillId="0" borderId="0"/>
    <xf numFmtId="0" fontId="13" fillId="0" borderId="0"/>
    <xf numFmtId="0" fontId="22" fillId="0" borderId="0"/>
    <xf numFmtId="0" fontId="76" fillId="0" borderId="0"/>
    <xf numFmtId="0" fontId="13" fillId="0" borderId="0"/>
    <xf numFmtId="0" fontId="22" fillId="0" borderId="0"/>
    <xf numFmtId="0" fontId="76" fillId="0" borderId="0"/>
    <xf numFmtId="0" fontId="22" fillId="0" borderId="0"/>
    <xf numFmtId="0" fontId="22" fillId="0" borderId="0"/>
    <xf numFmtId="0" fontId="66" fillId="0" borderId="0"/>
    <xf numFmtId="0" fontId="22"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70" borderId="72" applyNumberFormat="0" applyAlignment="0"/>
    <xf numFmtId="0" fontId="22" fillId="0" borderId="0"/>
    <xf numFmtId="0" fontId="22" fillId="0" borderId="0"/>
    <xf numFmtId="1" fontId="30" fillId="70" borderId="72" applyNumberFormat="0" applyAlignment="0">
      <alignment horizontal="left"/>
    </xf>
    <xf numFmtId="0" fontId="22" fillId="0" borderId="0"/>
    <xf numFmtId="0" fontId="22" fillId="0" borderId="0"/>
    <xf numFmtId="1" fontId="30" fillId="94" borderId="72" applyNumberFormat="0" applyAlignment="0">
      <alignment horizontal="center"/>
    </xf>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21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7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76" applyNumberFormat="0" applyAlignment="0">
      <alignment horizont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 fontId="144" fillId="0" borderId="75"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76" fillId="0" borderId="0"/>
    <xf numFmtId="0" fontId="22" fillId="0" borderId="0"/>
    <xf numFmtId="0" fontId="22" fillId="0" borderId="0"/>
    <xf numFmtId="0" fontId="22" fillId="0" borderId="0"/>
    <xf numFmtId="0" fontId="13" fillId="0" borderId="0"/>
    <xf numFmtId="0" fontId="22" fillId="0" borderId="0"/>
    <xf numFmtId="0" fontId="13" fillId="0" borderId="0"/>
    <xf numFmtId="0" fontId="13" fillId="0" borderId="0"/>
    <xf numFmtId="0" fontId="13" fillId="0" borderId="0"/>
    <xf numFmtId="0" fontId="22" fillId="0" borderId="0"/>
    <xf numFmtId="0" fontId="13" fillId="0" borderId="0"/>
    <xf numFmtId="0" fontId="22" fillId="0" borderId="0"/>
    <xf numFmtId="0" fontId="84" fillId="130" borderId="0"/>
    <xf numFmtId="0" fontId="22" fillId="0" borderId="0"/>
    <xf numFmtId="0" fontId="22" fillId="0" borderId="0"/>
    <xf numFmtId="0" fontId="72" fillId="0" borderId="0"/>
    <xf numFmtId="0" fontId="22" fillId="0" borderId="0"/>
    <xf numFmtId="0" fontId="22" fillId="0" borderId="0"/>
    <xf numFmtId="0" fontId="22" fillId="0" borderId="0"/>
    <xf numFmtId="0" fontId="76" fillId="0" borderId="0"/>
    <xf numFmtId="0" fontId="22" fillId="0" borderId="0"/>
    <xf numFmtId="0" fontId="22" fillId="0" borderId="0"/>
    <xf numFmtId="0" fontId="22" fillId="0" borderId="0"/>
    <xf numFmtId="0" fontId="22" fillId="0" borderId="0"/>
    <xf numFmtId="0" fontId="13" fillId="0" borderId="0"/>
    <xf numFmtId="0" fontId="13" fillId="0" borderId="0"/>
    <xf numFmtId="0" fontId="72" fillId="0" borderId="0"/>
    <xf numFmtId="0" fontId="22" fillId="0" borderId="0"/>
    <xf numFmtId="0" fontId="22" fillId="0" borderId="0"/>
    <xf numFmtId="0" fontId="13" fillId="0" borderId="0"/>
    <xf numFmtId="0" fontId="13" fillId="0" borderId="0"/>
    <xf numFmtId="0" fontId="22" fillId="0" borderId="0"/>
    <xf numFmtId="0" fontId="84" fillId="130" borderId="0"/>
    <xf numFmtId="215"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3" fillId="0" borderId="0"/>
    <xf numFmtId="0" fontId="22" fillId="0" borderId="0"/>
    <xf numFmtId="0" fontId="13" fillId="0" borderId="0"/>
    <xf numFmtId="0" fontId="22"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0"/>
    <xf numFmtId="0" fontId="22"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22" fillId="0" borderId="0"/>
    <xf numFmtId="0" fontId="13" fillId="0" borderId="0"/>
    <xf numFmtId="0" fontId="13" fillId="0" borderId="0"/>
    <xf numFmtId="0" fontId="13"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13" fillId="0" borderId="0"/>
    <xf numFmtId="0" fontId="76" fillId="0" borderId="0"/>
    <xf numFmtId="0" fontId="13" fillId="0" borderId="0"/>
    <xf numFmtId="0" fontId="13" fillId="0" borderId="0"/>
    <xf numFmtId="0" fontId="22" fillId="0" borderId="0"/>
    <xf numFmtId="0" fontId="13" fillId="0" borderId="0"/>
    <xf numFmtId="0" fontId="1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6"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7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13" fillId="0" borderId="0"/>
    <xf numFmtId="0" fontId="22" fillId="0" borderId="0"/>
    <xf numFmtId="0" fontId="13" fillId="0" borderId="0"/>
    <xf numFmtId="0" fontId="7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72" fillId="0" borderId="0"/>
    <xf numFmtId="0" fontId="66" fillId="0" borderId="0"/>
    <xf numFmtId="0" fontId="84" fillId="13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22" fillId="0" borderId="0"/>
    <xf numFmtId="0" fontId="22" fillId="0" borderId="0"/>
    <xf numFmtId="0" fontId="84" fillId="130" borderId="0"/>
    <xf numFmtId="0" fontId="22" fillId="0" borderId="0"/>
    <xf numFmtId="0" fontId="22" fillId="0" borderId="0"/>
    <xf numFmtId="0" fontId="22" fillId="0" borderId="0"/>
    <xf numFmtId="0" fontId="22" fillId="0" borderId="0"/>
    <xf numFmtId="0" fontId="22" fillId="0" borderId="0"/>
    <xf numFmtId="0" fontId="84" fillId="130" borderId="0"/>
    <xf numFmtId="0" fontId="22" fillId="0" borderId="0"/>
    <xf numFmtId="0" fontId="84" fillId="13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76" fillId="0" borderId="0"/>
    <xf numFmtId="0" fontId="13" fillId="0" borderId="0"/>
    <xf numFmtId="0" fontId="76"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67" borderId="35"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13" fillId="11" borderId="18" applyNumberFormat="0" applyFont="0" applyAlignment="0" applyProtection="0"/>
    <xf numFmtId="0" fontId="13" fillId="11" borderId="18" applyNumberFormat="0" applyFont="0" applyAlignment="0" applyProtection="0"/>
    <xf numFmtId="0" fontId="22" fillId="0" borderId="0"/>
    <xf numFmtId="0" fontId="13" fillId="11" borderId="18" applyNumberFormat="0" applyFont="0" applyAlignment="0" applyProtection="0"/>
    <xf numFmtId="0" fontId="22" fillId="40" borderId="35"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84" fillId="67" borderId="54" applyNumberFormat="0" applyFont="0" applyAlignment="0" applyProtection="0"/>
    <xf numFmtId="0" fontId="72" fillId="40" borderId="35" applyNumberFormat="0" applyFont="0" applyAlignment="0" applyProtection="0"/>
    <xf numFmtId="0" fontId="22" fillId="0" borderId="0"/>
    <xf numFmtId="0" fontId="22" fillId="0" borderId="0"/>
    <xf numFmtId="0" fontId="84" fillId="67" borderId="54" applyNumberFormat="0" applyFont="0" applyAlignment="0" applyProtection="0"/>
    <xf numFmtId="0" fontId="72" fillId="40" borderId="35" applyNumberFormat="0" applyFont="0" applyAlignment="0" applyProtection="0"/>
    <xf numFmtId="0" fontId="22" fillId="0" borderId="0"/>
    <xf numFmtId="0" fontId="13"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66" fillId="11" borderId="18" applyNumberFormat="0" applyFont="0" applyAlignment="0" applyProtection="0"/>
    <xf numFmtId="0" fontId="72" fillId="40" borderId="35" applyNumberFormat="0" applyFont="0" applyAlignment="0" applyProtection="0"/>
    <xf numFmtId="0" fontId="22" fillId="0" borderId="0"/>
    <xf numFmtId="0" fontId="13"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40" borderId="35" applyNumberFormat="0" applyFont="0" applyAlignment="0" applyProtection="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84" fillId="67" borderId="54"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40" borderId="22"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40" borderId="22"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84" fillId="67" borderId="54" applyNumberFormat="0" applyFont="0" applyAlignment="0" applyProtection="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40" borderId="22"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40" borderId="22"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40" borderId="22"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11" borderId="18" applyNumberFormat="0" applyFont="0" applyAlignment="0" applyProtection="0"/>
    <xf numFmtId="0" fontId="22" fillId="0" borderId="0"/>
    <xf numFmtId="0" fontId="22" fillId="0" borderId="0"/>
    <xf numFmtId="0" fontId="22" fillId="0" borderId="0"/>
    <xf numFmtId="0" fontId="66" fillId="11" borderId="18" applyNumberFormat="0" applyFont="0" applyAlignment="0" applyProtection="0"/>
    <xf numFmtId="0" fontId="22" fillId="0" borderId="0"/>
    <xf numFmtId="0" fontId="22" fillId="0" borderId="0"/>
    <xf numFmtId="0" fontId="106" fillId="122" borderId="36" applyNumberFormat="0" applyAlignment="0" applyProtection="0"/>
    <xf numFmtId="0" fontId="22" fillId="0" borderId="0"/>
    <xf numFmtId="0" fontId="22" fillId="0" borderId="0"/>
    <xf numFmtId="0" fontId="22" fillId="0" borderId="0"/>
    <xf numFmtId="0" fontId="22" fillId="0" borderId="0"/>
    <xf numFmtId="0" fontId="106" fillId="123" borderId="36" applyNumberFormat="0" applyAlignment="0" applyProtection="0"/>
    <xf numFmtId="0" fontId="106" fillId="49" borderId="36" applyNumberFormat="0" applyAlignment="0" applyProtection="0"/>
    <xf numFmtId="0" fontId="22" fillId="0" borderId="0"/>
    <xf numFmtId="0" fontId="106" fillId="123" borderId="36" applyNumberFormat="0" applyAlignment="0" applyProtection="0"/>
    <xf numFmtId="0" fontId="106" fillId="49" borderId="36" applyNumberFormat="0" applyAlignment="0" applyProtection="0"/>
    <xf numFmtId="0" fontId="22" fillId="0" borderId="0"/>
    <xf numFmtId="0" fontId="22" fillId="0" borderId="0"/>
    <xf numFmtId="0" fontId="106" fillId="49" borderId="36" applyNumberFormat="0" applyAlignment="0" applyProtection="0"/>
    <xf numFmtId="0" fontId="22" fillId="0" borderId="0"/>
    <xf numFmtId="0" fontId="22" fillId="0" borderId="0"/>
    <xf numFmtId="0" fontId="22" fillId="0" borderId="0"/>
    <xf numFmtId="0" fontId="106" fillId="42" borderId="36" applyNumberFormat="0" applyAlignment="0" applyProtection="0"/>
    <xf numFmtId="0" fontId="52" fillId="9" borderId="15"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9" borderId="15" applyNumberFormat="0" applyAlignment="0" applyProtection="0"/>
    <xf numFmtId="0" fontId="22" fillId="0" borderId="0"/>
    <xf numFmtId="0" fontId="22" fillId="0" borderId="0"/>
    <xf numFmtId="10" fontId="22" fillId="0" borderId="0" applyFont="0" applyFill="0" applyBorder="0" applyAlignment="0" applyProtection="0"/>
    <xf numFmtId="0" fontId="22" fillId="0" borderId="0"/>
    <xf numFmtId="0" fontId="22" fillId="0" borderId="0"/>
    <xf numFmtId="10" fontId="22" fillId="0" borderId="0" applyFont="0" applyFill="0" applyBorder="0" applyAlignment="0" applyProtection="0"/>
    <xf numFmtId="0" fontId="22" fillId="0" borderId="0"/>
    <xf numFmtId="0" fontId="22" fillId="0" borderId="0"/>
    <xf numFmtId="0" fontId="22" fillId="0" borderId="0"/>
    <xf numFmtId="10"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76"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9" fontId="22" fillId="0" borderId="0" applyFont="0" applyFill="0" applyBorder="0" applyAlignment="0" applyProtection="0"/>
    <xf numFmtId="9" fontId="13" fillId="0" borderId="0" applyFont="0" applyFill="0" applyBorder="0" applyAlignment="0" applyProtection="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9" fontId="76" fillId="0" borderId="0" applyFont="0" applyFill="0" applyBorder="0" applyAlignment="0" applyProtection="0"/>
    <xf numFmtId="9" fontId="13"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0" fontId="22" fillId="0" borderId="0"/>
    <xf numFmtId="9" fontId="7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72" fillId="0" borderId="0" applyFont="0" applyFill="0" applyBorder="0" applyAlignment="0" applyProtection="0"/>
    <xf numFmtId="9" fontId="22" fillId="0" borderId="0" applyFont="0" applyFill="0" applyBorder="0" applyAlignment="0" applyProtection="0"/>
    <xf numFmtId="0" fontId="22" fillId="0" borderId="0"/>
    <xf numFmtId="9" fontId="26" fillId="0" borderId="0" applyFont="0" applyFill="0" applyBorder="0" applyAlignment="0" applyProtection="0"/>
    <xf numFmtId="0" fontId="22" fillId="0" borderId="0"/>
    <xf numFmtId="9" fontId="76"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7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13"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9" fontId="13"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9" fontId="2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76"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7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7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0" fontId="22" fillId="0" borderId="0"/>
    <xf numFmtId="9" fontId="13" fillId="0" borderId="0" applyFont="0" applyFill="0" applyBorder="0" applyAlignment="0" applyProtection="0"/>
    <xf numFmtId="0" fontId="22" fillId="0" borderId="0"/>
    <xf numFmtId="9" fontId="13"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9" fontId="76"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0" fontId="22" fillId="0" borderId="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2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9" fontId="76"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84" fillId="0" borderId="0" applyFont="0" applyFill="0" applyBorder="0" applyAlignment="0" applyProtection="0"/>
    <xf numFmtId="9" fontId="2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66" fillId="0" borderId="0" applyFont="0" applyFill="0" applyBorder="0" applyAlignment="0" applyProtection="0"/>
    <xf numFmtId="9" fontId="76" fillId="0" borderId="0" applyFont="0" applyFill="0" applyBorder="0" applyAlignment="0" applyProtection="0"/>
    <xf numFmtId="0" fontId="22" fillId="0" borderId="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9" fontId="66"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7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206" fontId="108" fillId="0" borderId="0" applyProtection="0"/>
    <xf numFmtId="0" fontId="22" fillId="0" borderId="0"/>
    <xf numFmtId="0" fontId="22" fillId="0" borderId="0"/>
    <xf numFmtId="0" fontId="22" fillId="0" borderId="0"/>
    <xf numFmtId="0" fontId="109" fillId="0" borderId="47" applyNumberFormat="0" applyFill="0" applyBorder="0" applyAlignment="0" applyProtection="0">
      <protection hidden="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84" fillId="77" borderId="54" applyNumberFormat="0" applyProtection="0">
      <alignment vertical="center"/>
    </xf>
    <xf numFmtId="0" fontId="22" fillId="0" borderId="0"/>
    <xf numFmtId="0" fontId="22" fillId="0" borderId="0"/>
    <xf numFmtId="4" fontId="72" fillId="78" borderId="36" applyNumberFormat="0" applyProtection="0">
      <alignment vertical="center"/>
    </xf>
    <xf numFmtId="4" fontId="84" fillId="77" borderId="54" applyNumberFormat="0" applyProtection="0">
      <alignment vertical="center"/>
    </xf>
    <xf numFmtId="0" fontId="22" fillId="0" borderId="0"/>
    <xf numFmtId="0" fontId="22" fillId="0" borderId="0"/>
    <xf numFmtId="0" fontId="22" fillId="0" borderId="0"/>
    <xf numFmtId="4" fontId="84" fillId="77" borderId="54" applyNumberFormat="0" applyProtection="0">
      <alignment vertical="center"/>
    </xf>
    <xf numFmtId="0" fontId="22" fillId="0" borderId="0"/>
    <xf numFmtId="0" fontId="22" fillId="0" borderId="0"/>
    <xf numFmtId="4" fontId="84" fillId="77" borderId="54" applyNumberFormat="0" applyProtection="0">
      <alignment vertical="center"/>
    </xf>
    <xf numFmtId="4" fontId="72" fillId="78" borderId="36" applyNumberFormat="0" applyProtection="0">
      <alignment vertical="center"/>
    </xf>
    <xf numFmtId="0" fontId="22" fillId="0" borderId="0"/>
    <xf numFmtId="0" fontId="22" fillId="0" borderId="0"/>
    <xf numFmtId="0" fontId="22" fillId="0" borderId="0"/>
    <xf numFmtId="4" fontId="84" fillId="77" borderId="54" applyNumberFormat="0" applyProtection="0">
      <alignment vertical="center"/>
    </xf>
    <xf numFmtId="4" fontId="112" fillId="79" borderId="1" applyNumberFormat="0" applyProtection="0">
      <alignment horizontal="right" vertical="center" wrapText="1"/>
    </xf>
    <xf numFmtId="4" fontId="72" fillId="78" borderId="36" applyNumberFormat="0" applyProtection="0">
      <alignment vertical="center"/>
    </xf>
    <xf numFmtId="0" fontId="22" fillId="0" borderId="0"/>
    <xf numFmtId="4" fontId="72" fillId="78" borderId="36" applyNumberFormat="0" applyProtection="0">
      <alignment vertical="center"/>
    </xf>
    <xf numFmtId="0" fontId="22" fillId="0" borderId="0"/>
    <xf numFmtId="0" fontId="22" fillId="0" borderId="0"/>
    <xf numFmtId="4" fontId="116" fillId="77" borderId="37" applyNumberFormat="0" applyProtection="0">
      <alignment vertical="center"/>
    </xf>
    <xf numFmtId="0" fontId="22" fillId="0" borderId="0"/>
    <xf numFmtId="0" fontId="22" fillId="0" borderId="0"/>
    <xf numFmtId="0" fontId="22" fillId="0" borderId="0"/>
    <xf numFmtId="0" fontId="22" fillId="0" borderId="0"/>
    <xf numFmtId="4" fontId="173" fillId="78" borderId="54" applyNumberFormat="0" applyProtection="0">
      <alignment vertical="center"/>
    </xf>
    <xf numFmtId="4" fontId="173" fillId="78" borderId="54" applyNumberFormat="0" applyProtection="0">
      <alignment vertical="center"/>
    </xf>
    <xf numFmtId="0" fontId="22" fillId="0" borderId="0"/>
    <xf numFmtId="0" fontId="22" fillId="0" borderId="0"/>
    <xf numFmtId="0" fontId="22" fillId="0" borderId="0"/>
    <xf numFmtId="4" fontId="113" fillId="78" borderId="37" applyNumberFormat="0" applyProtection="0">
      <alignment vertical="center"/>
    </xf>
    <xf numFmtId="4" fontId="122" fillId="78" borderId="36" applyNumberFormat="0" applyProtection="0">
      <alignment vertical="center"/>
    </xf>
    <xf numFmtId="0" fontId="22" fillId="0" borderId="0"/>
    <xf numFmtId="0" fontId="22" fillId="0" borderId="0"/>
    <xf numFmtId="4" fontId="122" fillId="78" borderId="36" applyNumberFormat="0" applyProtection="0">
      <alignment vertical="center"/>
    </xf>
    <xf numFmtId="4" fontId="113" fillId="77" borderId="37" applyNumberFormat="0" applyProtection="0">
      <alignment vertical="center"/>
    </xf>
    <xf numFmtId="0" fontId="22" fillId="0" borderId="0"/>
    <xf numFmtId="0" fontId="22" fillId="0" borderId="0"/>
    <xf numFmtId="4" fontId="114" fillId="80" borderId="28">
      <alignment vertical="center"/>
    </xf>
    <xf numFmtId="0" fontId="22" fillId="0" borderId="0"/>
    <xf numFmtId="0" fontId="22" fillId="0" borderId="0"/>
    <xf numFmtId="0" fontId="22" fillId="0" borderId="0"/>
    <xf numFmtId="4" fontId="115" fillId="80" borderId="28">
      <alignment vertical="center"/>
    </xf>
    <xf numFmtId="0" fontId="22" fillId="0" borderId="0"/>
    <xf numFmtId="0" fontId="22" fillId="0" borderId="0"/>
    <xf numFmtId="0" fontId="22" fillId="0" borderId="0"/>
    <xf numFmtId="4" fontId="114" fillId="81" borderId="28">
      <alignment vertical="center"/>
    </xf>
    <xf numFmtId="0" fontId="22" fillId="0" borderId="0"/>
    <xf numFmtId="0" fontId="22" fillId="0" borderId="0"/>
    <xf numFmtId="0" fontId="22" fillId="0" borderId="0"/>
    <xf numFmtId="4" fontId="115" fillId="81" borderId="28">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4" fontId="84" fillId="78" borderId="54" applyNumberFormat="0" applyProtection="0">
      <alignment horizontal="left" vertical="center" indent="1"/>
    </xf>
    <xf numFmtId="0" fontId="22" fillId="0" borderId="0"/>
    <xf numFmtId="0" fontId="22" fillId="0" borderId="0"/>
    <xf numFmtId="0" fontId="22" fillId="0" borderId="0"/>
    <xf numFmtId="4" fontId="84" fillId="78" borderId="54" applyNumberFormat="0" applyProtection="0">
      <alignment horizontal="left" vertical="center" indent="1"/>
    </xf>
    <xf numFmtId="0" fontId="22" fillId="0" borderId="0"/>
    <xf numFmtId="0" fontId="22" fillId="0" borderId="0"/>
    <xf numFmtId="4" fontId="84" fillId="78" borderId="54" applyNumberFormat="0" applyProtection="0">
      <alignment horizontal="left" vertical="center" indent="1"/>
    </xf>
    <xf numFmtId="4" fontId="84" fillId="78" borderId="54" applyNumberFormat="0" applyProtection="0">
      <alignment horizontal="left" vertical="center" indent="1"/>
    </xf>
    <xf numFmtId="0" fontId="22" fillId="0" borderId="0"/>
    <xf numFmtId="0" fontId="22" fillId="0" borderId="0"/>
    <xf numFmtId="0" fontId="22" fillId="0" borderId="0"/>
    <xf numFmtId="4" fontId="112" fillId="79" borderId="1" applyNumberFormat="0" applyProtection="0">
      <alignment horizontal="left" vertical="center" indent="1"/>
    </xf>
    <xf numFmtId="4" fontId="72" fillId="78" borderId="36" applyNumberFormat="0" applyProtection="0">
      <alignment horizontal="left" vertical="center" indent="1"/>
    </xf>
    <xf numFmtId="0" fontId="22" fillId="0" borderId="0"/>
    <xf numFmtId="0" fontId="22" fillId="0" borderId="0"/>
    <xf numFmtId="4" fontId="72" fillId="78" borderId="36" applyNumberFormat="0" applyProtection="0">
      <alignment horizontal="left" vertical="center" indent="1"/>
    </xf>
    <xf numFmtId="4" fontId="116" fillId="77" borderId="37" applyNumberFormat="0" applyProtection="0">
      <alignment horizontal="left" vertical="center" indent="1"/>
    </xf>
    <xf numFmtId="0" fontId="22" fillId="0" borderId="0"/>
    <xf numFmtId="0" fontId="22" fillId="0" borderId="0"/>
    <xf numFmtId="0" fontId="22" fillId="0" borderId="0"/>
    <xf numFmtId="0" fontId="22" fillId="0" borderId="0"/>
    <xf numFmtId="0" fontId="174" fillId="77" borderId="37" applyNumberFormat="0" applyProtection="0">
      <alignment horizontal="left" vertical="top" indent="1"/>
    </xf>
    <xf numFmtId="0" fontId="174" fillId="77" borderId="37" applyNumberFormat="0" applyProtection="0">
      <alignment horizontal="left" vertical="top" indent="1"/>
    </xf>
    <xf numFmtId="0" fontId="22" fillId="0" borderId="0"/>
    <xf numFmtId="0" fontId="22" fillId="0" borderId="0"/>
    <xf numFmtId="0" fontId="22" fillId="0" borderId="0"/>
    <xf numFmtId="0" fontId="116" fillId="78" borderId="37" applyNumberFormat="0" applyProtection="0">
      <alignment horizontal="left" vertical="top" indent="1"/>
    </xf>
    <xf numFmtId="4" fontId="72" fillId="78" borderId="36" applyNumberFormat="0" applyProtection="0">
      <alignment horizontal="left" vertical="center" indent="1"/>
    </xf>
    <xf numFmtId="0" fontId="22" fillId="0" borderId="0"/>
    <xf numFmtId="0" fontId="22" fillId="0" borderId="0"/>
    <xf numFmtId="4" fontId="72" fillId="78" borderId="36" applyNumberFormat="0" applyProtection="0">
      <alignment horizontal="left" vertical="center" indent="1"/>
    </xf>
    <xf numFmtId="0" fontId="116" fillId="77"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4" fontId="84" fillId="53" borderId="54" applyNumberFormat="0" applyProtection="0">
      <alignment horizontal="left" vertical="center" indent="1"/>
    </xf>
    <xf numFmtId="0" fontId="22" fillId="0" borderId="0"/>
    <xf numFmtId="0" fontId="22" fillId="0" borderId="0"/>
    <xf numFmtId="0" fontId="22" fillId="0" borderId="0"/>
    <xf numFmtId="4" fontId="84" fillId="53" borderId="54" applyNumberFormat="0" applyProtection="0">
      <alignment horizontal="left" vertical="center" indent="1"/>
    </xf>
    <xf numFmtId="0" fontId="22" fillId="0" borderId="0"/>
    <xf numFmtId="0" fontId="22" fillId="0" borderId="0"/>
    <xf numFmtId="4" fontId="117" fillId="82" borderId="1" applyNumberFormat="0" applyProtection="0">
      <alignment horizontal="left" vertical="center"/>
    </xf>
    <xf numFmtId="0" fontId="22" fillId="0" borderId="0"/>
    <xf numFmtId="0" fontId="22" fillId="0" borderId="0"/>
    <xf numFmtId="0" fontId="22" fillId="0" borderId="0"/>
    <xf numFmtId="4" fontId="84" fillId="53" borderId="54" applyNumberFormat="0" applyProtection="0">
      <alignment horizontal="left" vertical="center" indent="1"/>
    </xf>
    <xf numFmtId="4" fontId="84" fillId="53" borderId="54" applyNumberFormat="0" applyProtection="0">
      <alignment horizontal="left" vertical="center" indent="1"/>
    </xf>
    <xf numFmtId="0" fontId="22" fillId="0" borderId="0"/>
    <xf numFmtId="0" fontId="22" fillId="0" borderId="0"/>
    <xf numFmtId="0" fontId="22" fillId="0" borderId="0"/>
    <xf numFmtId="0" fontId="22" fillId="131" borderId="36" applyNumberFormat="0" applyProtection="0">
      <alignment horizontal="left" vertical="center" indent="1"/>
    </xf>
    <xf numFmtId="4" fontId="117" fillId="82" borderId="1" applyNumberFormat="0" applyProtection="0">
      <alignment horizontal="left" vertical="center"/>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131" borderId="36" applyNumberFormat="0" applyProtection="0">
      <alignment horizontal="left" vertical="center" indent="1"/>
    </xf>
    <xf numFmtId="4" fontId="116" fillId="105" borderId="0"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4" fontId="84" fillId="37" borderId="54" applyNumberFormat="0" applyProtection="0">
      <alignment horizontal="right" vertical="center"/>
    </xf>
    <xf numFmtId="0" fontId="22" fillId="0" borderId="0"/>
    <xf numFmtId="0" fontId="22" fillId="0" borderId="0"/>
    <xf numFmtId="0" fontId="22" fillId="0" borderId="0"/>
    <xf numFmtId="4" fontId="84" fillId="37" borderId="54" applyNumberFormat="0" applyProtection="0">
      <alignment horizontal="right" vertical="center"/>
    </xf>
    <xf numFmtId="0" fontId="22" fillId="0" borderId="0"/>
    <xf numFmtId="0" fontId="22" fillId="0" borderId="0"/>
    <xf numFmtId="4" fontId="84" fillId="37" borderId="54" applyNumberFormat="0" applyProtection="0">
      <alignment horizontal="right" vertical="center"/>
    </xf>
    <xf numFmtId="4" fontId="84" fillId="37" borderId="54" applyNumberFormat="0" applyProtection="0">
      <alignment horizontal="right" vertical="center"/>
    </xf>
    <xf numFmtId="0" fontId="22" fillId="0" borderId="0"/>
    <xf numFmtId="0" fontId="22" fillId="0" borderId="0"/>
    <xf numFmtId="0" fontId="22" fillId="0" borderId="0"/>
    <xf numFmtId="4" fontId="72" fillId="37" borderId="37" applyNumberFormat="0" applyProtection="0">
      <alignment horizontal="right" vertical="center"/>
    </xf>
    <xf numFmtId="4" fontId="72" fillId="99" borderId="36" applyNumberFormat="0" applyProtection="0">
      <alignment horizontal="right" vertical="center"/>
    </xf>
    <xf numFmtId="0" fontId="22" fillId="0" borderId="0"/>
    <xf numFmtId="0" fontId="22" fillId="0" borderId="0"/>
    <xf numFmtId="4" fontId="72" fillId="99" borderId="36" applyNumberFormat="0" applyProtection="0">
      <alignment horizontal="right" vertical="center"/>
    </xf>
    <xf numFmtId="4" fontId="72" fillId="37"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132" borderId="54" applyNumberFormat="0" applyProtection="0">
      <alignment horizontal="right" vertical="center"/>
    </xf>
    <xf numFmtId="0" fontId="22" fillId="0" borderId="0"/>
    <xf numFmtId="0" fontId="22" fillId="0" borderId="0"/>
    <xf numFmtId="0" fontId="22" fillId="0" borderId="0"/>
    <xf numFmtId="4" fontId="84" fillId="132" borderId="54" applyNumberFormat="0" applyProtection="0">
      <alignment horizontal="right" vertical="center"/>
    </xf>
    <xf numFmtId="0" fontId="22" fillId="0" borderId="0"/>
    <xf numFmtId="0" fontId="22" fillId="0" borderId="0"/>
    <xf numFmtId="4" fontId="84" fillId="132" borderId="54" applyNumberFormat="0" applyProtection="0">
      <alignment horizontal="right" vertical="center"/>
    </xf>
    <xf numFmtId="4" fontId="84" fillId="132" borderId="54" applyNumberFormat="0" applyProtection="0">
      <alignment horizontal="right" vertical="center"/>
    </xf>
    <xf numFmtId="0" fontId="22" fillId="0" borderId="0"/>
    <xf numFmtId="0" fontId="22" fillId="0" borderId="0"/>
    <xf numFmtId="0" fontId="22" fillId="0" borderId="0"/>
    <xf numFmtId="4" fontId="72" fillId="38" borderId="37" applyNumberFormat="0" applyProtection="0">
      <alignment horizontal="right" vertical="center"/>
    </xf>
    <xf numFmtId="4" fontId="72" fillId="133" borderId="36" applyNumberFormat="0" applyProtection="0">
      <alignment horizontal="right" vertical="center"/>
    </xf>
    <xf numFmtId="0" fontId="22" fillId="0" borderId="0"/>
    <xf numFmtId="0" fontId="22" fillId="0" borderId="0"/>
    <xf numFmtId="4" fontId="72" fillId="133" borderId="36" applyNumberFormat="0" applyProtection="0">
      <alignment horizontal="right" vertical="center"/>
    </xf>
    <xf numFmtId="4" fontId="72" fillId="38"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62" borderId="64" applyNumberFormat="0" applyProtection="0">
      <alignment horizontal="right" vertical="center"/>
    </xf>
    <xf numFmtId="0" fontId="22" fillId="0" borderId="0"/>
    <xf numFmtId="0" fontId="22" fillId="0" borderId="0"/>
    <xf numFmtId="0" fontId="22" fillId="0" borderId="0"/>
    <xf numFmtId="4" fontId="84" fillId="62" borderId="64" applyNumberFormat="0" applyProtection="0">
      <alignment horizontal="right" vertical="center"/>
    </xf>
    <xf numFmtId="0" fontId="22" fillId="0" borderId="0"/>
    <xf numFmtId="0" fontId="22" fillId="0" borderId="0"/>
    <xf numFmtId="4" fontId="84" fillId="62" borderId="64" applyNumberFormat="0" applyProtection="0">
      <alignment horizontal="right" vertical="center"/>
    </xf>
    <xf numFmtId="4" fontId="84" fillId="62" borderId="64" applyNumberFormat="0" applyProtection="0">
      <alignment horizontal="right" vertical="center"/>
    </xf>
    <xf numFmtId="0" fontId="22" fillId="0" borderId="0"/>
    <xf numFmtId="0" fontId="22" fillId="0" borderId="0"/>
    <xf numFmtId="0" fontId="22" fillId="0" borderId="0"/>
    <xf numFmtId="4" fontId="72" fillId="62" borderId="37" applyNumberFormat="0" applyProtection="0">
      <alignment horizontal="right" vertical="center"/>
    </xf>
    <xf numFmtId="4" fontId="72" fillId="91" borderId="36" applyNumberFormat="0" applyProtection="0">
      <alignment horizontal="right" vertical="center"/>
    </xf>
    <xf numFmtId="0" fontId="22" fillId="0" borderId="0"/>
    <xf numFmtId="0" fontId="22" fillId="0" borderId="0"/>
    <xf numFmtId="4" fontId="72" fillId="91" borderId="36" applyNumberFormat="0" applyProtection="0">
      <alignment horizontal="right" vertical="center"/>
    </xf>
    <xf numFmtId="4" fontId="72" fillId="62"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50" borderId="54" applyNumberFormat="0" applyProtection="0">
      <alignment horizontal="right" vertical="center"/>
    </xf>
    <xf numFmtId="0" fontId="22" fillId="0" borderId="0"/>
    <xf numFmtId="0" fontId="22" fillId="0" borderId="0"/>
    <xf numFmtId="0" fontId="22" fillId="0" borderId="0"/>
    <xf numFmtId="4" fontId="84" fillId="50" borderId="54" applyNumberFormat="0" applyProtection="0">
      <alignment horizontal="right" vertical="center"/>
    </xf>
    <xf numFmtId="0" fontId="22" fillId="0" borderId="0"/>
    <xf numFmtId="0" fontId="22" fillId="0" borderId="0"/>
    <xf numFmtId="4" fontId="84" fillId="50" borderId="54" applyNumberFormat="0" applyProtection="0">
      <alignment horizontal="right" vertical="center"/>
    </xf>
    <xf numFmtId="4" fontId="84" fillId="50" borderId="54" applyNumberFormat="0" applyProtection="0">
      <alignment horizontal="right" vertical="center"/>
    </xf>
    <xf numFmtId="0" fontId="22" fillId="0" borderId="0"/>
    <xf numFmtId="0" fontId="22" fillId="0" borderId="0"/>
    <xf numFmtId="0" fontId="22" fillId="0" borderId="0"/>
    <xf numFmtId="4" fontId="72" fillId="50" borderId="37" applyNumberFormat="0" applyProtection="0">
      <alignment horizontal="right" vertical="center"/>
    </xf>
    <xf numFmtId="4" fontId="72" fillId="96" borderId="36" applyNumberFormat="0" applyProtection="0">
      <alignment horizontal="right" vertical="center"/>
    </xf>
    <xf numFmtId="0" fontId="22" fillId="0" borderId="0"/>
    <xf numFmtId="0" fontId="22" fillId="0" borderId="0"/>
    <xf numFmtId="4" fontId="72" fillId="96" borderId="36" applyNumberFormat="0" applyProtection="0">
      <alignment horizontal="right" vertical="center"/>
    </xf>
    <xf numFmtId="4" fontId="72" fillId="50"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54" borderId="54" applyNumberFormat="0" applyProtection="0">
      <alignment horizontal="right" vertical="center"/>
    </xf>
    <xf numFmtId="0" fontId="22" fillId="0" borderId="0"/>
    <xf numFmtId="0" fontId="22" fillId="0" borderId="0"/>
    <xf numFmtId="0" fontId="22" fillId="0" borderId="0"/>
    <xf numFmtId="4" fontId="84" fillId="54" borderId="54" applyNumberFormat="0" applyProtection="0">
      <alignment horizontal="right" vertical="center"/>
    </xf>
    <xf numFmtId="0" fontId="22" fillId="0" borderId="0"/>
    <xf numFmtId="0" fontId="22" fillId="0" borderId="0"/>
    <xf numFmtId="4" fontId="84" fillId="54" borderId="54" applyNumberFormat="0" applyProtection="0">
      <alignment horizontal="right" vertical="center"/>
    </xf>
    <xf numFmtId="4" fontId="84" fillId="54" borderId="54" applyNumberFormat="0" applyProtection="0">
      <alignment horizontal="right" vertical="center"/>
    </xf>
    <xf numFmtId="0" fontId="22" fillId="0" borderId="0"/>
    <xf numFmtId="0" fontId="22" fillId="0" borderId="0"/>
    <xf numFmtId="0" fontId="22" fillId="0" borderId="0"/>
    <xf numFmtId="4" fontId="72" fillId="54" borderId="37" applyNumberFormat="0" applyProtection="0">
      <alignment horizontal="right" vertical="center"/>
    </xf>
    <xf numFmtId="4" fontId="72" fillId="134" borderId="36" applyNumberFormat="0" applyProtection="0">
      <alignment horizontal="right" vertical="center"/>
    </xf>
    <xf numFmtId="0" fontId="22" fillId="0" borderId="0"/>
    <xf numFmtId="0" fontId="22" fillId="0" borderId="0"/>
    <xf numFmtId="4" fontId="72" fillId="134" borderId="36" applyNumberFormat="0" applyProtection="0">
      <alignment horizontal="right" vertical="center"/>
    </xf>
    <xf numFmtId="4" fontId="72" fillId="54"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69" borderId="54" applyNumberFormat="0" applyProtection="0">
      <alignment horizontal="right" vertical="center"/>
    </xf>
    <xf numFmtId="0" fontId="22" fillId="0" borderId="0"/>
    <xf numFmtId="0" fontId="22" fillId="0" borderId="0"/>
    <xf numFmtId="0" fontId="22" fillId="0" borderId="0"/>
    <xf numFmtId="4" fontId="84" fillId="69" borderId="54" applyNumberFormat="0" applyProtection="0">
      <alignment horizontal="right" vertical="center"/>
    </xf>
    <xf numFmtId="0" fontId="22" fillId="0" borderId="0"/>
    <xf numFmtId="0" fontId="22" fillId="0" borderId="0"/>
    <xf numFmtId="4" fontId="84" fillId="69" borderId="54" applyNumberFormat="0" applyProtection="0">
      <alignment horizontal="right" vertical="center"/>
    </xf>
    <xf numFmtId="4" fontId="84" fillId="69" borderId="54" applyNumberFormat="0" applyProtection="0">
      <alignment horizontal="right" vertical="center"/>
    </xf>
    <xf numFmtId="0" fontId="22" fillId="0" borderId="0"/>
    <xf numFmtId="0" fontId="22" fillId="0" borderId="0"/>
    <xf numFmtId="0" fontId="22" fillId="0" borderId="0"/>
    <xf numFmtId="4" fontId="72" fillId="69" borderId="37" applyNumberFormat="0" applyProtection="0">
      <alignment horizontal="right" vertical="center"/>
    </xf>
    <xf numFmtId="4" fontId="72" fillId="100" borderId="36" applyNumberFormat="0" applyProtection="0">
      <alignment horizontal="right" vertical="center"/>
    </xf>
    <xf numFmtId="0" fontId="22" fillId="0" borderId="0"/>
    <xf numFmtId="0" fontId="22" fillId="0" borderId="0"/>
    <xf numFmtId="4" fontId="72" fillId="100" borderId="36" applyNumberFormat="0" applyProtection="0">
      <alignment horizontal="right" vertical="center"/>
    </xf>
    <xf numFmtId="4" fontId="72" fillId="69"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48" borderId="54" applyNumberFormat="0" applyProtection="0">
      <alignment horizontal="right" vertical="center"/>
    </xf>
    <xf numFmtId="0" fontId="22" fillId="0" borderId="0"/>
    <xf numFmtId="0" fontId="22" fillId="0" borderId="0"/>
    <xf numFmtId="0" fontId="22" fillId="0" borderId="0"/>
    <xf numFmtId="4" fontId="84" fillId="48" borderId="54" applyNumberFormat="0" applyProtection="0">
      <alignment horizontal="right" vertical="center"/>
    </xf>
    <xf numFmtId="0" fontId="22" fillId="0" borderId="0"/>
    <xf numFmtId="0" fontId="22" fillId="0" borderId="0"/>
    <xf numFmtId="4" fontId="84" fillId="48" borderId="54" applyNumberFormat="0" applyProtection="0">
      <alignment horizontal="right" vertical="center"/>
    </xf>
    <xf numFmtId="4" fontId="84" fillId="48" borderId="54" applyNumberFormat="0" applyProtection="0">
      <alignment horizontal="right" vertical="center"/>
    </xf>
    <xf numFmtId="0" fontId="22" fillId="0" borderId="0"/>
    <xf numFmtId="0" fontId="22" fillId="0" borderId="0"/>
    <xf numFmtId="0" fontId="22" fillId="0" borderId="0"/>
    <xf numFmtId="4" fontId="72" fillId="48" borderId="37" applyNumberFormat="0" applyProtection="0">
      <alignment horizontal="right" vertical="center"/>
    </xf>
    <xf numFmtId="4" fontId="72" fillId="135" borderId="36" applyNumberFormat="0" applyProtection="0">
      <alignment horizontal="right" vertical="center"/>
    </xf>
    <xf numFmtId="0" fontId="22" fillId="0" borderId="0"/>
    <xf numFmtId="0" fontId="22" fillId="0" borderId="0"/>
    <xf numFmtId="4" fontId="72" fillId="135" borderId="36" applyNumberFormat="0" applyProtection="0">
      <alignment horizontal="right" vertical="center"/>
    </xf>
    <xf numFmtId="4" fontId="72" fillId="48"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73" borderId="54" applyNumberFormat="0" applyProtection="0">
      <alignment horizontal="right" vertical="center"/>
    </xf>
    <xf numFmtId="0" fontId="22" fillId="0" borderId="0"/>
    <xf numFmtId="0" fontId="22" fillId="0" borderId="0"/>
    <xf numFmtId="0" fontId="22" fillId="0" borderId="0"/>
    <xf numFmtId="4" fontId="84" fillId="73" borderId="54" applyNumberFormat="0" applyProtection="0">
      <alignment horizontal="right" vertical="center"/>
    </xf>
    <xf numFmtId="0" fontId="22" fillId="0" borderId="0"/>
    <xf numFmtId="0" fontId="22" fillId="0" borderId="0"/>
    <xf numFmtId="4" fontId="84" fillId="73" borderId="54" applyNumberFormat="0" applyProtection="0">
      <alignment horizontal="right" vertical="center"/>
    </xf>
    <xf numFmtId="4" fontId="84" fillId="73" borderId="54" applyNumberFormat="0" applyProtection="0">
      <alignment horizontal="right" vertical="center"/>
    </xf>
    <xf numFmtId="0" fontId="22" fillId="0" borderId="0"/>
    <xf numFmtId="0" fontId="22" fillId="0" borderId="0"/>
    <xf numFmtId="0" fontId="22" fillId="0" borderId="0"/>
    <xf numFmtId="4" fontId="72" fillId="73" borderId="37" applyNumberFormat="0" applyProtection="0">
      <alignment horizontal="right" vertical="center"/>
    </xf>
    <xf numFmtId="4" fontId="72" fillId="136" borderId="36" applyNumberFormat="0" applyProtection="0">
      <alignment horizontal="right" vertical="center"/>
    </xf>
    <xf numFmtId="0" fontId="22" fillId="0" borderId="0"/>
    <xf numFmtId="0" fontId="22" fillId="0" borderId="0"/>
    <xf numFmtId="4" fontId="72" fillId="136" borderId="36" applyNumberFormat="0" applyProtection="0">
      <alignment horizontal="right" vertical="center"/>
    </xf>
    <xf numFmtId="4" fontId="72" fillId="73"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47" borderId="54" applyNumberFormat="0" applyProtection="0">
      <alignment horizontal="right" vertical="center"/>
    </xf>
    <xf numFmtId="0" fontId="22" fillId="0" borderId="0"/>
    <xf numFmtId="0" fontId="22" fillId="0" borderId="0"/>
    <xf numFmtId="0" fontId="22" fillId="0" borderId="0"/>
    <xf numFmtId="4" fontId="84" fillId="47" borderId="54" applyNumberFormat="0" applyProtection="0">
      <alignment horizontal="right" vertical="center"/>
    </xf>
    <xf numFmtId="0" fontId="22" fillId="0" borderId="0"/>
    <xf numFmtId="0" fontId="22" fillId="0" borderId="0"/>
    <xf numFmtId="4" fontId="84" fillId="47" borderId="54" applyNumberFormat="0" applyProtection="0">
      <alignment horizontal="right" vertical="center"/>
    </xf>
    <xf numFmtId="4" fontId="84" fillId="47" borderId="54" applyNumberFormat="0" applyProtection="0">
      <alignment horizontal="right" vertical="center"/>
    </xf>
    <xf numFmtId="0" fontId="22" fillId="0" borderId="0"/>
    <xf numFmtId="0" fontId="22" fillId="0" borderId="0"/>
    <xf numFmtId="0" fontId="22" fillId="0" borderId="0"/>
    <xf numFmtId="4" fontId="72" fillId="47" borderId="37" applyNumberFormat="0" applyProtection="0">
      <alignment horizontal="right" vertical="center"/>
    </xf>
    <xf numFmtId="4" fontId="72" fillId="95" borderId="36" applyNumberFormat="0" applyProtection="0">
      <alignment horizontal="right" vertical="center"/>
    </xf>
    <xf numFmtId="0" fontId="22" fillId="0" borderId="0"/>
    <xf numFmtId="0" fontId="22" fillId="0" borderId="0"/>
    <xf numFmtId="4" fontId="72" fillId="95" borderId="36" applyNumberFormat="0" applyProtection="0">
      <alignment horizontal="right" vertical="center"/>
    </xf>
    <xf numFmtId="4" fontId="72" fillId="47" borderId="37"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4" fontId="84" fillId="137" borderId="64" applyNumberFormat="0" applyProtection="0">
      <alignment horizontal="left" vertical="center" indent="1"/>
    </xf>
    <xf numFmtId="0" fontId="22" fillId="0" borderId="0"/>
    <xf numFmtId="0" fontId="22" fillId="0" borderId="0"/>
    <xf numFmtId="0" fontId="22" fillId="0" borderId="0"/>
    <xf numFmtId="4" fontId="84" fillId="137" borderId="64" applyNumberFormat="0" applyProtection="0">
      <alignment horizontal="left" vertical="center" indent="1"/>
    </xf>
    <xf numFmtId="0" fontId="22" fillId="0" borderId="0"/>
    <xf numFmtId="0" fontId="22" fillId="0" borderId="0"/>
    <xf numFmtId="4" fontId="84" fillId="137" borderId="64" applyNumberFormat="0" applyProtection="0">
      <alignment horizontal="left" vertical="center" indent="1"/>
    </xf>
    <xf numFmtId="4" fontId="84" fillId="137" borderId="64" applyNumberFormat="0" applyProtection="0">
      <alignment horizontal="left" vertical="center" indent="1"/>
    </xf>
    <xf numFmtId="0" fontId="22" fillId="0" borderId="0"/>
    <xf numFmtId="0" fontId="22" fillId="0" borderId="0"/>
    <xf numFmtId="0" fontId="22" fillId="0" borderId="0"/>
    <xf numFmtId="4" fontId="116" fillId="0" borderId="1" applyNumberFormat="0" applyProtection="0">
      <alignment horizontal="left" vertical="center" indent="1"/>
    </xf>
    <xf numFmtId="4" fontId="116" fillId="138" borderId="36" applyNumberFormat="0" applyProtection="0">
      <alignment horizontal="left" vertical="center" indent="1"/>
    </xf>
    <xf numFmtId="0" fontId="22" fillId="0" borderId="0"/>
    <xf numFmtId="0" fontId="22" fillId="0" borderId="0"/>
    <xf numFmtId="4" fontId="116" fillId="138" borderId="36" applyNumberFormat="0" applyProtection="0">
      <alignment horizontal="left" vertical="center" indent="1"/>
    </xf>
    <xf numFmtId="4" fontId="116" fillId="137" borderId="65" applyNumberFormat="0" applyProtection="0">
      <alignment horizontal="left" vertical="center" indent="1"/>
    </xf>
    <xf numFmtId="0" fontId="22" fillId="0" borderId="0"/>
    <xf numFmtId="0" fontId="22" fillId="0" borderId="0"/>
    <xf numFmtId="0" fontId="22" fillId="0" borderId="0"/>
    <xf numFmtId="0" fontId="22" fillId="0" borderId="0"/>
    <xf numFmtId="4" fontId="22" fillId="66" borderId="64" applyNumberFormat="0" applyProtection="0">
      <alignment horizontal="left" vertical="center" indent="1"/>
    </xf>
    <xf numFmtId="4" fontId="22" fillId="66" borderId="64" applyNumberFormat="0" applyProtection="0">
      <alignment horizontal="left" vertical="center" indent="1"/>
    </xf>
    <xf numFmtId="0" fontId="22" fillId="0" borderId="0"/>
    <xf numFmtId="0" fontId="22" fillId="0" borderId="0"/>
    <xf numFmtId="0" fontId="22" fillId="0" borderId="0"/>
    <xf numFmtId="4" fontId="72" fillId="0" borderId="1" applyNumberFormat="0" applyProtection="0">
      <alignment horizontal="left" vertical="center" indent="1"/>
    </xf>
    <xf numFmtId="4" fontId="72" fillId="89" borderId="66" applyNumberFormat="0" applyProtection="0">
      <alignment horizontal="left" vertical="center" indent="1"/>
    </xf>
    <xf numFmtId="0" fontId="22" fillId="0" borderId="0"/>
    <xf numFmtId="0" fontId="22" fillId="0" borderId="0"/>
    <xf numFmtId="4" fontId="72" fillId="89" borderId="66" applyNumberFormat="0" applyProtection="0">
      <alignment horizontal="left" vertical="center" indent="1"/>
    </xf>
    <xf numFmtId="4" fontId="72" fillId="90" borderId="0" applyNumberFormat="0" applyProtection="0">
      <alignment horizontal="left" vertical="center" indent="1"/>
    </xf>
    <xf numFmtId="0" fontId="22" fillId="0" borderId="0"/>
    <xf numFmtId="0" fontId="22" fillId="0" borderId="0"/>
    <xf numFmtId="0" fontId="22" fillId="0" borderId="0"/>
    <xf numFmtId="0" fontId="22" fillId="0" borderId="0"/>
    <xf numFmtId="4" fontId="22" fillId="66" borderId="64" applyNumberFormat="0" applyProtection="0">
      <alignment horizontal="left" vertical="center" indent="1"/>
    </xf>
    <xf numFmtId="4" fontId="22" fillId="66" borderId="64" applyNumberFormat="0" applyProtection="0">
      <alignment horizontal="left" vertical="center" indent="1"/>
    </xf>
    <xf numFmtId="0" fontId="22" fillId="0" borderId="0"/>
    <xf numFmtId="4" fontId="119" fillId="84" borderId="0" applyNumberFormat="0" applyProtection="0">
      <alignment horizontal="left" vertical="center" indent="1"/>
    </xf>
    <xf numFmtId="0" fontId="22" fillId="0" borderId="0"/>
    <xf numFmtId="0" fontId="22" fillId="0" borderId="0"/>
    <xf numFmtId="4" fontId="119" fillId="66" borderId="0"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4" fontId="84" fillId="105" borderId="54" applyNumberFormat="0" applyProtection="0">
      <alignment horizontal="right" vertical="center"/>
    </xf>
    <xf numFmtId="0" fontId="22" fillId="0" borderId="0"/>
    <xf numFmtId="0" fontId="22" fillId="0" borderId="0"/>
    <xf numFmtId="0" fontId="22" fillId="0" borderId="0"/>
    <xf numFmtId="4" fontId="84" fillId="105" borderId="54" applyNumberFormat="0" applyProtection="0">
      <alignment horizontal="right" vertical="center"/>
    </xf>
    <xf numFmtId="0" fontId="22" fillId="0" borderId="0"/>
    <xf numFmtId="0" fontId="22" fillId="0" borderId="0"/>
    <xf numFmtId="4" fontId="84" fillId="105" borderId="54" applyNumberFormat="0" applyProtection="0">
      <alignment horizontal="right" vertical="center"/>
    </xf>
    <xf numFmtId="4" fontId="84" fillId="105" borderId="54" applyNumberFormat="0" applyProtection="0">
      <alignment horizontal="right" vertical="center"/>
    </xf>
    <xf numFmtId="0" fontId="22" fillId="0" borderId="0"/>
    <xf numFmtId="0" fontId="22" fillId="0" borderId="0"/>
    <xf numFmtId="0" fontId="22" fillId="0" borderId="0"/>
    <xf numFmtId="0" fontId="22" fillId="131" borderId="36" applyNumberFormat="0" applyProtection="0">
      <alignment horizontal="left" vertical="center" indent="1"/>
    </xf>
    <xf numFmtId="4" fontId="120" fillId="49" borderId="37" applyNumberFormat="0" applyProtection="0">
      <alignment horizontal="center" vertical="center"/>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131" borderId="36" applyNumberFormat="0" applyProtection="0">
      <alignment horizontal="left" vertical="center" indent="1"/>
    </xf>
    <xf numFmtId="4" fontId="72" fillId="105" borderId="37" applyNumberFormat="0" applyProtection="0">
      <alignment horizontal="right" vertical="center"/>
    </xf>
    <xf numFmtId="0" fontId="22" fillId="131" borderId="36" applyNumberFormat="0" applyProtection="0">
      <alignment horizontal="left" vertical="center" indent="1"/>
    </xf>
    <xf numFmtId="0" fontId="22" fillId="0" borderId="0"/>
    <xf numFmtId="0" fontId="22" fillId="0" borderId="0"/>
    <xf numFmtId="4" fontId="121" fillId="76" borderId="38">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4" fontId="84" fillId="90" borderId="64" applyNumberFormat="0" applyProtection="0">
      <alignment horizontal="left" vertical="center" indent="1"/>
    </xf>
    <xf numFmtId="0" fontId="22" fillId="0" borderId="0"/>
    <xf numFmtId="0" fontId="22" fillId="0" borderId="0"/>
    <xf numFmtId="0" fontId="22" fillId="0" borderId="0"/>
    <xf numFmtId="4" fontId="84" fillId="90" borderId="64" applyNumberFormat="0" applyProtection="0">
      <alignment horizontal="left" vertical="center" indent="1"/>
    </xf>
    <xf numFmtId="0" fontId="22" fillId="0" borderId="0"/>
    <xf numFmtId="0" fontId="22" fillId="0" borderId="0"/>
    <xf numFmtId="4" fontId="117" fillId="0" borderId="0" applyNumberFormat="0" applyProtection="0">
      <alignment horizontal="left" vertical="center" indent="1"/>
    </xf>
    <xf numFmtId="0" fontId="22" fillId="0" borderId="0"/>
    <xf numFmtId="0" fontId="22" fillId="0" borderId="0"/>
    <xf numFmtId="0" fontId="22" fillId="0" borderId="0"/>
    <xf numFmtId="4" fontId="84" fillId="90" borderId="64" applyNumberFormat="0" applyProtection="0">
      <alignment horizontal="left" vertical="center" indent="1"/>
    </xf>
    <xf numFmtId="4" fontId="84" fillId="90" borderId="64" applyNumberFormat="0" applyProtection="0">
      <alignment horizontal="left" vertical="center" indent="1"/>
    </xf>
    <xf numFmtId="0" fontId="22" fillId="0" borderId="0"/>
    <xf numFmtId="0" fontId="22" fillId="0" borderId="0"/>
    <xf numFmtId="0" fontId="22" fillId="0" borderId="0"/>
    <xf numFmtId="4" fontId="117" fillId="0" borderId="0" applyNumberFormat="0" applyProtection="0">
      <alignment horizontal="left" vertical="center" indent="1"/>
    </xf>
    <xf numFmtId="4" fontId="72" fillId="89" borderId="36" applyNumberFormat="0" applyProtection="0">
      <alignment horizontal="left" vertical="center" indent="1"/>
    </xf>
    <xf numFmtId="0" fontId="22" fillId="0" borderId="0"/>
    <xf numFmtId="0" fontId="22" fillId="0" borderId="0"/>
    <xf numFmtId="4" fontId="72" fillId="89" borderId="36" applyNumberFormat="0" applyProtection="0">
      <alignment horizontal="left" vertical="center" indent="1"/>
    </xf>
    <xf numFmtId="4" fontId="72" fillId="90" borderId="0"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4" fontId="84" fillId="105" borderId="64" applyNumberFormat="0" applyProtection="0">
      <alignment horizontal="left" vertical="center" indent="1"/>
    </xf>
    <xf numFmtId="0" fontId="22" fillId="0" borderId="0"/>
    <xf numFmtId="0" fontId="22" fillId="0" borderId="0"/>
    <xf numFmtId="0" fontId="22" fillId="0" borderId="0"/>
    <xf numFmtId="4" fontId="84" fillId="105" borderId="64" applyNumberFormat="0" applyProtection="0">
      <alignment horizontal="left" vertical="center" indent="1"/>
    </xf>
    <xf numFmtId="0" fontId="22" fillId="0" borderId="0"/>
    <xf numFmtId="0" fontId="22" fillId="0" borderId="0"/>
    <xf numFmtId="4" fontId="117" fillId="0" borderId="0" applyNumberFormat="0" applyProtection="0">
      <alignment horizontal="left" vertical="center" indent="1"/>
    </xf>
    <xf numFmtId="0" fontId="22" fillId="0" borderId="0"/>
    <xf numFmtId="0" fontId="22" fillId="0" borderId="0"/>
    <xf numFmtId="0" fontId="22" fillId="0" borderId="0"/>
    <xf numFmtId="4" fontId="84" fillId="105" borderId="64" applyNumberFormat="0" applyProtection="0">
      <alignment horizontal="left" vertical="center" indent="1"/>
    </xf>
    <xf numFmtId="4" fontId="84" fillId="105" borderId="64" applyNumberFormat="0" applyProtection="0">
      <alignment horizontal="left" vertical="center" indent="1"/>
    </xf>
    <xf numFmtId="0" fontId="22" fillId="0" borderId="0"/>
    <xf numFmtId="0" fontId="22" fillId="0" borderId="0"/>
    <xf numFmtId="0" fontId="22" fillId="0" borderId="0"/>
    <xf numFmtId="4" fontId="117" fillId="0" borderId="0" applyNumberFormat="0" applyProtection="0">
      <alignment horizontal="left" vertical="center" indent="1"/>
    </xf>
    <xf numFmtId="4" fontId="72" fillId="139" borderId="36" applyNumberFormat="0" applyProtection="0">
      <alignment horizontal="left" vertical="center" indent="1"/>
    </xf>
    <xf numFmtId="0" fontId="22" fillId="0" borderId="0"/>
    <xf numFmtId="0" fontId="22" fillId="0" borderId="0"/>
    <xf numFmtId="4" fontId="72" fillId="139" borderId="36" applyNumberFormat="0" applyProtection="0">
      <alignment horizontal="left" vertical="center" indent="1"/>
    </xf>
    <xf numFmtId="4" fontId="72" fillId="105" borderId="0"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84" fillId="49" borderId="54" applyNumberFormat="0" applyProtection="0">
      <alignment horizontal="left" vertical="center" indent="1"/>
    </xf>
    <xf numFmtId="0" fontId="22" fillId="0" borderId="0"/>
    <xf numFmtId="0" fontId="22" fillId="0" borderId="0"/>
    <xf numFmtId="0" fontId="22" fillId="0" borderId="0"/>
    <xf numFmtId="0" fontId="84" fillId="49" borderId="54" applyNumberFormat="0" applyProtection="0">
      <alignment horizontal="left" vertical="center" indent="1"/>
    </xf>
    <xf numFmtId="0" fontId="22" fillId="0" borderId="0"/>
    <xf numFmtId="0" fontId="22" fillId="0" borderId="0"/>
    <xf numFmtId="0" fontId="117" fillId="85" borderId="1" applyNumberFormat="0" applyProtection="0">
      <alignment horizontal="left" vertical="center" indent="2"/>
    </xf>
    <xf numFmtId="0" fontId="22" fillId="0" borderId="0"/>
    <xf numFmtId="0" fontId="22" fillId="0" borderId="0"/>
    <xf numFmtId="0" fontId="22" fillId="0" borderId="0"/>
    <xf numFmtId="0" fontId="84" fillId="49" borderId="54" applyNumberFormat="0" applyProtection="0">
      <alignment horizontal="left" vertical="center" indent="1"/>
    </xf>
    <xf numFmtId="0" fontId="84" fillId="49" borderId="54" applyNumberFormat="0" applyProtection="0">
      <alignment horizontal="left" vertical="center" indent="1"/>
    </xf>
    <xf numFmtId="0" fontId="22" fillId="0" borderId="0"/>
    <xf numFmtId="0" fontId="22" fillId="0" borderId="0"/>
    <xf numFmtId="0" fontId="22" fillId="0" borderId="0"/>
    <xf numFmtId="0" fontId="22" fillId="139" borderId="36" applyNumberFormat="0" applyProtection="0">
      <alignment horizontal="left" vertical="center" indent="1"/>
    </xf>
    <xf numFmtId="0" fontId="117" fillId="85" borderId="1" applyNumberFormat="0" applyProtection="0">
      <alignment horizontal="left" vertical="center" indent="2"/>
    </xf>
    <xf numFmtId="0" fontId="22" fillId="139" borderId="36" applyNumberFormat="0" applyProtection="0">
      <alignment horizontal="left" vertical="center" indent="1"/>
    </xf>
    <xf numFmtId="0" fontId="22" fillId="139" borderId="36" applyNumberFormat="0" applyProtection="0">
      <alignment horizontal="left" vertical="center" indent="1"/>
    </xf>
    <xf numFmtId="0" fontId="22" fillId="0" borderId="0"/>
    <xf numFmtId="0" fontId="22" fillId="0" borderId="0"/>
    <xf numFmtId="0" fontId="22" fillId="139" borderId="36" applyNumberFormat="0" applyProtection="0">
      <alignment horizontal="left" vertical="center" indent="1"/>
    </xf>
    <xf numFmtId="0" fontId="22" fillId="66" borderId="37" applyNumberFormat="0" applyProtection="0">
      <alignment horizontal="left" vertical="center" indent="1"/>
    </xf>
    <xf numFmtId="0" fontId="22" fillId="139" borderId="36" applyNumberFormat="0" applyProtection="0">
      <alignment horizontal="left" vertical="center" indent="1"/>
    </xf>
    <xf numFmtId="0" fontId="22" fillId="0" borderId="0"/>
    <xf numFmtId="0" fontId="22" fillId="0" borderId="0"/>
    <xf numFmtId="0" fontId="22" fillId="0" borderId="0"/>
    <xf numFmtId="0" fontId="22" fillId="0" borderId="0"/>
    <xf numFmtId="0" fontId="22" fillId="84" borderId="37" applyNumberFormat="0" applyProtection="0">
      <alignment horizontal="left" vertical="top" indent="1"/>
    </xf>
    <xf numFmtId="0" fontId="22" fillId="0" borderId="0"/>
    <xf numFmtId="0" fontId="22" fillId="0" borderId="0"/>
    <xf numFmtId="0" fontId="22" fillId="0" borderId="0"/>
    <xf numFmtId="0" fontId="84" fillId="66" borderId="37" applyNumberFormat="0" applyProtection="0">
      <alignment horizontal="left" vertical="top" indent="1"/>
    </xf>
    <xf numFmtId="0" fontId="84" fillId="66" borderId="37" applyNumberFormat="0" applyProtection="0">
      <alignment horizontal="left" vertical="top" indent="1"/>
    </xf>
    <xf numFmtId="0" fontId="22" fillId="0" borderId="0"/>
    <xf numFmtId="0" fontId="22" fillId="0" borderId="0"/>
    <xf numFmtId="0" fontId="22" fillId="0" borderId="0"/>
    <xf numFmtId="0" fontId="22" fillId="139" borderId="36" applyNumberFormat="0" applyProtection="0">
      <alignment horizontal="left" vertical="center" indent="1"/>
    </xf>
    <xf numFmtId="0" fontId="22" fillId="84" borderId="37" applyNumberFormat="0" applyProtection="0">
      <alignment horizontal="left" vertical="top" indent="1"/>
    </xf>
    <xf numFmtId="0" fontId="22" fillId="139" borderId="36" applyNumberFormat="0" applyProtection="0">
      <alignment horizontal="left" vertical="center" indent="1"/>
    </xf>
    <xf numFmtId="0" fontId="22" fillId="139" borderId="36" applyNumberFormat="0" applyProtection="0">
      <alignment horizontal="left" vertical="center" indent="1"/>
    </xf>
    <xf numFmtId="0" fontId="22" fillId="0" borderId="0"/>
    <xf numFmtId="0" fontId="22" fillId="0" borderId="0"/>
    <xf numFmtId="0" fontId="22" fillId="84" borderId="37" applyNumberFormat="0" applyProtection="0">
      <alignment horizontal="left" vertical="top" indent="1"/>
    </xf>
    <xf numFmtId="0" fontId="22" fillId="139" borderId="36" applyNumberFormat="0" applyProtection="0">
      <alignment horizontal="left" vertical="center" indent="1"/>
    </xf>
    <xf numFmtId="0" fontId="22" fillId="0" borderId="0"/>
    <xf numFmtId="0" fontId="22" fillId="0" borderId="0"/>
    <xf numFmtId="0" fontId="22" fillId="0" borderId="0"/>
    <xf numFmtId="0" fontId="22" fillId="139" borderId="36" applyNumberFormat="0" applyProtection="0">
      <alignment horizontal="left" vertical="center" indent="1"/>
    </xf>
    <xf numFmtId="0" fontId="22" fillId="66"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0" fontId="84" fillId="71" borderId="54" applyNumberFormat="0" applyProtection="0">
      <alignment horizontal="left" vertical="center" indent="1"/>
    </xf>
    <xf numFmtId="0" fontId="22" fillId="0" borderId="0"/>
    <xf numFmtId="0" fontId="22" fillId="0" borderId="0"/>
    <xf numFmtId="0" fontId="22" fillId="0" borderId="0"/>
    <xf numFmtId="0" fontId="84" fillId="71" borderId="54" applyNumberFormat="0" applyProtection="0">
      <alignment horizontal="left" vertical="center" indent="1"/>
    </xf>
    <xf numFmtId="0" fontId="22" fillId="0" borderId="0"/>
    <xf numFmtId="0" fontId="22" fillId="0" borderId="0"/>
    <xf numFmtId="0" fontId="84" fillId="71" borderId="54" applyNumberFormat="0" applyProtection="0">
      <alignment horizontal="left" vertical="center" indent="1"/>
    </xf>
    <xf numFmtId="0" fontId="84" fillId="71" borderId="54" applyNumberFormat="0" applyProtection="0">
      <alignment horizontal="left" vertical="center" indent="1"/>
    </xf>
    <xf numFmtId="0" fontId="22" fillId="0" borderId="0"/>
    <xf numFmtId="0" fontId="22" fillId="0" borderId="0"/>
    <xf numFmtId="0" fontId="22" fillId="0" borderId="0"/>
    <xf numFmtId="0" fontId="22" fillId="83" borderId="36" applyNumberFormat="0" applyProtection="0">
      <alignment horizontal="left" vertical="center" indent="1"/>
    </xf>
    <xf numFmtId="0" fontId="104" fillId="0" borderId="1" applyNumberFormat="0" applyProtection="0">
      <alignment horizontal="left" vertical="center" indent="2"/>
    </xf>
    <xf numFmtId="0" fontId="22" fillId="83" borderId="36" applyNumberFormat="0" applyProtection="0">
      <alignment horizontal="left" vertical="center" indent="1"/>
    </xf>
    <xf numFmtId="0" fontId="22" fillId="83" borderId="36" applyNumberFormat="0" applyProtection="0">
      <alignment horizontal="left" vertical="center" indent="1"/>
    </xf>
    <xf numFmtId="0" fontId="22" fillId="0" borderId="0"/>
    <xf numFmtId="0" fontId="22" fillId="0" borderId="0"/>
    <xf numFmtId="0" fontId="22" fillId="83" borderId="36" applyNumberFormat="0" applyProtection="0">
      <alignment horizontal="left" vertical="center" indent="1"/>
    </xf>
    <xf numFmtId="0" fontId="22" fillId="105" borderId="37" applyNumberFormat="0" applyProtection="0">
      <alignment horizontal="left" vertical="center" indent="1"/>
    </xf>
    <xf numFmtId="0" fontId="22" fillId="83" borderId="36" applyNumberFormat="0" applyProtection="0">
      <alignment horizontal="left" vertical="center" indent="1"/>
    </xf>
    <xf numFmtId="0" fontId="22" fillId="0" borderId="0"/>
    <xf numFmtId="0" fontId="22" fillId="0" borderId="0"/>
    <xf numFmtId="0" fontId="22" fillId="0" borderId="0"/>
    <xf numFmtId="0" fontId="22" fillId="0" borderId="0"/>
    <xf numFmtId="0" fontId="22" fillId="86" borderId="37" applyNumberFormat="0" applyProtection="0">
      <alignment horizontal="left" vertical="top" indent="1"/>
    </xf>
    <xf numFmtId="0" fontId="22" fillId="0" borderId="0"/>
    <xf numFmtId="0" fontId="22" fillId="0" borderId="0"/>
    <xf numFmtId="0" fontId="22" fillId="0" borderId="0"/>
    <xf numFmtId="0" fontId="84" fillId="105" borderId="37" applyNumberFormat="0" applyProtection="0">
      <alignment horizontal="left" vertical="top" indent="1"/>
    </xf>
    <xf numFmtId="0" fontId="84" fillId="105" borderId="37" applyNumberFormat="0" applyProtection="0">
      <alignment horizontal="left" vertical="top" indent="1"/>
    </xf>
    <xf numFmtId="0" fontId="22" fillId="0" borderId="0"/>
    <xf numFmtId="0" fontId="22" fillId="0" borderId="0"/>
    <xf numFmtId="0" fontId="22" fillId="0" borderId="0"/>
    <xf numFmtId="0" fontId="22" fillId="83" borderId="36" applyNumberFormat="0" applyProtection="0">
      <alignment horizontal="left" vertical="center" indent="1"/>
    </xf>
    <xf numFmtId="0" fontId="22" fillId="86" borderId="37" applyNumberFormat="0" applyProtection="0">
      <alignment horizontal="left" vertical="top" indent="1"/>
    </xf>
    <xf numFmtId="0" fontId="22" fillId="83" borderId="36" applyNumberFormat="0" applyProtection="0">
      <alignment horizontal="left" vertical="center" indent="1"/>
    </xf>
    <xf numFmtId="0" fontId="22" fillId="83" borderId="36" applyNumberFormat="0" applyProtection="0">
      <alignment horizontal="left" vertical="center" indent="1"/>
    </xf>
    <xf numFmtId="0" fontId="22" fillId="0" borderId="0"/>
    <xf numFmtId="0" fontId="22" fillId="0" borderId="0"/>
    <xf numFmtId="0" fontId="22" fillId="86" borderId="37" applyNumberFormat="0" applyProtection="0">
      <alignment horizontal="left" vertical="top" indent="1"/>
    </xf>
    <xf numFmtId="0" fontId="22" fillId="83" borderId="36" applyNumberFormat="0" applyProtection="0">
      <alignment horizontal="left" vertical="center" indent="1"/>
    </xf>
    <xf numFmtId="0" fontId="22" fillId="0" borderId="0"/>
    <xf numFmtId="0" fontId="22" fillId="0" borderId="0"/>
    <xf numFmtId="0" fontId="22" fillId="0" borderId="0"/>
    <xf numFmtId="0" fontId="22" fillId="83" borderId="36" applyNumberFormat="0" applyProtection="0">
      <alignment horizontal="left" vertical="center" indent="1"/>
    </xf>
    <xf numFmtId="0" fontId="22" fillId="105"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0" fontId="84" fillId="45" borderId="54" applyNumberFormat="0" applyProtection="0">
      <alignment horizontal="left" vertical="center" indent="1"/>
    </xf>
    <xf numFmtId="0" fontId="22" fillId="0" borderId="0"/>
    <xf numFmtId="0" fontId="22" fillId="0" borderId="0"/>
    <xf numFmtId="0" fontId="22" fillId="0" borderId="0"/>
    <xf numFmtId="0" fontId="84" fillId="45" borderId="54" applyNumberFormat="0" applyProtection="0">
      <alignment horizontal="left" vertical="center" indent="1"/>
    </xf>
    <xf numFmtId="0" fontId="22" fillId="0" borderId="0"/>
    <xf numFmtId="0" fontId="22" fillId="0" borderId="0"/>
    <xf numFmtId="0" fontId="84" fillId="45" borderId="54" applyNumberFormat="0" applyProtection="0">
      <alignment horizontal="left" vertical="center" indent="1"/>
    </xf>
    <xf numFmtId="0" fontId="84" fillId="45" borderId="54" applyNumberFormat="0" applyProtection="0">
      <alignment horizontal="left" vertical="center" indent="1"/>
    </xf>
    <xf numFmtId="0" fontId="22" fillId="0" borderId="0"/>
    <xf numFmtId="0" fontId="22" fillId="0" borderId="0"/>
    <xf numFmtId="0" fontId="22" fillId="0" borderId="0"/>
    <xf numFmtId="0" fontId="22" fillId="74" borderId="36" applyNumberFormat="0" applyProtection="0">
      <alignment horizontal="left" vertical="center" indent="1"/>
    </xf>
    <xf numFmtId="0" fontId="104" fillId="0" borderId="1" applyNumberFormat="0" applyProtection="0">
      <alignment horizontal="left" vertical="center" indent="2"/>
    </xf>
    <xf numFmtId="0" fontId="22" fillId="74" borderId="36" applyNumberFormat="0" applyProtection="0">
      <alignment horizontal="left" vertical="center" indent="1"/>
    </xf>
    <xf numFmtId="0" fontId="22" fillId="74" borderId="36" applyNumberFormat="0" applyProtection="0">
      <alignment horizontal="left" vertical="center" indent="1"/>
    </xf>
    <xf numFmtId="0" fontId="22" fillId="0" borderId="0"/>
    <xf numFmtId="0" fontId="22" fillId="0" borderId="0"/>
    <xf numFmtId="0" fontId="22" fillId="74" borderId="36" applyNumberFormat="0" applyProtection="0">
      <alignment horizontal="left" vertical="center" indent="1"/>
    </xf>
    <xf numFmtId="0" fontId="22" fillId="45" borderId="37" applyNumberFormat="0" applyProtection="0">
      <alignment horizontal="left" vertical="center" indent="1"/>
    </xf>
    <xf numFmtId="0" fontId="22" fillId="74" borderId="36" applyNumberFormat="0" applyProtection="0">
      <alignment horizontal="left" vertical="center" indent="1"/>
    </xf>
    <xf numFmtId="0" fontId="22" fillId="0" borderId="0"/>
    <xf numFmtId="0" fontId="22" fillId="0" borderId="0"/>
    <xf numFmtId="0" fontId="22" fillId="0" borderId="0"/>
    <xf numFmtId="0" fontId="22" fillId="0" borderId="0"/>
    <xf numFmtId="0" fontId="22" fillId="70" borderId="37" applyNumberFormat="0" applyProtection="0">
      <alignment horizontal="left" vertical="top" indent="1"/>
    </xf>
    <xf numFmtId="0" fontId="22" fillId="0" borderId="0"/>
    <xf numFmtId="0" fontId="22" fillId="0" borderId="0"/>
    <xf numFmtId="0" fontId="22" fillId="0" borderId="0"/>
    <xf numFmtId="0" fontId="84" fillId="45" borderId="37" applyNumberFormat="0" applyProtection="0">
      <alignment horizontal="left" vertical="top" indent="1"/>
    </xf>
    <xf numFmtId="0" fontId="84" fillId="45" borderId="37" applyNumberFormat="0" applyProtection="0">
      <alignment horizontal="left" vertical="top" indent="1"/>
    </xf>
    <xf numFmtId="0" fontId="22" fillId="0" borderId="0"/>
    <xf numFmtId="0" fontId="22" fillId="0" borderId="0"/>
    <xf numFmtId="0" fontId="22" fillId="0" borderId="0"/>
    <xf numFmtId="0" fontId="22" fillId="74" borderId="36" applyNumberFormat="0" applyProtection="0">
      <alignment horizontal="left" vertical="center" indent="1"/>
    </xf>
    <xf numFmtId="0" fontId="22" fillId="70" borderId="37" applyNumberFormat="0" applyProtection="0">
      <alignment horizontal="left" vertical="top" indent="1"/>
    </xf>
    <xf numFmtId="0" fontId="22" fillId="74" borderId="36" applyNumberFormat="0" applyProtection="0">
      <alignment horizontal="left" vertical="center" indent="1"/>
    </xf>
    <xf numFmtId="0" fontId="22" fillId="74" borderId="36" applyNumberFormat="0" applyProtection="0">
      <alignment horizontal="left" vertical="center" indent="1"/>
    </xf>
    <xf numFmtId="0" fontId="22" fillId="0" borderId="0"/>
    <xf numFmtId="0" fontId="22" fillId="0" borderId="0"/>
    <xf numFmtId="0" fontId="22" fillId="70" borderId="37" applyNumberFormat="0" applyProtection="0">
      <alignment horizontal="left" vertical="top" indent="1"/>
    </xf>
    <xf numFmtId="0" fontId="22" fillId="74" borderId="36" applyNumberFormat="0" applyProtection="0">
      <alignment horizontal="left" vertical="center" indent="1"/>
    </xf>
    <xf numFmtId="0" fontId="22" fillId="0" borderId="0"/>
    <xf numFmtId="0" fontId="22" fillId="0" borderId="0"/>
    <xf numFmtId="0" fontId="22" fillId="0" borderId="0"/>
    <xf numFmtId="0" fontId="22" fillId="74" borderId="36" applyNumberFormat="0" applyProtection="0">
      <alignment horizontal="left" vertical="center" indent="1"/>
    </xf>
    <xf numFmtId="0" fontId="22" fillId="45"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0" fontId="84" fillId="90" borderId="54" applyNumberFormat="0" applyProtection="0">
      <alignment horizontal="left" vertical="center" indent="1"/>
    </xf>
    <xf numFmtId="0" fontId="22" fillId="0" borderId="0"/>
    <xf numFmtId="0" fontId="22" fillId="0" borderId="0"/>
    <xf numFmtId="0" fontId="22" fillId="0" borderId="0"/>
    <xf numFmtId="0" fontId="84" fillId="90" borderId="54" applyNumberFormat="0" applyProtection="0">
      <alignment horizontal="left" vertical="center" indent="1"/>
    </xf>
    <xf numFmtId="0" fontId="22" fillId="0" borderId="0"/>
    <xf numFmtId="0" fontId="22" fillId="0" borderId="0"/>
    <xf numFmtId="0" fontId="84" fillId="90" borderId="54" applyNumberFormat="0" applyProtection="0">
      <alignment horizontal="left" vertical="center" indent="1"/>
    </xf>
    <xf numFmtId="0" fontId="84" fillId="90" borderId="54" applyNumberFormat="0" applyProtection="0">
      <alignment horizontal="left" vertical="center" indent="1"/>
    </xf>
    <xf numFmtId="0" fontId="22" fillId="0" borderId="0"/>
    <xf numFmtId="0" fontId="22" fillId="0" borderId="0"/>
    <xf numFmtId="0" fontId="22" fillId="0" borderId="0"/>
    <xf numFmtId="0" fontId="22" fillId="131" borderId="36" applyNumberFormat="0" applyProtection="0">
      <alignment horizontal="left" vertical="center" indent="1"/>
    </xf>
    <xf numFmtId="0" fontId="104" fillId="0" borderId="1" applyNumberFormat="0" applyProtection="0">
      <alignment horizontal="left" vertical="center" indent="2"/>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131" borderId="36" applyNumberFormat="0" applyProtection="0">
      <alignment horizontal="left" vertical="center" indent="1"/>
    </xf>
    <xf numFmtId="0" fontId="22" fillId="90" borderId="37"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0" borderId="0"/>
    <xf numFmtId="0" fontId="22" fillId="0" borderId="0"/>
    <xf numFmtId="0" fontId="22" fillId="87" borderId="37" applyNumberFormat="0" applyProtection="0">
      <alignment horizontal="left" vertical="top" indent="1"/>
    </xf>
    <xf numFmtId="0" fontId="22" fillId="0" borderId="0"/>
    <xf numFmtId="0" fontId="22" fillId="0" borderId="0"/>
    <xf numFmtId="0" fontId="22" fillId="0" borderId="0"/>
    <xf numFmtId="0" fontId="84" fillId="90" borderId="37" applyNumberFormat="0" applyProtection="0">
      <alignment horizontal="left" vertical="top" indent="1"/>
    </xf>
    <xf numFmtId="0" fontId="84" fillId="90" borderId="37" applyNumberFormat="0" applyProtection="0">
      <alignment horizontal="left" vertical="top" indent="1"/>
    </xf>
    <xf numFmtId="0" fontId="22" fillId="0" borderId="0"/>
    <xf numFmtId="0" fontId="22" fillId="0" borderId="0"/>
    <xf numFmtId="0" fontId="22" fillId="0" borderId="0"/>
    <xf numFmtId="0" fontId="22" fillId="131" borderId="36" applyNumberFormat="0" applyProtection="0">
      <alignment horizontal="left" vertical="center" indent="1"/>
    </xf>
    <xf numFmtId="0" fontId="22" fillId="87" borderId="37" applyNumberFormat="0" applyProtection="0">
      <alignment horizontal="left" vertical="top" indent="1"/>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87" borderId="37" applyNumberFormat="0" applyProtection="0">
      <alignment horizontal="left" vertical="top" indent="1"/>
    </xf>
    <xf numFmtId="0" fontId="22" fillId="131" borderId="36" applyNumberFormat="0" applyProtection="0">
      <alignment horizontal="left" vertical="center" indent="1"/>
    </xf>
    <xf numFmtId="0" fontId="22" fillId="0" borderId="0"/>
    <xf numFmtId="0" fontId="22" fillId="0" borderId="0"/>
    <xf numFmtId="0" fontId="22" fillId="0" borderId="0"/>
    <xf numFmtId="0" fontId="22" fillId="131" borderId="36" applyNumberFormat="0" applyProtection="0">
      <alignment horizontal="left" vertical="center" indent="1"/>
    </xf>
    <xf numFmtId="0" fontId="22" fillId="90"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84" fillId="88" borderId="67" applyNumberFormat="0">
      <protection locked="0"/>
    </xf>
    <xf numFmtId="0" fontId="13" fillId="0" borderId="0"/>
    <xf numFmtId="0" fontId="22" fillId="88" borderId="1" applyNumberFormat="0">
      <protection locked="0"/>
    </xf>
    <xf numFmtId="0" fontId="22" fillId="0" borderId="0"/>
    <xf numFmtId="0" fontId="22" fillId="0" borderId="0"/>
    <xf numFmtId="0" fontId="22" fillId="0" borderId="0"/>
    <xf numFmtId="0" fontId="22" fillId="88" borderId="1" applyNumberFormat="0">
      <protection locked="0"/>
    </xf>
    <xf numFmtId="0" fontId="22" fillId="0" borderId="0"/>
    <xf numFmtId="0" fontId="22" fillId="0" borderId="0"/>
    <xf numFmtId="0" fontId="22" fillId="0" borderId="0"/>
    <xf numFmtId="0" fontId="84" fillId="88" borderId="67" applyNumberFormat="0">
      <protection locked="0"/>
    </xf>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88" borderId="1" applyNumberFormat="0">
      <protection locked="0"/>
    </xf>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88" borderId="1" applyNumberFormat="0">
      <protection locked="0"/>
    </xf>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118" fillId="66" borderId="68" applyBorder="0"/>
    <xf numFmtId="0" fontId="118" fillId="66" borderId="68" applyBorder="0"/>
    <xf numFmtId="0" fontId="22" fillId="0" borderId="0"/>
    <xf numFmtId="0" fontId="22" fillId="0" borderId="0"/>
    <xf numFmtId="0" fontId="22" fillId="0" borderId="0"/>
    <xf numFmtId="0" fontId="22" fillId="0" borderId="0"/>
    <xf numFmtId="4" fontId="108" fillId="40" borderId="37" applyNumberFormat="0" applyProtection="0">
      <alignment vertical="center"/>
    </xf>
    <xf numFmtId="4" fontId="108" fillId="40" borderId="37" applyNumberFormat="0" applyProtection="0">
      <alignment vertical="center"/>
    </xf>
    <xf numFmtId="0" fontId="22" fillId="0" borderId="0"/>
    <xf numFmtId="0" fontId="22" fillId="0" borderId="0"/>
    <xf numFmtId="0" fontId="22" fillId="0" borderId="0"/>
    <xf numFmtId="4" fontId="72" fillId="75" borderId="37" applyNumberFormat="0" applyProtection="0">
      <alignment vertical="center"/>
    </xf>
    <xf numFmtId="4" fontId="72" fillId="75" borderId="36" applyNumberFormat="0" applyProtection="0">
      <alignment vertical="center"/>
    </xf>
    <xf numFmtId="0" fontId="22" fillId="0" borderId="0"/>
    <xf numFmtId="0" fontId="22" fillId="0" borderId="0"/>
    <xf numFmtId="4" fontId="72" fillId="75" borderId="36" applyNumberFormat="0" applyProtection="0">
      <alignment vertical="center"/>
    </xf>
    <xf numFmtId="4" fontId="72" fillId="40" borderId="37" applyNumberFormat="0" applyProtection="0">
      <alignment vertical="center"/>
    </xf>
    <xf numFmtId="0" fontId="22" fillId="0" borderId="0"/>
    <xf numFmtId="0" fontId="22" fillId="0" borderId="0"/>
    <xf numFmtId="0" fontId="22" fillId="0" borderId="0"/>
    <xf numFmtId="0" fontId="22" fillId="0" borderId="0"/>
    <xf numFmtId="4" fontId="173" fillId="75" borderId="1" applyNumberFormat="0" applyProtection="0">
      <alignment vertical="center"/>
    </xf>
    <xf numFmtId="4" fontId="173" fillId="75" borderId="1" applyNumberFormat="0" applyProtection="0">
      <alignment vertical="center"/>
    </xf>
    <xf numFmtId="0" fontId="22" fillId="0" borderId="0"/>
    <xf numFmtId="0" fontId="22" fillId="0" borderId="0"/>
    <xf numFmtId="0" fontId="22" fillId="0" borderId="0"/>
    <xf numFmtId="4" fontId="122" fillId="75" borderId="37" applyNumberFormat="0" applyProtection="0">
      <alignment vertical="center"/>
    </xf>
    <xf numFmtId="4" fontId="122" fillId="75" borderId="36" applyNumberFormat="0" applyProtection="0">
      <alignment vertical="center"/>
    </xf>
    <xf numFmtId="0" fontId="22" fillId="0" borderId="0"/>
    <xf numFmtId="0" fontId="22" fillId="0" borderId="0"/>
    <xf numFmtId="4" fontId="122" fillId="75" borderId="36" applyNumberFormat="0" applyProtection="0">
      <alignment vertical="center"/>
    </xf>
    <xf numFmtId="4" fontId="122" fillId="40" borderId="37" applyNumberFormat="0" applyProtection="0">
      <alignment vertical="center"/>
    </xf>
    <xf numFmtId="0" fontId="22" fillId="0" borderId="0"/>
    <xf numFmtId="0" fontId="22" fillId="0" borderId="0"/>
    <xf numFmtId="4" fontId="123" fillId="80" borderId="38">
      <alignment vertical="center"/>
    </xf>
    <xf numFmtId="0" fontId="22" fillId="0" borderId="0"/>
    <xf numFmtId="0" fontId="22" fillId="0" borderId="0"/>
    <xf numFmtId="0" fontId="22" fillId="0" borderId="0"/>
    <xf numFmtId="4" fontId="124" fillId="80" borderId="38">
      <alignment vertical="center"/>
    </xf>
    <xf numFmtId="0" fontId="22" fillId="0" borderId="0"/>
    <xf numFmtId="0" fontId="22" fillId="0" borderId="0"/>
    <xf numFmtId="0" fontId="22" fillId="0" borderId="0"/>
    <xf numFmtId="4" fontId="123" fillId="81" borderId="38">
      <alignment vertical="center"/>
    </xf>
    <xf numFmtId="0" fontId="22" fillId="0" borderId="0"/>
    <xf numFmtId="0" fontId="22" fillId="0" borderId="0"/>
    <xf numFmtId="0" fontId="22" fillId="0" borderId="0"/>
    <xf numFmtId="4" fontId="124" fillId="81" borderId="38">
      <alignment vertical="center"/>
    </xf>
    <xf numFmtId="0" fontId="22" fillId="0" borderId="0"/>
    <xf numFmtId="0" fontId="22" fillId="0" borderId="0"/>
    <xf numFmtId="0" fontId="22" fillId="0" borderId="0"/>
    <xf numFmtId="0" fontId="22" fillId="0" borderId="0"/>
    <xf numFmtId="0" fontId="22" fillId="0" borderId="0"/>
    <xf numFmtId="4" fontId="108" fillId="49" borderId="37" applyNumberFormat="0" applyProtection="0">
      <alignment horizontal="left" vertical="center" indent="1"/>
    </xf>
    <xf numFmtId="4" fontId="108" fillId="49" borderId="37" applyNumberFormat="0" applyProtection="0">
      <alignment horizontal="left" vertical="center" indent="1"/>
    </xf>
    <xf numFmtId="0" fontId="22" fillId="0" borderId="0"/>
    <xf numFmtId="0" fontId="22" fillId="0" borderId="0"/>
    <xf numFmtId="0" fontId="22" fillId="0" borderId="0"/>
    <xf numFmtId="4" fontId="108" fillId="0" borderId="0" applyNumberFormat="0" applyProtection="0">
      <alignment horizontal="left" vertical="center" indent="1"/>
    </xf>
    <xf numFmtId="4" fontId="72" fillId="75" borderId="36" applyNumberFormat="0" applyProtection="0">
      <alignment horizontal="left" vertical="center" indent="1"/>
    </xf>
    <xf numFmtId="0" fontId="22" fillId="0" borderId="0"/>
    <xf numFmtId="0" fontId="22" fillId="0" borderId="0"/>
    <xf numFmtId="4" fontId="72" fillId="75" borderId="36" applyNumberFormat="0" applyProtection="0">
      <alignment horizontal="left" vertical="center" indent="1"/>
    </xf>
    <xf numFmtId="4" fontId="72" fillId="40" borderId="37" applyNumberFormat="0" applyProtection="0">
      <alignment horizontal="left" vertical="center" indent="1"/>
    </xf>
    <xf numFmtId="0" fontId="22" fillId="0" borderId="0"/>
    <xf numFmtId="0" fontId="22" fillId="0" borderId="0"/>
    <xf numFmtId="0" fontId="22" fillId="0" borderId="0"/>
    <xf numFmtId="0" fontId="22" fillId="0" borderId="0"/>
    <xf numFmtId="0" fontId="108" fillId="40" borderId="37" applyNumberFormat="0" applyProtection="0">
      <alignment horizontal="left" vertical="top" indent="1"/>
    </xf>
    <xf numFmtId="0" fontId="108" fillId="40" borderId="37" applyNumberFormat="0" applyProtection="0">
      <alignment horizontal="left" vertical="top" indent="1"/>
    </xf>
    <xf numFmtId="0" fontId="22" fillId="0" borderId="0"/>
    <xf numFmtId="0" fontId="22" fillId="0" borderId="0"/>
    <xf numFmtId="0" fontId="22" fillId="0" borderId="0"/>
    <xf numFmtId="0" fontId="72" fillId="75" borderId="37" applyNumberFormat="0" applyProtection="0">
      <alignment horizontal="left" vertical="top" indent="1"/>
    </xf>
    <xf numFmtId="4" fontId="72" fillId="75" borderId="36" applyNumberFormat="0" applyProtection="0">
      <alignment horizontal="left" vertical="center" indent="1"/>
    </xf>
    <xf numFmtId="0" fontId="22" fillId="0" borderId="0"/>
    <xf numFmtId="0" fontId="22" fillId="0" borderId="0"/>
    <xf numFmtId="4" fontId="72" fillId="75" borderId="36" applyNumberFormat="0" applyProtection="0">
      <alignment horizontal="left" vertical="center" indent="1"/>
    </xf>
    <xf numFmtId="0" fontId="72" fillId="40" borderId="37" applyNumberFormat="0" applyProtection="0">
      <alignment horizontal="left" vertical="top" indent="1"/>
    </xf>
    <xf numFmtId="0" fontId="22" fillId="0" borderId="0"/>
    <xf numFmtId="0" fontId="22" fillId="0" borderId="0"/>
    <xf numFmtId="0" fontId="22" fillId="0" borderId="0"/>
    <xf numFmtId="0" fontId="22" fillId="0" borderId="0"/>
    <xf numFmtId="0" fontId="22" fillId="0" borderId="0"/>
    <xf numFmtId="4" fontId="84" fillId="0" borderId="54" applyNumberFormat="0" applyProtection="0">
      <alignment horizontal="right" vertical="center"/>
    </xf>
    <xf numFmtId="0" fontId="22" fillId="0" borderId="0"/>
    <xf numFmtId="0" fontId="22" fillId="0" borderId="0"/>
    <xf numFmtId="4" fontId="72" fillId="89" borderId="36" applyNumberFormat="0" applyProtection="0">
      <alignment horizontal="right" vertical="center"/>
    </xf>
    <xf numFmtId="4" fontId="84" fillId="0" borderId="54" applyNumberFormat="0" applyProtection="0">
      <alignment horizontal="right" vertical="center"/>
    </xf>
    <xf numFmtId="0" fontId="22" fillId="0" borderId="0"/>
    <xf numFmtId="0" fontId="22" fillId="0" borderId="0"/>
    <xf numFmtId="0" fontId="22" fillId="0" borderId="0"/>
    <xf numFmtId="4" fontId="84" fillId="0" borderId="54" applyNumberFormat="0" applyProtection="0">
      <alignment horizontal="right" vertical="center"/>
    </xf>
    <xf numFmtId="0" fontId="22" fillId="0" borderId="0"/>
    <xf numFmtId="0" fontId="22" fillId="0" borderId="0"/>
    <xf numFmtId="4" fontId="125" fillId="0" borderId="1" applyNumberFormat="0" applyProtection="0">
      <alignment horizontal="right" vertical="center" wrapText="1"/>
    </xf>
    <xf numFmtId="0" fontId="22" fillId="0" borderId="0"/>
    <xf numFmtId="0" fontId="22" fillId="0" borderId="0"/>
    <xf numFmtId="0" fontId="22" fillId="0" borderId="0"/>
    <xf numFmtId="4" fontId="84" fillId="0" borderId="54" applyNumberFormat="0" applyProtection="0">
      <alignment horizontal="right" vertical="center"/>
    </xf>
    <xf numFmtId="4" fontId="72" fillId="89" borderId="36" applyNumberFormat="0" applyProtection="0">
      <alignment horizontal="right" vertical="center"/>
    </xf>
    <xf numFmtId="0" fontId="22" fillId="0" borderId="0"/>
    <xf numFmtId="0" fontId="22" fillId="0" borderId="0"/>
    <xf numFmtId="0" fontId="22" fillId="0" borderId="0"/>
    <xf numFmtId="4" fontId="84" fillId="0" borderId="54" applyNumberFormat="0" applyProtection="0">
      <alignment horizontal="right" vertical="center"/>
    </xf>
    <xf numFmtId="4" fontId="125" fillId="0" borderId="1" applyNumberFormat="0" applyProtection="0">
      <alignment horizontal="right" vertical="center" wrapText="1"/>
    </xf>
    <xf numFmtId="4" fontId="72" fillId="89" borderId="36" applyNumberFormat="0" applyProtection="0">
      <alignment horizontal="right" vertical="center"/>
    </xf>
    <xf numFmtId="0" fontId="22" fillId="0" borderId="0"/>
    <xf numFmtId="4" fontId="72" fillId="89" borderId="36" applyNumberFormat="0" applyProtection="0">
      <alignment horizontal="right" vertical="center"/>
    </xf>
    <xf numFmtId="0" fontId="22" fillId="0" borderId="0"/>
    <xf numFmtId="0" fontId="22" fillId="0" borderId="0"/>
    <xf numFmtId="4" fontId="72" fillId="90" borderId="37" applyNumberFormat="0" applyProtection="0">
      <alignment horizontal="right" vertical="center"/>
    </xf>
    <xf numFmtId="0" fontId="22" fillId="0" borderId="0"/>
    <xf numFmtId="0" fontId="22" fillId="0" borderId="0"/>
    <xf numFmtId="0" fontId="22" fillId="0" borderId="0"/>
    <xf numFmtId="0" fontId="22" fillId="0" borderId="0"/>
    <xf numFmtId="4" fontId="173" fillId="76" borderId="54" applyNumberFormat="0" applyProtection="0">
      <alignment horizontal="right" vertical="center"/>
    </xf>
    <xf numFmtId="4" fontId="173" fillId="76" borderId="54" applyNumberFormat="0" applyProtection="0">
      <alignment horizontal="right" vertical="center"/>
    </xf>
    <xf numFmtId="0" fontId="22" fillId="0" borderId="0"/>
    <xf numFmtId="0" fontId="22" fillId="0" borderId="0"/>
    <xf numFmtId="0" fontId="22" fillId="0" borderId="0"/>
    <xf numFmtId="4" fontId="122" fillId="90" borderId="37" applyNumberFormat="0" applyProtection="0">
      <alignment horizontal="right" vertical="center"/>
    </xf>
    <xf numFmtId="4" fontId="122" fillId="89" borderId="36" applyNumberFormat="0" applyProtection="0">
      <alignment horizontal="right" vertical="center"/>
    </xf>
    <xf numFmtId="0" fontId="22" fillId="0" borderId="0"/>
    <xf numFmtId="0" fontId="22" fillId="0" borderId="0"/>
    <xf numFmtId="4" fontId="122" fillId="89" borderId="36" applyNumberFormat="0" applyProtection="0">
      <alignment horizontal="right" vertical="center"/>
    </xf>
    <xf numFmtId="4" fontId="122" fillId="90" borderId="37" applyNumberFormat="0" applyProtection="0">
      <alignment horizontal="right" vertical="center"/>
    </xf>
    <xf numFmtId="0" fontId="22" fillId="0" borderId="0"/>
    <xf numFmtId="0" fontId="22" fillId="0" borderId="0"/>
    <xf numFmtId="4" fontId="126" fillId="80" borderId="38">
      <alignment vertical="center"/>
    </xf>
    <xf numFmtId="0" fontId="22" fillId="0" borderId="0"/>
    <xf numFmtId="0" fontId="22" fillId="0" borderId="0"/>
    <xf numFmtId="0" fontId="22" fillId="0" borderId="0"/>
    <xf numFmtId="4" fontId="127" fillId="80" borderId="38">
      <alignment vertical="center"/>
    </xf>
    <xf numFmtId="0" fontId="22" fillId="0" borderId="0"/>
    <xf numFmtId="0" fontId="22" fillId="0" borderId="0"/>
    <xf numFmtId="0" fontId="22" fillId="0" borderId="0"/>
    <xf numFmtId="4" fontId="126" fillId="81" borderId="38">
      <alignment vertical="center"/>
    </xf>
    <xf numFmtId="0" fontId="22" fillId="0" borderId="0"/>
    <xf numFmtId="0" fontId="22" fillId="0" borderId="0"/>
    <xf numFmtId="0" fontId="22" fillId="0" borderId="0"/>
    <xf numFmtId="4" fontId="127" fillId="91" borderId="38">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4" fontId="84" fillId="53" borderId="54" applyNumberFormat="0" applyProtection="0">
      <alignment horizontal="left" vertical="center" indent="1"/>
    </xf>
    <xf numFmtId="0" fontId="22" fillId="0" borderId="0"/>
    <xf numFmtId="0" fontId="22" fillId="0" borderId="0"/>
    <xf numFmtId="0" fontId="22" fillId="0" borderId="0"/>
    <xf numFmtId="4" fontId="84" fillId="53" borderId="54" applyNumberFormat="0" applyProtection="0">
      <alignment horizontal="left" vertical="center" indent="1"/>
    </xf>
    <xf numFmtId="0" fontId="22" fillId="0" borderId="0"/>
    <xf numFmtId="0" fontId="22" fillId="0" borderId="0"/>
    <xf numFmtId="4" fontId="125" fillId="0" borderId="1" applyNumberFormat="0" applyProtection="0">
      <alignment horizontal="left" vertical="center" indent="1"/>
    </xf>
    <xf numFmtId="0" fontId="22" fillId="0" borderId="0"/>
    <xf numFmtId="0" fontId="22" fillId="0" borderId="0"/>
    <xf numFmtId="0" fontId="22" fillId="0" borderId="0"/>
    <xf numFmtId="4" fontId="84" fillId="53" borderId="54" applyNumberFormat="0" applyProtection="0">
      <alignment horizontal="left" vertical="center" indent="1"/>
    </xf>
    <xf numFmtId="4" fontId="84" fillId="53" borderId="54" applyNumberFormat="0" applyProtection="0">
      <alignment horizontal="left" vertical="center" indent="1"/>
    </xf>
    <xf numFmtId="0" fontId="22" fillId="0" borderId="0"/>
    <xf numFmtId="0" fontId="22" fillId="0" borderId="0"/>
    <xf numFmtId="0" fontId="22" fillId="0" borderId="0"/>
    <xf numFmtId="0" fontId="22" fillId="131" borderId="36" applyNumberFormat="0" applyProtection="0">
      <alignment horizontal="left" vertical="center" indent="1"/>
    </xf>
    <xf numFmtId="4" fontId="125" fillId="0" borderId="1" applyNumberFormat="0" applyProtection="0">
      <alignment horizontal="left" vertical="center" indent="1"/>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131" borderId="36" applyNumberFormat="0" applyProtection="0">
      <alignment horizontal="left" vertical="center" indent="1"/>
    </xf>
    <xf numFmtId="4" fontId="72" fillId="105" borderId="37"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0" borderId="0"/>
    <xf numFmtId="0" fontId="22" fillId="0" borderId="0"/>
    <xf numFmtId="0" fontId="117" fillId="92" borderId="1" applyNumberFormat="0" applyProtection="0">
      <alignment horizontal="center" vertical="top" wrapText="1"/>
    </xf>
    <xf numFmtId="0" fontId="22" fillId="0" borderId="0"/>
    <xf numFmtId="0" fontId="22" fillId="0" borderId="0"/>
    <xf numFmtId="0" fontId="22" fillId="0" borderId="0"/>
    <xf numFmtId="0" fontId="108" fillId="105" borderId="37" applyNumberFormat="0" applyProtection="0">
      <alignment horizontal="left" vertical="top" indent="1"/>
    </xf>
    <xf numFmtId="0" fontId="108" fillId="105" borderId="37" applyNumberFormat="0" applyProtection="0">
      <alignment horizontal="left" vertical="top" indent="1"/>
    </xf>
    <xf numFmtId="0" fontId="22" fillId="0" borderId="0"/>
    <xf numFmtId="0" fontId="22" fillId="0" borderId="0"/>
    <xf numFmtId="0" fontId="22" fillId="0" borderId="0"/>
    <xf numFmtId="0" fontId="22" fillId="131" borderId="36" applyNumberFormat="0" applyProtection="0">
      <alignment horizontal="left" vertical="center" indent="1"/>
    </xf>
    <xf numFmtId="0" fontId="117" fillId="92" borderId="1" applyNumberFormat="0" applyProtection="0">
      <alignment horizontal="center" vertical="top" wrapText="1"/>
    </xf>
    <xf numFmtId="0" fontId="22" fillId="131" borderId="36" applyNumberFormat="0" applyProtection="0">
      <alignment horizontal="left" vertical="center" indent="1"/>
    </xf>
    <xf numFmtId="0" fontId="22" fillId="131" borderId="36" applyNumberFormat="0" applyProtection="0">
      <alignment horizontal="left" vertical="center" indent="1"/>
    </xf>
    <xf numFmtId="0" fontId="22" fillId="0" borderId="0"/>
    <xf numFmtId="0" fontId="22" fillId="0" borderId="0"/>
    <xf numFmtId="0" fontId="22" fillId="131" borderId="36" applyNumberFormat="0" applyProtection="0">
      <alignment horizontal="left" vertical="center" indent="1"/>
    </xf>
    <xf numFmtId="0" fontId="72" fillId="105" borderId="37" applyNumberFormat="0" applyProtection="0">
      <alignment horizontal="left" vertical="top" indent="1"/>
    </xf>
    <xf numFmtId="0" fontId="22" fillId="131" borderId="36" applyNumberFormat="0" applyProtection="0">
      <alignment horizontal="left" vertical="center" indent="1"/>
    </xf>
    <xf numFmtId="0" fontId="22" fillId="0" borderId="0"/>
    <xf numFmtId="0" fontId="22" fillId="0" borderId="0"/>
    <xf numFmtId="4" fontId="128" fillId="76" borderId="39">
      <alignment vertical="center"/>
    </xf>
    <xf numFmtId="0" fontId="22" fillId="0" borderId="0"/>
    <xf numFmtId="0" fontId="22" fillId="0" borderId="0"/>
    <xf numFmtId="0" fontId="22" fillId="0" borderId="0"/>
    <xf numFmtId="4" fontId="129" fillId="76" borderId="39">
      <alignment vertical="center"/>
    </xf>
    <xf numFmtId="0" fontId="22" fillId="0" borderId="0"/>
    <xf numFmtId="0" fontId="22" fillId="0" borderId="0"/>
    <xf numFmtId="0" fontId="22" fillId="0" borderId="0"/>
    <xf numFmtId="4" fontId="114" fillId="80" borderId="39">
      <alignment vertical="center"/>
    </xf>
    <xf numFmtId="0" fontId="22" fillId="0" borderId="0"/>
    <xf numFmtId="0" fontId="22" fillId="0" borderId="0"/>
    <xf numFmtId="0" fontId="22" fillId="0" borderId="0"/>
    <xf numFmtId="4" fontId="115" fillId="80" borderId="39">
      <alignment vertical="center"/>
    </xf>
    <xf numFmtId="0" fontId="22" fillId="0" borderId="0"/>
    <xf numFmtId="0" fontId="22" fillId="0" borderId="0"/>
    <xf numFmtId="0" fontId="22" fillId="0" borderId="0"/>
    <xf numFmtId="4" fontId="114" fillId="81" borderId="38">
      <alignment vertical="center"/>
    </xf>
    <xf numFmtId="0" fontId="22" fillId="0" borderId="0"/>
    <xf numFmtId="0" fontId="22" fillId="0" borderId="0"/>
    <xf numFmtId="0" fontId="22" fillId="0" borderId="0"/>
    <xf numFmtId="4" fontId="115" fillId="81" borderId="38">
      <alignment vertical="center"/>
    </xf>
    <xf numFmtId="0" fontId="22" fillId="0" borderId="0"/>
    <xf numFmtId="0" fontId="22" fillId="0" borderId="0"/>
    <xf numFmtId="0" fontId="22" fillId="0" borderId="0"/>
    <xf numFmtId="4" fontId="130" fillId="75" borderId="39">
      <alignment horizontal="left" vertical="center" indent="1"/>
    </xf>
    <xf numFmtId="0" fontId="22" fillId="0" borderId="0"/>
    <xf numFmtId="0" fontId="22" fillId="0" borderId="0"/>
    <xf numFmtId="0" fontId="22" fillId="0" borderId="0"/>
    <xf numFmtId="0" fontId="22" fillId="0" borderId="0"/>
    <xf numFmtId="0" fontId="22" fillId="0" borderId="0"/>
    <xf numFmtId="4" fontId="175" fillId="140" borderId="64" applyNumberFormat="0" applyProtection="0">
      <alignment horizontal="left" vertical="center" indent="1"/>
    </xf>
    <xf numFmtId="4" fontId="175" fillId="140" borderId="64" applyNumberFormat="0" applyProtection="0">
      <alignment horizontal="left" vertical="center" indent="1"/>
    </xf>
    <xf numFmtId="0" fontId="22" fillId="0" borderId="0"/>
    <xf numFmtId="0" fontId="22" fillId="0" borderId="0"/>
    <xf numFmtId="0" fontId="22" fillId="0" borderId="0"/>
    <xf numFmtId="4" fontId="131" fillId="0" borderId="0" applyNumberFormat="0" applyProtection="0">
      <alignment vertical="center"/>
    </xf>
    <xf numFmtId="0" fontId="176" fillId="0" borderId="0"/>
    <xf numFmtId="0" fontId="22" fillId="0" borderId="0"/>
    <xf numFmtId="0" fontId="22" fillId="0" borderId="0"/>
    <xf numFmtId="0" fontId="176" fillId="0" borderId="0"/>
    <xf numFmtId="4" fontId="177" fillId="140" borderId="0" applyNumberFormat="0" applyProtection="0">
      <alignment horizontal="left" vertical="center" indent="1"/>
    </xf>
    <xf numFmtId="0" fontId="22" fillId="0" borderId="0"/>
    <xf numFmtId="0" fontId="22" fillId="0" borderId="0"/>
    <xf numFmtId="0" fontId="22" fillId="0" borderId="0"/>
    <xf numFmtId="0" fontId="22" fillId="0" borderId="0"/>
    <xf numFmtId="0" fontId="84" fillId="141" borderId="1"/>
    <xf numFmtId="0" fontId="84" fillId="141" borderId="1"/>
    <xf numFmtId="0" fontId="22" fillId="0" borderId="0"/>
    <xf numFmtId="0" fontId="22" fillId="0" borderId="0"/>
    <xf numFmtId="0" fontId="22" fillId="0" borderId="0"/>
    <xf numFmtId="0" fontId="84" fillId="141" borderId="1"/>
    <xf numFmtId="0" fontId="22" fillId="0" borderId="0"/>
    <xf numFmtId="0" fontId="22" fillId="0" borderId="0"/>
    <xf numFmtId="0" fontId="84" fillId="141" borderId="1"/>
    <xf numFmtId="0" fontId="84" fillId="141" borderId="1"/>
    <xf numFmtId="0" fontId="22" fillId="0" borderId="0"/>
    <xf numFmtId="0" fontId="22" fillId="0" borderId="0"/>
    <xf numFmtId="0" fontId="22" fillId="0" borderId="0"/>
    <xf numFmtId="0" fontId="22" fillId="0" borderId="0"/>
    <xf numFmtId="4" fontId="178" fillId="88" borderId="54" applyNumberFormat="0" applyProtection="0">
      <alignment horizontal="right" vertical="center"/>
    </xf>
    <xf numFmtId="4" fontId="178" fillId="88" borderId="54" applyNumberFormat="0" applyProtection="0">
      <alignment horizontal="right" vertical="center"/>
    </xf>
    <xf numFmtId="0" fontId="22" fillId="0" borderId="0"/>
    <xf numFmtId="0" fontId="22" fillId="0" borderId="0"/>
    <xf numFmtId="0" fontId="22" fillId="0" borderId="0"/>
    <xf numFmtId="4" fontId="132" fillId="0" borderId="37" applyNumberFormat="0" applyProtection="0">
      <alignment horizontal="right" vertical="center"/>
    </xf>
    <xf numFmtId="4" fontId="132" fillId="89" borderId="36" applyNumberFormat="0" applyProtection="0">
      <alignment horizontal="right" vertical="center"/>
    </xf>
    <xf numFmtId="0" fontId="22" fillId="0" borderId="0"/>
    <xf numFmtId="0" fontId="22" fillId="0" borderId="0"/>
    <xf numFmtId="4" fontId="132" fillId="89" borderId="36" applyNumberFormat="0" applyProtection="0">
      <alignment horizontal="right" vertical="center"/>
    </xf>
    <xf numFmtId="4" fontId="132" fillId="90" borderId="37" applyNumberFormat="0" applyProtection="0">
      <alignment horizontal="right" vertical="center"/>
    </xf>
    <xf numFmtId="0" fontId="22" fillId="0" borderId="0"/>
    <xf numFmtId="0" fontId="22" fillId="0" borderId="0"/>
    <xf numFmtId="1" fontId="22" fillId="0" borderId="2" applyFill="0" applyBorder="0">
      <alignment horizontal="center"/>
    </xf>
    <xf numFmtId="0" fontId="22" fillId="0" borderId="0"/>
    <xf numFmtId="0" fontId="22" fillId="0" borderId="0"/>
    <xf numFmtId="0" fontId="22" fillId="0" borderId="0"/>
    <xf numFmtId="0" fontId="133" fillId="93" borderId="0"/>
    <xf numFmtId="0" fontId="22" fillId="0" borderId="0"/>
    <xf numFmtId="0" fontId="22" fillId="0" borderId="0"/>
    <xf numFmtId="0" fontId="22" fillId="0" borderId="0"/>
    <xf numFmtId="49" fontId="134" fillId="93" borderId="0"/>
    <xf numFmtId="0" fontId="22" fillId="0" borderId="0"/>
    <xf numFmtId="0" fontId="22" fillId="0" borderId="0"/>
    <xf numFmtId="0" fontId="22" fillId="0" borderId="0"/>
    <xf numFmtId="49" fontId="135" fillId="93" borderId="69"/>
    <xf numFmtId="0" fontId="22" fillId="0" borderId="0"/>
    <xf numFmtId="0" fontId="22" fillId="0" borderId="0"/>
    <xf numFmtId="0" fontId="22" fillId="0" borderId="0"/>
    <xf numFmtId="49" fontId="135" fillId="93" borderId="0"/>
    <xf numFmtId="0" fontId="22" fillId="0" borderId="0"/>
    <xf numFmtId="0" fontId="22" fillId="0" borderId="0"/>
    <xf numFmtId="0" fontId="22" fillId="0" borderId="0"/>
    <xf numFmtId="0" fontId="133" fillId="76" borderId="69">
      <protection locked="0"/>
    </xf>
    <xf numFmtId="0" fontId="22" fillId="0" borderId="0"/>
    <xf numFmtId="0" fontId="22" fillId="0" borderId="0"/>
    <xf numFmtId="0" fontId="22" fillId="0" borderId="0"/>
    <xf numFmtId="0" fontId="133" fillId="93" borderId="0"/>
    <xf numFmtId="0" fontId="22" fillId="0" borderId="0"/>
    <xf numFmtId="0" fontId="22" fillId="0" borderId="0"/>
    <xf numFmtId="0" fontId="22" fillId="0" borderId="0"/>
    <xf numFmtId="0" fontId="136" fillId="94" borderId="0"/>
    <xf numFmtId="0" fontId="22" fillId="0" borderId="0"/>
    <xf numFmtId="0" fontId="22" fillId="0" borderId="0"/>
    <xf numFmtId="0" fontId="22" fillId="0" borderId="0"/>
    <xf numFmtId="0" fontId="136" fillId="95" borderId="0"/>
    <xf numFmtId="0" fontId="22" fillId="0" borderId="0"/>
    <xf numFmtId="0" fontId="22" fillId="0" borderId="0"/>
    <xf numFmtId="0" fontId="22" fillId="0" borderId="0"/>
    <xf numFmtId="0" fontId="136" fillId="96" borderId="0"/>
    <xf numFmtId="0" fontId="22" fillId="0" borderId="0"/>
    <xf numFmtId="0" fontId="22" fillId="0" borderId="0"/>
    <xf numFmtId="0" fontId="22" fillId="0" borderId="0"/>
    <xf numFmtId="0" fontId="22" fillId="0" borderId="0"/>
    <xf numFmtId="0" fontId="137" fillId="0" borderId="0" applyNumberFormat="0" applyFill="0" applyBorder="0" applyAlignment="0" applyProtection="0"/>
    <xf numFmtId="0" fontId="137" fillId="0" borderId="0" applyNumberFormat="0" applyFill="0" applyBorder="0" applyAlignment="0" applyProtection="0"/>
    <xf numFmtId="0" fontId="22" fillId="0" borderId="0"/>
    <xf numFmtId="0" fontId="22" fillId="0" borderId="0"/>
    <xf numFmtId="199" fontId="138" fillId="0" borderId="50">
      <alignment horizontal="center"/>
    </xf>
    <xf numFmtId="0" fontId="22" fillId="0" borderId="0"/>
    <xf numFmtId="0" fontId="22" fillId="0" borderId="0"/>
    <xf numFmtId="0" fontId="22" fillId="0" borderId="0"/>
    <xf numFmtId="0" fontId="60" fillId="0" borderId="0"/>
    <xf numFmtId="0" fontId="22" fillId="0" borderId="0"/>
    <xf numFmtId="0" fontId="22" fillId="0" borderId="0"/>
    <xf numFmtId="0" fontId="22" fillId="0" borderId="0"/>
    <xf numFmtId="0" fontId="22" fillId="0" borderId="0"/>
    <xf numFmtId="0" fontId="179" fillId="0" borderId="0" applyNumberFormat="0" applyFill="0" applyBorder="0" applyProtection="0">
      <alignment vertical="center"/>
    </xf>
    <xf numFmtId="0" fontId="180" fillId="0" borderId="0" applyNumberFormat="0" applyFill="0" applyBorder="0" applyProtection="0">
      <alignment horizontal="center" wrapText="1"/>
    </xf>
    <xf numFmtId="0" fontId="180" fillId="0" borderId="0" applyNumberFormat="0" applyFill="0" applyBorder="0" applyProtection="0">
      <alignment horizontal="center" wrapText="1"/>
    </xf>
    <xf numFmtId="0" fontId="181"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2" fillId="0" borderId="0"/>
    <xf numFmtId="0" fontId="22" fillId="0" borderId="0"/>
    <xf numFmtId="0" fontId="139" fillId="0" borderId="0" applyNumberFormat="0" applyFont="0" applyFill="0" applyBorder="0" applyAlignment="0" applyProtection="0"/>
    <xf numFmtId="0" fontId="22" fillId="0" borderId="0"/>
    <xf numFmtId="207" fontId="180" fillId="0" borderId="0" applyFill="0" applyBorder="0" applyProtection="0">
      <alignment horizontal="center"/>
    </xf>
    <xf numFmtId="207" fontId="180" fillId="0" borderId="0" applyFill="0" applyBorder="0" applyProtection="0">
      <alignment horizontal="center"/>
    </xf>
    <xf numFmtId="0" fontId="22" fillId="0" borderId="0"/>
    <xf numFmtId="207" fontId="182" fillId="0" borderId="0" applyFill="0" applyBorder="0" applyProtection="0">
      <alignment horizontal="center"/>
    </xf>
    <xf numFmtId="0" fontId="22" fillId="0" borderId="0"/>
    <xf numFmtId="0" fontId="22" fillId="0" borderId="0"/>
    <xf numFmtId="209" fontId="22" fillId="0" borderId="0" applyFill="0" applyBorder="0" applyAlignment="0" applyProtection="0">
      <alignment wrapText="1"/>
    </xf>
    <xf numFmtId="207" fontId="182" fillId="0" borderId="0" applyFill="0" applyBorder="0" applyProtection="0">
      <alignment horizontal="center"/>
    </xf>
    <xf numFmtId="0" fontId="22" fillId="0" borderId="0"/>
    <xf numFmtId="216" fontId="180" fillId="0" borderId="0" applyFill="0" applyBorder="0" applyProtection="0">
      <alignment horizontal="center"/>
    </xf>
    <xf numFmtId="216" fontId="180" fillId="0" borderId="0" applyFill="0" applyBorder="0" applyProtection="0">
      <alignment horizontal="center"/>
    </xf>
    <xf numFmtId="0" fontId="22" fillId="0" borderId="0"/>
    <xf numFmtId="41" fontId="26" fillId="0" borderId="0" applyFont="0" applyFill="0" applyBorder="0" applyAlignment="0" applyProtection="0"/>
    <xf numFmtId="0" fontId="22" fillId="0" borderId="0"/>
    <xf numFmtId="0" fontId="22" fillId="0" borderId="0"/>
    <xf numFmtId="216" fontId="182" fillId="0" borderId="0" applyFill="0" applyBorder="0" applyProtection="0">
      <alignment horizontal="center"/>
    </xf>
    <xf numFmtId="216" fontId="182" fillId="0" borderId="0" applyFill="0" applyBorder="0" applyProtection="0">
      <alignment horizontal="center"/>
    </xf>
    <xf numFmtId="0" fontId="182" fillId="0" borderId="0" applyNumberFormat="0" applyFill="0" applyBorder="0" applyProtection="0">
      <alignment wrapText="1"/>
    </xf>
    <xf numFmtId="0" fontId="182" fillId="0" borderId="0" applyNumberFormat="0" applyFill="0" applyBorder="0" applyProtection="0">
      <alignment wrapText="1"/>
    </xf>
    <xf numFmtId="0" fontId="182" fillId="0" borderId="1" applyNumberFormat="0" applyFill="0" applyProtection="0">
      <alignment wrapText="1"/>
    </xf>
    <xf numFmtId="0" fontId="182" fillId="0" borderId="1" applyNumberFormat="0" applyFill="0" applyProtection="0">
      <alignment wrapText="1"/>
    </xf>
    <xf numFmtId="0" fontId="182" fillId="0" borderId="0" applyNumberFormat="0" applyFill="0" applyBorder="0" applyAlignment="0" applyProtection="0"/>
    <xf numFmtId="0" fontId="182" fillId="0" borderId="0" applyNumberFormat="0" applyFill="0" applyBorder="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0"/>
    <xf numFmtId="0" fontId="22" fillId="0" borderId="3" applyNumberFormat="0" applyFont="0" applyFill="0" applyAlignment="0" applyProtection="0"/>
    <xf numFmtId="0" fontId="22" fillId="0" borderId="3" applyNumberFormat="0" applyFont="0" applyFill="0" applyAlignment="0" applyProtection="0"/>
    <xf numFmtId="0" fontId="22" fillId="0" borderId="0"/>
    <xf numFmtId="0" fontId="22" fillId="0" borderId="3" applyNumberFormat="0" applyFont="0" applyFill="0" applyAlignment="0" applyProtection="0"/>
    <xf numFmtId="0" fontId="22" fillId="0" borderId="0"/>
    <xf numFmtId="0" fontId="30" fillId="0" borderId="0" applyNumberFormat="0" applyFill="0" applyBorder="0">
      <alignment horizontal="center" wrapText="1"/>
    </xf>
    <xf numFmtId="0" fontId="22" fillId="0" borderId="3" applyNumberFormat="0" applyFont="0" applyFill="0" applyAlignment="0" applyProtection="0"/>
    <xf numFmtId="0" fontId="22" fillId="0" borderId="0"/>
    <xf numFmtId="0" fontId="22" fillId="0" borderId="0"/>
    <xf numFmtId="0" fontId="22" fillId="0" borderId="49" applyNumberFormat="0" applyFont="0" applyFill="0" applyAlignment="0" applyProtection="0"/>
    <xf numFmtId="0" fontId="22" fillId="0" borderId="49" applyNumberFormat="0" applyFont="0" applyFill="0" applyAlignment="0" applyProtection="0"/>
    <xf numFmtId="0" fontId="22" fillId="0" borderId="0"/>
    <xf numFmtId="0" fontId="22" fillId="0" borderId="49" applyNumberFormat="0" applyFont="0" applyFill="0" applyAlignment="0" applyProtection="0"/>
    <xf numFmtId="0" fontId="22" fillId="0" borderId="0"/>
    <xf numFmtId="0" fontId="30" fillId="0" borderId="0" applyNumberFormat="0" applyFill="0" applyBorder="0">
      <alignment horizontal="center" wrapText="1"/>
    </xf>
    <xf numFmtId="0" fontId="22" fillId="0" borderId="49" applyNumberFormat="0" applyFont="0" applyFill="0" applyAlignment="0" applyProtection="0"/>
    <xf numFmtId="0" fontId="22" fillId="0" borderId="0"/>
    <xf numFmtId="0" fontId="22" fillId="0" borderId="10" applyNumberFormat="0" applyFont="0" applyFill="0" applyAlignment="0" applyProtection="0"/>
    <xf numFmtId="0" fontId="22" fillId="0" borderId="10" applyNumberFormat="0" applyFont="0" applyFill="0" applyAlignment="0" applyProtection="0"/>
    <xf numFmtId="0" fontId="22" fillId="0" borderId="10" applyNumberFormat="0" applyFont="0" applyFill="0" applyAlignment="0" applyProtection="0"/>
    <xf numFmtId="0" fontId="22" fillId="0" borderId="10" applyNumberFormat="0" applyFont="0" applyFill="0" applyAlignment="0" applyProtection="0"/>
    <xf numFmtId="0" fontId="22" fillId="0" borderId="48" applyNumberFormat="0" applyFont="0" applyFill="0" applyAlignment="0" applyProtection="0"/>
    <xf numFmtId="0" fontId="22" fillId="0" borderId="48" applyNumberFormat="0" applyFont="0" applyFill="0" applyAlignment="0" applyProtection="0"/>
    <xf numFmtId="0" fontId="22" fillId="0" borderId="48" applyNumberFormat="0" applyFont="0" applyFill="0" applyAlignment="0" applyProtection="0"/>
    <xf numFmtId="0" fontId="22" fillId="0" borderId="48" applyNumberFormat="0" applyFont="0" applyFill="0" applyAlignment="0" applyProtection="0"/>
    <xf numFmtId="0" fontId="22" fillId="0" borderId="53" applyNumberFormat="0" applyFont="0" applyFill="0" applyAlignment="0" applyProtection="0"/>
    <xf numFmtId="0" fontId="22" fillId="0" borderId="53" applyNumberFormat="0" applyFont="0" applyFill="0" applyAlignment="0" applyProtection="0"/>
    <xf numFmtId="0" fontId="22" fillId="0" borderId="53" applyNumberFormat="0" applyFont="0" applyFill="0" applyAlignment="0" applyProtection="0"/>
    <xf numFmtId="0" fontId="22" fillId="0" borderId="53" applyNumberFormat="0" applyFont="0" applyFill="0" applyAlignment="0" applyProtection="0"/>
    <xf numFmtId="0" fontId="22" fillId="0" borderId="50" applyNumberFormat="0" applyFont="0" applyFill="0" applyAlignment="0" applyProtection="0"/>
    <xf numFmtId="0" fontId="22" fillId="0" borderId="50" applyNumberFormat="0" applyFont="0" applyFill="0" applyAlignment="0" applyProtection="0"/>
    <xf numFmtId="0" fontId="22" fillId="0" borderId="50" applyNumberFormat="0" applyFont="0" applyFill="0" applyAlignment="0" applyProtection="0"/>
    <xf numFmtId="0" fontId="22" fillId="0" borderId="50" applyNumberFormat="0" applyFont="0" applyFill="0" applyAlignment="0" applyProtection="0"/>
    <xf numFmtId="0" fontId="22" fillId="0" borderId="52" applyNumberFormat="0" applyFont="0" applyFill="0" applyAlignment="0" applyProtection="0"/>
    <xf numFmtId="0" fontId="22" fillId="0" borderId="52" applyNumberFormat="0" applyFont="0" applyFill="0" applyAlignment="0" applyProtection="0"/>
    <xf numFmtId="0" fontId="22" fillId="0" borderId="52" applyNumberFormat="0" applyFont="0" applyFill="0" applyAlignment="0" applyProtection="0"/>
    <xf numFmtId="0" fontId="22" fillId="0" borderId="52" applyNumberFormat="0" applyFont="0" applyFill="0" applyAlignment="0" applyProtection="0"/>
    <xf numFmtId="0" fontId="22" fillId="0" borderId="0"/>
    <xf numFmtId="49" fontId="34" fillId="0" borderId="0" applyFont="0" applyFill="0" applyBorder="0" applyAlignment="0" applyProtection="0"/>
    <xf numFmtId="0" fontId="22" fillId="0" borderId="0"/>
    <xf numFmtId="0" fontId="22" fillId="0" borderId="0"/>
    <xf numFmtId="0" fontId="22" fillId="0" borderId="0"/>
    <xf numFmtId="210" fontId="34" fillId="0" borderId="0" applyFont="0" applyFill="0" applyBorder="0" applyAlignment="0" applyProtection="0"/>
    <xf numFmtId="0" fontId="22" fillId="0" borderId="0"/>
    <xf numFmtId="0" fontId="22" fillId="0" borderId="0"/>
    <xf numFmtId="0" fontId="22" fillId="0" borderId="0"/>
    <xf numFmtId="211" fontId="26" fillId="0" borderId="0" applyFont="0" applyFill="0" applyBorder="0" applyAlignment="0" applyProtection="0"/>
    <xf numFmtId="0" fontId="22" fillId="0" borderId="0"/>
    <xf numFmtId="0" fontId="22" fillId="0" borderId="0"/>
    <xf numFmtId="0" fontId="22" fillId="0" borderId="0"/>
    <xf numFmtId="0" fontId="137" fillId="0" borderId="0" applyNumberFormat="0" applyFill="0" applyBorder="0" applyAlignment="0" applyProtection="0"/>
    <xf numFmtId="0" fontId="22" fillId="0" borderId="0"/>
    <xf numFmtId="0" fontId="22" fillId="0" borderId="0"/>
    <xf numFmtId="0" fontId="22" fillId="0" borderId="0"/>
    <xf numFmtId="0" fontId="142" fillId="0" borderId="0" applyNumberFormat="0" applyFill="0" applyBorder="0" applyAlignment="0" applyProtection="0"/>
    <xf numFmtId="0" fontId="142" fillId="0" borderId="0" applyNumberFormat="0" applyFill="0" applyBorder="0" applyAlignment="0" applyProtection="0"/>
    <xf numFmtId="0" fontId="22" fillId="0" borderId="0"/>
    <xf numFmtId="0" fontId="22" fillId="0" borderId="0"/>
    <xf numFmtId="0" fontId="22" fillId="0" borderId="0"/>
    <xf numFmtId="0" fontId="137" fillId="0" borderId="0" applyNumberFormat="0" applyFill="0" applyBorder="0" applyAlignment="0" applyProtection="0"/>
    <xf numFmtId="0" fontId="153" fillId="0" borderId="0" applyNumberFormat="0" applyFill="0" applyBorder="0" applyAlignment="0" applyProtection="0"/>
    <xf numFmtId="0" fontId="22" fillId="0" borderId="0"/>
    <xf numFmtId="0" fontId="22" fillId="0" borderId="0"/>
    <xf numFmtId="0" fontId="137" fillId="0" borderId="0" applyNumberFormat="0" applyFill="0" applyBorder="0" applyAlignment="0" applyProtection="0"/>
    <xf numFmtId="0" fontId="22" fillId="0" borderId="0"/>
    <xf numFmtId="0" fontId="22" fillId="0" borderId="0"/>
    <xf numFmtId="0" fontId="22" fillId="0" borderId="0"/>
    <xf numFmtId="0" fontId="137" fillId="0" borderId="0" applyNumberFormat="0" applyFill="0" applyBorder="0" applyAlignment="0" applyProtection="0"/>
    <xf numFmtId="0" fontId="22" fillId="0" borderId="0"/>
    <xf numFmtId="0" fontId="22" fillId="0" borderId="0"/>
    <xf numFmtId="0" fontId="22" fillId="0" borderId="0"/>
    <xf numFmtId="0" fontId="137" fillId="0" borderId="0" applyNumberFormat="0" applyFill="0" applyBorder="0" applyAlignment="0" applyProtection="0"/>
    <xf numFmtId="0" fontId="22" fillId="0" borderId="0"/>
    <xf numFmtId="0" fontId="22" fillId="0" borderId="0"/>
    <xf numFmtId="0" fontId="22" fillId="0" borderId="0"/>
    <xf numFmtId="0" fontId="137"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53" fillId="0" borderId="0" applyNumberFormat="0" applyFill="0" applyBorder="0" applyAlignment="0" applyProtection="0"/>
    <xf numFmtId="0" fontId="22" fillId="0" borderId="0"/>
    <xf numFmtId="0" fontId="22" fillId="0" borderId="0"/>
    <xf numFmtId="0" fontId="22" fillId="0" borderId="42" applyNumberFormat="0" applyFill="0" applyBorder="0" applyAlignment="0" applyProtection="0"/>
    <xf numFmtId="0" fontId="22" fillId="0" borderId="0"/>
    <xf numFmtId="0" fontId="22" fillId="0" borderId="42" applyNumberFormat="0" applyFill="0" applyBorder="0" applyAlignment="0" applyProtection="0"/>
    <xf numFmtId="0" fontId="143" fillId="0" borderId="70" applyNumberFormat="0" applyFill="0" applyAlignment="0" applyProtection="0"/>
    <xf numFmtId="0" fontId="22" fillId="0" borderId="0"/>
    <xf numFmtId="0" fontId="22" fillId="0" borderId="0"/>
    <xf numFmtId="0" fontId="143" fillId="0" borderId="71" applyNumberFormat="0" applyFill="0" applyAlignment="0" applyProtection="0"/>
    <xf numFmtId="0" fontId="22" fillId="0" borderId="0"/>
    <xf numFmtId="0" fontId="143" fillId="0" borderId="70" applyNumberFormat="0" applyFill="0" applyAlignment="0" applyProtection="0"/>
    <xf numFmtId="0" fontId="143" fillId="0" borderId="71" applyNumberFormat="0" applyFill="0" applyAlignment="0" applyProtection="0"/>
    <xf numFmtId="0" fontId="22" fillId="0" borderId="0"/>
    <xf numFmtId="0" fontId="22" fillId="0" borderId="42" applyNumberFormat="0" applyFill="0" applyBorder="0" applyAlignment="0" applyProtection="0"/>
    <xf numFmtId="0" fontId="22" fillId="0" borderId="0"/>
    <xf numFmtId="0" fontId="143" fillId="0" borderId="71" applyNumberFormat="0" applyFill="0" applyAlignment="0" applyProtection="0"/>
    <xf numFmtId="0" fontId="22" fillId="0" borderId="0"/>
    <xf numFmtId="0" fontId="22" fillId="0" borderId="42" applyNumberFormat="0" applyFill="0" applyBorder="0" applyAlignment="0" applyProtection="0"/>
    <xf numFmtId="0" fontId="22" fillId="0" borderId="0"/>
    <xf numFmtId="0" fontId="22" fillId="0" borderId="0"/>
    <xf numFmtId="197" fontId="22" fillId="0" borderId="46">
      <protection locked="0"/>
    </xf>
    <xf numFmtId="0" fontId="57" fillId="0" borderId="19" applyNumberFormat="0" applyFill="0" applyAlignment="0" applyProtection="0"/>
    <xf numFmtId="0" fontId="22" fillId="0" borderId="0"/>
    <xf numFmtId="0" fontId="22" fillId="0" borderId="0"/>
    <xf numFmtId="197" fontId="22" fillId="0" borderId="46">
      <protection locked="0"/>
    </xf>
    <xf numFmtId="0" fontId="22" fillId="0" borderId="0"/>
    <xf numFmtId="0" fontId="22" fillId="0" borderId="0"/>
    <xf numFmtId="0" fontId="22" fillId="0" borderId="0"/>
    <xf numFmtId="197" fontId="22" fillId="0" borderId="46">
      <protection locked="0"/>
    </xf>
    <xf numFmtId="0" fontId="22" fillId="0" borderId="0"/>
    <xf numFmtId="0" fontId="22" fillId="0" borderId="0"/>
    <xf numFmtId="0" fontId="22" fillId="0" borderId="0"/>
    <xf numFmtId="197" fontId="22" fillId="0" borderId="46">
      <protection locked="0"/>
    </xf>
    <xf numFmtId="0" fontId="22" fillId="0" borderId="0"/>
    <xf numFmtId="0" fontId="22" fillId="0" borderId="0"/>
    <xf numFmtId="0" fontId="22" fillId="0" borderId="0"/>
    <xf numFmtId="197" fontId="22" fillId="0" borderId="46">
      <protection locked="0"/>
    </xf>
    <xf numFmtId="0" fontId="22" fillId="0" borderId="0"/>
    <xf numFmtId="0" fontId="22" fillId="0" borderId="0"/>
    <xf numFmtId="0" fontId="22" fillId="0" borderId="0"/>
    <xf numFmtId="0" fontId="22" fillId="0" borderId="0"/>
    <xf numFmtId="0" fontId="22" fillId="0" borderId="0"/>
    <xf numFmtId="0" fontId="57" fillId="0" borderId="19" applyNumberFormat="0" applyFill="0" applyAlignment="0" applyProtection="0"/>
    <xf numFmtId="0" fontId="22" fillId="0" borderId="0"/>
    <xf numFmtId="0" fontId="22" fillId="0" borderId="0"/>
    <xf numFmtId="37" fontId="84" fillId="78" borderId="0" applyNumberFormat="0" applyBorder="0" applyAlignment="0" applyProtection="0"/>
    <xf numFmtId="0" fontId="22" fillId="0" borderId="0"/>
    <xf numFmtId="0" fontId="22" fillId="0" borderId="0"/>
    <xf numFmtId="0" fontId="22" fillId="0" borderId="0"/>
    <xf numFmtId="37" fontId="84" fillId="78" borderId="0" applyNumberFormat="0" applyBorder="0" applyAlignment="0" applyProtection="0"/>
    <xf numFmtId="0" fontId="22" fillId="0" borderId="0"/>
    <xf numFmtId="0" fontId="22" fillId="0" borderId="0"/>
    <xf numFmtId="0" fontId="22" fillId="0" borderId="0"/>
    <xf numFmtId="37" fontId="84" fillId="0" borderId="0"/>
    <xf numFmtId="0" fontId="22" fillId="0" borderId="0"/>
    <xf numFmtId="0" fontId="22" fillId="0" borderId="0"/>
    <xf numFmtId="3" fontId="144" fillId="0" borderId="32" applyProtection="0"/>
    <xf numFmtId="0" fontId="22" fillId="0" borderId="0"/>
    <xf numFmtId="0" fontId="22" fillId="0" borderId="0"/>
    <xf numFmtId="170" fontId="145" fillId="0" borderId="0" applyFont="0" applyFill="0" applyBorder="0" applyAlignment="0" applyProtection="0"/>
    <xf numFmtId="0" fontId="22" fillId="0" borderId="0"/>
    <xf numFmtId="0" fontId="22" fillId="0" borderId="0"/>
    <xf numFmtId="0" fontId="22" fillId="0" borderId="0"/>
    <xf numFmtId="212" fontId="85" fillId="0" borderId="0" applyFont="0" applyFill="0" applyBorder="0" applyAlignment="0" applyProtection="0"/>
    <xf numFmtId="0" fontId="22" fillId="0" borderId="0"/>
    <xf numFmtId="0" fontId="22" fillId="0" borderId="0"/>
    <xf numFmtId="0" fontId="22" fillId="0" borderId="0"/>
    <xf numFmtId="213" fontId="85" fillId="0" borderId="0" applyFont="0" applyFill="0" applyBorder="0" applyAlignment="0" applyProtection="0"/>
    <xf numFmtId="0" fontId="22" fillId="0" borderId="0"/>
    <xf numFmtId="0" fontId="22" fillId="0" borderId="0"/>
    <xf numFmtId="0" fontId="22" fillId="0" borderId="0"/>
    <xf numFmtId="214" fontId="85" fillId="0" borderId="0" applyFont="0" applyFill="0" applyBorder="0" applyAlignment="0" applyProtection="0"/>
    <xf numFmtId="0" fontId="22" fillId="0" borderId="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22" fillId="0" borderId="0"/>
    <xf numFmtId="0" fontId="183" fillId="0" borderId="0" applyNumberFormat="0" applyFill="0" applyBorder="0" applyAlignment="0" applyProtection="0"/>
    <xf numFmtId="0" fontId="146" fillId="0" borderId="0" applyNumberFormat="0" applyFill="0" applyBorder="0" applyAlignment="0" applyProtection="0"/>
    <xf numFmtId="0" fontId="22" fillId="0" borderId="0"/>
    <xf numFmtId="0" fontId="183" fillId="0" borderId="0" applyNumberFormat="0" applyFill="0" applyBorder="0" applyAlignment="0" applyProtection="0"/>
    <xf numFmtId="0" fontId="146" fillId="0" borderId="0" applyNumberFormat="0" applyFill="0" applyBorder="0" applyAlignment="0" applyProtection="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146" fillId="0" borderId="0" applyNumberFormat="0" applyFill="0" applyBorder="0" applyAlignment="0" applyProtection="0"/>
    <xf numFmtId="0" fontId="20" fillId="0" borderId="0" applyNumberFormat="0" applyFill="0" applyBorder="0" applyAlignment="0" applyProtection="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146"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0" fillId="0" borderId="0" applyNumberFormat="0" applyFill="0" applyBorder="0" applyAlignment="0" applyProtection="0"/>
    <xf numFmtId="0" fontId="22" fillId="0" borderId="0"/>
    <xf numFmtId="0" fontId="22" fillId="0" borderId="0"/>
    <xf numFmtId="1" fontId="22" fillId="0" borderId="0" applyFont="0" applyFill="0" applyBorder="0">
      <alignment horizontal="center"/>
    </xf>
    <xf numFmtId="0" fontId="22" fillId="0" borderId="0"/>
    <xf numFmtId="0" fontId="22" fillId="0" borderId="0"/>
    <xf numFmtId="0" fontId="22" fillId="0" borderId="0"/>
    <xf numFmtId="0" fontId="148" fillId="0" borderId="0" applyFill="0" applyBorder="0" applyAlignment="0" applyProtection="0"/>
    <xf numFmtId="0" fontId="22" fillId="0" borderId="0"/>
    <xf numFmtId="0" fontId="22" fillId="0" borderId="0"/>
    <xf numFmtId="0" fontId="22" fillId="0" borderId="0"/>
    <xf numFmtId="0" fontId="149" fillId="0" borderId="0"/>
    <xf numFmtId="0" fontId="22" fillId="0" borderId="0"/>
    <xf numFmtId="0" fontId="22"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22" fillId="0" borderId="0" applyFont="0" applyFill="0" applyBorder="0" applyAlignment="0" applyProtection="0"/>
    <xf numFmtId="0" fontId="73" fillId="49" borderId="81" applyNumberFormat="0" applyAlignment="0" applyProtection="0"/>
    <xf numFmtId="0" fontId="74" fillId="122" borderId="81" applyNumberFormat="0" applyAlignment="0" applyProtection="0"/>
    <xf numFmtId="0" fontId="158" fillId="123" borderId="82" applyNumberFormat="0" applyAlignment="0" applyProtection="0"/>
    <xf numFmtId="0" fontId="73" fillId="49" borderId="81" applyNumberFormat="0" applyAlignment="0" applyProtection="0"/>
    <xf numFmtId="0" fontId="158" fillId="123" borderId="82" applyNumberFormat="0" applyAlignment="0" applyProtection="0"/>
    <xf numFmtId="0" fontId="158" fillId="123" borderId="82" applyNumberFormat="0" applyAlignment="0" applyProtection="0"/>
    <xf numFmtId="0" fontId="74" fillId="42" borderId="81" applyNumberFormat="0" applyAlignment="0" applyProtection="0"/>
    <xf numFmtId="0" fontId="74" fillId="42" borderId="81" applyNumberFormat="0" applyAlignment="0" applyProtection="0"/>
    <xf numFmtId="0" fontId="74" fillId="42" borderId="81" applyNumberFormat="0" applyAlignment="0" applyProtection="0"/>
    <xf numFmtId="0" fontId="74" fillId="42" borderId="81" applyNumberFormat="0" applyAlignment="0" applyProtection="0"/>
    <xf numFmtId="0" fontId="74" fillId="42" borderId="81" applyNumberFormat="0" applyAlignment="0" applyProtection="0"/>
    <xf numFmtId="0" fontId="74" fillId="42" borderId="81" applyNumberFormat="0" applyAlignment="0" applyProtection="0"/>
    <xf numFmtId="10" fontId="84" fillId="75" borderId="72" applyNumberFormat="0" applyBorder="0" applyAlignment="0" applyProtection="0"/>
    <xf numFmtId="0" fontId="97" fillId="44" borderId="81" applyNumberFormat="0" applyAlignment="0" applyProtection="0"/>
    <xf numFmtId="0" fontId="169" fillId="68" borderId="82" applyNumberFormat="0" applyAlignment="0" applyProtection="0"/>
    <xf numFmtId="0" fontId="97" fillId="44" borderId="81" applyNumberFormat="0" applyAlignment="0" applyProtection="0"/>
    <xf numFmtId="0" fontId="169" fillId="68" borderId="82" applyNumberFormat="0" applyAlignment="0" applyProtection="0"/>
    <xf numFmtId="0" fontId="169" fillId="68" borderId="82"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169" fillId="68" borderId="81" applyNumberFormat="0" applyAlignment="0" applyProtection="0"/>
    <xf numFmtId="0" fontId="97" fillId="44" borderId="81" applyNumberFormat="0" applyAlignment="0" applyProtection="0"/>
    <xf numFmtId="0" fontId="169" fillId="68"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97" fillId="44" borderId="81" applyNumberFormat="0" applyAlignment="0" applyProtection="0"/>
    <xf numFmtId="0" fontId="22" fillId="67" borderId="83" applyNumberFormat="0" applyFont="0" applyAlignment="0" applyProtection="0"/>
    <xf numFmtId="0" fontId="22" fillId="40" borderId="83" applyNumberFormat="0" applyFont="0" applyAlignment="0" applyProtection="0"/>
    <xf numFmtId="0" fontId="84" fillId="67" borderId="82" applyNumberFormat="0" applyFont="0" applyAlignment="0" applyProtection="0"/>
    <xf numFmtId="0" fontId="72" fillId="40" borderId="83" applyNumberFormat="0" applyFont="0" applyAlignment="0" applyProtection="0"/>
    <xf numFmtId="0" fontId="84" fillId="67" borderId="82" applyNumberFormat="0" applyFont="0" applyAlignment="0" applyProtection="0"/>
    <xf numFmtId="0" fontId="72" fillId="40" borderId="83" applyNumberFormat="0" applyFont="0" applyAlignment="0" applyProtection="0"/>
    <xf numFmtId="0" fontId="72" fillId="40" borderId="83" applyNumberFormat="0" applyFont="0" applyAlignment="0" applyProtection="0"/>
    <xf numFmtId="0" fontId="22" fillId="40" borderId="83" applyNumberFormat="0" applyFont="0" applyAlignment="0" applyProtection="0"/>
    <xf numFmtId="0" fontId="84" fillId="67" borderId="82" applyNumberFormat="0" applyFont="0" applyAlignment="0" applyProtection="0"/>
    <xf numFmtId="0" fontId="22" fillId="40" borderId="81" applyNumberFormat="0" applyFont="0" applyAlignment="0" applyProtection="0"/>
    <xf numFmtId="0" fontId="22" fillId="40" borderId="81" applyNumberFormat="0" applyFont="0" applyAlignment="0" applyProtection="0"/>
    <xf numFmtId="0" fontId="84" fillId="67" borderId="82" applyNumberFormat="0" applyFont="0" applyAlignment="0" applyProtection="0"/>
    <xf numFmtId="0" fontId="22" fillId="40" borderId="81" applyNumberFormat="0" applyFont="0" applyAlignment="0" applyProtection="0"/>
    <xf numFmtId="0" fontId="22" fillId="40" borderId="81" applyNumberFormat="0" applyFont="0" applyAlignment="0" applyProtection="0"/>
    <xf numFmtId="0" fontId="22" fillId="40" borderId="81" applyNumberFormat="0" applyFont="0" applyAlignment="0" applyProtection="0"/>
    <xf numFmtId="0" fontId="106" fillId="122" borderId="77" applyNumberFormat="0" applyAlignment="0" applyProtection="0"/>
    <xf numFmtId="0" fontId="106" fillId="123" borderId="77" applyNumberFormat="0" applyAlignment="0" applyProtection="0"/>
    <xf numFmtId="0" fontId="106" fillId="49" borderId="77" applyNumberFormat="0" applyAlignment="0" applyProtection="0"/>
    <xf numFmtId="0" fontId="106" fillId="123" borderId="77" applyNumberFormat="0" applyAlignment="0" applyProtection="0"/>
    <xf numFmtId="0" fontId="106" fillId="49" borderId="77" applyNumberFormat="0" applyAlignment="0" applyProtection="0"/>
    <xf numFmtId="0" fontId="106" fillId="49" borderId="77" applyNumberFormat="0" applyAlignment="0" applyProtection="0"/>
    <xf numFmtId="0" fontId="106" fillId="42" borderId="77" applyNumberFormat="0" applyAlignment="0" applyProtection="0"/>
    <xf numFmtId="0" fontId="106" fillId="42" borderId="77" applyNumberFormat="0" applyAlignment="0" applyProtection="0"/>
    <xf numFmtId="0" fontId="106" fillId="42" borderId="77" applyNumberFormat="0" applyAlignment="0" applyProtection="0"/>
    <xf numFmtId="0" fontId="106" fillId="42" borderId="77" applyNumberFormat="0" applyAlignment="0" applyProtection="0"/>
    <xf numFmtId="0" fontId="106" fillId="42" borderId="77" applyNumberFormat="0" applyAlignment="0" applyProtection="0"/>
    <xf numFmtId="0" fontId="109" fillId="0" borderId="21" applyNumberFormat="0" applyFill="0" applyBorder="0" applyAlignment="0" applyProtection="0">
      <protection hidden="1"/>
    </xf>
    <xf numFmtId="4" fontId="84" fillId="77" borderId="82" applyNumberFormat="0" applyProtection="0">
      <alignment vertical="center"/>
    </xf>
    <xf numFmtId="4" fontId="72" fillId="78" borderId="77" applyNumberFormat="0" applyProtection="0">
      <alignment vertical="center"/>
    </xf>
    <xf numFmtId="4" fontId="84" fillId="77" borderId="82" applyNumberFormat="0" applyProtection="0">
      <alignment vertical="center"/>
    </xf>
    <xf numFmtId="4" fontId="84" fillId="77" borderId="82" applyNumberFormat="0" applyProtection="0">
      <alignment vertical="center"/>
    </xf>
    <xf numFmtId="4" fontId="84" fillId="77" borderId="82" applyNumberFormat="0" applyProtection="0">
      <alignment vertical="center"/>
    </xf>
    <xf numFmtId="4" fontId="72" fillId="78" borderId="77" applyNumberFormat="0" applyProtection="0">
      <alignment vertical="center"/>
    </xf>
    <xf numFmtId="4" fontId="84" fillId="77" borderId="82" applyNumberFormat="0" applyProtection="0">
      <alignment vertical="center"/>
    </xf>
    <xf numFmtId="4" fontId="112" fillId="79" borderId="72" applyNumberFormat="0" applyProtection="0">
      <alignment horizontal="right" vertical="center" wrapText="1"/>
    </xf>
    <xf numFmtId="4" fontId="72" fillId="78" borderId="77" applyNumberFormat="0" applyProtection="0">
      <alignment vertical="center"/>
    </xf>
    <xf numFmtId="4" fontId="72" fillId="78" borderId="77" applyNumberFormat="0" applyProtection="0">
      <alignment vertical="center"/>
    </xf>
    <xf numFmtId="4" fontId="116" fillId="77" borderId="84" applyNumberFormat="0" applyProtection="0">
      <alignment vertical="center"/>
    </xf>
    <xf numFmtId="4" fontId="173" fillId="78" borderId="82" applyNumberFormat="0" applyProtection="0">
      <alignment vertical="center"/>
    </xf>
    <xf numFmtId="4" fontId="173" fillId="78" borderId="82" applyNumberFormat="0" applyProtection="0">
      <alignment vertical="center"/>
    </xf>
    <xf numFmtId="4" fontId="113" fillId="78" borderId="84" applyNumberFormat="0" applyProtection="0">
      <alignment vertical="center"/>
    </xf>
    <xf numFmtId="4" fontId="122" fillId="78" borderId="77" applyNumberFormat="0" applyProtection="0">
      <alignment vertical="center"/>
    </xf>
    <xf numFmtId="4" fontId="122" fillId="78" borderId="77" applyNumberFormat="0" applyProtection="0">
      <alignment vertical="center"/>
    </xf>
    <xf numFmtId="4" fontId="113" fillId="77" borderId="84" applyNumberFormat="0" applyProtection="0">
      <alignment vertical="center"/>
    </xf>
    <xf numFmtId="4" fontId="84" fillId="78" borderId="82" applyNumberFormat="0" applyProtection="0">
      <alignment horizontal="left" vertical="center" indent="1"/>
    </xf>
    <xf numFmtId="4" fontId="84" fillId="78" borderId="82" applyNumberFormat="0" applyProtection="0">
      <alignment horizontal="left" vertical="center" indent="1"/>
    </xf>
    <xf numFmtId="4" fontId="84" fillId="78" borderId="82" applyNumberFormat="0" applyProtection="0">
      <alignment horizontal="left" vertical="center" indent="1"/>
    </xf>
    <xf numFmtId="4" fontId="84" fillId="78" borderId="82" applyNumberFormat="0" applyProtection="0">
      <alignment horizontal="left" vertical="center" indent="1"/>
    </xf>
    <xf numFmtId="4" fontId="112" fillId="79" borderId="72" applyNumberFormat="0" applyProtection="0">
      <alignment horizontal="left" vertical="center" indent="1"/>
    </xf>
    <xf numFmtId="4" fontId="72" fillId="78" borderId="77" applyNumberFormat="0" applyProtection="0">
      <alignment horizontal="left" vertical="center" indent="1"/>
    </xf>
    <xf numFmtId="4" fontId="72" fillId="78" borderId="77" applyNumberFormat="0" applyProtection="0">
      <alignment horizontal="left" vertical="center" indent="1"/>
    </xf>
    <xf numFmtId="4" fontId="116" fillId="77" borderId="84" applyNumberFormat="0" applyProtection="0">
      <alignment horizontal="left" vertical="center" indent="1"/>
    </xf>
    <xf numFmtId="0" fontId="174" fillId="77" borderId="84" applyNumberFormat="0" applyProtection="0">
      <alignment horizontal="left" vertical="top" indent="1"/>
    </xf>
    <xf numFmtId="0" fontId="174" fillId="77" borderId="84" applyNumberFormat="0" applyProtection="0">
      <alignment horizontal="left" vertical="top" indent="1"/>
    </xf>
    <xf numFmtId="0" fontId="116" fillId="78" borderId="84" applyNumberFormat="0" applyProtection="0">
      <alignment horizontal="left" vertical="top" indent="1"/>
    </xf>
    <xf numFmtId="4" fontId="72" fillId="78" borderId="77" applyNumberFormat="0" applyProtection="0">
      <alignment horizontal="left" vertical="center" indent="1"/>
    </xf>
    <xf numFmtId="4" fontId="72" fillId="78" borderId="77" applyNumberFormat="0" applyProtection="0">
      <alignment horizontal="left" vertical="center" indent="1"/>
    </xf>
    <xf numFmtId="0" fontId="116" fillId="77" borderId="84" applyNumberFormat="0" applyProtection="0">
      <alignment horizontal="left" vertical="top" indent="1"/>
    </xf>
    <xf numFmtId="4" fontId="84" fillId="53" borderId="82" applyNumberFormat="0" applyProtection="0">
      <alignment horizontal="left" vertical="center" indent="1"/>
    </xf>
    <xf numFmtId="4" fontId="84" fillId="53" borderId="82" applyNumberFormat="0" applyProtection="0">
      <alignment horizontal="left" vertical="center" indent="1"/>
    </xf>
    <xf numFmtId="4" fontId="117" fillId="82" borderId="72" applyNumberFormat="0" applyProtection="0">
      <alignment horizontal="left" vertical="center"/>
    </xf>
    <xf numFmtId="4" fontId="84" fillId="53" borderId="82" applyNumberFormat="0" applyProtection="0">
      <alignment horizontal="left" vertical="center" indent="1"/>
    </xf>
    <xf numFmtId="4" fontId="84" fillId="53" borderId="82" applyNumberFormat="0" applyProtection="0">
      <alignment horizontal="left" vertical="center" indent="1"/>
    </xf>
    <xf numFmtId="0" fontId="22" fillId="131" borderId="77" applyNumberFormat="0" applyProtection="0">
      <alignment horizontal="left" vertical="center" indent="1"/>
    </xf>
    <xf numFmtId="4" fontId="117" fillId="82" borderId="72" applyNumberFormat="0" applyProtection="0">
      <alignment horizontal="left" vertical="center"/>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4" fontId="84" fillId="37" borderId="82" applyNumberFormat="0" applyProtection="0">
      <alignment horizontal="right" vertical="center"/>
    </xf>
    <xf numFmtId="4" fontId="84" fillId="37" borderId="82" applyNumberFormat="0" applyProtection="0">
      <alignment horizontal="right" vertical="center"/>
    </xf>
    <xf numFmtId="4" fontId="84" fillId="37" borderId="82" applyNumberFormat="0" applyProtection="0">
      <alignment horizontal="right" vertical="center"/>
    </xf>
    <xf numFmtId="4" fontId="84" fillId="37" borderId="82" applyNumberFormat="0" applyProtection="0">
      <alignment horizontal="right" vertical="center"/>
    </xf>
    <xf numFmtId="4" fontId="72" fillId="37" borderId="84" applyNumberFormat="0" applyProtection="0">
      <alignment horizontal="right" vertical="center"/>
    </xf>
    <xf numFmtId="4" fontId="72" fillId="99" borderId="77" applyNumberFormat="0" applyProtection="0">
      <alignment horizontal="right" vertical="center"/>
    </xf>
    <xf numFmtId="4" fontId="72" fillId="99" borderId="77" applyNumberFormat="0" applyProtection="0">
      <alignment horizontal="right" vertical="center"/>
    </xf>
    <xf numFmtId="4" fontId="72" fillId="37" borderId="84" applyNumberFormat="0" applyProtection="0">
      <alignment horizontal="right" vertical="center"/>
    </xf>
    <xf numFmtId="4" fontId="84" fillId="132" borderId="82" applyNumberFormat="0" applyProtection="0">
      <alignment horizontal="right" vertical="center"/>
    </xf>
    <xf numFmtId="4" fontId="84" fillId="132" borderId="82" applyNumberFormat="0" applyProtection="0">
      <alignment horizontal="right" vertical="center"/>
    </xf>
    <xf numFmtId="4" fontId="84" fillId="132" borderId="82" applyNumberFormat="0" applyProtection="0">
      <alignment horizontal="right" vertical="center"/>
    </xf>
    <xf numFmtId="4" fontId="84" fillId="132" borderId="82" applyNumberFormat="0" applyProtection="0">
      <alignment horizontal="right" vertical="center"/>
    </xf>
    <xf numFmtId="4" fontId="72" fillId="38" borderId="84" applyNumberFormat="0" applyProtection="0">
      <alignment horizontal="right" vertical="center"/>
    </xf>
    <xf numFmtId="4" fontId="72" fillId="133" borderId="77" applyNumberFormat="0" applyProtection="0">
      <alignment horizontal="right" vertical="center"/>
    </xf>
    <xf numFmtId="4" fontId="72" fillId="133" borderId="77" applyNumberFormat="0" applyProtection="0">
      <alignment horizontal="right" vertical="center"/>
    </xf>
    <xf numFmtId="4" fontId="72" fillId="38" borderId="84" applyNumberFormat="0" applyProtection="0">
      <alignment horizontal="right" vertical="center"/>
    </xf>
    <xf numFmtId="4" fontId="84" fillId="62" borderId="85" applyNumberFormat="0" applyProtection="0">
      <alignment horizontal="right" vertical="center"/>
    </xf>
    <xf numFmtId="4" fontId="84" fillId="62" borderId="85" applyNumberFormat="0" applyProtection="0">
      <alignment horizontal="right" vertical="center"/>
    </xf>
    <xf numFmtId="4" fontId="84" fillId="62" borderId="85" applyNumberFormat="0" applyProtection="0">
      <alignment horizontal="right" vertical="center"/>
    </xf>
    <xf numFmtId="4" fontId="84" fillId="62" borderId="85" applyNumberFormat="0" applyProtection="0">
      <alignment horizontal="right" vertical="center"/>
    </xf>
    <xf numFmtId="4" fontId="72" fillId="62" borderId="84" applyNumberFormat="0" applyProtection="0">
      <alignment horizontal="right" vertical="center"/>
    </xf>
    <xf numFmtId="4" fontId="72" fillId="91" borderId="77" applyNumberFormat="0" applyProtection="0">
      <alignment horizontal="right" vertical="center"/>
    </xf>
    <xf numFmtId="4" fontId="72" fillId="91" borderId="77" applyNumberFormat="0" applyProtection="0">
      <alignment horizontal="right" vertical="center"/>
    </xf>
    <xf numFmtId="4" fontId="72" fillId="62" borderId="84" applyNumberFormat="0" applyProtection="0">
      <alignment horizontal="right" vertical="center"/>
    </xf>
    <xf numFmtId="4" fontId="84" fillId="50" borderId="82" applyNumberFormat="0" applyProtection="0">
      <alignment horizontal="right" vertical="center"/>
    </xf>
    <xf numFmtId="4" fontId="84" fillId="50" borderId="82" applyNumberFormat="0" applyProtection="0">
      <alignment horizontal="right" vertical="center"/>
    </xf>
    <xf numFmtId="4" fontId="84" fillId="50" borderId="82" applyNumberFormat="0" applyProtection="0">
      <alignment horizontal="right" vertical="center"/>
    </xf>
    <xf numFmtId="4" fontId="84" fillId="50" borderId="82" applyNumberFormat="0" applyProtection="0">
      <alignment horizontal="right" vertical="center"/>
    </xf>
    <xf numFmtId="4" fontId="72" fillId="50" borderId="84" applyNumberFormat="0" applyProtection="0">
      <alignment horizontal="right" vertical="center"/>
    </xf>
    <xf numFmtId="4" fontId="72" fillId="96" borderId="77" applyNumberFormat="0" applyProtection="0">
      <alignment horizontal="right" vertical="center"/>
    </xf>
    <xf numFmtId="4" fontId="72" fillId="96" borderId="77" applyNumberFormat="0" applyProtection="0">
      <alignment horizontal="right" vertical="center"/>
    </xf>
    <xf numFmtId="4" fontId="72" fillId="50" borderId="84" applyNumberFormat="0" applyProtection="0">
      <alignment horizontal="right" vertical="center"/>
    </xf>
    <xf numFmtId="4" fontId="84" fillId="54" borderId="82" applyNumberFormat="0" applyProtection="0">
      <alignment horizontal="right" vertical="center"/>
    </xf>
    <xf numFmtId="4" fontId="84" fillId="54" borderId="82" applyNumberFormat="0" applyProtection="0">
      <alignment horizontal="right" vertical="center"/>
    </xf>
    <xf numFmtId="4" fontId="84" fillId="54" borderId="82" applyNumberFormat="0" applyProtection="0">
      <alignment horizontal="right" vertical="center"/>
    </xf>
    <xf numFmtId="4" fontId="84" fillId="54" borderId="82" applyNumberFormat="0" applyProtection="0">
      <alignment horizontal="right" vertical="center"/>
    </xf>
    <xf numFmtId="4" fontId="72" fillId="54" borderId="84" applyNumberFormat="0" applyProtection="0">
      <alignment horizontal="right" vertical="center"/>
    </xf>
    <xf numFmtId="4" fontId="72" fillId="134" borderId="77" applyNumberFormat="0" applyProtection="0">
      <alignment horizontal="right" vertical="center"/>
    </xf>
    <xf numFmtId="4" fontId="72" fillId="134" borderId="77" applyNumberFormat="0" applyProtection="0">
      <alignment horizontal="right" vertical="center"/>
    </xf>
    <xf numFmtId="4" fontId="72" fillId="54" borderId="84" applyNumberFormat="0" applyProtection="0">
      <alignment horizontal="right" vertical="center"/>
    </xf>
    <xf numFmtId="4" fontId="84" fillId="69" borderId="82" applyNumberFormat="0" applyProtection="0">
      <alignment horizontal="right" vertical="center"/>
    </xf>
    <xf numFmtId="4" fontId="84" fillId="69" borderId="82" applyNumberFormat="0" applyProtection="0">
      <alignment horizontal="right" vertical="center"/>
    </xf>
    <xf numFmtId="4" fontId="84" fillId="69" borderId="82" applyNumberFormat="0" applyProtection="0">
      <alignment horizontal="right" vertical="center"/>
    </xf>
    <xf numFmtId="4" fontId="84" fillId="69" borderId="82" applyNumberFormat="0" applyProtection="0">
      <alignment horizontal="right" vertical="center"/>
    </xf>
    <xf numFmtId="4" fontId="72" fillId="69" borderId="84" applyNumberFormat="0" applyProtection="0">
      <alignment horizontal="right" vertical="center"/>
    </xf>
    <xf numFmtId="4" fontId="72" fillId="100" borderId="77" applyNumberFormat="0" applyProtection="0">
      <alignment horizontal="right" vertical="center"/>
    </xf>
    <xf numFmtId="4" fontId="72" fillId="100" borderId="77" applyNumberFormat="0" applyProtection="0">
      <alignment horizontal="right" vertical="center"/>
    </xf>
    <xf numFmtId="4" fontId="72" fillId="69" borderId="84" applyNumberFormat="0" applyProtection="0">
      <alignment horizontal="right" vertical="center"/>
    </xf>
    <xf numFmtId="4" fontId="84" fillId="48" borderId="82" applyNumberFormat="0" applyProtection="0">
      <alignment horizontal="right" vertical="center"/>
    </xf>
    <xf numFmtId="4" fontId="84" fillId="48" borderId="82" applyNumberFormat="0" applyProtection="0">
      <alignment horizontal="right" vertical="center"/>
    </xf>
    <xf numFmtId="4" fontId="84" fillId="48" borderId="82" applyNumberFormat="0" applyProtection="0">
      <alignment horizontal="right" vertical="center"/>
    </xf>
    <xf numFmtId="4" fontId="84" fillId="48" borderId="82" applyNumberFormat="0" applyProtection="0">
      <alignment horizontal="right" vertical="center"/>
    </xf>
    <xf numFmtId="4" fontId="72" fillId="48" borderId="84" applyNumberFormat="0" applyProtection="0">
      <alignment horizontal="right" vertical="center"/>
    </xf>
    <xf numFmtId="4" fontId="72" fillId="135" borderId="77" applyNumberFormat="0" applyProtection="0">
      <alignment horizontal="right" vertical="center"/>
    </xf>
    <xf numFmtId="4" fontId="72" fillId="135" borderId="77" applyNumberFormat="0" applyProtection="0">
      <alignment horizontal="right" vertical="center"/>
    </xf>
    <xf numFmtId="4" fontId="72" fillId="48" borderId="84" applyNumberFormat="0" applyProtection="0">
      <alignment horizontal="right" vertical="center"/>
    </xf>
    <xf numFmtId="4" fontId="84" fillId="73" borderId="82" applyNumberFormat="0" applyProtection="0">
      <alignment horizontal="right" vertical="center"/>
    </xf>
    <xf numFmtId="4" fontId="84" fillId="73" borderId="82" applyNumberFormat="0" applyProtection="0">
      <alignment horizontal="right" vertical="center"/>
    </xf>
    <xf numFmtId="4" fontId="84" fillId="73" borderId="82" applyNumberFormat="0" applyProtection="0">
      <alignment horizontal="right" vertical="center"/>
    </xf>
    <xf numFmtId="4" fontId="84" fillId="73" borderId="82" applyNumberFormat="0" applyProtection="0">
      <alignment horizontal="right" vertical="center"/>
    </xf>
    <xf numFmtId="4" fontId="72" fillId="73" borderId="84" applyNumberFormat="0" applyProtection="0">
      <alignment horizontal="right" vertical="center"/>
    </xf>
    <xf numFmtId="4" fontId="72" fillId="136" borderId="77" applyNumberFormat="0" applyProtection="0">
      <alignment horizontal="right" vertical="center"/>
    </xf>
    <xf numFmtId="4" fontId="72" fillId="136" borderId="77" applyNumberFormat="0" applyProtection="0">
      <alignment horizontal="right" vertical="center"/>
    </xf>
    <xf numFmtId="4" fontId="72" fillId="73" borderId="84" applyNumberFormat="0" applyProtection="0">
      <alignment horizontal="right" vertical="center"/>
    </xf>
    <xf numFmtId="4" fontId="84" fillId="47" borderId="82" applyNumberFormat="0" applyProtection="0">
      <alignment horizontal="right" vertical="center"/>
    </xf>
    <xf numFmtId="4" fontId="84" fillId="47" borderId="82" applyNumberFormat="0" applyProtection="0">
      <alignment horizontal="right" vertical="center"/>
    </xf>
    <xf numFmtId="4" fontId="84" fillId="47" borderId="82" applyNumberFormat="0" applyProtection="0">
      <alignment horizontal="right" vertical="center"/>
    </xf>
    <xf numFmtId="4" fontId="84" fillId="47" borderId="82" applyNumberFormat="0" applyProtection="0">
      <alignment horizontal="right" vertical="center"/>
    </xf>
    <xf numFmtId="4" fontId="72" fillId="47" borderId="84" applyNumberFormat="0" applyProtection="0">
      <alignment horizontal="right" vertical="center"/>
    </xf>
    <xf numFmtId="4" fontId="72" fillId="95" borderId="77" applyNumberFormat="0" applyProtection="0">
      <alignment horizontal="right" vertical="center"/>
    </xf>
    <xf numFmtId="4" fontId="72" fillId="95" borderId="77" applyNumberFormat="0" applyProtection="0">
      <alignment horizontal="right" vertical="center"/>
    </xf>
    <xf numFmtId="4" fontId="72" fillId="47" borderId="84" applyNumberFormat="0" applyProtection="0">
      <alignment horizontal="right" vertical="center"/>
    </xf>
    <xf numFmtId="4" fontId="84" fillId="137" borderId="85" applyNumberFormat="0" applyProtection="0">
      <alignment horizontal="left" vertical="center" indent="1"/>
    </xf>
    <xf numFmtId="4" fontId="84" fillId="137" borderId="85" applyNumberFormat="0" applyProtection="0">
      <alignment horizontal="left" vertical="center" indent="1"/>
    </xf>
    <xf numFmtId="4" fontId="84" fillId="137" borderId="85" applyNumberFormat="0" applyProtection="0">
      <alignment horizontal="left" vertical="center" indent="1"/>
    </xf>
    <xf numFmtId="4" fontId="84" fillId="137" borderId="85" applyNumberFormat="0" applyProtection="0">
      <alignment horizontal="left" vertical="center" indent="1"/>
    </xf>
    <xf numFmtId="4" fontId="116" fillId="0" borderId="72" applyNumberFormat="0" applyProtection="0">
      <alignment horizontal="left" vertical="center" indent="1"/>
    </xf>
    <xf numFmtId="4" fontId="116" fillId="138" borderId="77" applyNumberFormat="0" applyProtection="0">
      <alignment horizontal="left" vertical="center" indent="1"/>
    </xf>
    <xf numFmtId="4" fontId="116" fillId="138" borderId="77" applyNumberFormat="0" applyProtection="0">
      <alignment horizontal="left" vertical="center" indent="1"/>
    </xf>
    <xf numFmtId="4" fontId="22" fillId="66" borderId="85" applyNumberFormat="0" applyProtection="0">
      <alignment horizontal="left" vertical="center" indent="1"/>
    </xf>
    <xf numFmtId="4" fontId="22" fillId="66" borderId="85" applyNumberFormat="0" applyProtection="0">
      <alignment horizontal="left" vertical="center" indent="1"/>
    </xf>
    <xf numFmtId="4" fontId="72" fillId="0" borderId="72" applyNumberFormat="0" applyProtection="0">
      <alignment horizontal="left" vertical="center" indent="1"/>
    </xf>
    <xf numFmtId="4" fontId="72" fillId="89" borderId="86" applyNumberFormat="0" applyProtection="0">
      <alignment horizontal="left" vertical="center" indent="1"/>
    </xf>
    <xf numFmtId="4" fontId="72" fillId="89" borderId="86" applyNumberFormat="0" applyProtection="0">
      <alignment horizontal="left" vertical="center" indent="1"/>
    </xf>
    <xf numFmtId="4" fontId="22" fillId="66" borderId="85" applyNumberFormat="0" applyProtection="0">
      <alignment horizontal="left" vertical="center" indent="1"/>
    </xf>
    <xf numFmtId="4" fontId="22" fillId="66" borderId="85" applyNumberFormat="0" applyProtection="0">
      <alignment horizontal="left" vertical="center" indent="1"/>
    </xf>
    <xf numFmtId="4" fontId="84" fillId="105" borderId="82" applyNumberFormat="0" applyProtection="0">
      <alignment horizontal="right" vertical="center"/>
    </xf>
    <xf numFmtId="4" fontId="84" fillId="105" borderId="82" applyNumberFormat="0" applyProtection="0">
      <alignment horizontal="right" vertical="center"/>
    </xf>
    <xf numFmtId="4" fontId="84" fillId="105" borderId="82" applyNumberFormat="0" applyProtection="0">
      <alignment horizontal="right" vertical="center"/>
    </xf>
    <xf numFmtId="4" fontId="84" fillId="105" borderId="82" applyNumberFormat="0" applyProtection="0">
      <alignment horizontal="right" vertical="center"/>
    </xf>
    <xf numFmtId="0" fontId="22" fillId="131" borderId="77" applyNumberFormat="0" applyProtection="0">
      <alignment horizontal="left" vertical="center" indent="1"/>
    </xf>
    <xf numFmtId="4" fontId="120" fillId="49" borderId="84" applyNumberFormat="0" applyProtection="0">
      <alignment horizontal="center" vertical="center"/>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4" fontId="72" fillId="105" borderId="84" applyNumberFormat="0" applyProtection="0">
      <alignment horizontal="right" vertical="center"/>
    </xf>
    <xf numFmtId="0" fontId="22" fillId="131" borderId="77" applyNumberFormat="0" applyProtection="0">
      <alignment horizontal="left" vertical="center" indent="1"/>
    </xf>
    <xf numFmtId="4" fontId="84" fillId="90" borderId="85" applyNumberFormat="0" applyProtection="0">
      <alignment horizontal="left" vertical="center" indent="1"/>
    </xf>
    <xf numFmtId="4" fontId="84" fillId="90" borderId="85" applyNumberFormat="0" applyProtection="0">
      <alignment horizontal="left" vertical="center" indent="1"/>
    </xf>
    <xf numFmtId="4" fontId="84" fillId="90" borderId="85" applyNumberFormat="0" applyProtection="0">
      <alignment horizontal="left" vertical="center" indent="1"/>
    </xf>
    <xf numFmtId="4" fontId="84" fillId="90" borderId="85" applyNumberFormat="0" applyProtection="0">
      <alignment horizontal="left" vertical="center" indent="1"/>
    </xf>
    <xf numFmtId="4" fontId="72" fillId="89" borderId="77" applyNumberFormat="0" applyProtection="0">
      <alignment horizontal="left" vertical="center" indent="1"/>
    </xf>
    <xf numFmtId="4" fontId="72" fillId="89" borderId="77" applyNumberFormat="0" applyProtection="0">
      <alignment horizontal="left" vertical="center" indent="1"/>
    </xf>
    <xf numFmtId="4" fontId="84" fillId="105" borderId="85" applyNumberFormat="0" applyProtection="0">
      <alignment horizontal="left" vertical="center" indent="1"/>
    </xf>
    <xf numFmtId="4" fontId="84" fillId="105" borderId="85" applyNumberFormat="0" applyProtection="0">
      <alignment horizontal="left" vertical="center" indent="1"/>
    </xf>
    <xf numFmtId="4" fontId="84" fillId="105" borderId="85" applyNumberFormat="0" applyProtection="0">
      <alignment horizontal="left" vertical="center" indent="1"/>
    </xf>
    <xf numFmtId="4" fontId="84" fillId="105" borderId="85" applyNumberFormat="0" applyProtection="0">
      <alignment horizontal="left" vertical="center" indent="1"/>
    </xf>
    <xf numFmtId="4" fontId="72" fillId="139" borderId="77" applyNumberFormat="0" applyProtection="0">
      <alignment horizontal="left" vertical="center" indent="1"/>
    </xf>
    <xf numFmtId="4" fontId="72" fillId="139" borderId="77" applyNumberFormat="0" applyProtection="0">
      <alignment horizontal="left" vertical="center" indent="1"/>
    </xf>
    <xf numFmtId="0" fontId="84" fillId="49" borderId="82" applyNumberFormat="0" applyProtection="0">
      <alignment horizontal="left" vertical="center" indent="1"/>
    </xf>
    <xf numFmtId="0" fontId="84" fillId="49" borderId="82" applyNumberFormat="0" applyProtection="0">
      <alignment horizontal="left" vertical="center" indent="1"/>
    </xf>
    <xf numFmtId="0" fontId="117" fillId="85" borderId="72" applyNumberFormat="0" applyProtection="0">
      <alignment horizontal="left" vertical="center" indent="2"/>
    </xf>
    <xf numFmtId="0" fontId="84" fillId="49" borderId="82" applyNumberFormat="0" applyProtection="0">
      <alignment horizontal="left" vertical="center" indent="1"/>
    </xf>
    <xf numFmtId="0" fontId="84" fillId="49" borderId="82" applyNumberFormat="0" applyProtection="0">
      <alignment horizontal="left" vertical="center" indent="1"/>
    </xf>
    <xf numFmtId="0" fontId="22" fillId="139" borderId="77" applyNumberFormat="0" applyProtection="0">
      <alignment horizontal="left" vertical="center" indent="1"/>
    </xf>
    <xf numFmtId="0" fontId="117" fillId="85" borderId="72" applyNumberFormat="0" applyProtection="0">
      <alignment horizontal="left" vertical="center" indent="2"/>
    </xf>
    <xf numFmtId="0" fontId="22" fillId="139" borderId="77" applyNumberFormat="0" applyProtection="0">
      <alignment horizontal="left" vertical="center" indent="1"/>
    </xf>
    <xf numFmtId="0" fontId="22" fillId="139" borderId="77" applyNumberFormat="0" applyProtection="0">
      <alignment horizontal="left" vertical="center" indent="1"/>
    </xf>
    <xf numFmtId="0" fontId="22" fillId="139" borderId="77" applyNumberFormat="0" applyProtection="0">
      <alignment horizontal="left" vertical="center" indent="1"/>
    </xf>
    <xf numFmtId="0" fontId="22" fillId="66" borderId="84" applyNumberFormat="0" applyProtection="0">
      <alignment horizontal="left" vertical="center" indent="1"/>
    </xf>
    <xf numFmtId="0" fontId="22" fillId="139" borderId="77" applyNumberFormat="0" applyProtection="0">
      <alignment horizontal="left" vertical="center" indent="1"/>
    </xf>
    <xf numFmtId="0" fontId="22" fillId="84" borderId="84" applyNumberFormat="0" applyProtection="0">
      <alignment horizontal="left" vertical="top" indent="1"/>
    </xf>
    <xf numFmtId="0" fontId="84" fillId="66" borderId="84" applyNumberFormat="0" applyProtection="0">
      <alignment horizontal="left" vertical="top" indent="1"/>
    </xf>
    <xf numFmtId="0" fontId="84" fillId="66" borderId="84" applyNumberFormat="0" applyProtection="0">
      <alignment horizontal="left" vertical="top" indent="1"/>
    </xf>
    <xf numFmtId="0" fontId="22" fillId="139" borderId="77" applyNumberFormat="0" applyProtection="0">
      <alignment horizontal="left" vertical="center" indent="1"/>
    </xf>
    <xf numFmtId="0" fontId="22" fillId="84" borderId="84" applyNumberFormat="0" applyProtection="0">
      <alignment horizontal="left" vertical="top" indent="1"/>
    </xf>
    <xf numFmtId="0" fontId="22" fillId="139" borderId="77" applyNumberFormat="0" applyProtection="0">
      <alignment horizontal="left" vertical="center" indent="1"/>
    </xf>
    <xf numFmtId="0" fontId="22" fillId="139" borderId="77" applyNumberFormat="0" applyProtection="0">
      <alignment horizontal="left" vertical="center" indent="1"/>
    </xf>
    <xf numFmtId="0" fontId="22" fillId="84" borderId="84" applyNumberFormat="0" applyProtection="0">
      <alignment horizontal="left" vertical="top" indent="1"/>
    </xf>
    <xf numFmtId="0" fontId="22" fillId="139" borderId="77" applyNumberFormat="0" applyProtection="0">
      <alignment horizontal="left" vertical="center" indent="1"/>
    </xf>
    <xf numFmtId="0" fontId="22" fillId="139" borderId="77" applyNumberFormat="0" applyProtection="0">
      <alignment horizontal="left" vertical="center" indent="1"/>
    </xf>
    <xf numFmtId="0" fontId="22" fillId="66" borderId="84" applyNumberFormat="0" applyProtection="0">
      <alignment horizontal="left" vertical="top" indent="1"/>
    </xf>
    <xf numFmtId="0" fontId="84" fillId="71" borderId="82" applyNumberFormat="0" applyProtection="0">
      <alignment horizontal="left" vertical="center" indent="1"/>
    </xf>
    <xf numFmtId="0" fontId="84" fillId="71" borderId="82" applyNumberFormat="0" applyProtection="0">
      <alignment horizontal="left" vertical="center" indent="1"/>
    </xf>
    <xf numFmtId="0" fontId="84" fillId="71" borderId="82" applyNumberFormat="0" applyProtection="0">
      <alignment horizontal="left" vertical="center" indent="1"/>
    </xf>
    <xf numFmtId="0" fontId="84" fillId="71" borderId="82" applyNumberFormat="0" applyProtection="0">
      <alignment horizontal="left" vertical="center" indent="1"/>
    </xf>
    <xf numFmtId="0" fontId="22" fillId="83" borderId="77" applyNumberFormat="0" applyProtection="0">
      <alignment horizontal="left" vertical="center" indent="1"/>
    </xf>
    <xf numFmtId="0" fontId="104" fillId="0" borderId="72" applyNumberFormat="0" applyProtection="0">
      <alignment horizontal="left" vertical="center" indent="2"/>
    </xf>
    <xf numFmtId="0" fontId="22" fillId="83" borderId="77" applyNumberFormat="0" applyProtection="0">
      <alignment horizontal="left" vertical="center" indent="1"/>
    </xf>
    <xf numFmtId="0" fontId="22" fillId="83" borderId="77" applyNumberFormat="0" applyProtection="0">
      <alignment horizontal="left" vertical="center" indent="1"/>
    </xf>
    <xf numFmtId="0" fontId="22" fillId="83" borderId="77" applyNumberFormat="0" applyProtection="0">
      <alignment horizontal="left" vertical="center" indent="1"/>
    </xf>
    <xf numFmtId="0" fontId="22" fillId="105" borderId="84" applyNumberFormat="0" applyProtection="0">
      <alignment horizontal="left" vertical="center" indent="1"/>
    </xf>
    <xf numFmtId="0" fontId="22" fillId="83" borderId="77" applyNumberFormat="0" applyProtection="0">
      <alignment horizontal="left" vertical="center" indent="1"/>
    </xf>
    <xf numFmtId="0" fontId="22" fillId="86" borderId="84" applyNumberFormat="0" applyProtection="0">
      <alignment horizontal="left" vertical="top" indent="1"/>
    </xf>
    <xf numFmtId="0" fontId="84" fillId="105" borderId="84" applyNumberFormat="0" applyProtection="0">
      <alignment horizontal="left" vertical="top" indent="1"/>
    </xf>
    <xf numFmtId="0" fontId="84" fillId="105" borderId="84" applyNumberFormat="0" applyProtection="0">
      <alignment horizontal="left" vertical="top" indent="1"/>
    </xf>
    <xf numFmtId="0" fontId="22" fillId="83" borderId="77" applyNumberFormat="0" applyProtection="0">
      <alignment horizontal="left" vertical="center" indent="1"/>
    </xf>
    <xf numFmtId="0" fontId="22" fillId="86" borderId="84" applyNumberFormat="0" applyProtection="0">
      <alignment horizontal="left" vertical="top" indent="1"/>
    </xf>
    <xf numFmtId="0" fontId="22" fillId="83" borderId="77" applyNumberFormat="0" applyProtection="0">
      <alignment horizontal="left" vertical="center" indent="1"/>
    </xf>
    <xf numFmtId="0" fontId="22" fillId="83" borderId="77" applyNumberFormat="0" applyProtection="0">
      <alignment horizontal="left" vertical="center" indent="1"/>
    </xf>
    <xf numFmtId="0" fontId="22" fillId="86" borderId="84" applyNumberFormat="0" applyProtection="0">
      <alignment horizontal="left" vertical="top" indent="1"/>
    </xf>
    <xf numFmtId="0" fontId="22" fillId="83" borderId="77" applyNumberFormat="0" applyProtection="0">
      <alignment horizontal="left" vertical="center" indent="1"/>
    </xf>
    <xf numFmtId="0" fontId="22" fillId="83" borderId="77" applyNumberFormat="0" applyProtection="0">
      <alignment horizontal="left" vertical="center" indent="1"/>
    </xf>
    <xf numFmtId="0" fontId="22" fillId="105" borderId="84" applyNumberFormat="0" applyProtection="0">
      <alignment horizontal="left" vertical="top" indent="1"/>
    </xf>
    <xf numFmtId="0" fontId="84" fillId="45" borderId="82" applyNumberFormat="0" applyProtection="0">
      <alignment horizontal="left" vertical="center" indent="1"/>
    </xf>
    <xf numFmtId="0" fontId="84" fillId="45" borderId="82" applyNumberFormat="0" applyProtection="0">
      <alignment horizontal="left" vertical="center" indent="1"/>
    </xf>
    <xf numFmtId="0" fontId="84" fillId="45" borderId="82" applyNumberFormat="0" applyProtection="0">
      <alignment horizontal="left" vertical="center" indent="1"/>
    </xf>
    <xf numFmtId="0" fontId="84" fillId="45" borderId="82" applyNumberFormat="0" applyProtection="0">
      <alignment horizontal="left" vertical="center" indent="1"/>
    </xf>
    <xf numFmtId="0" fontId="22" fillId="74" borderId="77" applyNumberFormat="0" applyProtection="0">
      <alignment horizontal="left" vertical="center" indent="1"/>
    </xf>
    <xf numFmtId="0" fontId="104" fillId="0" borderId="72" applyNumberFormat="0" applyProtection="0">
      <alignment horizontal="left" vertical="center" indent="2"/>
    </xf>
    <xf numFmtId="0" fontId="22" fillId="74" borderId="77" applyNumberFormat="0" applyProtection="0">
      <alignment horizontal="left" vertical="center" indent="1"/>
    </xf>
    <xf numFmtId="0" fontId="22" fillId="74" borderId="77" applyNumberFormat="0" applyProtection="0">
      <alignment horizontal="left" vertical="center" indent="1"/>
    </xf>
    <xf numFmtId="0" fontId="22" fillId="74" borderId="77" applyNumberFormat="0" applyProtection="0">
      <alignment horizontal="left" vertical="center" indent="1"/>
    </xf>
    <xf numFmtId="0" fontId="22" fillId="45" borderId="84" applyNumberFormat="0" applyProtection="0">
      <alignment horizontal="left" vertical="center" indent="1"/>
    </xf>
    <xf numFmtId="0" fontId="22" fillId="74" borderId="77" applyNumberFormat="0" applyProtection="0">
      <alignment horizontal="left" vertical="center" indent="1"/>
    </xf>
    <xf numFmtId="0" fontId="22" fillId="70" borderId="84" applyNumberFormat="0" applyProtection="0">
      <alignment horizontal="left" vertical="top" indent="1"/>
    </xf>
    <xf numFmtId="0" fontId="84" fillId="45" borderId="84" applyNumberFormat="0" applyProtection="0">
      <alignment horizontal="left" vertical="top" indent="1"/>
    </xf>
    <xf numFmtId="0" fontId="84" fillId="45" borderId="84" applyNumberFormat="0" applyProtection="0">
      <alignment horizontal="left" vertical="top" indent="1"/>
    </xf>
    <xf numFmtId="0" fontId="22" fillId="74" borderId="77" applyNumberFormat="0" applyProtection="0">
      <alignment horizontal="left" vertical="center" indent="1"/>
    </xf>
    <xf numFmtId="0" fontId="22" fillId="70" borderId="84" applyNumberFormat="0" applyProtection="0">
      <alignment horizontal="left" vertical="top" indent="1"/>
    </xf>
    <xf numFmtId="0" fontId="22" fillId="74" borderId="77" applyNumberFormat="0" applyProtection="0">
      <alignment horizontal="left" vertical="center" indent="1"/>
    </xf>
    <xf numFmtId="0" fontId="22" fillId="74" borderId="77" applyNumberFormat="0" applyProtection="0">
      <alignment horizontal="left" vertical="center" indent="1"/>
    </xf>
    <xf numFmtId="0" fontId="22" fillId="70" borderId="84" applyNumberFormat="0" applyProtection="0">
      <alignment horizontal="left" vertical="top" indent="1"/>
    </xf>
    <xf numFmtId="0" fontId="22" fillId="74" borderId="77" applyNumberFormat="0" applyProtection="0">
      <alignment horizontal="left" vertical="center" indent="1"/>
    </xf>
    <xf numFmtId="0" fontId="22" fillId="74" borderId="77" applyNumberFormat="0" applyProtection="0">
      <alignment horizontal="left" vertical="center" indent="1"/>
    </xf>
    <xf numFmtId="0" fontId="22" fillId="45" borderId="84" applyNumberFormat="0" applyProtection="0">
      <alignment horizontal="left" vertical="top" indent="1"/>
    </xf>
    <xf numFmtId="0" fontId="84" fillId="90" borderId="82" applyNumberFormat="0" applyProtection="0">
      <alignment horizontal="left" vertical="center" indent="1"/>
    </xf>
    <xf numFmtId="0" fontId="84" fillId="90" borderId="82" applyNumberFormat="0" applyProtection="0">
      <alignment horizontal="left" vertical="center" indent="1"/>
    </xf>
    <xf numFmtId="0" fontId="84" fillId="90" borderId="82" applyNumberFormat="0" applyProtection="0">
      <alignment horizontal="left" vertical="center" indent="1"/>
    </xf>
    <xf numFmtId="0" fontId="84" fillId="90" borderId="82" applyNumberFormat="0" applyProtection="0">
      <alignment horizontal="left" vertical="center" indent="1"/>
    </xf>
    <xf numFmtId="0" fontId="22" fillId="131" borderId="77" applyNumberFormat="0" applyProtection="0">
      <alignment horizontal="left" vertical="center" indent="1"/>
    </xf>
    <xf numFmtId="0" fontId="104" fillId="0" borderId="72" applyNumberFormat="0" applyProtection="0">
      <alignment horizontal="left" vertical="center" indent="2"/>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90" borderId="84" applyNumberFormat="0" applyProtection="0">
      <alignment horizontal="left" vertical="center" indent="1"/>
    </xf>
    <xf numFmtId="0" fontId="22" fillId="131" borderId="77" applyNumberFormat="0" applyProtection="0">
      <alignment horizontal="left" vertical="center" indent="1"/>
    </xf>
    <xf numFmtId="0" fontId="22" fillId="87" borderId="84" applyNumberFormat="0" applyProtection="0">
      <alignment horizontal="left" vertical="top" indent="1"/>
    </xf>
    <xf numFmtId="0" fontId="84" fillId="90" borderId="84" applyNumberFormat="0" applyProtection="0">
      <alignment horizontal="left" vertical="top" indent="1"/>
    </xf>
    <xf numFmtId="0" fontId="84" fillId="90" borderId="84" applyNumberFormat="0" applyProtection="0">
      <alignment horizontal="left" vertical="top" indent="1"/>
    </xf>
    <xf numFmtId="0" fontId="22" fillId="131" borderId="77" applyNumberFormat="0" applyProtection="0">
      <alignment horizontal="left" vertical="center" indent="1"/>
    </xf>
    <xf numFmtId="0" fontId="22" fillId="87" borderId="84" applyNumberFormat="0" applyProtection="0">
      <alignment horizontal="left" vertical="top"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87" borderId="84" applyNumberFormat="0" applyProtection="0">
      <alignment horizontal="left" vertical="top"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90" borderId="84" applyNumberFormat="0" applyProtection="0">
      <alignment horizontal="left" vertical="top" indent="1"/>
    </xf>
    <xf numFmtId="0" fontId="22" fillId="88" borderId="72" applyNumberFormat="0">
      <protection locked="0"/>
    </xf>
    <xf numFmtId="0" fontId="22" fillId="88" borderId="72" applyNumberFormat="0">
      <protection locked="0"/>
    </xf>
    <xf numFmtId="0" fontId="22" fillId="88" borderId="72" applyNumberFormat="0">
      <protection locked="0"/>
    </xf>
    <xf numFmtId="0" fontId="22" fillId="88" borderId="72" applyNumberFormat="0">
      <protection locked="0"/>
    </xf>
    <xf numFmtId="0" fontId="118" fillId="66" borderId="87" applyBorder="0"/>
    <xf numFmtId="0" fontId="118" fillId="66" borderId="87" applyBorder="0"/>
    <xf numFmtId="4" fontId="108" fillId="40" borderId="84" applyNumberFormat="0" applyProtection="0">
      <alignment vertical="center"/>
    </xf>
    <xf numFmtId="4" fontId="108" fillId="40" borderId="84" applyNumberFormat="0" applyProtection="0">
      <alignment vertical="center"/>
    </xf>
    <xf numFmtId="4" fontId="72" fillId="75" borderId="84" applyNumberFormat="0" applyProtection="0">
      <alignment vertical="center"/>
    </xf>
    <xf numFmtId="4" fontId="72" fillId="75" borderId="77" applyNumberFormat="0" applyProtection="0">
      <alignment vertical="center"/>
    </xf>
    <xf numFmtId="4" fontId="72" fillId="75" borderId="77" applyNumberFormat="0" applyProtection="0">
      <alignment vertical="center"/>
    </xf>
    <xf numFmtId="4" fontId="72" fillId="40" borderId="84" applyNumberFormat="0" applyProtection="0">
      <alignment vertical="center"/>
    </xf>
    <xf numFmtId="4" fontId="173" fillId="75" borderId="72" applyNumberFormat="0" applyProtection="0">
      <alignment vertical="center"/>
    </xf>
    <xf numFmtId="4" fontId="173" fillId="75" borderId="72" applyNumberFormat="0" applyProtection="0">
      <alignment vertical="center"/>
    </xf>
    <xf numFmtId="4" fontId="122" fillId="75" borderId="84" applyNumberFormat="0" applyProtection="0">
      <alignment vertical="center"/>
    </xf>
    <xf numFmtId="4" fontId="122" fillId="75" borderId="77" applyNumberFormat="0" applyProtection="0">
      <alignment vertical="center"/>
    </xf>
    <xf numFmtId="4" fontId="122" fillId="75" borderId="77" applyNumberFormat="0" applyProtection="0">
      <alignment vertical="center"/>
    </xf>
    <xf numFmtId="4" fontId="122" fillId="40" borderId="84" applyNumberFormat="0" applyProtection="0">
      <alignment vertical="center"/>
    </xf>
    <xf numFmtId="4" fontId="108" fillId="49" borderId="84" applyNumberFormat="0" applyProtection="0">
      <alignment horizontal="left" vertical="center" indent="1"/>
    </xf>
    <xf numFmtId="4" fontId="108" fillId="49" borderId="84" applyNumberFormat="0" applyProtection="0">
      <alignment horizontal="left" vertical="center" indent="1"/>
    </xf>
    <xf numFmtId="4" fontId="72" fillId="75" borderId="77" applyNumberFormat="0" applyProtection="0">
      <alignment horizontal="left" vertical="center" indent="1"/>
    </xf>
    <xf numFmtId="4" fontId="72" fillId="75" borderId="77" applyNumberFormat="0" applyProtection="0">
      <alignment horizontal="left" vertical="center" indent="1"/>
    </xf>
    <xf numFmtId="4" fontId="72" fillId="40" borderId="84" applyNumberFormat="0" applyProtection="0">
      <alignment horizontal="left" vertical="center" indent="1"/>
    </xf>
    <xf numFmtId="0" fontId="108" fillId="40" borderId="84" applyNumberFormat="0" applyProtection="0">
      <alignment horizontal="left" vertical="top" indent="1"/>
    </xf>
    <xf numFmtId="0" fontId="108" fillId="40" borderId="84" applyNumberFormat="0" applyProtection="0">
      <alignment horizontal="left" vertical="top" indent="1"/>
    </xf>
    <xf numFmtId="0" fontId="72" fillId="75" borderId="84" applyNumberFormat="0" applyProtection="0">
      <alignment horizontal="left" vertical="top" indent="1"/>
    </xf>
    <xf numFmtId="4" fontId="72" fillId="75" borderId="77" applyNumberFormat="0" applyProtection="0">
      <alignment horizontal="left" vertical="center" indent="1"/>
    </xf>
    <xf numFmtId="4" fontId="72" fillId="75" borderId="77" applyNumberFormat="0" applyProtection="0">
      <alignment horizontal="left" vertical="center" indent="1"/>
    </xf>
    <xf numFmtId="0" fontId="72" fillId="40" borderId="84" applyNumberFormat="0" applyProtection="0">
      <alignment horizontal="left" vertical="top" indent="1"/>
    </xf>
    <xf numFmtId="4" fontId="84" fillId="0" borderId="82" applyNumberFormat="0" applyProtection="0">
      <alignment horizontal="right" vertical="center"/>
    </xf>
    <xf numFmtId="4" fontId="72" fillId="89" borderId="77" applyNumberFormat="0" applyProtection="0">
      <alignment horizontal="right" vertical="center"/>
    </xf>
    <xf numFmtId="4" fontId="84" fillId="0" borderId="82" applyNumberFormat="0" applyProtection="0">
      <alignment horizontal="right" vertical="center"/>
    </xf>
    <xf numFmtId="4" fontId="84" fillId="0" borderId="82" applyNumberFormat="0" applyProtection="0">
      <alignment horizontal="right" vertical="center"/>
    </xf>
    <xf numFmtId="4" fontId="125" fillId="0" borderId="72" applyNumberFormat="0" applyProtection="0">
      <alignment horizontal="right" vertical="center" wrapText="1"/>
    </xf>
    <xf numFmtId="4" fontId="84" fillId="0" borderId="82" applyNumberFormat="0" applyProtection="0">
      <alignment horizontal="right" vertical="center"/>
    </xf>
    <xf numFmtId="4" fontId="72" fillId="89" borderId="77" applyNumberFormat="0" applyProtection="0">
      <alignment horizontal="right" vertical="center"/>
    </xf>
    <xf numFmtId="4" fontId="84" fillId="0" borderId="82" applyNumberFormat="0" applyProtection="0">
      <alignment horizontal="right" vertical="center"/>
    </xf>
    <xf numFmtId="4" fontId="125" fillId="0" borderId="72" applyNumberFormat="0" applyProtection="0">
      <alignment horizontal="right" vertical="center" wrapText="1"/>
    </xf>
    <xf numFmtId="4" fontId="72" fillId="89" borderId="77" applyNumberFormat="0" applyProtection="0">
      <alignment horizontal="right" vertical="center"/>
    </xf>
    <xf numFmtId="4" fontId="72" fillId="89" borderId="77" applyNumberFormat="0" applyProtection="0">
      <alignment horizontal="right" vertical="center"/>
    </xf>
    <xf numFmtId="4" fontId="72" fillId="90" borderId="84" applyNumberFormat="0" applyProtection="0">
      <alignment horizontal="right" vertical="center"/>
    </xf>
    <xf numFmtId="4" fontId="173" fillId="76" borderId="82" applyNumberFormat="0" applyProtection="0">
      <alignment horizontal="right" vertical="center"/>
    </xf>
    <xf numFmtId="4" fontId="173" fillId="76" borderId="82" applyNumberFormat="0" applyProtection="0">
      <alignment horizontal="right" vertical="center"/>
    </xf>
    <xf numFmtId="4" fontId="122" fillId="90" borderId="84" applyNumberFormat="0" applyProtection="0">
      <alignment horizontal="right" vertical="center"/>
    </xf>
    <xf numFmtId="4" fontId="122" fillId="89" borderId="77" applyNumberFormat="0" applyProtection="0">
      <alignment horizontal="right" vertical="center"/>
    </xf>
    <xf numFmtId="4" fontId="122" fillId="89" borderId="77" applyNumberFormat="0" applyProtection="0">
      <alignment horizontal="right" vertical="center"/>
    </xf>
    <xf numFmtId="4" fontId="122" fillId="90" borderId="84" applyNumberFormat="0" applyProtection="0">
      <alignment horizontal="right" vertical="center"/>
    </xf>
    <xf numFmtId="4" fontId="84" fillId="53" borderId="82" applyNumberFormat="0" applyProtection="0">
      <alignment horizontal="left" vertical="center" indent="1"/>
    </xf>
    <xf numFmtId="4" fontId="84" fillId="53" borderId="82" applyNumberFormat="0" applyProtection="0">
      <alignment horizontal="left" vertical="center" indent="1"/>
    </xf>
    <xf numFmtId="4" fontId="125" fillId="0" borderId="72" applyNumberFormat="0" applyProtection="0">
      <alignment horizontal="left" vertical="center" indent="1"/>
    </xf>
    <xf numFmtId="4" fontId="84" fillId="53" borderId="82" applyNumberFormat="0" applyProtection="0">
      <alignment horizontal="left" vertical="center" indent="1"/>
    </xf>
    <xf numFmtId="4" fontId="84" fillId="53" borderId="82" applyNumberFormat="0" applyProtection="0">
      <alignment horizontal="left" vertical="center" indent="1"/>
    </xf>
    <xf numFmtId="0" fontId="22" fillId="131" borderId="77" applyNumberFormat="0" applyProtection="0">
      <alignment horizontal="left" vertical="center" indent="1"/>
    </xf>
    <xf numFmtId="4" fontId="125" fillId="0" borderId="72"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4" fontId="72" fillId="105" borderId="84" applyNumberFormat="0" applyProtection="0">
      <alignment horizontal="left" vertical="center" indent="1"/>
    </xf>
    <xf numFmtId="0" fontId="22" fillId="131" borderId="77" applyNumberFormat="0" applyProtection="0">
      <alignment horizontal="left" vertical="center" indent="1"/>
    </xf>
    <xf numFmtId="0" fontId="117" fillId="92" borderId="72" applyNumberFormat="0" applyProtection="0">
      <alignment horizontal="center" vertical="top" wrapText="1"/>
    </xf>
    <xf numFmtId="0" fontId="108" fillId="105" borderId="84" applyNumberFormat="0" applyProtection="0">
      <alignment horizontal="left" vertical="top" indent="1"/>
    </xf>
    <xf numFmtId="0" fontId="108" fillId="105" borderId="84" applyNumberFormat="0" applyProtection="0">
      <alignment horizontal="left" vertical="top" indent="1"/>
    </xf>
    <xf numFmtId="0" fontId="22" fillId="131" borderId="77" applyNumberFormat="0" applyProtection="0">
      <alignment horizontal="left" vertical="center" indent="1"/>
    </xf>
    <xf numFmtId="0" fontId="117" fillId="92" borderId="72" applyNumberFormat="0" applyProtection="0">
      <alignment horizontal="center" vertical="top" wrapTex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22" fillId="131" borderId="77" applyNumberFormat="0" applyProtection="0">
      <alignment horizontal="left" vertical="center" indent="1"/>
    </xf>
    <xf numFmtId="0" fontId="72" fillId="105" borderId="84" applyNumberFormat="0" applyProtection="0">
      <alignment horizontal="left" vertical="top" indent="1"/>
    </xf>
    <xf numFmtId="0" fontId="22" fillId="131" borderId="77" applyNumberFormat="0" applyProtection="0">
      <alignment horizontal="left" vertical="center" indent="1"/>
    </xf>
    <xf numFmtId="4" fontId="175" fillId="140" borderId="85" applyNumberFormat="0" applyProtection="0">
      <alignment horizontal="left" vertical="center" indent="1"/>
    </xf>
    <xf numFmtId="4" fontId="175" fillId="140" borderId="85" applyNumberFormat="0" applyProtection="0">
      <alignment horizontal="left" vertical="center" indent="1"/>
    </xf>
    <xf numFmtId="0" fontId="84" fillId="141" borderId="72"/>
    <xf numFmtId="0" fontId="84" fillId="141" borderId="72"/>
    <xf numFmtId="0" fontId="84" fillId="141" borderId="72"/>
    <xf numFmtId="0" fontId="84" fillId="141" borderId="72"/>
    <xf numFmtId="0" fontId="84" fillId="141" borderId="72"/>
    <xf numFmtId="4" fontId="178" fillId="88" borderId="82" applyNumberFormat="0" applyProtection="0">
      <alignment horizontal="right" vertical="center"/>
    </xf>
    <xf numFmtId="4" fontId="178" fillId="88" borderId="82" applyNumberFormat="0" applyProtection="0">
      <alignment horizontal="right" vertical="center"/>
    </xf>
    <xf numFmtId="4" fontId="132" fillId="0" borderId="84" applyNumberFormat="0" applyProtection="0">
      <alignment horizontal="right" vertical="center"/>
    </xf>
    <xf numFmtId="4" fontId="132" fillId="89" borderId="77" applyNumberFormat="0" applyProtection="0">
      <alignment horizontal="right" vertical="center"/>
    </xf>
    <xf numFmtId="4" fontId="132" fillId="89" borderId="77" applyNumberFormat="0" applyProtection="0">
      <alignment horizontal="right" vertical="center"/>
    </xf>
    <xf numFmtId="4" fontId="132" fillId="90" borderId="84" applyNumberFormat="0" applyProtection="0">
      <alignment horizontal="right" vertical="center"/>
    </xf>
    <xf numFmtId="199" fontId="138" fillId="0" borderId="78">
      <alignment horizontal="center"/>
    </xf>
    <xf numFmtId="0" fontId="182" fillId="0" borderId="72" applyNumberFormat="0" applyFill="0" applyProtection="0">
      <alignment wrapText="1"/>
    </xf>
    <xf numFmtId="0" fontId="182" fillId="0" borderId="72" applyNumberFormat="0" applyFill="0" applyProtection="0">
      <alignment wrapText="1"/>
    </xf>
    <xf numFmtId="0" fontId="22" fillId="0" borderId="79" applyNumberFormat="0" applyFont="0" applyFill="0" applyAlignment="0" applyProtection="0"/>
    <xf numFmtId="0" fontId="22" fillId="0" borderId="79" applyNumberFormat="0" applyFont="0" applyFill="0" applyAlignment="0" applyProtection="0"/>
    <xf numFmtId="0" fontId="22" fillId="0" borderId="79" applyNumberFormat="0" applyFont="0" applyFill="0" applyAlignment="0" applyProtection="0"/>
    <xf numFmtId="0" fontId="22" fillId="0" borderId="79" applyNumberFormat="0" applyFont="0" applyFill="0" applyAlignment="0" applyProtection="0"/>
    <xf numFmtId="0" fontId="22" fillId="0" borderId="78" applyNumberFormat="0" applyFont="0" applyFill="0" applyAlignment="0" applyProtection="0"/>
    <xf numFmtId="0" fontId="22" fillId="0" borderId="78" applyNumberFormat="0" applyFont="0" applyFill="0" applyAlignment="0" applyProtection="0"/>
    <xf numFmtId="0" fontId="22" fillId="0" borderId="78" applyNumberFormat="0" applyFont="0" applyFill="0" applyAlignment="0" applyProtection="0"/>
    <xf numFmtId="0" fontId="22" fillId="0" borderId="78" applyNumberFormat="0" applyFont="0" applyFill="0" applyAlignment="0" applyProtection="0"/>
    <xf numFmtId="0" fontId="22" fillId="0" borderId="80" applyNumberFormat="0" applyFont="0" applyFill="0" applyAlignment="0" applyProtection="0"/>
    <xf numFmtId="0" fontId="22" fillId="0" borderId="80" applyNumberFormat="0" applyFont="0" applyFill="0" applyAlignment="0" applyProtection="0"/>
    <xf numFmtId="0" fontId="22" fillId="0" borderId="80" applyNumberFormat="0" applyFont="0" applyFill="0" applyAlignment="0" applyProtection="0"/>
    <xf numFmtId="0" fontId="22" fillId="0" borderId="80" applyNumberFormat="0" applyFont="0" applyFill="0" applyAlignment="0" applyProtection="0"/>
    <xf numFmtId="0" fontId="143" fillId="0" borderId="88" applyNumberFormat="0" applyFill="0" applyAlignment="0" applyProtection="0"/>
    <xf numFmtId="0" fontId="143" fillId="0" borderId="89" applyNumberFormat="0" applyFill="0" applyAlignment="0" applyProtection="0"/>
    <xf numFmtId="0" fontId="143" fillId="0" borderId="88" applyNumberFormat="0" applyFill="0" applyAlignment="0" applyProtection="0"/>
    <xf numFmtId="0" fontId="143" fillId="0" borderId="89" applyNumberFormat="0" applyFill="0" applyAlignment="0" applyProtection="0"/>
    <xf numFmtId="0" fontId="143" fillId="0" borderId="89" applyNumberFormat="0" applyFill="0" applyAlignment="0" applyProtection="0"/>
    <xf numFmtId="3" fontId="144" fillId="0" borderId="75" applyProtection="0"/>
    <xf numFmtId="0" fontId="13" fillId="0" borderId="0"/>
    <xf numFmtId="0" fontId="13" fillId="0" borderId="0"/>
    <xf numFmtId="0" fontId="13" fillId="0" borderId="0"/>
    <xf numFmtId="44" fontId="22" fillId="0" borderId="0" applyFont="0" applyFill="0" applyBorder="0" applyAlignment="0" applyProtection="0"/>
    <xf numFmtId="44" fontId="39"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39" fillId="0" borderId="0" applyFont="0" applyFill="0" applyBorder="0" applyAlignment="0" applyProtection="0"/>
    <xf numFmtId="44"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39"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22" fillId="0" borderId="0"/>
    <xf numFmtId="0" fontId="26" fillId="0" borderId="0"/>
    <xf numFmtId="0" fontId="22" fillId="0" borderId="0"/>
    <xf numFmtId="218" fontId="22" fillId="0" borderId="0" applyFont="0" applyFill="0" applyBorder="0" applyAlignment="0" applyProtection="0"/>
    <xf numFmtId="0" fontId="22"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39" fillId="0" borderId="0"/>
    <xf numFmtId="43" fontId="39" fillId="0" borderId="0" applyFont="0" applyFill="0" applyBorder="0" applyAlignment="0" applyProtection="0"/>
    <xf numFmtId="9" fontId="22" fillId="0" borderId="0" applyFont="0" applyFill="0" applyBorder="0" applyAlignment="0" applyProtection="0"/>
    <xf numFmtId="0" fontId="8" fillId="0" borderId="0"/>
    <xf numFmtId="0" fontId="221" fillId="7" borderId="0" applyNumberFormat="0" applyBorder="0" applyAlignment="0" applyProtection="0"/>
    <xf numFmtId="0" fontId="223" fillId="5" borderId="0" applyNumberFormat="0" applyBorder="0" applyAlignment="0" applyProtection="0"/>
    <xf numFmtId="0" fontId="8" fillId="0" borderId="0"/>
    <xf numFmtId="0" fontId="7" fillId="0" borderId="0"/>
    <xf numFmtId="0" fontId="6" fillId="0" borderId="0"/>
    <xf numFmtId="0" fontId="229" fillId="0" borderId="0"/>
    <xf numFmtId="9" fontId="229"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32"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cellStyleXfs>
  <cellXfs count="1032">
    <xf numFmtId="0" fontId="0" fillId="0" borderId="0" xfId="0"/>
    <xf numFmtId="0" fontId="23" fillId="0" borderId="0" xfId="2" applyFont="1"/>
    <xf numFmtId="0" fontId="23" fillId="0" borderId="0" xfId="2" applyFont="1" applyAlignment="1">
      <alignment wrapText="1"/>
    </xf>
    <xf numFmtId="0" fontId="23" fillId="0" borderId="0" xfId="2" applyFont="1" applyAlignment="1">
      <alignment horizontal="left"/>
    </xf>
    <xf numFmtId="0" fontId="25" fillId="0" borderId="0" xfId="2" applyFont="1"/>
    <xf numFmtId="0" fontId="23" fillId="0" borderId="0" xfId="2" applyFont="1" applyProtection="1">
      <protection locked="0"/>
    </xf>
    <xf numFmtId="0" fontId="21" fillId="0" borderId="0" xfId="2" applyFont="1" applyProtection="1">
      <protection locked="0"/>
    </xf>
    <xf numFmtId="168" fontId="23" fillId="0" borderId="0" xfId="2" applyNumberFormat="1" applyFont="1" applyAlignment="1" applyProtection="1">
      <alignment horizontal="center"/>
      <protection locked="0"/>
    </xf>
    <xf numFmtId="0" fontId="22" fillId="2" borderId="0" xfId="6" applyFill="1"/>
    <xf numFmtId="0" fontId="22" fillId="2" borderId="0" xfId="6" applyFill="1" applyAlignment="1">
      <alignment horizontal="center"/>
    </xf>
    <xf numFmtId="166" fontId="22" fillId="2" borderId="0" xfId="7" applyNumberFormat="1" applyFont="1" applyFill="1" applyAlignment="1">
      <alignment horizontal="center"/>
    </xf>
    <xf numFmtId="0" fontId="22" fillId="0" borderId="0" xfId="6" applyAlignment="1">
      <alignment horizontal="center" vertical="center" wrapText="1"/>
    </xf>
    <xf numFmtId="0" fontId="22" fillId="0" borderId="0" xfId="6"/>
    <xf numFmtId="0" fontId="30" fillId="0" borderId="0" xfId="6" applyFont="1" applyAlignment="1">
      <alignment horizontal="center" vertical="center" wrapText="1"/>
    </xf>
    <xf numFmtId="0" fontId="34" fillId="2" borderId="0" xfId="6" applyFont="1" applyFill="1"/>
    <xf numFmtId="166" fontId="22" fillId="2" borderId="0" xfId="7" applyNumberFormat="1" applyFont="1" applyFill="1" applyBorder="1" applyAlignment="1">
      <alignment horizontal="center"/>
    </xf>
    <xf numFmtId="166" fontId="22" fillId="0" borderId="0" xfId="7" applyNumberFormat="1" applyFont="1" applyFill="1" applyAlignment="1">
      <alignment horizontal="center"/>
    </xf>
    <xf numFmtId="166" fontId="22" fillId="0" borderId="0" xfId="7" applyNumberFormat="1" applyFont="1" applyFill="1" applyBorder="1" applyAlignment="1">
      <alignment horizontal="center"/>
    </xf>
    <xf numFmtId="166" fontId="30" fillId="0" borderId="0" xfId="7" applyNumberFormat="1" applyFont="1" applyFill="1" applyBorder="1" applyAlignment="1">
      <alignment horizontal="center" vertical="center"/>
    </xf>
    <xf numFmtId="0" fontId="30" fillId="0" borderId="0" xfId="6" applyFont="1" applyAlignment="1">
      <alignment horizontal="right" vertical="center"/>
    </xf>
    <xf numFmtId="0" fontId="21" fillId="0" borderId="0" xfId="59" applyFont="1"/>
    <xf numFmtId="164" fontId="23" fillId="0" borderId="0" xfId="60" applyNumberFormat="1" applyFont="1"/>
    <xf numFmtId="165" fontId="23" fillId="0" borderId="0" xfId="60" applyNumberFormat="1" applyFont="1"/>
    <xf numFmtId="166" fontId="23" fillId="0" borderId="0" xfId="60" applyNumberFormat="1" applyFont="1"/>
    <xf numFmtId="166" fontId="23" fillId="0" borderId="0" xfId="60" applyNumberFormat="1" applyFont="1" applyFill="1" applyAlignment="1"/>
    <xf numFmtId="164" fontId="25" fillId="0" borderId="0" xfId="60" applyNumberFormat="1" applyFont="1" applyFill="1"/>
    <xf numFmtId="165" fontId="25" fillId="0" borderId="0" xfId="60" applyNumberFormat="1" applyFont="1" applyFill="1"/>
    <xf numFmtId="166" fontId="25" fillId="0" borderId="0" xfId="60" applyNumberFormat="1" applyFont="1" applyFill="1"/>
    <xf numFmtId="166" fontId="23" fillId="0" borderId="0" xfId="60" applyNumberFormat="1" applyFont="1" applyFill="1"/>
    <xf numFmtId="0" fontId="25" fillId="0" borderId="0" xfId="2" applyFont="1" applyProtection="1">
      <protection locked="0"/>
    </xf>
    <xf numFmtId="44" fontId="23" fillId="0" borderId="0" xfId="2" applyNumberFormat="1" applyFont="1" applyAlignment="1">
      <alignment horizontal="left"/>
    </xf>
    <xf numFmtId="0" fontId="13" fillId="0" borderId="0" xfId="15922"/>
    <xf numFmtId="0" fontId="13" fillId="0" borderId="0" xfId="15914"/>
    <xf numFmtId="165" fontId="23" fillId="0" borderId="0" xfId="60" applyNumberFormat="1" applyFont="1" applyFill="1"/>
    <xf numFmtId="164" fontId="23" fillId="0" borderId="0" xfId="60" applyNumberFormat="1" applyFont="1" applyFill="1"/>
    <xf numFmtId="0" fontId="13" fillId="0" borderId="0" xfId="15917"/>
    <xf numFmtId="0" fontId="13" fillId="0" borderId="0" xfId="20529"/>
    <xf numFmtId="0" fontId="21" fillId="0" borderId="93" xfId="2" applyFont="1" applyBorder="1" applyAlignment="1">
      <alignment horizontal="left" wrapText="1"/>
    </xf>
    <xf numFmtId="0" fontId="23" fillId="0" borderId="93" xfId="2" applyFont="1" applyBorder="1" applyAlignment="1">
      <alignment horizontal="left" wrapText="1" indent="1"/>
    </xf>
    <xf numFmtId="0" fontId="22" fillId="0" borderId="0" xfId="6" applyAlignment="1">
      <alignment horizontal="center"/>
    </xf>
    <xf numFmtId="0" fontId="26" fillId="0" borderId="97" xfId="2" applyFont="1" applyBorder="1" applyAlignment="1" applyProtection="1">
      <alignment horizontal="left"/>
      <protection locked="0"/>
    </xf>
    <xf numFmtId="166" fontId="30" fillId="0" borderId="0" xfId="6" applyNumberFormat="1" applyFont="1" applyAlignment="1">
      <alignment horizontal="center" vertical="center" wrapText="1"/>
    </xf>
    <xf numFmtId="0" fontId="12" fillId="0" borderId="0" xfId="20532"/>
    <xf numFmtId="0" fontId="29" fillId="0" borderId="0" xfId="20532" applyFont="1"/>
    <xf numFmtId="0" fontId="37" fillId="0" borderId="0" xfId="20532" applyFont="1"/>
    <xf numFmtId="0" fontId="35" fillId="0" borderId="7" xfId="20532" applyFont="1" applyBorder="1" applyAlignment="1">
      <alignment horizontal="center" wrapText="1"/>
    </xf>
    <xf numFmtId="171" fontId="57" fillId="0" borderId="0" xfId="20535" applyNumberFormat="1" applyFont="1"/>
    <xf numFmtId="171" fontId="0" fillId="0" borderId="0" xfId="20535" applyNumberFormat="1" applyFont="1"/>
    <xf numFmtId="0" fontId="57" fillId="0" borderId="0" xfId="20532" applyFont="1"/>
    <xf numFmtId="0" fontId="185" fillId="142" borderId="7" xfId="20532" applyFont="1" applyFill="1" applyBorder="1" applyAlignment="1">
      <alignment vertical="center" wrapText="1"/>
    </xf>
    <xf numFmtId="0" fontId="185" fillId="142" borderId="7" xfId="20532" applyFont="1" applyFill="1" applyBorder="1" applyAlignment="1">
      <alignment vertical="center"/>
    </xf>
    <xf numFmtId="0" fontId="185" fillId="0" borderId="7" xfId="20532" applyFont="1" applyBorder="1" applyAlignment="1">
      <alignment vertical="center" wrapText="1"/>
    </xf>
    <xf numFmtId="0" fontId="185" fillId="0" borderId="7" xfId="20532" applyFont="1" applyBorder="1" applyAlignment="1">
      <alignment vertical="center"/>
    </xf>
    <xf numFmtId="217" fontId="0" fillId="0" borderId="0" xfId="20535" applyNumberFormat="1" applyFont="1" applyBorder="1"/>
    <xf numFmtId="0" fontId="186" fillId="2" borderId="0" xfId="0" applyFont="1" applyFill="1" applyAlignment="1">
      <alignment vertical="center"/>
    </xf>
    <xf numFmtId="0" fontId="186" fillId="2" borderId="0" xfId="0" applyFont="1" applyFill="1" applyAlignment="1">
      <alignment horizontal="center" vertical="center"/>
    </xf>
    <xf numFmtId="0" fontId="0" fillId="2" borderId="0" xfId="0" applyFill="1"/>
    <xf numFmtId="0" fontId="188" fillId="2" borderId="0" xfId="0" applyFont="1" applyFill="1" applyAlignment="1">
      <alignment horizontal="center"/>
    </xf>
    <xf numFmtId="0" fontId="0" fillId="2" borderId="0" xfId="0" applyFill="1" applyAlignment="1">
      <alignment vertical="center"/>
    </xf>
    <xf numFmtId="0" fontId="191" fillId="2" borderId="103" xfId="0" applyFont="1" applyFill="1" applyBorder="1" applyAlignment="1">
      <alignment vertical="center" wrapText="1"/>
    </xf>
    <xf numFmtId="0" fontId="0" fillId="2" borderId="0" xfId="0" applyFill="1" applyAlignment="1">
      <alignment vertical="center" wrapText="1"/>
    </xf>
    <xf numFmtId="0" fontId="191" fillId="2" borderId="116" xfId="0" applyFont="1" applyFill="1" applyBorder="1" applyAlignment="1">
      <alignment vertical="center" wrapText="1"/>
    </xf>
    <xf numFmtId="0" fontId="191" fillId="2" borderId="109" xfId="0" applyFont="1" applyFill="1" applyBorder="1" applyAlignment="1">
      <alignment vertical="center" wrapText="1"/>
    </xf>
    <xf numFmtId="0" fontId="189" fillId="2" borderId="122" xfId="0" applyFont="1" applyFill="1" applyBorder="1" applyAlignment="1">
      <alignment vertical="center" wrapText="1"/>
    </xf>
    <xf numFmtId="0" fontId="188" fillId="2" borderId="0" xfId="0" applyFont="1" applyFill="1" applyAlignment="1">
      <alignment vertical="center"/>
    </xf>
    <xf numFmtId="0" fontId="0" fillId="2" borderId="0" xfId="0" applyFill="1" applyAlignment="1">
      <alignment horizontal="center" vertical="center"/>
    </xf>
    <xf numFmtId="0" fontId="191"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wrapText="1"/>
    </xf>
    <xf numFmtId="0" fontId="188" fillId="144" borderId="4" xfId="0" applyFont="1" applyFill="1" applyBorder="1" applyAlignment="1">
      <alignment horizontal="center"/>
    </xf>
    <xf numFmtId="0" fontId="188" fillId="144" borderId="2" xfId="0" applyFont="1" applyFill="1" applyBorder="1" applyAlignment="1">
      <alignment horizontal="center" wrapText="1"/>
    </xf>
    <xf numFmtId="0" fontId="188" fillId="144" borderId="5" xfId="0" applyFont="1" applyFill="1" applyBorder="1" applyAlignment="1">
      <alignment horizontal="center" wrapText="1"/>
    </xf>
    <xf numFmtId="0" fontId="188" fillId="2" borderId="93" xfId="0" applyFont="1" applyFill="1" applyBorder="1"/>
    <xf numFmtId="0" fontId="188" fillId="2" borderId="94" xfId="0" applyFont="1" applyFill="1" applyBorder="1"/>
    <xf numFmtId="9" fontId="0" fillId="2" borderId="95" xfId="58" applyFont="1" applyFill="1" applyBorder="1" applyAlignment="1">
      <alignment horizontal="center"/>
    </xf>
    <xf numFmtId="168" fontId="0" fillId="2" borderId="95" xfId="58" applyNumberFormat="1" applyFont="1" applyFill="1" applyBorder="1" applyAlignment="1">
      <alignment horizontal="center"/>
    </xf>
    <xf numFmtId="168" fontId="0" fillId="2" borderId="96" xfId="58" applyNumberFormat="1" applyFont="1" applyFill="1" applyBorder="1" applyAlignment="1">
      <alignment horizontal="center"/>
    </xf>
    <xf numFmtId="171" fontId="12" fillId="0" borderId="0" xfId="64" applyNumberFormat="1" applyFont="1"/>
    <xf numFmtId="0" fontId="184" fillId="142" borderId="122" xfId="20532" applyFont="1" applyFill="1" applyBorder="1" applyAlignment="1">
      <alignment vertical="center" wrapText="1"/>
    </xf>
    <xf numFmtId="0" fontId="184" fillId="142" borderId="108" xfId="20532" applyFont="1" applyFill="1" applyBorder="1" applyAlignment="1">
      <alignment vertical="center"/>
    </xf>
    <xf numFmtId="0" fontId="185" fillId="142" borderId="128" xfId="20532" applyFont="1" applyFill="1" applyBorder="1" applyAlignment="1">
      <alignment vertical="center" wrapText="1"/>
    </xf>
    <xf numFmtId="0" fontId="185" fillId="0" borderId="129" xfId="20532" applyFont="1" applyBorder="1" applyAlignment="1">
      <alignment vertical="center" wrapText="1"/>
    </xf>
    <xf numFmtId="165" fontId="23" fillId="0" borderId="0" xfId="20543" applyNumberFormat="1" applyFont="1" applyProtection="1">
      <protection locked="0"/>
    </xf>
    <xf numFmtId="166" fontId="23" fillId="0" borderId="0" xfId="20543" applyNumberFormat="1" applyFont="1" applyProtection="1">
      <protection locked="0"/>
    </xf>
    <xf numFmtId="164" fontId="21" fillId="0" borderId="127" xfId="20543" applyNumberFormat="1" applyFont="1" applyFill="1" applyBorder="1" applyAlignment="1" applyProtection="1">
      <alignment horizontal="center" wrapText="1"/>
      <protection locked="0"/>
    </xf>
    <xf numFmtId="166" fontId="25" fillId="0" borderId="97" xfId="20543" applyNumberFormat="1" applyFont="1" applyFill="1" applyBorder="1" applyAlignment="1" applyProtection="1">
      <alignment horizontal="center"/>
      <protection locked="0"/>
    </xf>
    <xf numFmtId="167" fontId="25" fillId="0" borderId="97" xfId="20543" applyNumberFormat="1" applyFont="1" applyFill="1" applyBorder="1" applyAlignment="1" applyProtection="1">
      <alignment horizontal="center"/>
      <protection locked="0"/>
    </xf>
    <xf numFmtId="167" fontId="23" fillId="0" borderId="0" xfId="20543" applyNumberFormat="1" applyFont="1" applyFill="1" applyBorder="1" applyAlignment="1" applyProtection="1">
      <alignment horizontal="center" wrapText="1"/>
      <protection locked="0"/>
    </xf>
    <xf numFmtId="0" fontId="34" fillId="0" borderId="0" xfId="20547" applyFont="1"/>
    <xf numFmtId="0" fontId="30" fillId="0" borderId="127" xfId="6" applyFont="1" applyBorder="1" applyAlignment="1">
      <alignment horizontal="right" vertical="center" wrapText="1"/>
    </xf>
    <xf numFmtId="166" fontId="30" fillId="0" borderId="127" xfId="7" applyNumberFormat="1" applyFont="1" applyFill="1" applyBorder="1" applyAlignment="1">
      <alignment horizontal="center" vertical="center"/>
    </xf>
    <xf numFmtId="0" fontId="30" fillId="0" borderId="127" xfId="6" applyFont="1" applyBorder="1" applyAlignment="1">
      <alignment horizontal="center" vertical="center"/>
    </xf>
    <xf numFmtId="0" fontId="23" fillId="0" borderId="0" xfId="20549" applyFont="1"/>
    <xf numFmtId="0" fontId="27" fillId="0" borderId="0" xfId="20549" applyFont="1"/>
    <xf numFmtId="0" fontId="39" fillId="0" borderId="0" xfId="20549"/>
    <xf numFmtId="0" fontId="21" fillId="0" borderId="0" xfId="20549" applyFont="1"/>
    <xf numFmtId="42" fontId="23" fillId="0" borderId="93" xfId="1856" applyNumberFormat="1" applyFont="1" applyBorder="1" applyAlignment="1">
      <alignment horizontal="left"/>
    </xf>
    <xf numFmtId="42" fontId="21" fillId="0" borderId="94" xfId="1856" applyNumberFormat="1" applyFont="1" applyBorder="1" applyAlignment="1">
      <alignment horizontal="left"/>
    </xf>
    <xf numFmtId="42" fontId="21" fillId="0" borderId="90" xfId="1856" applyNumberFormat="1" applyFont="1" applyBorder="1" applyAlignment="1">
      <alignment horizontal="left"/>
    </xf>
    <xf numFmtId="9" fontId="21" fillId="0" borderId="96" xfId="1856" applyNumberFormat="1" applyFont="1" applyBorder="1" applyAlignment="1">
      <alignment horizontal="center"/>
    </xf>
    <xf numFmtId="42" fontId="23" fillId="0" borderId="130" xfId="1856" applyNumberFormat="1" applyFont="1" applyBorder="1" applyAlignment="1">
      <alignment horizontal="left"/>
    </xf>
    <xf numFmtId="0" fontId="39" fillId="0" borderId="0" xfId="20549" applyAlignment="1">
      <alignment wrapText="1"/>
    </xf>
    <xf numFmtId="0" fontId="28" fillId="0" borderId="0" xfId="20549" applyFont="1"/>
    <xf numFmtId="0" fontId="29" fillId="0" borderId="0" xfId="20549" applyFont="1"/>
    <xf numFmtId="0" fontId="30" fillId="0" borderId="0" xfId="6" applyFont="1" applyAlignment="1">
      <alignment horizontal="center" vertical="center"/>
    </xf>
    <xf numFmtId="0" fontId="10" fillId="0" borderId="0" xfId="20548"/>
    <xf numFmtId="0" fontId="57" fillId="0" borderId="0" xfId="20548" applyFont="1"/>
    <xf numFmtId="0" fontId="10" fillId="0" borderId="127" xfId="20548" applyBorder="1"/>
    <xf numFmtId="0" fontId="10" fillId="2" borderId="127" xfId="20548" applyFill="1" applyBorder="1"/>
    <xf numFmtId="0" fontId="10" fillId="3" borderId="127" xfId="20548" applyFill="1" applyBorder="1"/>
    <xf numFmtId="0" fontId="10" fillId="4" borderId="0" xfId="20548" applyFill="1"/>
    <xf numFmtId="0" fontId="0" fillId="0" borderId="127" xfId="20548" applyFont="1" applyBorder="1"/>
    <xf numFmtId="0" fontId="0" fillId="0" borderId="0" xfId="20548" applyFont="1"/>
    <xf numFmtId="42" fontId="23" fillId="0" borderId="133" xfId="1856" applyNumberFormat="1" applyFont="1" applyBorder="1" applyAlignment="1">
      <alignment horizontal="left"/>
    </xf>
    <xf numFmtId="166" fontId="22" fillId="0" borderId="0" xfId="6" applyNumberFormat="1" applyAlignment="1">
      <alignment horizontal="center"/>
    </xf>
    <xf numFmtId="166" fontId="38" fillId="2" borderId="0" xfId="7" applyNumberFormat="1" applyFont="1" applyFill="1" applyBorder="1" applyAlignment="1">
      <alignment horizontal="center"/>
    </xf>
    <xf numFmtId="166" fontId="38" fillId="2" borderId="0" xfId="7" applyNumberFormat="1" applyFont="1" applyFill="1" applyBorder="1" applyAlignment="1">
      <alignment horizontal="center" wrapText="1"/>
    </xf>
    <xf numFmtId="0" fontId="29" fillId="0" borderId="0" xfId="20532" applyFont="1" applyAlignment="1">
      <alignment horizontal="right"/>
    </xf>
    <xf numFmtId="0" fontId="35" fillId="0" borderId="122" xfId="20532" applyFont="1" applyBorder="1" applyAlignment="1">
      <alignment wrapText="1"/>
    </xf>
    <xf numFmtId="0" fontId="22" fillId="0" borderId="0" xfId="20557"/>
    <xf numFmtId="17" fontId="198" fillId="0" borderId="0" xfId="20557" applyNumberFormat="1" applyFont="1"/>
    <xf numFmtId="0" fontId="199" fillId="0" borderId="0" xfId="20557" applyFont="1"/>
    <xf numFmtId="0" fontId="102" fillId="0" borderId="0" xfId="20557" applyFont="1" applyAlignment="1">
      <alignment wrapText="1"/>
    </xf>
    <xf numFmtId="0" fontId="22" fillId="0" borderId="136" xfId="20557" applyBorder="1" applyAlignment="1">
      <alignment horizontal="center"/>
    </xf>
    <xf numFmtId="0" fontId="131" fillId="0" borderId="0" xfId="20558" applyFont="1" applyProtection="1">
      <protection locked="0"/>
    </xf>
    <xf numFmtId="0" fontId="131" fillId="0" borderId="137" xfId="20558" applyFont="1" applyBorder="1" applyProtection="1">
      <protection locked="0"/>
    </xf>
    <xf numFmtId="0" fontId="30" fillId="0" borderId="0" xfId="20559" applyFont="1" applyAlignment="1">
      <alignment horizontal="left"/>
    </xf>
    <xf numFmtId="0" fontId="30" fillId="0" borderId="136" xfId="20559" applyFont="1" applyBorder="1" applyAlignment="1">
      <alignment horizontal="left"/>
    </xf>
    <xf numFmtId="168" fontId="30" fillId="0" borderId="0" xfId="17592" applyNumberFormat="1" applyFont="1"/>
    <xf numFmtId="0" fontId="30" fillId="0" borderId="0" xfId="20559" applyFont="1" applyAlignment="1">
      <alignment horizontal="left" vertical="center"/>
    </xf>
    <xf numFmtId="0" fontId="30" fillId="0" borderId="135" xfId="20559" applyFont="1" applyBorder="1" applyAlignment="1">
      <alignment horizontal="left" vertical="center"/>
    </xf>
    <xf numFmtId="0" fontId="34" fillId="0" borderId="0" xfId="20559" applyFont="1" applyAlignment="1">
      <alignment horizontal="left"/>
    </xf>
    <xf numFmtId="42" fontId="30" fillId="0" borderId="136" xfId="20559" applyNumberFormat="1" applyFont="1" applyBorder="1" applyAlignment="1">
      <alignment horizontal="right"/>
    </xf>
    <xf numFmtId="0" fontId="30" fillId="0" borderId="0" xfId="20559" applyFont="1" applyAlignment="1">
      <alignment horizontal="right" vertical="center"/>
    </xf>
    <xf numFmtId="0" fontId="30" fillId="0" borderId="135" xfId="20559" applyFont="1" applyBorder="1" applyAlignment="1">
      <alignment horizontal="right" vertical="center"/>
    </xf>
    <xf numFmtId="0" fontId="30" fillId="0" borderId="0" xfId="20557" applyFont="1"/>
    <xf numFmtId="42" fontId="30" fillId="0" borderId="136" xfId="20559" applyNumberFormat="1" applyFont="1" applyBorder="1"/>
    <xf numFmtId="42" fontId="30" fillId="0" borderId="0" xfId="20559" applyNumberFormat="1" applyFont="1" applyAlignment="1">
      <alignment horizontal="center" vertical="center"/>
    </xf>
    <xf numFmtId="42" fontId="30" fillId="0" borderId="135" xfId="20559" applyNumberFormat="1" applyFont="1" applyBorder="1" applyAlignment="1">
      <alignment horizontal="center" vertical="center"/>
    </xf>
    <xf numFmtId="0" fontId="22" fillId="0" borderId="136" xfId="20557" applyBorder="1" applyAlignment="1">
      <alignment horizontal="center" vertical="center"/>
    </xf>
    <xf numFmtId="0" fontId="30" fillId="0" borderId="0" xfId="20557" applyFont="1" applyAlignment="1">
      <alignment vertical="center"/>
    </xf>
    <xf numFmtId="0" fontId="102" fillId="0" borderId="0" xfId="20557" applyFont="1" applyAlignment="1">
      <alignment vertical="center"/>
    </xf>
    <xf numFmtId="0" fontId="0" fillId="0" borderId="0" xfId="0" applyAlignment="1">
      <alignment vertical="center"/>
    </xf>
    <xf numFmtId="0" fontId="102" fillId="0" borderId="0" xfId="20557" applyFont="1"/>
    <xf numFmtId="42" fontId="22" fillId="0" borderId="136" xfId="20559" applyNumberFormat="1" applyBorder="1"/>
    <xf numFmtId="168" fontId="22" fillId="0" borderId="0" xfId="17592" applyNumberFormat="1"/>
    <xf numFmtId="42" fontId="22" fillId="0" borderId="0" xfId="20559" applyNumberFormat="1" applyAlignment="1">
      <alignment horizontal="center" vertical="center"/>
    </xf>
    <xf numFmtId="42" fontId="22" fillId="0" borderId="135" xfId="20559" applyNumberFormat="1" applyBorder="1" applyAlignment="1">
      <alignment horizontal="center" vertical="center"/>
    </xf>
    <xf numFmtId="0" fontId="102" fillId="0" borderId="0" xfId="20559" applyFont="1" applyAlignment="1">
      <alignment horizontal="left"/>
    </xf>
    <xf numFmtId="42" fontId="34" fillId="0" borderId="136" xfId="20559" applyNumberFormat="1" applyFont="1" applyBorder="1"/>
    <xf numFmtId="168" fontId="34" fillId="0" borderId="0" xfId="17592" applyNumberFormat="1" applyFont="1"/>
    <xf numFmtId="42" fontId="34" fillId="0" borderId="0" xfId="20559" applyNumberFormat="1" applyFont="1" applyAlignment="1">
      <alignment horizontal="center" vertical="center"/>
    </xf>
    <xf numFmtId="42" fontId="34" fillId="0" borderId="135" xfId="20559" applyNumberFormat="1" applyFont="1" applyBorder="1" applyAlignment="1">
      <alignment horizontal="center" vertical="center"/>
    </xf>
    <xf numFmtId="44" fontId="30" fillId="0" borderId="0" xfId="17842" applyNumberFormat="1" applyFont="1" applyFill="1" applyBorder="1" applyAlignment="1">
      <alignment horizontal="center"/>
    </xf>
    <xf numFmtId="42" fontId="34" fillId="0" borderId="6" xfId="20559" applyNumberFormat="1" applyFont="1" applyBorder="1"/>
    <xf numFmtId="168" fontId="34" fillId="0" borderId="6" xfId="17592" applyNumberFormat="1" applyFont="1" applyBorder="1" applyAlignment="1">
      <alignment horizontal="center"/>
    </xf>
    <xf numFmtId="42" fontId="34" fillId="0" borderId="6" xfId="20559" applyNumberFormat="1" applyFont="1" applyBorder="1" applyAlignment="1">
      <alignment horizontal="center" vertical="center"/>
    </xf>
    <xf numFmtId="42" fontId="34" fillId="0" borderId="7" xfId="20559" applyNumberFormat="1" applyFont="1" applyBorder="1" applyAlignment="1">
      <alignment horizontal="center" vertical="center"/>
    </xf>
    <xf numFmtId="171" fontId="34" fillId="0" borderId="0" xfId="64" applyNumberFormat="1" applyFont="1"/>
    <xf numFmtId="42" fontId="34" fillId="0" borderId="0" xfId="20557" applyNumberFormat="1" applyFont="1"/>
    <xf numFmtId="0" fontId="102" fillId="0" borderId="0" xfId="20561" applyFont="1"/>
    <xf numFmtId="0" fontId="131" fillId="0" borderId="0" xfId="20557" applyFont="1"/>
    <xf numFmtId="0" fontId="30" fillId="0" borderId="0" xfId="20558" applyFont="1" applyAlignment="1" applyProtection="1">
      <alignment horizontal="left"/>
      <protection locked="0"/>
    </xf>
    <xf numFmtId="166" fontId="30" fillId="0" borderId="0" xfId="20558" applyNumberFormat="1" applyFont="1" applyAlignment="1" applyProtection="1">
      <alignment horizontal="left"/>
      <protection locked="0"/>
    </xf>
    <xf numFmtId="0" fontId="30" fillId="3" borderId="107" xfId="20558" applyFont="1" applyFill="1" applyBorder="1" applyAlignment="1">
      <alignment horizontal="center" wrapText="1"/>
    </xf>
    <xf numFmtId="0" fontId="30" fillId="3" borderId="73" xfId="20558" applyFont="1" applyFill="1" applyBorder="1" applyAlignment="1">
      <alignment horizontal="center" wrapText="1"/>
    </xf>
    <xf numFmtId="0" fontId="30" fillId="3" borderId="7" xfId="20558" applyFont="1" applyFill="1" applyBorder="1" applyAlignment="1">
      <alignment horizontal="center" wrapText="1"/>
    </xf>
    <xf numFmtId="0" fontId="186" fillId="0" borderId="0" xfId="0" applyFont="1"/>
    <xf numFmtId="0" fontId="30" fillId="3" borderId="128" xfId="20559" applyFont="1" applyFill="1" applyBorder="1" applyAlignment="1">
      <alignment horizontal="left"/>
    </xf>
    <xf numFmtId="0" fontId="30" fillId="3" borderId="136" xfId="20558" applyFont="1" applyFill="1" applyBorder="1" applyAlignment="1" applyProtection="1">
      <alignment horizontal="center" wrapText="1"/>
      <protection locked="0"/>
    </xf>
    <xf numFmtId="168" fontId="30" fillId="3" borderId="101" xfId="17592" applyNumberFormat="1" applyFont="1" applyFill="1" applyBorder="1" applyAlignment="1" applyProtection="1">
      <alignment horizontal="center" wrapText="1"/>
      <protection locked="0"/>
    </xf>
    <xf numFmtId="0" fontId="30" fillId="3" borderId="101" xfId="20557" applyFont="1" applyFill="1" applyBorder="1" applyAlignment="1">
      <alignment horizontal="center" wrapText="1"/>
    </xf>
    <xf numFmtId="42" fontId="34" fillId="0" borderId="10" xfId="20559" applyNumberFormat="1" applyFont="1" applyBorder="1"/>
    <xf numFmtId="42" fontId="34" fillId="0" borderId="138" xfId="20559" applyNumberFormat="1" applyFont="1" applyBorder="1"/>
    <xf numFmtId="42" fontId="21" fillId="0" borderId="91" xfId="1856" applyNumberFormat="1" applyFont="1" applyBorder="1" applyAlignment="1">
      <alignment horizontal="center" wrapText="1"/>
    </xf>
    <xf numFmtId="169" fontId="21" fillId="0" borderId="92" xfId="1856" applyNumberFormat="1" applyFont="1" applyBorder="1" applyAlignment="1">
      <alignment horizontal="center" wrapText="1"/>
    </xf>
    <xf numFmtId="0" fontId="23" fillId="0" borderId="0" xfId="20549" applyFont="1" applyAlignment="1">
      <alignment horizontal="center"/>
    </xf>
    <xf numFmtId="169" fontId="21" fillId="0" borderId="92" xfId="1856" applyNumberFormat="1" applyFont="1" applyBorder="1" applyAlignment="1">
      <alignment horizontal="center"/>
    </xf>
    <xf numFmtId="42" fontId="21" fillId="0" borderId="91" xfId="1856" applyNumberFormat="1" applyFont="1" applyBorder="1" applyAlignment="1">
      <alignment horizontal="center"/>
    </xf>
    <xf numFmtId="42" fontId="21" fillId="0" borderId="90" xfId="1856" applyNumberFormat="1" applyFont="1" applyBorder="1" applyAlignment="1">
      <alignment horizontal="center"/>
    </xf>
    <xf numFmtId="0" fontId="30" fillId="145" borderId="134" xfId="6" applyFont="1" applyFill="1" applyBorder="1" applyAlignment="1">
      <alignment horizontal="center" vertical="center" wrapText="1"/>
    </xf>
    <xf numFmtId="9" fontId="0" fillId="2" borderId="127" xfId="58" applyFont="1" applyFill="1" applyBorder="1" applyAlignment="1">
      <alignment horizontal="center"/>
    </xf>
    <xf numFmtId="42" fontId="21" fillId="0" borderId="0" xfId="1856" applyNumberFormat="1" applyFont="1" applyAlignment="1">
      <alignment horizontal="left"/>
    </xf>
    <xf numFmtId="42" fontId="34" fillId="0" borderId="0" xfId="20559" applyNumberFormat="1" applyFont="1"/>
    <xf numFmtId="0" fontId="30" fillId="0" borderId="2" xfId="6" applyFont="1" applyBorder="1" applyAlignment="1">
      <alignment horizontal="right" vertical="center" wrapText="1"/>
    </xf>
    <xf numFmtId="166" fontId="30" fillId="0" borderId="2" xfId="7" applyNumberFormat="1" applyFont="1" applyFill="1" applyBorder="1" applyAlignment="1">
      <alignment horizontal="center" vertical="center"/>
    </xf>
    <xf numFmtId="0" fontId="30" fillId="0" borderId="0" xfId="6" applyFont="1" applyAlignment="1">
      <alignment horizontal="right" vertical="center" wrapText="1"/>
    </xf>
    <xf numFmtId="0" fontId="9" fillId="0" borderId="0" xfId="20563"/>
    <xf numFmtId="0" fontId="9" fillId="0" borderId="0" xfId="20563" applyAlignment="1">
      <alignment horizontal="right"/>
    </xf>
    <xf numFmtId="0" fontId="9" fillId="146" borderId="0" xfId="20563" applyFill="1"/>
    <xf numFmtId="166" fontId="0" fillId="0" borderId="0" xfId="20564" applyNumberFormat="1" applyFont="1"/>
    <xf numFmtId="0" fontId="9" fillId="0" borderId="126" xfId="20563" applyBorder="1" applyAlignment="1">
      <alignment horizontal="center"/>
    </xf>
    <xf numFmtId="0" fontId="57" fillId="0" borderId="0" xfId="20563" applyFont="1" applyAlignment="1">
      <alignment horizontal="center" vertical="top" wrapText="1"/>
    </xf>
    <xf numFmtId="0" fontId="57" fillId="146" borderId="0" xfId="20563" applyFont="1" applyFill="1" applyAlignment="1">
      <alignment horizontal="center" vertical="top" wrapText="1"/>
    </xf>
    <xf numFmtId="166" fontId="57" fillId="0" borderId="0" xfId="20564" applyNumberFormat="1" applyFont="1" applyBorder="1" applyAlignment="1">
      <alignment horizontal="center" vertical="top" wrapText="1"/>
    </xf>
    <xf numFmtId="0" fontId="9" fillId="0" borderId="0" xfId="20563" applyAlignment="1">
      <alignment horizontal="center" vertical="top" wrapText="1"/>
    </xf>
    <xf numFmtId="0" fontId="57" fillId="0" borderId="123" xfId="20563" applyFont="1" applyBorder="1" applyAlignment="1">
      <alignment horizontal="center"/>
    </xf>
    <xf numFmtId="0" fontId="57" fillId="0" borderId="125" xfId="20563" applyFont="1" applyBorder="1" applyAlignment="1">
      <alignment horizontal="center" wrapText="1"/>
    </xf>
    <xf numFmtId="0" fontId="57" fillId="146" borderId="0" xfId="20563" applyFont="1" applyFill="1" applyAlignment="1">
      <alignment horizontal="center"/>
    </xf>
    <xf numFmtId="0" fontId="9" fillId="0" borderId="140" xfId="20563" applyBorder="1" applyAlignment="1">
      <alignment horizontal="center"/>
    </xf>
    <xf numFmtId="0" fontId="9" fillId="146" borderId="140" xfId="20563" applyFill="1" applyBorder="1"/>
    <xf numFmtId="208" fontId="0" fillId="0" borderId="0" xfId="20564" applyNumberFormat="1" applyFont="1"/>
    <xf numFmtId="171" fontId="0" fillId="0" borderId="0" xfId="20565" applyNumberFormat="1" applyFont="1"/>
    <xf numFmtId="0" fontId="57" fillId="0" borderId="140" xfId="20563" applyFont="1" applyBorder="1" applyAlignment="1">
      <alignment horizontal="left"/>
    </xf>
    <xf numFmtId="171" fontId="0" fillId="0" borderId="0" xfId="20565" applyNumberFormat="1" applyFont="1" applyBorder="1"/>
    <xf numFmtId="0" fontId="193" fillId="0" borderId="140" xfId="20563" applyFont="1" applyBorder="1" applyAlignment="1">
      <alignment horizontal="left"/>
    </xf>
    <xf numFmtId="0" fontId="9" fillId="0" borderId="140" xfId="20563" applyBorder="1" applyAlignment="1">
      <alignment horizontal="right"/>
    </xf>
    <xf numFmtId="0" fontId="193" fillId="0" borderId="140" xfId="20563" applyFont="1" applyBorder="1" applyAlignment="1">
      <alignment horizontal="center"/>
    </xf>
    <xf numFmtId="0" fontId="29" fillId="0" borderId="140" xfId="20563" applyFont="1" applyBorder="1" applyAlignment="1">
      <alignment horizontal="left"/>
    </xf>
    <xf numFmtId="166" fontId="0" fillId="0" borderId="0" xfId="20564" applyNumberFormat="1" applyFont="1" applyFill="1" applyBorder="1"/>
    <xf numFmtId="0" fontId="57" fillId="3" borderId="140" xfId="20563" applyFont="1" applyFill="1" applyBorder="1" applyAlignment="1">
      <alignment horizontal="center"/>
    </xf>
    <xf numFmtId="166" fontId="0" fillId="0" borderId="0" xfId="20564" applyNumberFormat="1" applyFont="1" applyBorder="1"/>
    <xf numFmtId="0" fontId="57" fillId="0" borderId="0" xfId="20563" applyFont="1" applyAlignment="1">
      <alignment horizontal="left"/>
    </xf>
    <xf numFmtId="0" fontId="194" fillId="0" borderId="0" xfId="20563" applyFont="1"/>
    <xf numFmtId="0" fontId="32" fillId="0" borderId="0" xfId="6" applyFont="1"/>
    <xf numFmtId="0" fontId="30" fillId="0" borderId="2" xfId="6" applyFont="1" applyBorder="1" applyAlignment="1">
      <alignment horizontal="center" vertical="center"/>
    </xf>
    <xf numFmtId="0" fontId="22" fillId="0" borderId="0" xfId="6" applyAlignment="1">
      <alignment horizontal="left" wrapText="1" indent="1"/>
    </xf>
    <xf numFmtId="0" fontId="30" fillId="2" borderId="127" xfId="6" applyFont="1" applyFill="1" applyBorder="1" applyAlignment="1">
      <alignment horizontal="right" vertical="center" wrapText="1"/>
    </xf>
    <xf numFmtId="0" fontId="30" fillId="2" borderId="127" xfId="6" applyFont="1" applyFill="1" applyBorder="1" applyAlignment="1">
      <alignment horizontal="center" vertical="center"/>
    </xf>
    <xf numFmtId="166" fontId="30" fillId="2" borderId="127" xfId="7" applyNumberFormat="1" applyFont="1" applyFill="1" applyBorder="1" applyAlignment="1">
      <alignment horizontal="center" vertical="center"/>
    </xf>
    <xf numFmtId="0" fontId="29" fillId="0" borderId="127" xfId="20563" applyFont="1" applyBorder="1" applyAlignment="1">
      <alignment horizontal="left" wrapText="1"/>
    </xf>
    <xf numFmtId="0" fontId="22" fillId="0" borderId="0" xfId="6" applyAlignment="1">
      <alignment horizontal="right"/>
    </xf>
    <xf numFmtId="42" fontId="21" fillId="0" borderId="130" xfId="1856" applyNumberFormat="1" applyFont="1" applyBorder="1" applyAlignment="1">
      <alignment horizontal="center"/>
    </xf>
    <xf numFmtId="166" fontId="35" fillId="0" borderId="0" xfId="20550" applyNumberFormat="1" applyFont="1" applyFill="1" applyBorder="1" applyAlignment="1">
      <alignment wrapText="1"/>
    </xf>
    <xf numFmtId="0" fontId="193" fillId="0" borderId="142" xfId="20563" applyFont="1" applyBorder="1" applyAlignment="1">
      <alignment horizontal="right"/>
    </xf>
    <xf numFmtId="42" fontId="21" fillId="0" borderId="144" xfId="1856" applyNumberFormat="1" applyFont="1" applyBorder="1" applyAlignment="1">
      <alignment horizontal="left"/>
    </xf>
    <xf numFmtId="42" fontId="23" fillId="0" borderId="145" xfId="1856" applyNumberFormat="1" applyFont="1" applyBorder="1" applyAlignment="1">
      <alignment horizontal="left"/>
    </xf>
    <xf numFmtId="169" fontId="23" fillId="0" borderId="146" xfId="1856" applyNumberFormat="1" applyFont="1" applyBorder="1" applyAlignment="1">
      <alignment horizontal="left"/>
    </xf>
    <xf numFmtId="169" fontId="23" fillId="0" borderId="147" xfId="1856" applyNumberFormat="1" applyFont="1" applyBorder="1" applyAlignment="1">
      <alignment horizontal="left"/>
    </xf>
    <xf numFmtId="42" fontId="21" fillId="0" borderId="148" xfId="1856" applyNumberFormat="1" applyFont="1" applyBorder="1" applyAlignment="1">
      <alignment horizontal="left"/>
    </xf>
    <xf numFmtId="42" fontId="23" fillId="143" borderId="131" xfId="1856" applyNumberFormat="1" applyFont="1" applyFill="1" applyBorder="1" applyAlignment="1">
      <alignment horizontal="left"/>
    </xf>
    <xf numFmtId="42" fontId="23" fillId="143" borderId="133" xfId="1856" applyNumberFormat="1" applyFont="1" applyFill="1" applyBorder="1" applyAlignment="1">
      <alignment horizontal="left"/>
    </xf>
    <xf numFmtId="42" fontId="23" fillId="143" borderId="130" xfId="1856" applyNumberFormat="1" applyFont="1" applyFill="1" applyBorder="1" applyAlignment="1">
      <alignment horizontal="left"/>
    </xf>
    <xf numFmtId="0" fontId="131" fillId="74" borderId="107" xfId="20557" applyFont="1" applyFill="1" applyBorder="1" applyAlignment="1">
      <alignment vertical="center"/>
    </xf>
    <xf numFmtId="0" fontId="131" fillId="74" borderId="73" xfId="20557" applyFont="1" applyFill="1" applyBorder="1" applyAlignment="1">
      <alignment vertical="center"/>
    </xf>
    <xf numFmtId="0" fontId="38" fillId="2" borderId="0" xfId="6" applyFont="1" applyFill="1"/>
    <xf numFmtId="42" fontId="30" fillId="143" borderId="10" xfId="20559" applyNumberFormat="1" applyFont="1" applyFill="1" applyBorder="1" applyAlignment="1">
      <alignment vertical="center"/>
    </xf>
    <xf numFmtId="0" fontId="188" fillId="0" borderId="122" xfId="0" applyFont="1" applyBorder="1"/>
    <xf numFmtId="9" fontId="208" fillId="147" borderId="129" xfId="1856" applyNumberFormat="1" applyFont="1" applyFill="1" applyBorder="1" applyAlignment="1">
      <alignment horizontal="center"/>
    </xf>
    <xf numFmtId="9" fontId="23" fillId="3" borderId="129" xfId="1856" applyNumberFormat="1" applyFont="1" applyFill="1" applyBorder="1" applyAlignment="1">
      <alignment horizontal="center"/>
    </xf>
    <xf numFmtId="42" fontId="23" fillId="3" borderId="129" xfId="1856" applyNumberFormat="1" applyFont="1" applyFill="1" applyBorder="1" applyAlignment="1">
      <alignment horizontal="center"/>
    </xf>
    <xf numFmtId="42" fontId="23" fillId="143" borderId="127" xfId="1856" applyNumberFormat="1" applyFont="1" applyFill="1" applyBorder="1" applyAlignment="1">
      <alignment horizontal="center"/>
    </xf>
    <xf numFmtId="42" fontId="23" fillId="143" borderId="93" xfId="1856" applyNumberFormat="1" applyFont="1" applyFill="1" applyBorder="1" applyAlignment="1">
      <alignment horizontal="center"/>
    </xf>
    <xf numFmtId="42" fontId="21" fillId="0" borderId="120" xfId="1856" applyNumberFormat="1" applyFont="1" applyBorder="1" applyAlignment="1">
      <alignment horizontal="center"/>
    </xf>
    <xf numFmtId="42" fontId="23" fillId="143" borderId="129" xfId="1856" applyNumberFormat="1" applyFont="1" applyFill="1" applyBorder="1" applyAlignment="1">
      <alignment horizontal="center"/>
    </xf>
    <xf numFmtId="42" fontId="23" fillId="3" borderId="94" xfId="1856" applyNumberFormat="1" applyFont="1" applyFill="1" applyBorder="1" applyAlignment="1">
      <alignment horizontal="center"/>
    </xf>
    <xf numFmtId="42" fontId="23" fillId="3" borderId="95" xfId="1856" applyNumberFormat="1" applyFont="1" applyFill="1" applyBorder="1" applyAlignment="1">
      <alignment horizontal="center"/>
    </xf>
    <xf numFmtId="42" fontId="23" fillId="3" borderId="96" xfId="1856" applyNumberFormat="1" applyFont="1" applyFill="1" applyBorder="1" applyAlignment="1">
      <alignment horizontal="center"/>
    </xf>
    <xf numFmtId="42" fontId="23" fillId="3" borderId="93" xfId="1856" applyNumberFormat="1" applyFont="1" applyFill="1" applyBorder="1" applyAlignment="1">
      <alignment horizontal="center"/>
    </xf>
    <xf numFmtId="42" fontId="23" fillId="3" borderId="127" xfId="1856" applyNumberFormat="1" applyFont="1" applyFill="1" applyBorder="1" applyAlignment="1">
      <alignment horizontal="center"/>
    </xf>
    <xf numFmtId="42" fontId="23" fillId="3" borderId="53" xfId="1856" applyNumberFormat="1" applyFont="1" applyFill="1" applyBorder="1" applyAlignment="1">
      <alignment horizontal="center" wrapText="1"/>
    </xf>
    <xf numFmtId="166" fontId="23" fillId="3" borderId="127" xfId="1856" applyNumberFormat="1" applyFont="1" applyFill="1" applyBorder="1" applyAlignment="1">
      <alignment horizontal="left"/>
    </xf>
    <xf numFmtId="42" fontId="21" fillId="3" borderId="95" xfId="1856" applyNumberFormat="1" applyFont="1" applyFill="1" applyBorder="1" applyAlignment="1">
      <alignment horizontal="right"/>
    </xf>
    <xf numFmtId="166" fontId="21" fillId="3" borderId="95" xfId="1856" applyNumberFormat="1" applyFont="1" applyFill="1" applyBorder="1" applyAlignment="1">
      <alignment horizontal="left"/>
    </xf>
    <xf numFmtId="42" fontId="23" fillId="3" borderId="129" xfId="1856" applyNumberFormat="1" applyFont="1" applyFill="1" applyBorder="1" applyAlignment="1">
      <alignment horizontal="left"/>
    </xf>
    <xf numFmtId="42" fontId="23" fillId="3" borderId="133" xfId="1856" applyNumberFormat="1" applyFont="1" applyFill="1" applyBorder="1" applyAlignment="1">
      <alignment horizontal="left"/>
    </xf>
    <xf numFmtId="42" fontId="21" fillId="3" borderId="96" xfId="1856" applyNumberFormat="1" applyFont="1" applyFill="1" applyBorder="1" applyAlignment="1">
      <alignment horizontal="left"/>
    </xf>
    <xf numFmtId="0" fontId="209" fillId="147" borderId="2" xfId="6" applyFont="1" applyFill="1" applyBorder="1" applyAlignment="1">
      <alignment horizontal="left" wrapText="1" indent="1"/>
    </xf>
    <xf numFmtId="0" fontId="209" fillId="147" borderId="127" xfId="6" applyFont="1" applyFill="1" applyBorder="1" applyAlignment="1">
      <alignment horizontal="center"/>
    </xf>
    <xf numFmtId="0" fontId="209" fillId="147" borderId="2" xfId="6" applyFont="1" applyFill="1" applyBorder="1" applyAlignment="1">
      <alignment horizontal="center"/>
    </xf>
    <xf numFmtId="0" fontId="209" fillId="147" borderId="127" xfId="6" applyFont="1" applyFill="1" applyBorder="1" applyAlignment="1">
      <alignment horizontal="left" wrapText="1" indent="1"/>
    </xf>
    <xf numFmtId="166" fontId="209" fillId="147" borderId="127" xfId="7" applyNumberFormat="1" applyFont="1" applyFill="1" applyBorder="1" applyAlignment="1">
      <alignment horizontal="center"/>
    </xf>
    <xf numFmtId="166" fontId="209" fillId="147" borderId="2" xfId="7" applyNumberFormat="1" applyFont="1" applyFill="1" applyBorder="1" applyAlignment="1">
      <alignment horizontal="center"/>
    </xf>
    <xf numFmtId="0" fontId="209" fillId="147" borderId="127" xfId="6" applyFont="1" applyFill="1" applyBorder="1" applyAlignment="1">
      <alignment horizontal="left" indent="1"/>
    </xf>
    <xf numFmtId="170" fontId="209" fillId="147" borderId="127" xfId="6" applyNumberFormat="1" applyFont="1" applyFill="1" applyBorder="1" applyAlignment="1">
      <alignment horizontal="left" wrapText="1" indent="1"/>
    </xf>
    <xf numFmtId="0" fontId="209" fillId="147" borderId="2" xfId="6" applyFont="1" applyFill="1" applyBorder="1" applyAlignment="1">
      <alignment horizontal="left" indent="1"/>
    </xf>
    <xf numFmtId="170" fontId="209" fillId="147" borderId="2" xfId="6" applyNumberFormat="1" applyFont="1" applyFill="1" applyBorder="1" applyAlignment="1">
      <alignment horizontal="left" wrapText="1" indent="1"/>
    </xf>
    <xf numFmtId="0" fontId="209" fillId="147" borderId="127" xfId="6" applyFont="1" applyFill="1" applyBorder="1" applyAlignment="1">
      <alignment horizontal="left" wrapText="1"/>
    </xf>
    <xf numFmtId="6" fontId="29" fillId="3" borderId="140" xfId="20563" applyNumberFormat="1" applyFont="1" applyFill="1" applyBorder="1"/>
    <xf numFmtId="208" fontId="29" fillId="3" borderId="140" xfId="20563" applyNumberFormat="1" applyFont="1" applyFill="1" applyBorder="1" applyAlignment="1">
      <alignment horizontal="right"/>
    </xf>
    <xf numFmtId="9" fontId="29" fillId="3" borderId="140" xfId="58" applyFont="1" applyFill="1" applyBorder="1" applyAlignment="1">
      <alignment horizontal="right"/>
    </xf>
    <xf numFmtId="208" fontId="29" fillId="3" borderId="140" xfId="20563" applyNumberFormat="1" applyFont="1" applyFill="1" applyBorder="1"/>
    <xf numFmtId="0" fontId="204" fillId="0" borderId="140" xfId="0" applyFont="1" applyBorder="1" applyAlignment="1">
      <alignment horizontal="left" indent="2"/>
    </xf>
    <xf numFmtId="0" fontId="0" fillId="0" borderId="140" xfId="0" applyBorder="1" applyAlignment="1">
      <alignment horizontal="left" indent="2"/>
    </xf>
    <xf numFmtId="42" fontId="22" fillId="3" borderId="136" xfId="20559" applyNumberFormat="1" applyFill="1" applyBorder="1"/>
    <xf numFmtId="42" fontId="34" fillId="3" borderId="136" xfId="20559" applyNumberFormat="1" applyFont="1" applyFill="1" applyBorder="1"/>
    <xf numFmtId="42" fontId="34" fillId="3" borderId="0" xfId="20559" applyNumberFormat="1" applyFont="1" applyFill="1"/>
    <xf numFmtId="0" fontId="30" fillId="0" borderId="0" xfId="20559" applyFont="1" applyAlignment="1">
      <alignment horizontal="left" indent="1"/>
    </xf>
    <xf numFmtId="42" fontId="30" fillId="0" borderId="0" xfId="20559" applyNumberFormat="1" applyFont="1"/>
    <xf numFmtId="0" fontId="102" fillId="0" borderId="6" xfId="20557" applyFont="1" applyBorder="1"/>
    <xf numFmtId="168" fontId="30" fillId="3" borderId="0" xfId="17592" applyNumberFormat="1" applyFont="1" applyFill="1" applyAlignment="1">
      <alignment vertical="center"/>
    </xf>
    <xf numFmtId="168" fontId="30" fillId="3" borderId="135" xfId="17592" applyNumberFormat="1" applyFont="1" applyFill="1" applyBorder="1" applyAlignment="1">
      <alignment horizontal="center" vertical="center"/>
    </xf>
    <xf numFmtId="42" fontId="30" fillId="3" borderId="0" xfId="20559" applyNumberFormat="1" applyFont="1" applyFill="1" applyAlignment="1">
      <alignment horizontal="center" vertical="center"/>
    </xf>
    <xf numFmtId="168" fontId="30" fillId="3" borderId="0" xfId="17592" applyNumberFormat="1" applyFont="1" applyFill="1" applyAlignment="1">
      <alignment horizontal="center" vertical="center"/>
    </xf>
    <xf numFmtId="168" fontId="30" fillId="3" borderId="0" xfId="20560" applyNumberFormat="1" applyFont="1" applyFill="1" applyBorder="1" applyAlignment="1">
      <alignment horizontal="center" vertical="center"/>
    </xf>
    <xf numFmtId="168" fontId="30" fillId="3" borderId="135" xfId="20560" applyNumberFormat="1" applyFont="1" applyFill="1" applyBorder="1" applyAlignment="1">
      <alignment horizontal="center" vertical="center"/>
    </xf>
    <xf numFmtId="168" fontId="30" fillId="143" borderId="0" xfId="17592" applyNumberFormat="1" applyFont="1" applyFill="1"/>
    <xf numFmtId="168" fontId="30" fillId="143" borderId="0" xfId="20560" applyNumberFormat="1" applyFont="1" applyFill="1" applyBorder="1" applyAlignment="1">
      <alignment horizontal="center" vertical="center"/>
    </xf>
    <xf numFmtId="168" fontId="30" fillId="143" borderId="135" xfId="20560" applyNumberFormat="1" applyFont="1" applyFill="1" applyBorder="1" applyAlignment="1">
      <alignment horizontal="center" vertical="center"/>
    </xf>
    <xf numFmtId="42" fontId="22" fillId="143" borderId="0" xfId="20559" applyNumberFormat="1" applyFill="1" applyAlignment="1">
      <alignment horizontal="center" vertical="center"/>
    </xf>
    <xf numFmtId="42" fontId="22" fillId="143" borderId="135" xfId="20559" applyNumberFormat="1" applyFill="1" applyBorder="1" applyAlignment="1">
      <alignment horizontal="center" vertical="center"/>
    </xf>
    <xf numFmtId="168" fontId="22" fillId="143" borderId="0" xfId="17592" applyNumberFormat="1" applyFill="1"/>
    <xf numFmtId="168" fontId="30" fillId="143" borderId="0" xfId="17592" applyNumberFormat="1" applyFont="1" applyFill="1" applyAlignment="1">
      <alignment horizontal="center" vertical="center"/>
    </xf>
    <xf numFmtId="168" fontId="30" fillId="143" borderId="135" xfId="17592" applyNumberFormat="1" applyFont="1" applyFill="1" applyBorder="1" applyAlignment="1">
      <alignment horizontal="center" vertical="center"/>
    </xf>
    <xf numFmtId="168" fontId="34" fillId="143" borderId="0" xfId="17592" applyNumberFormat="1" applyFont="1" applyFill="1"/>
    <xf numFmtId="42" fontId="34" fillId="143" borderId="0" xfId="20559" applyNumberFormat="1" applyFont="1" applyFill="1" applyAlignment="1">
      <alignment horizontal="center" vertical="center"/>
    </xf>
    <xf numFmtId="42" fontId="34" fillId="143" borderId="135" xfId="20559" applyNumberFormat="1" applyFont="1" applyFill="1" applyBorder="1" applyAlignment="1">
      <alignment horizontal="center" vertical="center"/>
    </xf>
    <xf numFmtId="168" fontId="34" fillId="143" borderId="0" xfId="17592" applyNumberFormat="1" applyFont="1" applyFill="1" applyAlignment="1">
      <alignment horizontal="center"/>
    </xf>
    <xf numFmtId="0" fontId="30" fillId="0" borderId="135" xfId="20559" applyFont="1" applyBorder="1" applyAlignment="1">
      <alignment horizontal="left"/>
    </xf>
    <xf numFmtId="42" fontId="30" fillId="0" borderId="0" xfId="20559" applyNumberFormat="1" applyFont="1" applyAlignment="1">
      <alignment horizontal="right"/>
    </xf>
    <xf numFmtId="42" fontId="30" fillId="0" borderId="135" xfId="20559" applyNumberFormat="1" applyFont="1" applyBorder="1" applyAlignment="1">
      <alignment horizontal="right"/>
    </xf>
    <xf numFmtId="42" fontId="30" fillId="0" borderId="135" xfId="20559" applyNumberFormat="1" applyFont="1" applyBorder="1"/>
    <xf numFmtId="0" fontId="0" fillId="143" borderId="0" xfId="0" applyFill="1" applyAlignment="1">
      <alignment vertical="center"/>
    </xf>
    <xf numFmtId="42" fontId="22" fillId="3" borderId="135" xfId="20559" applyNumberFormat="1" applyFill="1" applyBorder="1" applyAlignment="1">
      <alignment vertical="center"/>
    </xf>
    <xf numFmtId="42" fontId="22" fillId="3" borderId="0" xfId="20559" applyNumberFormat="1" applyFill="1"/>
    <xf numFmtId="42" fontId="22" fillId="3" borderId="135" xfId="20559" applyNumberFormat="1" applyFill="1" applyBorder="1"/>
    <xf numFmtId="42" fontId="22" fillId="0" borderId="0" xfId="20559" applyNumberFormat="1"/>
    <xf numFmtId="42" fontId="22" fillId="0" borderId="135" xfId="20559" applyNumberFormat="1" applyBorder="1"/>
    <xf numFmtId="42" fontId="22" fillId="0" borderId="0" xfId="20559" applyNumberFormat="1" applyAlignment="1">
      <alignment horizontal="center"/>
    </xf>
    <xf numFmtId="166" fontId="34" fillId="3" borderId="135" xfId="7" applyNumberFormat="1" applyFont="1" applyFill="1" applyBorder="1" applyAlignment="1"/>
    <xf numFmtId="166" fontId="34" fillId="0" borderId="135" xfId="7" applyNumberFormat="1" applyFont="1" applyFill="1" applyBorder="1" applyAlignment="1"/>
    <xf numFmtId="166" fontId="22" fillId="3" borderId="127" xfId="7" applyNumberFormat="1" applyFont="1" applyFill="1" applyBorder="1" applyAlignment="1">
      <alignment horizontal="center"/>
    </xf>
    <xf numFmtId="166" fontId="22" fillId="3" borderId="2" xfId="7" applyNumberFormat="1" applyFont="1" applyFill="1" applyBorder="1" applyAlignment="1">
      <alignment horizontal="center"/>
    </xf>
    <xf numFmtId="166" fontId="22" fillId="3" borderId="127" xfId="202" applyNumberFormat="1" applyFill="1" applyBorder="1" applyAlignment="1">
      <alignment horizontal="center"/>
    </xf>
    <xf numFmtId="166" fontId="209" fillId="147" borderId="127" xfId="202" applyNumberFormat="1" applyFont="1" applyFill="1" applyBorder="1" applyAlignment="1">
      <alignment horizontal="center"/>
    </xf>
    <xf numFmtId="0" fontId="30" fillId="3" borderId="127" xfId="6" applyFont="1" applyFill="1" applyBorder="1" applyAlignment="1">
      <alignment horizontal="right" vertical="center" wrapText="1"/>
    </xf>
    <xf numFmtId="166" fontId="30" fillId="3" borderId="127" xfId="7" applyNumberFormat="1" applyFont="1" applyFill="1" applyBorder="1" applyAlignment="1">
      <alignment horizontal="center" vertical="center"/>
    </xf>
    <xf numFmtId="0" fontId="29" fillId="0" borderId="2" xfId="20563" applyFont="1" applyBorder="1" applyAlignment="1">
      <alignment horizontal="left" wrapText="1"/>
    </xf>
    <xf numFmtId="0" fontId="30" fillId="148" borderId="2" xfId="6" applyFont="1" applyFill="1" applyBorder="1" applyAlignment="1">
      <alignment horizontal="center" wrapText="1"/>
    </xf>
    <xf numFmtId="166" fontId="30" fillId="148" borderId="2" xfId="7" applyNumberFormat="1" applyFont="1" applyFill="1" applyBorder="1" applyAlignment="1">
      <alignment horizontal="center"/>
    </xf>
    <xf numFmtId="0" fontId="22" fillId="148" borderId="127" xfId="6" applyFill="1" applyBorder="1" applyAlignment="1">
      <alignment horizontal="center"/>
    </xf>
    <xf numFmtId="0" fontId="22" fillId="148" borderId="2" xfId="6" applyFill="1" applyBorder="1" applyAlignment="1">
      <alignment horizontal="center"/>
    </xf>
    <xf numFmtId="0" fontId="30" fillId="148" borderId="2" xfId="6" applyFont="1" applyFill="1" applyBorder="1" applyAlignment="1">
      <alignment horizontal="left" wrapText="1"/>
    </xf>
    <xf numFmtId="0" fontId="22" fillId="0" borderId="127" xfId="5259" applyFont="1" applyFill="1" applyBorder="1" applyAlignment="1">
      <alignment horizontal="left" wrapText="1" indent="1"/>
    </xf>
    <xf numFmtId="6" fontId="25" fillId="0" borderId="0" xfId="20549" quotePrefix="1" applyNumberFormat="1" applyFont="1"/>
    <xf numFmtId="43" fontId="22" fillId="2" borderId="0" xfId="64" applyFont="1" applyFill="1" applyBorder="1" applyAlignment="1">
      <alignment horizontal="center"/>
    </xf>
    <xf numFmtId="43" fontId="38" fillId="2" borderId="0" xfId="64" applyFont="1" applyFill="1" applyBorder="1" applyAlignment="1">
      <alignment horizontal="center"/>
    </xf>
    <xf numFmtId="43" fontId="38" fillId="2" borderId="0" xfId="64" applyFont="1" applyFill="1" applyBorder="1" applyAlignment="1">
      <alignment horizontal="center" wrapText="1"/>
    </xf>
    <xf numFmtId="43" fontId="30" fillId="0" borderId="0" xfId="64" applyFont="1" applyFill="1" applyBorder="1" applyAlignment="1">
      <alignment horizontal="center" vertical="center"/>
    </xf>
    <xf numFmtId="43" fontId="209" fillId="147" borderId="127" xfId="64" applyFont="1" applyFill="1" applyBorder="1" applyAlignment="1">
      <alignment horizontal="center"/>
    </xf>
    <xf numFmtId="43" fontId="209" fillId="147" borderId="2" xfId="64" applyFont="1" applyFill="1" applyBorder="1" applyAlignment="1">
      <alignment horizontal="center"/>
    </xf>
    <xf numFmtId="43" fontId="30" fillId="0" borderId="2" xfId="64" applyFont="1" applyFill="1" applyBorder="1" applyAlignment="1">
      <alignment horizontal="center" vertical="center"/>
    </xf>
    <xf numFmtId="43" fontId="30" fillId="148" borderId="2" xfId="64" applyFont="1" applyFill="1" applyBorder="1" applyAlignment="1">
      <alignment horizontal="center"/>
    </xf>
    <xf numFmtId="43" fontId="30" fillId="0" borderId="127" xfId="64" applyFont="1" applyFill="1" applyBorder="1" applyAlignment="1">
      <alignment horizontal="center" vertical="center"/>
    </xf>
    <xf numFmtId="43" fontId="30" fillId="2" borderId="127" xfId="64" applyFont="1" applyFill="1" applyBorder="1" applyAlignment="1">
      <alignment horizontal="center" vertical="center"/>
    </xf>
    <xf numFmtId="43" fontId="22" fillId="0" borderId="0" xfId="64" applyFont="1" applyFill="1" applyBorder="1" applyAlignment="1">
      <alignment horizontal="center"/>
    </xf>
    <xf numFmtId="43" fontId="22" fillId="2" borderId="0" xfId="64" applyFont="1" applyFill="1" applyAlignment="1">
      <alignment horizontal="center"/>
    </xf>
    <xf numFmtId="0" fontId="22" fillId="147" borderId="127" xfId="6" applyFill="1" applyBorder="1" applyAlignment="1">
      <alignment horizontal="left" wrapText="1" indent="1"/>
    </xf>
    <xf numFmtId="166" fontId="22" fillId="147" borderId="127" xfId="7" applyNumberFormat="1" applyFont="1" applyFill="1" applyBorder="1" applyAlignment="1">
      <alignment horizontal="center"/>
    </xf>
    <xf numFmtId="0" fontId="33" fillId="0" borderId="0" xfId="6" applyFont="1"/>
    <xf numFmtId="0" fontId="209" fillId="147" borderId="4" xfId="6" applyFont="1" applyFill="1" applyBorder="1" applyAlignment="1">
      <alignment horizontal="right"/>
    </xf>
    <xf numFmtId="43" fontId="209" fillId="147" borderId="129" xfId="64" applyFont="1" applyFill="1" applyBorder="1" applyAlignment="1">
      <alignment horizontal="center"/>
    </xf>
    <xf numFmtId="0" fontId="209" fillId="147" borderId="93" xfId="6" applyFont="1" applyFill="1" applyBorder="1" applyAlignment="1">
      <alignment horizontal="right"/>
    </xf>
    <xf numFmtId="1" fontId="209" fillId="147" borderId="93" xfId="6" applyNumberFormat="1" applyFont="1" applyFill="1" applyBorder="1" applyAlignment="1">
      <alignment horizontal="right"/>
    </xf>
    <xf numFmtId="0" fontId="30" fillId="3" borderId="93" xfId="6" applyFont="1" applyFill="1" applyBorder="1" applyAlignment="1">
      <alignment horizontal="right" vertical="center"/>
    </xf>
    <xf numFmtId="0" fontId="30" fillId="0" borderId="4" xfId="6" applyFont="1" applyBorder="1" applyAlignment="1">
      <alignment horizontal="right" vertical="center"/>
    </xf>
    <xf numFmtId="43" fontId="30" fillId="0" borderId="5" xfId="64" applyFont="1" applyFill="1" applyBorder="1" applyAlignment="1">
      <alignment horizontal="center" vertical="center"/>
    </xf>
    <xf numFmtId="0" fontId="30" fillId="148" borderId="4" xfId="6" applyFont="1" applyFill="1" applyBorder="1"/>
    <xf numFmtId="43" fontId="30" fillId="148" borderId="5" xfId="64" applyFont="1" applyFill="1" applyBorder="1" applyAlignment="1">
      <alignment horizontal="center"/>
    </xf>
    <xf numFmtId="0" fontId="30" fillId="0" borderId="93" xfId="6" applyFont="1" applyBorder="1" applyAlignment="1">
      <alignment horizontal="right" vertical="center"/>
    </xf>
    <xf numFmtId="43" fontId="30" fillId="0" borderId="129" xfId="64" applyFont="1" applyFill="1" applyBorder="1" applyAlignment="1">
      <alignment horizontal="center" vertical="center"/>
    </xf>
    <xf numFmtId="0" fontId="30" fillId="2" borderId="93" xfId="6" applyFont="1" applyFill="1" applyBorder="1" applyAlignment="1">
      <alignment horizontal="right" vertical="center"/>
    </xf>
    <xf numFmtId="43" fontId="30" fillId="2" borderId="129" xfId="64" applyFont="1" applyFill="1" applyBorder="1" applyAlignment="1">
      <alignment horizontal="center" vertical="center"/>
    </xf>
    <xf numFmtId="0" fontId="22" fillId="0" borderId="90" xfId="6" applyBorder="1" applyAlignment="1">
      <alignment horizontal="right"/>
    </xf>
    <xf numFmtId="0" fontId="22" fillId="0" borderId="91" xfId="6" applyBorder="1" applyAlignment="1">
      <alignment horizontal="left" wrapText="1" indent="1"/>
    </xf>
    <xf numFmtId="0" fontId="22" fillId="0" borderId="91" xfId="6" applyBorder="1" applyAlignment="1">
      <alignment horizontal="center"/>
    </xf>
    <xf numFmtId="0" fontId="22" fillId="2" borderId="91" xfId="6" applyFill="1" applyBorder="1" applyAlignment="1">
      <alignment horizontal="center"/>
    </xf>
    <xf numFmtId="166" fontId="22" fillId="0" borderId="91" xfId="7" applyNumberFormat="1" applyFont="1" applyFill="1" applyBorder="1" applyAlignment="1">
      <alignment horizontal="center"/>
    </xf>
    <xf numFmtId="43" fontId="22" fillId="0" borderId="91" xfId="64" applyFont="1" applyFill="1" applyBorder="1" applyAlignment="1">
      <alignment horizontal="center"/>
    </xf>
    <xf numFmtId="43" fontId="22" fillId="0" borderId="92" xfId="64" applyFont="1" applyFill="1" applyBorder="1" applyAlignment="1">
      <alignment horizontal="center"/>
    </xf>
    <xf numFmtId="0" fontId="30" fillId="3" borderId="94" xfId="6" applyFont="1" applyFill="1" applyBorder="1" applyAlignment="1">
      <alignment horizontal="right" vertical="center"/>
    </xf>
    <xf numFmtId="0" fontId="30" fillId="3" borderId="95" xfId="6" applyFont="1" applyFill="1" applyBorder="1" applyAlignment="1">
      <alignment horizontal="center" vertical="center" wrapText="1"/>
    </xf>
    <xf numFmtId="0" fontId="30" fillId="3" borderId="95" xfId="6" applyFont="1" applyFill="1" applyBorder="1" applyAlignment="1">
      <alignment horizontal="center" vertical="center"/>
    </xf>
    <xf numFmtId="166" fontId="30" fillId="3" borderId="95" xfId="7" applyNumberFormat="1" applyFont="1" applyFill="1" applyBorder="1" applyAlignment="1">
      <alignment horizontal="center" vertical="center"/>
    </xf>
    <xf numFmtId="43" fontId="30" fillId="3" borderId="95" xfId="64" applyFont="1" applyFill="1" applyBorder="1" applyAlignment="1">
      <alignment horizontal="center" vertical="center"/>
    </xf>
    <xf numFmtId="43" fontId="30" fillId="3" borderId="96" xfId="64" applyFont="1" applyFill="1" applyBorder="1" applyAlignment="1">
      <alignment horizontal="center" vertical="center"/>
    </xf>
    <xf numFmtId="0" fontId="30" fillId="148" borderId="90" xfId="6" applyFont="1" applyFill="1" applyBorder="1"/>
    <xf numFmtId="0" fontId="30" fillId="148" borderId="91" xfId="6" applyFont="1" applyFill="1" applyBorder="1" applyAlignment="1">
      <alignment horizontal="center" wrapText="1"/>
    </xf>
    <xf numFmtId="166" fontId="30" fillId="148" borderId="91" xfId="7" applyNumberFormat="1" applyFont="1" applyFill="1" applyBorder="1" applyAlignment="1">
      <alignment horizontal="center"/>
    </xf>
    <xf numFmtId="0" fontId="22" fillId="148" borderId="91" xfId="6" applyFill="1" applyBorder="1" applyAlignment="1">
      <alignment horizontal="center"/>
    </xf>
    <xf numFmtId="0" fontId="30" fillId="148" borderId="91" xfId="6" applyFont="1" applyFill="1" applyBorder="1" applyAlignment="1">
      <alignment horizontal="left" wrapText="1"/>
    </xf>
    <xf numFmtId="43" fontId="30" fillId="148" borderId="91" xfId="64" applyFont="1" applyFill="1" applyBorder="1" applyAlignment="1">
      <alignment horizontal="center"/>
    </xf>
    <xf numFmtId="43" fontId="30" fillId="148" borderId="92" xfId="64" applyFont="1" applyFill="1" applyBorder="1" applyAlignment="1">
      <alignment horizontal="center"/>
    </xf>
    <xf numFmtId="0" fontId="22" fillId="147" borderId="93" xfId="6" applyFill="1" applyBorder="1" applyAlignment="1">
      <alignment horizontal="right"/>
    </xf>
    <xf numFmtId="0" fontId="22" fillId="147" borderId="94" xfId="6" applyFill="1" applyBorder="1" applyAlignment="1">
      <alignment horizontal="right"/>
    </xf>
    <xf numFmtId="0" fontId="22" fillId="147" borderId="95" xfId="6" applyFill="1" applyBorder="1" applyAlignment="1">
      <alignment horizontal="left" wrapText="1" indent="1"/>
    </xf>
    <xf numFmtId="0" fontId="22" fillId="147" borderId="95" xfId="6" applyFill="1" applyBorder="1" applyAlignment="1">
      <alignment horizontal="center"/>
    </xf>
    <xf numFmtId="166" fontId="22" fillId="147" borderId="95" xfId="7" applyNumberFormat="1" applyFont="1" applyFill="1" applyBorder="1" applyAlignment="1">
      <alignment horizontal="center"/>
    </xf>
    <xf numFmtId="166" fontId="22" fillId="3" borderId="95" xfId="202" applyNumberFormat="1" applyFill="1" applyBorder="1" applyAlignment="1">
      <alignment horizontal="center"/>
    </xf>
    <xf numFmtId="43" fontId="22" fillId="147" borderId="95" xfId="64" applyFont="1" applyFill="1" applyBorder="1" applyAlignment="1">
      <alignment horizontal="center"/>
    </xf>
    <xf numFmtId="43" fontId="22" fillId="147" borderId="96" xfId="64" applyFont="1" applyFill="1" applyBorder="1" applyAlignment="1">
      <alignment horizontal="center"/>
    </xf>
    <xf numFmtId="166" fontId="209" fillId="147" borderId="93" xfId="7" applyNumberFormat="1" applyFont="1" applyFill="1" applyBorder="1" applyAlignment="1">
      <alignment horizontal="center"/>
    </xf>
    <xf numFmtId="166" fontId="209" fillId="147" borderId="4" xfId="7" applyNumberFormat="1" applyFont="1" applyFill="1" applyBorder="1" applyAlignment="1">
      <alignment horizontal="center"/>
    </xf>
    <xf numFmtId="0" fontId="30" fillId="148" borderId="150" xfId="6" applyFont="1" applyFill="1" applyBorder="1" applyAlignment="1">
      <alignment horizontal="center" vertical="center" wrapText="1"/>
    </xf>
    <xf numFmtId="0" fontId="30" fillId="148" borderId="151" xfId="6" applyFont="1" applyFill="1" applyBorder="1" applyAlignment="1">
      <alignment horizontal="center" vertical="center" wrapText="1"/>
    </xf>
    <xf numFmtId="0" fontId="30" fillId="148" borderId="151" xfId="9" applyFont="1" applyFill="1" applyBorder="1" applyAlignment="1">
      <alignment horizontal="center" vertical="center" wrapText="1"/>
    </xf>
    <xf numFmtId="166" fontId="30" fillId="148" borderId="150" xfId="7" applyNumberFormat="1" applyFont="1" applyFill="1" applyBorder="1" applyAlignment="1" applyProtection="1">
      <alignment horizontal="center" vertical="center" wrapText="1"/>
      <protection locked="0"/>
    </xf>
    <xf numFmtId="166" fontId="30" fillId="148" borderId="151" xfId="7" applyNumberFormat="1" applyFont="1" applyFill="1" applyBorder="1" applyAlignment="1" applyProtection="1">
      <alignment horizontal="center" vertical="center" wrapText="1"/>
      <protection locked="0"/>
    </xf>
    <xf numFmtId="43" fontId="30" fillId="148" borderId="151" xfId="64" applyFont="1" applyFill="1" applyBorder="1" applyAlignment="1" applyProtection="1">
      <alignment horizontal="center" vertical="center" wrapText="1"/>
      <protection locked="0"/>
    </xf>
    <xf numFmtId="0" fontId="9" fillId="0" borderId="124" xfId="20563" applyBorder="1" applyAlignment="1">
      <alignment horizontal="center" wrapText="1"/>
    </xf>
    <xf numFmtId="0" fontId="150" fillId="0" borderId="124" xfId="20563" applyFont="1" applyBorder="1" applyAlignment="1">
      <alignment horizontal="center" wrapText="1"/>
    </xf>
    <xf numFmtId="0" fontId="57" fillId="0" borderId="0" xfId="20563" applyFont="1" applyAlignment="1">
      <alignment horizontal="center"/>
    </xf>
    <xf numFmtId="166" fontId="0" fillId="0" borderId="0" xfId="20564" applyNumberFormat="1" applyFont="1" applyFill="1"/>
    <xf numFmtId="6" fontId="193" fillId="3" borderId="140" xfId="20563" applyNumberFormat="1" applyFont="1" applyFill="1" applyBorder="1"/>
    <xf numFmtId="6" fontId="57" fillId="3" borderId="140" xfId="20563" applyNumberFormat="1" applyFont="1" applyFill="1" applyBorder="1"/>
    <xf numFmtId="0" fontId="188" fillId="0" borderId="0" xfId="0" applyFont="1"/>
    <xf numFmtId="0" fontId="210" fillId="147" borderId="122" xfId="0" applyFont="1" applyFill="1" applyBorder="1"/>
    <xf numFmtId="166" fontId="21" fillId="0" borderId="127" xfId="60" applyNumberFormat="1" applyFont="1" applyFill="1" applyBorder="1" applyAlignment="1">
      <alignment horizontal="center" wrapText="1"/>
    </xf>
    <xf numFmtId="166" fontId="21" fillId="0" borderId="129" xfId="60" applyNumberFormat="1" applyFont="1" applyFill="1" applyBorder="1" applyAlignment="1">
      <alignment horizontal="center" wrapText="1"/>
    </xf>
    <xf numFmtId="164" fontId="24" fillId="0" borderId="127" xfId="60" applyNumberFormat="1" applyFont="1" applyFill="1" applyBorder="1" applyAlignment="1">
      <alignment horizontal="center" wrapText="1"/>
    </xf>
    <xf numFmtId="165" fontId="24" fillId="0" borderId="127" xfId="60" applyNumberFormat="1" applyFont="1" applyFill="1" applyBorder="1" applyAlignment="1">
      <alignment horizontal="center" wrapText="1"/>
    </xf>
    <xf numFmtId="166" fontId="24" fillId="0" borderId="127" xfId="60" applyNumberFormat="1" applyFont="1" applyFill="1" applyBorder="1" applyAlignment="1">
      <alignment horizontal="center" wrapText="1"/>
    </xf>
    <xf numFmtId="166" fontId="24" fillId="0" borderId="129" xfId="60" applyNumberFormat="1" applyFont="1" applyFill="1" applyBorder="1" applyAlignment="1">
      <alignment horizontal="center" wrapText="1"/>
    </xf>
    <xf numFmtId="0" fontId="23" fillId="0" borderId="94" xfId="2" applyFont="1" applyBorder="1" applyAlignment="1">
      <alignment horizontal="left" wrapText="1" indent="1"/>
    </xf>
    <xf numFmtId="0" fontId="211" fillId="0" borderId="0" xfId="0" applyFont="1"/>
    <xf numFmtId="0" fontId="0" fillId="0" borderId="0" xfId="0" applyAlignment="1">
      <alignment horizontal="right"/>
    </xf>
    <xf numFmtId="0" fontId="22" fillId="3" borderId="127" xfId="6" applyFill="1" applyBorder="1" applyAlignment="1">
      <alignment horizontal="left"/>
    </xf>
    <xf numFmtId="165" fontId="23" fillId="0" borderId="0" xfId="20543" applyNumberFormat="1" applyFont="1" applyFill="1" applyProtection="1">
      <protection locked="0"/>
    </xf>
    <xf numFmtId="166" fontId="23" fillId="0" borderId="0" xfId="20543" applyNumberFormat="1" applyFont="1" applyFill="1" applyProtection="1">
      <protection locked="0"/>
    </xf>
    <xf numFmtId="0" fontId="208" fillId="147" borderId="127" xfId="2" applyFont="1" applyFill="1" applyBorder="1" applyAlignment="1" applyProtection="1">
      <alignment horizontal="left" wrapText="1" indent="1"/>
      <protection locked="0"/>
    </xf>
    <xf numFmtId="167" fontId="208" fillId="147" borderId="127" xfId="20543" applyNumberFormat="1" applyFont="1" applyFill="1" applyBorder="1" applyAlignment="1" applyProtection="1">
      <alignment horizontal="center"/>
      <protection locked="0"/>
    </xf>
    <xf numFmtId="166" fontId="208" fillId="147" borderId="127" xfId="20543" applyNumberFormat="1" applyFont="1" applyFill="1" applyBorder="1" applyAlignment="1" applyProtection="1">
      <alignment horizontal="center"/>
      <protection locked="0"/>
    </xf>
    <xf numFmtId="0" fontId="208" fillId="147" borderId="127" xfId="2" applyFont="1" applyFill="1" applyBorder="1" applyAlignment="1" applyProtection="1">
      <alignment horizontal="left" wrapText="1" indent="3"/>
      <protection locked="0"/>
    </xf>
    <xf numFmtId="167" fontId="208" fillId="147" borderId="127" xfId="20545" applyNumberFormat="1" applyFont="1" applyFill="1" applyBorder="1" applyAlignment="1" applyProtection="1">
      <alignment horizontal="center"/>
      <protection locked="0"/>
    </xf>
    <xf numFmtId="168" fontId="208" fillId="147" borderId="127" xfId="20545" applyNumberFormat="1" applyFont="1" applyFill="1" applyBorder="1" applyAlignment="1" applyProtection="1">
      <alignment horizontal="center"/>
      <protection locked="0"/>
    </xf>
    <xf numFmtId="0" fontId="208" fillId="147" borderId="127" xfId="2" applyFont="1" applyFill="1" applyBorder="1" applyAlignment="1" applyProtection="1">
      <alignment horizontal="left" indent="3"/>
      <protection locked="0"/>
    </xf>
    <xf numFmtId="0" fontId="212" fillId="147" borderId="127" xfId="2" applyFont="1" applyFill="1" applyBorder="1" applyAlignment="1" applyProtection="1">
      <alignment horizontal="left" wrapText="1" indent="1"/>
      <protection locked="0"/>
    </xf>
    <xf numFmtId="0" fontId="208" fillId="147" borderId="2" xfId="2" applyFont="1" applyFill="1" applyBorder="1" applyAlignment="1" applyProtection="1">
      <alignment horizontal="left" wrapText="1"/>
      <protection locked="0"/>
    </xf>
    <xf numFmtId="0" fontId="213" fillId="147" borderId="2" xfId="2" applyFont="1" applyFill="1" applyBorder="1" applyAlignment="1" applyProtection="1">
      <alignment horizontal="left" wrapText="1"/>
      <protection locked="0"/>
    </xf>
    <xf numFmtId="166" fontId="213" fillId="147" borderId="127" xfId="20543" applyNumberFormat="1" applyFont="1" applyFill="1" applyBorder="1" applyAlignment="1" applyProtection="1">
      <alignment horizontal="center" wrapText="1"/>
      <protection locked="0"/>
    </xf>
    <xf numFmtId="166" fontId="208" fillId="147" borderId="127" xfId="20543" applyNumberFormat="1" applyFont="1" applyFill="1" applyBorder="1" applyAlignment="1" applyProtection="1">
      <alignment horizontal="center" wrapText="1"/>
      <protection locked="0"/>
    </xf>
    <xf numFmtId="38" fontId="208" fillId="147" borderId="127" xfId="20543" applyNumberFormat="1" applyFont="1" applyFill="1" applyBorder="1" applyAlignment="1" applyProtection="1">
      <alignment horizontal="center" wrapText="1"/>
      <protection locked="0"/>
    </xf>
    <xf numFmtId="42" fontId="208" fillId="147" borderId="129" xfId="1856" applyNumberFormat="1" applyFont="1" applyFill="1" applyBorder="1" applyAlignment="1">
      <alignment horizontal="left"/>
    </xf>
    <xf numFmtId="166" fontId="23" fillId="3" borderId="93" xfId="1856" applyNumberFormat="1" applyFont="1" applyFill="1" applyBorder="1" applyAlignment="1">
      <alignment horizontal="left"/>
    </xf>
    <xf numFmtId="166" fontId="23" fillId="3" borderId="129" xfId="1856" applyNumberFormat="1" applyFont="1" applyFill="1" applyBorder="1" applyAlignment="1">
      <alignment horizontal="left"/>
    </xf>
    <xf numFmtId="166" fontId="23" fillId="3" borderId="129" xfId="20531" applyNumberFormat="1" applyFont="1" applyFill="1" applyBorder="1" applyAlignment="1">
      <alignment horizontal="center" wrapText="1"/>
    </xf>
    <xf numFmtId="0" fontId="191" fillId="0" borderId="0" xfId="0" applyFont="1"/>
    <xf numFmtId="0" fontId="23" fillId="0" borderId="93" xfId="1856" applyFont="1" applyBorder="1" applyAlignment="1">
      <alignment horizontal="left"/>
    </xf>
    <xf numFmtId="0" fontId="23" fillId="0" borderId="130" xfId="1856" applyFont="1" applyBorder="1" applyAlignment="1">
      <alignment horizontal="left"/>
    </xf>
    <xf numFmtId="0" fontId="0" fillId="0" borderId="0" xfId="20549" applyFont="1"/>
    <xf numFmtId="43" fontId="30" fillId="143" borderId="127" xfId="64" applyFont="1" applyFill="1" applyBorder="1" applyAlignment="1">
      <alignment horizontal="center" vertical="center"/>
    </xf>
    <xf numFmtId="166" fontId="30" fillId="143" borderId="127" xfId="202" applyNumberFormat="1" applyFont="1" applyFill="1" applyBorder="1" applyAlignment="1">
      <alignment horizontal="center" vertical="center"/>
    </xf>
    <xf numFmtId="166" fontId="30" fillId="143" borderId="127" xfId="7" applyNumberFormat="1" applyFont="1" applyFill="1" applyBorder="1" applyAlignment="1">
      <alignment horizontal="center" vertical="center"/>
    </xf>
    <xf numFmtId="43" fontId="30" fillId="143" borderId="129" xfId="64" applyFont="1" applyFill="1" applyBorder="1" applyAlignment="1">
      <alignment horizontal="center" vertical="center"/>
    </xf>
    <xf numFmtId="43" fontId="209" fillId="143" borderId="127" xfId="64" applyFont="1" applyFill="1" applyBorder="1" applyAlignment="1">
      <alignment horizontal="center"/>
    </xf>
    <xf numFmtId="0" fontId="30" fillId="143" borderId="127" xfId="7" applyNumberFormat="1" applyFont="1" applyFill="1" applyBorder="1" applyAlignment="1">
      <alignment horizontal="center" vertical="center"/>
    </xf>
    <xf numFmtId="166" fontId="209" fillId="143" borderId="127" xfId="202" applyNumberFormat="1" applyFont="1" applyFill="1" applyBorder="1" applyAlignment="1">
      <alignment horizontal="center"/>
    </xf>
    <xf numFmtId="43" fontId="209" fillId="143" borderId="129" xfId="64" applyFont="1" applyFill="1" applyBorder="1" applyAlignment="1">
      <alignment horizontal="center"/>
    </xf>
    <xf numFmtId="0" fontId="22" fillId="143" borderId="127" xfId="5259" applyFont="1" applyFill="1" applyBorder="1" applyAlignment="1">
      <alignment horizontal="left" wrapText="1" indent="1"/>
    </xf>
    <xf numFmtId="0" fontId="22" fillId="143" borderId="127" xfId="5259" applyFont="1" applyFill="1" applyBorder="1" applyAlignment="1">
      <alignment horizontal="center"/>
    </xf>
    <xf numFmtId="0" fontId="30" fillId="143" borderId="127" xfId="6" applyFont="1" applyFill="1" applyBorder="1" applyAlignment="1">
      <alignment horizontal="right" vertical="center" wrapText="1"/>
    </xf>
    <xf numFmtId="0" fontId="30" fillId="143" borderId="127" xfId="6" applyFont="1" applyFill="1" applyBorder="1" applyAlignment="1">
      <alignment horizontal="center" vertical="center"/>
    </xf>
    <xf numFmtId="0" fontId="29" fillId="143" borderId="127" xfId="20563" applyFont="1" applyFill="1" applyBorder="1" applyAlignment="1">
      <alignment horizontal="left" wrapText="1"/>
    </xf>
    <xf numFmtId="0" fontId="57" fillId="148" borderId="140" xfId="20563" applyFont="1" applyFill="1" applyBorder="1" applyAlignment="1">
      <alignment horizontal="center"/>
    </xf>
    <xf numFmtId="0" fontId="57" fillId="148" borderId="125" xfId="20563" applyFont="1" applyFill="1" applyBorder="1" applyAlignment="1">
      <alignment horizontal="center" wrapText="1"/>
    </xf>
    <xf numFmtId="0" fontId="9" fillId="148" borderId="125" xfId="20563" applyFill="1" applyBorder="1" applyAlignment="1">
      <alignment horizontal="center" wrapText="1"/>
    </xf>
    <xf numFmtId="0" fontId="150" fillId="148" borderId="125" xfId="20563" applyFont="1" applyFill="1" applyBorder="1" applyAlignment="1">
      <alignment horizontal="center" wrapText="1"/>
    </xf>
    <xf numFmtId="164" fontId="213" fillId="147" borderId="127" xfId="60" applyNumberFormat="1" applyFont="1" applyFill="1" applyBorder="1" applyAlignment="1">
      <alignment horizontal="center" wrapText="1"/>
    </xf>
    <xf numFmtId="165" fontId="213" fillId="147" borderId="127" xfId="60" applyNumberFormat="1" applyFont="1" applyFill="1" applyBorder="1" applyAlignment="1">
      <alignment horizontal="center" wrapText="1"/>
    </xf>
    <xf numFmtId="166" fontId="213" fillId="147" borderId="127" xfId="60" applyNumberFormat="1" applyFont="1" applyFill="1" applyBorder="1" applyAlignment="1">
      <alignment horizontal="center" wrapText="1"/>
    </xf>
    <xf numFmtId="166" fontId="213" fillId="147" borderId="129" xfId="60" applyNumberFormat="1" applyFont="1" applyFill="1" applyBorder="1" applyAlignment="1">
      <alignment horizontal="center" wrapText="1"/>
    </xf>
    <xf numFmtId="164" fontId="213" fillId="147" borderId="95" xfId="60" applyNumberFormat="1" applyFont="1" applyFill="1" applyBorder="1" applyAlignment="1">
      <alignment horizontal="center" wrapText="1"/>
    </xf>
    <xf numFmtId="165" fontId="213" fillId="147" borderId="95" xfId="60" applyNumberFormat="1" applyFont="1" applyFill="1" applyBorder="1" applyAlignment="1">
      <alignment horizontal="center" wrapText="1"/>
    </xf>
    <xf numFmtId="166" fontId="213" fillId="147" borderId="95" xfId="60" applyNumberFormat="1" applyFont="1" applyFill="1" applyBorder="1" applyAlignment="1">
      <alignment horizontal="center" wrapText="1"/>
    </xf>
    <xf numFmtId="166" fontId="213" fillId="147" borderId="96" xfId="60" applyNumberFormat="1" applyFont="1" applyFill="1" applyBorder="1" applyAlignment="1">
      <alignment horizontal="center" wrapText="1"/>
    </xf>
    <xf numFmtId="42" fontId="22" fillId="143" borderId="0" xfId="20559" applyNumberFormat="1" applyFill="1"/>
    <xf numFmtId="42" fontId="34" fillId="143" borderId="136" xfId="20559" applyNumberFormat="1" applyFont="1" applyFill="1" applyBorder="1"/>
    <xf numFmtId="42" fontId="34" fillId="143" borderId="0" xfId="20559" applyNumberFormat="1" applyFont="1" applyFill="1"/>
    <xf numFmtId="42" fontId="209" fillId="147" borderId="136" xfId="20559" applyNumberFormat="1" applyFont="1" applyFill="1" applyBorder="1"/>
    <xf numFmtId="0" fontId="209" fillId="147" borderId="2" xfId="6" applyFont="1" applyFill="1" applyBorder="1" applyAlignment="1">
      <alignment horizontal="center" wrapText="1"/>
    </xf>
    <xf numFmtId="0" fontId="12" fillId="0" borderId="0" xfId="20532" applyAlignment="1">
      <alignment vertical="center"/>
    </xf>
    <xf numFmtId="171" fontId="210" fillId="147" borderId="127" xfId="64" applyNumberFormat="1" applyFont="1" applyFill="1" applyBorder="1"/>
    <xf numFmtId="165" fontId="210" fillId="147" borderId="127" xfId="20555" applyNumberFormat="1" applyFont="1" applyFill="1" applyBorder="1"/>
    <xf numFmtId="0" fontId="10" fillId="0" borderId="127" xfId="20548" applyBorder="1" applyAlignment="1">
      <alignment horizontal="left"/>
    </xf>
    <xf numFmtId="44" fontId="208" fillId="147" borderId="129" xfId="1856" applyNumberFormat="1" applyFont="1" applyFill="1" applyBorder="1" applyAlignment="1">
      <alignment horizontal="left"/>
    </xf>
    <xf numFmtId="44" fontId="208" fillId="147" borderId="133" xfId="20531" applyFont="1" applyFill="1" applyBorder="1" applyAlignment="1">
      <alignment horizontal="left"/>
    </xf>
    <xf numFmtId="44" fontId="23" fillId="3" borderId="121" xfId="1856" applyNumberFormat="1" applyFont="1" applyFill="1" applyBorder="1" applyAlignment="1">
      <alignment horizontal="right"/>
    </xf>
    <xf numFmtId="44" fontId="23" fillId="3" borderId="95" xfId="1856" applyNumberFormat="1" applyFont="1" applyFill="1" applyBorder="1" applyAlignment="1">
      <alignment horizontal="right"/>
    </xf>
    <xf numFmtId="44" fontId="23" fillId="3" borderId="96" xfId="1856" applyNumberFormat="1" applyFont="1" applyFill="1" applyBorder="1" applyAlignment="1">
      <alignment horizontal="right"/>
    </xf>
    <xf numFmtId="42" fontId="208" fillId="147" borderId="129" xfId="1856" applyNumberFormat="1" applyFont="1" applyFill="1" applyBorder="1" applyAlignment="1">
      <alignment horizontal="center"/>
    </xf>
    <xf numFmtId="42" fontId="21" fillId="3" borderId="10" xfId="1856" applyNumberFormat="1" applyFont="1" applyFill="1" applyBorder="1" applyAlignment="1">
      <alignment horizontal="center"/>
    </xf>
    <xf numFmtId="42" fontId="21" fillId="3" borderId="53" xfId="1856" applyNumberFormat="1" applyFont="1" applyFill="1" applyBorder="1" applyAlignment="1">
      <alignment horizontal="center" wrapText="1"/>
    </xf>
    <xf numFmtId="42" fontId="23" fillId="3" borderId="98" xfId="1856" applyNumberFormat="1" applyFont="1" applyFill="1" applyBorder="1" applyAlignment="1">
      <alignment horizontal="center"/>
    </xf>
    <xf numFmtId="42" fontId="23" fillId="3" borderId="132" xfId="1856" applyNumberFormat="1" applyFont="1" applyFill="1" applyBorder="1" applyAlignment="1">
      <alignment horizontal="left"/>
    </xf>
    <xf numFmtId="42" fontId="23" fillId="3" borderId="131" xfId="1856" applyNumberFormat="1" applyFont="1" applyFill="1" applyBorder="1" applyAlignment="1">
      <alignment horizontal="left"/>
    </xf>
    <xf numFmtId="0" fontId="0" fillId="143" borderId="0" xfId="0" applyFill="1"/>
    <xf numFmtId="42" fontId="34" fillId="3" borderId="135" xfId="20559" applyNumberFormat="1" applyFont="1" applyFill="1" applyBorder="1"/>
    <xf numFmtId="0" fontId="22" fillId="0" borderId="137" xfId="20557" applyBorder="1" applyAlignment="1">
      <alignment horizontal="center"/>
    </xf>
    <xf numFmtId="0" fontId="102" fillId="0" borderId="128" xfId="20557" applyFont="1" applyBorder="1" applyAlignment="1">
      <alignment horizontal="center"/>
    </xf>
    <xf numFmtId="42" fontId="30" fillId="143" borderId="0" xfId="20559" applyNumberFormat="1" applyFont="1" applyFill="1" applyAlignment="1">
      <alignment vertical="center"/>
    </xf>
    <xf numFmtId="0" fontId="216" fillId="0" borderId="0" xfId="0" applyFont="1"/>
    <xf numFmtId="0" fontId="0" fillId="0" borderId="0" xfId="0" applyAlignment="1">
      <alignment vertical="top"/>
    </xf>
    <xf numFmtId="0" fontId="217" fillId="0" borderId="127" xfId="20566" applyFont="1" applyBorder="1" applyAlignment="1">
      <alignment horizontal="center" vertical="center"/>
    </xf>
    <xf numFmtId="0" fontId="202" fillId="0" borderId="127" xfId="20566" applyFont="1" applyBorder="1" applyAlignment="1">
      <alignment vertical="center" wrapText="1"/>
    </xf>
    <xf numFmtId="171" fontId="217" fillId="0" borderId="127" xfId="20567" applyNumberFormat="1" applyFont="1" applyFill="1" applyBorder="1" applyAlignment="1">
      <alignment horizontal="right" vertical="top"/>
    </xf>
    <xf numFmtId="171" fontId="217" fillId="0" borderId="127" xfId="20567" applyNumberFormat="1" applyFont="1" applyFill="1" applyBorder="1" applyAlignment="1">
      <alignment horizontal="right" vertical="center"/>
    </xf>
    <xf numFmtId="0" fontId="217" fillId="0" borderId="127" xfId="20566" applyFont="1" applyBorder="1" applyAlignment="1">
      <alignment vertical="center" wrapText="1"/>
    </xf>
    <xf numFmtId="0" fontId="218" fillId="0" borderId="127" xfId="20566" applyFont="1" applyBorder="1" applyAlignment="1">
      <alignment vertical="center" wrapText="1"/>
    </xf>
    <xf numFmtId="0" fontId="217" fillId="0" borderId="127" xfId="20566" applyFont="1" applyBorder="1" applyAlignment="1">
      <alignment horizontal="center" vertical="center" wrapText="1"/>
    </xf>
    <xf numFmtId="0" fontId="84" fillId="0" borderId="127" xfId="20566" applyFont="1" applyBorder="1" applyAlignment="1">
      <alignment horizontal="left" vertical="center" wrapText="1"/>
    </xf>
    <xf numFmtId="0" fontId="22" fillId="0" borderId="127" xfId="20566" applyFont="1" applyBorder="1" applyAlignment="1">
      <alignment horizontal="center" vertical="center" wrapText="1"/>
    </xf>
    <xf numFmtId="0" fontId="218" fillId="0" borderId="127" xfId="20566" applyFont="1" applyBorder="1" applyAlignment="1">
      <alignment horizontal="left" vertical="center" wrapText="1"/>
    </xf>
    <xf numFmtId="0" fontId="218" fillId="0" borderId="127" xfId="20570" applyFont="1" applyFill="1" applyBorder="1" applyAlignment="1">
      <alignment horizontal="left" vertical="center" wrapText="1"/>
    </xf>
    <xf numFmtId="0" fontId="218" fillId="0" borderId="127" xfId="20566" applyFont="1" applyBorder="1" applyAlignment="1">
      <alignment vertical="center"/>
    </xf>
    <xf numFmtId="0" fontId="202" fillId="0" borderId="127" xfId="20566" applyFont="1" applyBorder="1" applyAlignment="1">
      <alignment vertical="top" wrapText="1"/>
    </xf>
    <xf numFmtId="0" fontId="217" fillId="0" borderId="127" xfId="20566" applyFont="1" applyBorder="1" applyAlignment="1">
      <alignment horizontal="right" vertical="center"/>
    </xf>
    <xf numFmtId="0" fontId="222" fillId="0" borderId="127" xfId="20566" applyFont="1" applyBorder="1" applyAlignment="1">
      <alignment vertical="center" wrapText="1"/>
    </xf>
    <xf numFmtId="0" fontId="217" fillId="0" borderId="127" xfId="20571" applyFont="1" applyFill="1" applyBorder="1" applyAlignment="1">
      <alignment horizontal="center" vertical="center"/>
    </xf>
    <xf numFmtId="0" fontId="29" fillId="0" borderId="98" xfId="20566" applyFont="1" applyBorder="1" applyAlignment="1">
      <alignment vertical="center"/>
    </xf>
    <xf numFmtId="0" fontId="29" fillId="0" borderId="155" xfId="20566" applyFont="1" applyBorder="1" applyAlignment="1">
      <alignment vertical="center"/>
    </xf>
    <xf numFmtId="0" fontId="29" fillId="0" borderId="99" xfId="20566" applyFont="1" applyBorder="1" applyAlignment="1">
      <alignment vertical="center"/>
    </xf>
    <xf numFmtId="44" fontId="20" fillId="0" borderId="0" xfId="20548" applyNumberFormat="1" applyFont="1"/>
    <xf numFmtId="168" fontId="0" fillId="2" borderId="129" xfId="58" applyNumberFormat="1" applyFont="1" applyFill="1" applyBorder="1" applyAlignment="1">
      <alignment horizontal="center"/>
    </xf>
    <xf numFmtId="168" fontId="0" fillId="2" borderId="127" xfId="58" applyNumberFormat="1" applyFont="1" applyFill="1" applyBorder="1" applyAlignment="1">
      <alignment horizontal="center"/>
    </xf>
    <xf numFmtId="0" fontId="189" fillId="3" borderId="110" xfId="0" applyFont="1" applyFill="1" applyBorder="1" applyAlignment="1">
      <alignment horizontal="center" wrapText="1"/>
    </xf>
    <xf numFmtId="0" fontId="189" fillId="3" borderId="105" xfId="0" applyFont="1" applyFill="1" applyBorder="1" applyAlignment="1">
      <alignment horizontal="center" wrapText="1"/>
    </xf>
    <xf numFmtId="0" fontId="189" fillId="3" borderId="104" xfId="0" applyFont="1" applyFill="1" applyBorder="1" applyAlignment="1">
      <alignment horizontal="center" wrapText="1"/>
    </xf>
    <xf numFmtId="0" fontId="225" fillId="0" borderId="0" xfId="0" applyFont="1"/>
    <xf numFmtId="42" fontId="23" fillId="3" borderId="99" xfId="1856" applyNumberFormat="1" applyFont="1" applyFill="1" applyBorder="1" applyAlignment="1">
      <alignment horizontal="left"/>
    </xf>
    <xf numFmtId="42" fontId="23" fillId="3" borderId="118" xfId="1856" applyNumberFormat="1" applyFont="1" applyFill="1" applyBorder="1" applyAlignment="1">
      <alignment horizontal="left"/>
    </xf>
    <xf numFmtId="0" fontId="28" fillId="0" borderId="122" xfId="20549" applyFont="1" applyBorder="1" applyAlignment="1">
      <alignment horizontal="center" wrapText="1"/>
    </xf>
    <xf numFmtId="42" fontId="23" fillId="3" borderId="91" xfId="1856" applyNumberFormat="1" applyFont="1" applyFill="1" applyBorder="1" applyAlignment="1">
      <alignment horizontal="left"/>
    </xf>
    <xf numFmtId="42" fontId="23" fillId="3" borderId="127" xfId="1856" applyNumberFormat="1" applyFont="1" applyFill="1" applyBorder="1" applyAlignment="1">
      <alignment horizontal="left"/>
    </xf>
    <xf numFmtId="42" fontId="21" fillId="3" borderId="95" xfId="1856" applyNumberFormat="1" applyFont="1" applyFill="1" applyBorder="1" applyAlignment="1">
      <alignment horizontal="left"/>
    </xf>
    <xf numFmtId="42" fontId="21" fillId="3" borderId="96" xfId="1856" applyNumberFormat="1" applyFont="1" applyFill="1" applyBorder="1" applyAlignment="1">
      <alignment horizontal="center"/>
    </xf>
    <xf numFmtId="42" fontId="23" fillId="3" borderId="92" xfId="1856" applyNumberFormat="1" applyFont="1" applyFill="1" applyBorder="1" applyAlignment="1">
      <alignment horizontal="left"/>
    </xf>
    <xf numFmtId="42" fontId="23" fillId="3" borderId="120" xfId="1856" applyNumberFormat="1" applyFont="1" applyFill="1" applyBorder="1" applyAlignment="1">
      <alignment horizontal="left"/>
    </xf>
    <xf numFmtId="42" fontId="23" fillId="3" borderId="98" xfId="1856" applyNumberFormat="1" applyFont="1" applyFill="1" applyBorder="1" applyAlignment="1">
      <alignment horizontal="left"/>
    </xf>
    <xf numFmtId="42" fontId="21" fillId="3" borderId="121" xfId="1856" applyNumberFormat="1" applyFont="1" applyFill="1" applyBorder="1" applyAlignment="1">
      <alignment horizontal="left"/>
    </xf>
    <xf numFmtId="42" fontId="208" fillId="147" borderId="103" xfId="1856" applyNumberFormat="1" applyFont="1" applyFill="1" applyBorder="1" applyAlignment="1">
      <alignment horizontal="left"/>
    </xf>
    <xf numFmtId="42" fontId="21" fillId="3" borderId="109" xfId="1856" applyNumberFormat="1" applyFont="1" applyFill="1" applyBorder="1" applyAlignment="1">
      <alignment horizontal="left"/>
    </xf>
    <xf numFmtId="42" fontId="23" fillId="143" borderId="116" xfId="1856" applyNumberFormat="1" applyFont="1" applyFill="1" applyBorder="1" applyAlignment="1">
      <alignment horizontal="center"/>
    </xf>
    <xf numFmtId="0" fontId="36" fillId="0" borderId="103" xfId="20548" applyFont="1" applyBorder="1" applyAlignment="1">
      <alignment wrapText="1"/>
    </xf>
    <xf numFmtId="0" fontId="36" fillId="0" borderId="116" xfId="20548" applyFont="1" applyBorder="1" applyAlignment="1">
      <alignment wrapText="1"/>
    </xf>
    <xf numFmtId="0" fontId="35" fillId="0" borderId="109" xfId="20548" applyFont="1" applyBorder="1" applyAlignment="1">
      <alignment horizontal="right" wrapText="1"/>
    </xf>
    <xf numFmtId="0" fontId="21" fillId="0" borderId="0" xfId="20549" applyFont="1" applyAlignment="1">
      <alignment wrapText="1"/>
    </xf>
    <xf numFmtId="0" fontId="207" fillId="0" borderId="122" xfId="20548" applyFont="1" applyBorder="1" applyAlignment="1">
      <alignment horizontal="center" wrapText="1"/>
    </xf>
    <xf numFmtId="0" fontId="207" fillId="0" borderId="157" xfId="20548" applyFont="1" applyBorder="1" applyAlignment="1">
      <alignment horizontal="center" wrapText="1"/>
    </xf>
    <xf numFmtId="0" fontId="207" fillId="0" borderId="112" xfId="20548" applyFont="1" applyBorder="1" applyAlignment="1">
      <alignment horizontal="center" wrapText="1"/>
    </xf>
    <xf numFmtId="0" fontId="207" fillId="0" borderId="113" xfId="20548" applyFont="1" applyBorder="1" applyAlignment="1">
      <alignment horizontal="center" wrapText="1"/>
    </xf>
    <xf numFmtId="0" fontId="207" fillId="0" borderId="102" xfId="20548" applyFont="1" applyBorder="1" applyAlignment="1">
      <alignment horizontal="center" wrapText="1"/>
    </xf>
    <xf numFmtId="42" fontId="0" fillId="0" borderId="0" xfId="0" applyNumberFormat="1"/>
    <xf numFmtId="9" fontId="29" fillId="3" borderId="126" xfId="58" applyFont="1" applyFill="1" applyBorder="1" applyAlignment="1">
      <alignment horizontal="right"/>
    </xf>
    <xf numFmtId="208" fontId="29" fillId="3" borderId="159" xfId="20563" applyNumberFormat="1" applyFont="1" applyFill="1" applyBorder="1"/>
    <xf numFmtId="208" fontId="29" fillId="3" borderId="160" xfId="20563" applyNumberFormat="1" applyFont="1" applyFill="1" applyBorder="1"/>
    <xf numFmtId="42" fontId="0" fillId="0" borderId="127" xfId="0" applyNumberFormat="1" applyBorder="1"/>
    <xf numFmtId="0" fontId="211" fillId="0" borderId="0" xfId="0" applyFont="1" applyAlignment="1">
      <alignment horizontal="center"/>
    </xf>
    <xf numFmtId="43" fontId="211" fillId="0" borderId="0" xfId="0" applyNumberFormat="1" applyFont="1"/>
    <xf numFmtId="0" fontId="188" fillId="0" borderId="127" xfId="0" applyFont="1" applyBorder="1" applyAlignment="1">
      <alignment horizontal="center"/>
    </xf>
    <xf numFmtId="41" fontId="211" fillId="0" borderId="0" xfId="0" applyNumberFormat="1" applyFont="1"/>
    <xf numFmtId="166" fontId="0" fillId="0" borderId="127" xfId="0" applyNumberFormat="1" applyBorder="1"/>
    <xf numFmtId="42" fontId="0" fillId="143" borderId="127" xfId="0" applyNumberFormat="1" applyFill="1" applyBorder="1"/>
    <xf numFmtId="0" fontId="0" fillId="143" borderId="127" xfId="0" applyFill="1" applyBorder="1"/>
    <xf numFmtId="0" fontId="57" fillId="0" borderId="0" xfId="20563" applyFont="1" applyAlignment="1">
      <alignment horizontal="right"/>
    </xf>
    <xf numFmtId="44" fontId="21" fillId="3" borderId="10" xfId="1856" applyNumberFormat="1" applyFont="1" applyFill="1" applyBorder="1" applyAlignment="1">
      <alignment horizontal="center"/>
    </xf>
    <xf numFmtId="44" fontId="21" fillId="3" borderId="53" xfId="1856" applyNumberFormat="1" applyFont="1" applyFill="1" applyBorder="1" applyAlignment="1">
      <alignment horizontal="center" wrapText="1"/>
    </xf>
    <xf numFmtId="0" fontId="23" fillId="0" borderId="93" xfId="1856" applyFont="1" applyBorder="1" applyAlignment="1">
      <alignment horizontal="left" wrapText="1"/>
    </xf>
    <xf numFmtId="0" fontId="191" fillId="0" borderId="0" xfId="0" applyFont="1" applyAlignment="1">
      <alignment horizontal="left" vertical="top" wrapText="1"/>
    </xf>
    <xf numFmtId="0" fontId="188" fillId="3" borderId="113" xfId="0" applyFont="1" applyFill="1" applyBorder="1" applyAlignment="1">
      <alignment horizontal="center" wrapText="1"/>
    </xf>
    <xf numFmtId="0" fontId="189" fillId="3" borderId="112" xfId="0" applyFont="1" applyFill="1" applyBorder="1" applyAlignment="1">
      <alignment horizontal="center" wrapText="1"/>
    </xf>
    <xf numFmtId="0" fontId="188" fillId="3" borderId="111" xfId="0" applyFont="1" applyFill="1" applyBorder="1" applyAlignment="1">
      <alignment horizontal="center" wrapText="1"/>
    </xf>
    <xf numFmtId="0" fontId="188" fillId="3" borderId="110" xfId="0" applyFont="1" applyFill="1" applyBorder="1" applyAlignment="1">
      <alignment horizontal="center" wrapText="1"/>
    </xf>
    <xf numFmtId="0" fontId="188" fillId="3" borderId="104" xfId="0" applyFont="1" applyFill="1" applyBorder="1" applyAlignment="1">
      <alignment horizontal="center" wrapText="1"/>
    </xf>
    <xf numFmtId="0" fontId="186" fillId="2" borderId="127" xfId="0" quotePrefix="1" applyFont="1" applyFill="1" applyBorder="1" applyAlignment="1">
      <alignment horizontal="center" vertical="center" wrapText="1"/>
    </xf>
    <xf numFmtId="0" fontId="186" fillId="2" borderId="127" xfId="0" applyFont="1" applyFill="1" applyBorder="1" applyAlignment="1">
      <alignment horizontal="center" vertical="center"/>
    </xf>
    <xf numFmtId="0" fontId="186" fillId="2" borderId="127" xfId="0" applyFont="1" applyFill="1" applyBorder="1" applyAlignment="1">
      <alignment horizontal="center" vertical="center" wrapText="1"/>
    </xf>
    <xf numFmtId="0" fontId="21" fillId="0" borderId="0" xfId="20574" applyFont="1"/>
    <xf numFmtId="0" fontId="187" fillId="0" borderId="0" xfId="0" applyFont="1" applyAlignment="1">
      <alignment horizontal="center" vertical="center" wrapText="1"/>
    </xf>
    <xf numFmtId="42" fontId="188" fillId="3" borderId="104" xfId="0" applyNumberFormat="1" applyFont="1" applyFill="1" applyBorder="1" applyAlignment="1">
      <alignment horizontal="right" vertical="center"/>
    </xf>
    <xf numFmtId="0" fontId="188" fillId="143" borderId="122" xfId="0" applyFont="1" applyFill="1" applyBorder="1" applyAlignment="1">
      <alignment horizontal="center" vertical="center"/>
    </xf>
    <xf numFmtId="209" fontId="188" fillId="143" borderId="110" xfId="0" applyNumberFormat="1" applyFont="1" applyFill="1" applyBorder="1" applyAlignment="1">
      <alignment horizontal="center" vertical="center"/>
    </xf>
    <xf numFmtId="9" fontId="188" fillId="143" borderId="122" xfId="58" applyFont="1" applyFill="1" applyBorder="1" applyAlignment="1">
      <alignment horizontal="center" vertical="center"/>
    </xf>
    <xf numFmtId="10" fontId="189" fillId="143" borderId="107" xfId="58" applyNumberFormat="1" applyFont="1" applyFill="1" applyBorder="1" applyAlignment="1">
      <alignment horizontal="center" vertical="center"/>
    </xf>
    <xf numFmtId="10" fontId="189" fillId="143" borderId="73" xfId="58" applyNumberFormat="1" applyFont="1" applyFill="1" applyBorder="1" applyAlignment="1">
      <alignment horizontal="center" vertical="center"/>
    </xf>
    <xf numFmtId="10" fontId="189" fillId="143" borderId="73" xfId="0" applyNumberFormat="1" applyFont="1" applyFill="1" applyBorder="1" applyAlignment="1">
      <alignment horizontal="center" vertical="center"/>
    </xf>
    <xf numFmtId="10" fontId="189" fillId="143" borderId="108" xfId="0" applyNumberFormat="1" applyFont="1" applyFill="1" applyBorder="1" applyAlignment="1">
      <alignment horizontal="center" vertical="center"/>
    </xf>
    <xf numFmtId="42" fontId="188" fillId="3" borderId="105" xfId="0" applyNumberFormat="1" applyFont="1" applyFill="1" applyBorder="1" applyAlignment="1">
      <alignment horizontal="right" vertical="center"/>
    </xf>
    <xf numFmtId="42" fontId="188" fillId="3" borderId="106" xfId="0" applyNumberFormat="1" applyFont="1" applyFill="1" applyBorder="1" applyAlignment="1">
      <alignment horizontal="right" vertical="center"/>
    </xf>
    <xf numFmtId="42" fontId="188" fillId="3" borderId="110" xfId="0" applyNumberFormat="1" applyFont="1" applyFill="1" applyBorder="1" applyAlignment="1">
      <alignment horizontal="right" vertical="center"/>
    </xf>
    <xf numFmtId="0" fontId="210" fillId="147" borderId="107" xfId="0" applyFont="1" applyFill="1" applyBorder="1"/>
    <xf numFmtId="0" fontId="188" fillId="0" borderId="108" xfId="0" applyFont="1" applyBorder="1"/>
    <xf numFmtId="0" fontId="12" fillId="2" borderId="122" xfId="20532" applyFill="1" applyBorder="1" applyAlignment="1">
      <alignment wrapText="1"/>
    </xf>
    <xf numFmtId="0" fontId="35" fillId="0" borderId="0" xfId="20532" applyFont="1"/>
    <xf numFmtId="0" fontId="9" fillId="146" borderId="140" xfId="20563" applyFill="1" applyBorder="1" applyAlignment="1">
      <alignment wrapText="1"/>
    </xf>
    <xf numFmtId="42" fontId="188" fillId="0" borderId="127" xfId="0" applyNumberFormat="1" applyFont="1" applyBorder="1" applyAlignment="1">
      <alignment horizontal="center"/>
    </xf>
    <xf numFmtId="0" fontId="189" fillId="3" borderId="107" xfId="0" applyFont="1" applyFill="1" applyBorder="1" applyAlignment="1">
      <alignment horizontal="center" vertical="center" wrapText="1"/>
    </xf>
    <xf numFmtId="0" fontId="34" fillId="0" borderId="0" xfId="20558" applyFont="1" applyAlignment="1">
      <alignment horizontal="left" vertical="top" wrapText="1"/>
    </xf>
    <xf numFmtId="0" fontId="34" fillId="0" borderId="0" xfId="20557" applyFont="1" applyAlignment="1">
      <alignment horizontal="left" wrapText="1"/>
    </xf>
    <xf numFmtId="0" fontId="35" fillId="0" borderId="156" xfId="20532" applyFont="1" applyBorder="1" applyAlignment="1">
      <alignment wrapText="1"/>
    </xf>
    <xf numFmtId="0" fontId="36" fillId="0" borderId="156" xfId="20532" applyFont="1" applyBorder="1" applyAlignment="1">
      <alignment wrapText="1"/>
    </xf>
    <xf numFmtId="0" fontId="30" fillId="3" borderId="156" xfId="20559" applyFont="1" applyFill="1" applyBorder="1" applyAlignment="1">
      <alignment horizontal="left"/>
    </xf>
    <xf numFmtId="42" fontId="34" fillId="0" borderId="157" xfId="20559" applyNumberFormat="1" applyFont="1" applyBorder="1"/>
    <xf numFmtId="0" fontId="185" fillId="142" borderId="156" xfId="20532" applyFont="1" applyFill="1" applyBorder="1" applyAlignment="1">
      <alignment vertical="center" wrapText="1"/>
    </xf>
    <xf numFmtId="0" fontId="185" fillId="0" borderId="156" xfId="20532" applyFont="1" applyBorder="1" applyAlignment="1">
      <alignment vertical="center" wrapText="1"/>
    </xf>
    <xf numFmtId="0" fontId="12" fillId="0" borderId="127" xfId="20532" applyBorder="1"/>
    <xf numFmtId="0" fontId="12" fillId="0" borderId="127" xfId="20532" applyBorder="1" applyAlignment="1">
      <alignment horizontal="center" vertical="center"/>
    </xf>
    <xf numFmtId="0" fontId="12" fillId="0" borderId="127" xfId="20532" applyBorder="1" applyAlignment="1">
      <alignment horizontal="center" vertical="center" wrapText="1"/>
    </xf>
    <xf numFmtId="171" fontId="0" fillId="3" borderId="127" xfId="20535" applyNumberFormat="1" applyFont="1" applyFill="1" applyBorder="1"/>
    <xf numFmtId="0" fontId="29" fillId="0" borderId="127" xfId="20532" applyFont="1" applyBorder="1"/>
    <xf numFmtId="171" fontId="0" fillId="143" borderId="127" xfId="20535" applyNumberFormat="1" applyFont="1" applyFill="1" applyBorder="1"/>
    <xf numFmtId="0" fontId="227" fillId="0" borderId="0" xfId="0" applyFont="1"/>
    <xf numFmtId="0" fontId="228" fillId="0" borderId="0" xfId="2" applyFont="1" applyAlignment="1">
      <alignment horizontal="left"/>
    </xf>
    <xf numFmtId="0" fontId="228" fillId="0" borderId="0" xfId="2" applyFont="1" applyProtection="1">
      <protection locked="0"/>
    </xf>
    <xf numFmtId="0" fontId="0" fillId="0" borderId="162" xfId="0" applyBorder="1"/>
    <xf numFmtId="0" fontId="0" fillId="0" borderId="163" xfId="0" applyBorder="1"/>
    <xf numFmtId="0" fontId="0" fillId="0" borderId="164" xfId="0" applyBorder="1"/>
    <xf numFmtId="0" fontId="0" fillId="0" borderId="165" xfId="0" applyBorder="1"/>
    <xf numFmtId="0" fontId="0" fillId="0" borderId="166" xfId="0" applyBorder="1"/>
    <xf numFmtId="0" fontId="0" fillId="0" borderId="167" xfId="0" applyBorder="1"/>
    <xf numFmtId="0" fontId="22" fillId="0" borderId="168" xfId="6" applyBorder="1"/>
    <xf numFmtId="0" fontId="0" fillId="0" borderId="169" xfId="0" applyBorder="1"/>
    <xf numFmtId="0" fontId="35" fillId="0" borderId="170" xfId="20532" applyFont="1" applyBorder="1" applyAlignment="1">
      <alignment horizontal="center" wrapText="1"/>
    </xf>
    <xf numFmtId="0" fontId="131" fillId="0" borderId="170" xfId="20558" applyFont="1" applyBorder="1" applyProtection="1">
      <protection locked="0"/>
    </xf>
    <xf numFmtId="42" fontId="30" fillId="0" borderId="170" xfId="20559" applyNumberFormat="1" applyFont="1" applyBorder="1" applyAlignment="1">
      <alignment horizontal="center" vertical="center"/>
    </xf>
    <xf numFmtId="0" fontId="185" fillId="142" borderId="170" xfId="20532" applyFont="1" applyFill="1" applyBorder="1" applyAlignment="1">
      <alignment vertical="center"/>
    </xf>
    <xf numFmtId="0" fontId="0" fillId="3" borderId="101" xfId="0" applyFill="1" applyBorder="1"/>
    <xf numFmtId="0" fontId="210" fillId="147" borderId="101" xfId="0" applyFont="1" applyFill="1" applyBorder="1"/>
    <xf numFmtId="0" fontId="0" fillId="148" borderId="156" xfId="0" applyFill="1" applyBorder="1"/>
    <xf numFmtId="0" fontId="188" fillId="0" borderId="170" xfId="0" applyFont="1" applyBorder="1"/>
    <xf numFmtId="42" fontId="0" fillId="147" borderId="114" xfId="0" applyNumberFormat="1" applyFill="1" applyBorder="1" applyAlignment="1">
      <alignment horizontal="right" vertical="center"/>
    </xf>
    <xf numFmtId="42" fontId="0" fillId="147" borderId="48" xfId="0" applyNumberFormat="1" applyFill="1" applyBorder="1" applyAlignment="1">
      <alignment horizontal="right" vertical="center"/>
    </xf>
    <xf numFmtId="209" fontId="0" fillId="147" borderId="5" xfId="0" applyNumberFormat="1" applyFill="1" applyBorder="1" applyAlignment="1">
      <alignment horizontal="center" vertical="center"/>
    </xf>
    <xf numFmtId="9" fontId="0" fillId="147" borderId="115" xfId="58" applyFont="1" applyFill="1" applyBorder="1" applyAlignment="1">
      <alignment horizontal="center" vertical="center"/>
    </xf>
    <xf numFmtId="10" fontId="191" fillId="147" borderId="4" xfId="58" applyNumberFormat="1" applyFont="1" applyFill="1" applyBorder="1" applyAlignment="1">
      <alignment horizontal="center" vertical="center"/>
    </xf>
    <xf numFmtId="42" fontId="0" fillId="147" borderId="4" xfId="0" applyNumberFormat="1" applyFill="1" applyBorder="1" applyAlignment="1">
      <alignment horizontal="center" vertical="center"/>
    </xf>
    <xf numFmtId="42" fontId="0" fillId="147" borderId="2" xfId="0" applyNumberFormat="1" applyFill="1" applyBorder="1" applyAlignment="1">
      <alignment horizontal="center" vertical="center"/>
    </xf>
    <xf numFmtId="42" fontId="0" fillId="147" borderId="5" xfId="0" applyNumberFormat="1" applyFill="1" applyBorder="1" applyAlignment="1">
      <alignment horizontal="center" vertical="center"/>
    </xf>
    <xf numFmtId="42" fontId="0" fillId="147" borderId="90" xfId="0" applyNumberFormat="1" applyFill="1" applyBorder="1" applyAlignment="1">
      <alignment horizontal="center" vertical="center"/>
    </xf>
    <xf numFmtId="42" fontId="0" fillId="147" borderId="91" xfId="0" applyNumberFormat="1" applyFill="1" applyBorder="1" applyAlignment="1">
      <alignment horizontal="center" vertical="center"/>
    </xf>
    <xf numFmtId="42" fontId="0" fillId="147" borderId="92" xfId="0" applyNumberFormat="1" applyFill="1" applyBorder="1" applyAlignment="1">
      <alignment horizontal="center" vertical="center"/>
    </xf>
    <xf numFmtId="42" fontId="0" fillId="147" borderId="155" xfId="0" applyNumberFormat="1" applyFill="1" applyBorder="1" applyAlignment="1">
      <alignment horizontal="right" vertical="center"/>
    </xf>
    <xf numFmtId="42" fontId="0" fillId="147" borderId="99" xfId="0" applyNumberFormat="1" applyFill="1" applyBorder="1" applyAlignment="1">
      <alignment horizontal="right" vertical="center"/>
    </xf>
    <xf numFmtId="209" fontId="0" fillId="147" borderId="129" xfId="0" applyNumberFormat="1" applyFill="1" applyBorder="1" applyAlignment="1">
      <alignment horizontal="center" vertical="center"/>
    </xf>
    <xf numFmtId="9" fontId="0" fillId="147" borderId="116" xfId="58" applyFont="1" applyFill="1" applyBorder="1" applyAlignment="1">
      <alignment horizontal="center" vertical="center"/>
    </xf>
    <xf numFmtId="42" fontId="0" fillId="147" borderId="93" xfId="0" applyNumberFormat="1" applyFill="1" applyBorder="1" applyAlignment="1">
      <alignment horizontal="center" vertical="center"/>
    </xf>
    <xf numFmtId="42" fontId="0" fillId="147" borderId="127" xfId="0" applyNumberFormat="1" applyFill="1" applyBorder="1" applyAlignment="1">
      <alignment horizontal="center" vertical="center"/>
    </xf>
    <xf numFmtId="42" fontId="0" fillId="147" borderId="129" xfId="0" applyNumberFormat="1" applyFill="1" applyBorder="1" applyAlignment="1">
      <alignment horizontal="center" vertical="center"/>
    </xf>
    <xf numFmtId="42" fontId="0" fillId="147" borderId="117" xfId="0" applyNumberFormat="1" applyFill="1" applyBorder="1" applyAlignment="1">
      <alignment horizontal="right" vertical="center"/>
    </xf>
    <xf numFmtId="42" fontId="0" fillId="147" borderId="119" xfId="0" applyNumberFormat="1" applyFill="1" applyBorder="1" applyAlignment="1">
      <alignment horizontal="right" vertical="center"/>
    </xf>
    <xf numFmtId="42" fontId="0" fillId="147" borderId="95" xfId="0" applyNumberFormat="1" applyFill="1" applyBorder="1" applyAlignment="1">
      <alignment horizontal="right" vertical="center"/>
    </xf>
    <xf numFmtId="209" fontId="0" fillId="147" borderId="96" xfId="0" applyNumberFormat="1" applyFill="1" applyBorder="1" applyAlignment="1">
      <alignment horizontal="center" vertical="center"/>
    </xf>
    <xf numFmtId="9" fontId="0" fillId="147" borderId="109" xfId="58" applyFont="1" applyFill="1" applyBorder="1" applyAlignment="1">
      <alignment horizontal="center" vertical="center"/>
    </xf>
    <xf numFmtId="10" fontId="191" fillId="147" borderId="94" xfId="58" applyNumberFormat="1" applyFont="1" applyFill="1" applyBorder="1" applyAlignment="1">
      <alignment horizontal="center" vertical="center"/>
    </xf>
    <xf numFmtId="42" fontId="0" fillId="147" borderId="94" xfId="0" applyNumberFormat="1" applyFill="1" applyBorder="1" applyAlignment="1">
      <alignment horizontal="center" vertical="center"/>
    </xf>
    <xf numFmtId="42" fontId="0" fillId="147" borderId="95" xfId="0" applyNumberFormat="1" applyFill="1" applyBorder="1" applyAlignment="1">
      <alignment horizontal="center" vertical="center"/>
    </xf>
    <xf numFmtId="42" fontId="0" fillId="147" borderId="96" xfId="0" applyNumberFormat="1" applyFill="1" applyBorder="1" applyAlignment="1">
      <alignment horizontal="center" vertical="center"/>
    </xf>
    <xf numFmtId="42" fontId="0" fillId="147" borderId="118" xfId="0" applyNumberFormat="1" applyFill="1" applyBorder="1" applyAlignment="1">
      <alignment horizontal="right" vertical="center"/>
    </xf>
    <xf numFmtId="42" fontId="0" fillId="147" borderId="2" xfId="0" applyNumberFormat="1" applyFill="1" applyBorder="1" applyAlignment="1">
      <alignment horizontal="right" vertical="center"/>
    </xf>
    <xf numFmtId="9" fontId="0" fillId="147" borderId="103" xfId="58" applyFont="1" applyFill="1" applyBorder="1" applyAlignment="1">
      <alignment horizontal="center" vertical="center"/>
    </xf>
    <xf numFmtId="42" fontId="0" fillId="147" borderId="139" xfId="0" applyNumberFormat="1" applyFill="1" applyBorder="1" applyAlignment="1">
      <alignment horizontal="right" vertical="center"/>
    </xf>
    <xf numFmtId="42" fontId="0" fillId="147" borderId="120" xfId="0" applyNumberFormat="1" applyFill="1" applyBorder="1" applyAlignment="1">
      <alignment horizontal="right" vertical="center"/>
    </xf>
    <xf numFmtId="42" fontId="0" fillId="147" borderId="91" xfId="0" applyNumberFormat="1" applyFill="1" applyBorder="1" applyAlignment="1">
      <alignment horizontal="right" vertical="center"/>
    </xf>
    <xf numFmtId="209" fontId="0" fillId="147" borderId="92" xfId="0" applyNumberFormat="1" applyFill="1" applyBorder="1" applyAlignment="1">
      <alignment horizontal="center" vertical="center"/>
    </xf>
    <xf numFmtId="42" fontId="0" fillId="147" borderId="98" xfId="20531" applyNumberFormat="1" applyFont="1" applyFill="1" applyBorder="1" applyAlignment="1">
      <alignment horizontal="right" vertical="center"/>
    </xf>
    <xf numFmtId="42" fontId="0" fillId="147" borderId="127" xfId="0" applyNumberFormat="1" applyFill="1" applyBorder="1" applyAlignment="1">
      <alignment horizontal="right" vertical="center"/>
    </xf>
    <xf numFmtId="42" fontId="0" fillId="147" borderId="121" xfId="0" applyNumberFormat="1" applyFill="1" applyBorder="1" applyAlignment="1">
      <alignment horizontal="right" vertical="center"/>
    </xf>
    <xf numFmtId="0" fontId="188" fillId="0" borderId="127" xfId="0" applyFont="1" applyBorder="1" applyAlignment="1">
      <alignment horizontal="center" wrapText="1"/>
    </xf>
    <xf numFmtId="0" fontId="188" fillId="3" borderId="127" xfId="0" applyFont="1" applyFill="1" applyBorder="1" applyAlignment="1">
      <alignment horizontal="center" wrapText="1"/>
    </xf>
    <xf numFmtId="0" fontId="9" fillId="146" borderId="126" xfId="20563" applyFill="1" applyBorder="1"/>
    <xf numFmtId="0" fontId="22" fillId="0" borderId="0" xfId="20575" applyFont="1"/>
    <xf numFmtId="219" fontId="22" fillId="0" borderId="0" xfId="407" applyNumberFormat="1" applyFont="1" applyFill="1" applyAlignment="1">
      <alignment horizontal="center" wrapText="1"/>
    </xf>
    <xf numFmtId="0" fontId="22" fillId="0" borderId="0" xfId="20575" applyFont="1" applyAlignment="1">
      <alignment horizontal="center"/>
    </xf>
    <xf numFmtId="0" fontId="22" fillId="0" borderId="0" xfId="20575" applyFont="1" applyAlignment="1">
      <alignment horizontal="center" wrapText="1"/>
    </xf>
    <xf numFmtId="0" fontId="22" fillId="0" borderId="0" xfId="20575" applyFont="1" applyAlignment="1">
      <alignment horizontal="left" wrapText="1"/>
    </xf>
    <xf numFmtId="219" fontId="22" fillId="0" borderId="127" xfId="407" applyNumberFormat="1" applyFont="1" applyFill="1" applyBorder="1" applyAlignment="1">
      <alignment horizontal="center" wrapText="1"/>
    </xf>
    <xf numFmtId="0" fontId="22" fillId="0" borderId="127" xfId="20575" applyFont="1" applyBorder="1" applyAlignment="1">
      <alignment horizontal="center"/>
    </xf>
    <xf numFmtId="0" fontId="22" fillId="0" borderId="127" xfId="20575" applyFont="1" applyBorder="1" applyAlignment="1">
      <alignment horizontal="center" wrapText="1"/>
    </xf>
    <xf numFmtId="0" fontId="22" fillId="0" borderId="127" xfId="20575" applyFont="1" applyBorder="1" applyAlignment="1">
      <alignment horizontal="left" wrapText="1"/>
    </xf>
    <xf numFmtId="0" fontId="29" fillId="0" borderId="97" xfId="20566" applyFont="1" applyBorder="1" applyAlignment="1">
      <alignment vertical="center"/>
    </xf>
    <xf numFmtId="0" fontId="190" fillId="0" borderId="127" xfId="20566" applyFont="1" applyBorder="1" applyAlignment="1">
      <alignment vertical="center" wrapText="1"/>
    </xf>
    <xf numFmtId="0" fontId="190" fillId="0" borderId="131" xfId="20571" applyFont="1" applyFill="1" applyBorder="1" applyAlignment="1">
      <alignment vertical="center" wrapText="1"/>
    </xf>
    <xf numFmtId="0" fontId="190" fillId="0" borderId="131" xfId="20566" applyFont="1" applyBorder="1" applyAlignment="1">
      <alignment vertical="center" wrapText="1"/>
    </xf>
    <xf numFmtId="0" fontId="224" fillId="0" borderId="131" xfId="20575" applyFont="1" applyBorder="1" applyAlignment="1">
      <alignment vertical="center" wrapText="1"/>
    </xf>
    <xf numFmtId="0" fontId="190" fillId="0" borderId="127" xfId="20571" applyFont="1" applyFill="1" applyBorder="1" applyAlignment="1">
      <alignment vertical="center" wrapText="1"/>
    </xf>
    <xf numFmtId="0" fontId="190" fillId="0" borderId="131" xfId="20575" applyFont="1" applyBorder="1" applyAlignment="1">
      <alignment vertical="center" wrapText="1"/>
    </xf>
    <xf numFmtId="37" fontId="31" fillId="0" borderId="107" xfId="6" applyNumberFormat="1" applyFont="1" applyBorder="1"/>
    <xf numFmtId="37" fontId="31" fillId="0" borderId="73" xfId="6" applyNumberFormat="1" applyFont="1" applyBorder="1"/>
    <xf numFmtId="37" fontId="31" fillId="0" borderId="108" xfId="6" applyNumberFormat="1" applyFont="1" applyBorder="1"/>
    <xf numFmtId="0" fontId="230" fillId="2" borderId="0" xfId="6" applyFont="1" applyFill="1"/>
    <xf numFmtId="0" fontId="230" fillId="0" borderId="0" xfId="6" applyFont="1" applyAlignment="1">
      <alignment horizontal="center"/>
    </xf>
    <xf numFmtId="166" fontId="230" fillId="2" borderId="0" xfId="7" applyNumberFormat="1" applyFont="1" applyFill="1" applyBorder="1" applyAlignment="1">
      <alignment horizontal="center"/>
    </xf>
    <xf numFmtId="166" fontId="230" fillId="2" borderId="0" xfId="7" applyNumberFormat="1" applyFont="1" applyFill="1" applyBorder="1" applyAlignment="1">
      <alignment horizontal="center" wrapText="1"/>
    </xf>
    <xf numFmtId="171" fontId="209" fillId="147" borderId="127" xfId="64" applyNumberFormat="1" applyFont="1" applyFill="1" applyBorder="1" applyAlignment="1">
      <alignment horizontal="left" wrapText="1" indent="1"/>
    </xf>
    <xf numFmtId="0" fontId="231" fillId="0" borderId="4" xfId="6" applyFont="1" applyBorder="1" applyAlignment="1">
      <alignment horizontal="right" vertical="center"/>
    </xf>
    <xf numFmtId="43" fontId="230" fillId="2" borderId="0" xfId="64" applyFont="1" applyFill="1" applyBorder="1" applyAlignment="1">
      <alignment horizontal="center" wrapText="1"/>
    </xf>
    <xf numFmtId="171" fontId="30" fillId="3" borderId="95" xfId="64" applyNumberFormat="1" applyFont="1" applyFill="1" applyBorder="1" applyAlignment="1">
      <alignment horizontal="center" vertical="center"/>
    </xf>
    <xf numFmtId="171" fontId="209" fillId="147" borderId="127" xfId="64" applyNumberFormat="1" applyFont="1" applyFill="1" applyBorder="1" applyAlignment="1">
      <alignment horizontal="center"/>
    </xf>
    <xf numFmtId="171" fontId="209" fillId="147" borderId="2" xfId="64" applyNumberFormat="1" applyFont="1" applyFill="1" applyBorder="1" applyAlignment="1">
      <alignment horizontal="center"/>
    </xf>
    <xf numFmtId="171" fontId="30" fillId="3" borderId="93" xfId="6" applyNumberFormat="1" applyFont="1" applyFill="1" applyBorder="1" applyAlignment="1">
      <alignment horizontal="right" vertical="center"/>
    </xf>
    <xf numFmtId="171" fontId="30" fillId="3" borderId="127" xfId="6" applyNumberFormat="1" applyFont="1" applyFill="1" applyBorder="1" applyAlignment="1">
      <alignment horizontal="right" vertical="center" wrapText="1"/>
    </xf>
    <xf numFmtId="171" fontId="30" fillId="3" borderId="127" xfId="6" applyNumberFormat="1" applyFont="1" applyFill="1" applyBorder="1" applyAlignment="1">
      <alignment horizontal="center" vertical="center"/>
    </xf>
    <xf numFmtId="171" fontId="30" fillId="3" borderId="96" xfId="64" applyNumberFormat="1" applyFont="1" applyFill="1" applyBorder="1" applyAlignment="1">
      <alignment horizontal="center" vertical="center"/>
    </xf>
    <xf numFmtId="171" fontId="30" fillId="0" borderId="0" xfId="6" applyNumberFormat="1" applyFont="1" applyAlignment="1">
      <alignment horizontal="right" vertical="center"/>
    </xf>
    <xf numFmtId="171" fontId="30" fillId="3" borderId="127" xfId="64" applyNumberFormat="1" applyFont="1" applyFill="1" applyBorder="1" applyAlignment="1">
      <alignment horizontal="center" vertical="center"/>
    </xf>
    <xf numFmtId="171" fontId="30" fillId="3" borderId="129" xfId="64" applyNumberFormat="1" applyFont="1" applyFill="1" applyBorder="1" applyAlignment="1">
      <alignment horizontal="center" vertical="center"/>
    </xf>
    <xf numFmtId="171" fontId="30" fillId="3" borderId="152" xfId="6" applyNumberFormat="1" applyFont="1" applyFill="1" applyBorder="1" applyAlignment="1">
      <alignment horizontal="right" vertical="center"/>
    </xf>
    <xf numFmtId="171" fontId="30" fillId="3" borderId="153" xfId="6" applyNumberFormat="1" applyFont="1" applyFill="1" applyBorder="1" applyAlignment="1">
      <alignment horizontal="right" vertical="center"/>
    </xf>
    <xf numFmtId="171" fontId="30" fillId="3" borderId="153" xfId="6" applyNumberFormat="1" applyFont="1" applyFill="1" applyBorder="1" applyAlignment="1">
      <alignment horizontal="right" vertical="center" wrapText="1"/>
    </xf>
    <xf numFmtId="171" fontId="30" fillId="3" borderId="153" xfId="6" applyNumberFormat="1" applyFont="1" applyFill="1" applyBorder="1" applyAlignment="1">
      <alignment horizontal="center" vertical="center"/>
    </xf>
    <xf numFmtId="171" fontId="30" fillId="3" borderId="153" xfId="64" applyNumberFormat="1" applyFont="1" applyFill="1" applyBorder="1" applyAlignment="1">
      <alignment horizontal="center" vertical="center"/>
    </xf>
    <xf numFmtId="171" fontId="30" fillId="3" borderId="154" xfId="64" applyNumberFormat="1" applyFont="1" applyFill="1" applyBorder="1" applyAlignment="1">
      <alignment horizontal="center" vertical="center"/>
    </xf>
    <xf numFmtId="166" fontId="30" fillId="3" borderId="94" xfId="20531" applyNumberFormat="1" applyFont="1" applyFill="1" applyBorder="1" applyAlignment="1">
      <alignment horizontal="center" vertical="center"/>
    </xf>
    <xf numFmtId="166" fontId="30" fillId="3" borderId="95" xfId="20531" applyNumberFormat="1" applyFont="1" applyFill="1" applyBorder="1" applyAlignment="1">
      <alignment horizontal="center" vertical="center"/>
    </xf>
    <xf numFmtId="166" fontId="30" fillId="3" borderId="127" xfId="20531" applyNumberFormat="1" applyFont="1" applyFill="1" applyBorder="1" applyAlignment="1">
      <alignment horizontal="center" vertical="center"/>
    </xf>
    <xf numFmtId="166" fontId="30" fillId="3" borderId="153" xfId="20531" applyNumberFormat="1" applyFont="1" applyFill="1" applyBorder="1" applyAlignment="1">
      <alignment horizontal="center" vertical="center"/>
    </xf>
    <xf numFmtId="166" fontId="214" fillId="147" borderId="127" xfId="20531" applyNumberFormat="1" applyFont="1" applyFill="1" applyBorder="1" applyAlignment="1">
      <alignment horizontal="center" vertical="center"/>
    </xf>
    <xf numFmtId="171" fontId="193" fillId="3" borderId="140" xfId="64" applyNumberFormat="1" applyFont="1" applyFill="1" applyBorder="1"/>
    <xf numFmtId="5" fontId="29" fillId="3" borderId="140" xfId="20554" applyNumberFormat="1" applyFont="1" applyFill="1" applyBorder="1" applyAlignment="1">
      <alignment horizontal="right"/>
    </xf>
    <xf numFmtId="166" fontId="188" fillId="3" borderId="127" xfId="20531" applyNumberFormat="1" applyFont="1" applyFill="1" applyBorder="1"/>
    <xf numFmtId="166" fontId="191" fillId="3" borderId="127" xfId="20531" applyNumberFormat="1" applyFont="1" applyFill="1" applyBorder="1"/>
    <xf numFmtId="166" fontId="210" fillId="147" borderId="127" xfId="20531" applyNumberFormat="1" applyFont="1" applyFill="1" applyBorder="1"/>
    <xf numFmtId="43" fontId="210" fillId="143" borderId="127" xfId="20535" applyFont="1" applyFill="1" applyBorder="1"/>
    <xf numFmtId="166" fontId="210" fillId="147" borderId="127" xfId="20555" applyNumberFormat="1" applyFont="1" applyFill="1" applyBorder="1"/>
    <xf numFmtId="166" fontId="188" fillId="3" borderId="127" xfId="20555" applyNumberFormat="1" applyFont="1" applyFill="1" applyBorder="1"/>
    <xf numFmtId="166" fontId="42" fillId="147" borderId="127" xfId="20548" applyNumberFormat="1" applyFont="1" applyFill="1" applyBorder="1"/>
    <xf numFmtId="166" fontId="210" fillId="147" borderId="127" xfId="20548" applyNumberFormat="1" applyFont="1" applyFill="1" applyBorder="1"/>
    <xf numFmtId="166" fontId="20" fillId="0" borderId="0" xfId="20548" applyNumberFormat="1" applyFont="1"/>
    <xf numFmtId="166" fontId="0" fillId="143" borderId="127" xfId="0" applyNumberFormat="1" applyFill="1" applyBorder="1"/>
    <xf numFmtId="166" fontId="211" fillId="0" borderId="0" xfId="0" applyNumberFormat="1" applyFont="1"/>
    <xf numFmtId="166" fontId="0" fillId="0" borderId="0" xfId="0" applyNumberFormat="1"/>
    <xf numFmtId="166" fontId="188" fillId="0" borderId="127" xfId="0" applyNumberFormat="1" applyFont="1" applyBorder="1" applyAlignment="1">
      <alignment horizontal="center" wrapText="1"/>
    </xf>
    <xf numFmtId="166" fontId="188" fillId="3" borderId="127" xfId="0" applyNumberFormat="1" applyFont="1" applyFill="1" applyBorder="1" applyAlignment="1">
      <alignment horizontal="center" wrapText="1"/>
    </xf>
    <xf numFmtId="0" fontId="57" fillId="3" borderId="127" xfId="20532" applyFont="1" applyFill="1" applyBorder="1"/>
    <xf numFmtId="171" fontId="188" fillId="3" borderId="127" xfId="20535" applyNumberFormat="1" applyFont="1" applyFill="1" applyBorder="1"/>
    <xf numFmtId="43" fontId="210" fillId="147" borderId="127" xfId="20535" applyFont="1" applyFill="1" applyBorder="1"/>
    <xf numFmtId="171" fontId="211" fillId="0" borderId="0" xfId="0" applyNumberFormat="1" applyFont="1"/>
    <xf numFmtId="5" fontId="35" fillId="3" borderId="7" xfId="20532" applyNumberFormat="1" applyFont="1" applyFill="1" applyBorder="1" applyAlignment="1">
      <alignment horizontal="right" wrapText="1"/>
    </xf>
    <xf numFmtId="5" fontId="215" fillId="147" borderId="7" xfId="20532" applyNumberFormat="1" applyFont="1" applyFill="1" applyBorder="1" applyAlignment="1">
      <alignment horizontal="right" wrapText="1"/>
    </xf>
    <xf numFmtId="0" fontId="232" fillId="0" borderId="0" xfId="20582"/>
    <xf numFmtId="171" fontId="42" fillId="147" borderId="143" xfId="20565" applyNumberFormat="1" applyFont="1" applyFill="1" applyBorder="1" applyAlignment="1">
      <alignment horizontal="right"/>
    </xf>
    <xf numFmtId="0" fontId="0" fillId="0" borderId="118" xfId="0" applyBorder="1" applyAlignment="1">
      <alignment wrapText="1"/>
    </xf>
    <xf numFmtId="0" fontId="0" fillId="0" borderId="127" xfId="0" applyBorder="1"/>
    <xf numFmtId="10" fontId="0" fillId="143" borderId="127" xfId="0" applyNumberFormat="1" applyFill="1" applyBorder="1"/>
    <xf numFmtId="2" fontId="0" fillId="0" borderId="127" xfId="0" applyNumberFormat="1" applyBorder="1" applyAlignment="1">
      <alignment horizontal="right"/>
    </xf>
    <xf numFmtId="0" fontId="0" fillId="0" borderId="99" xfId="0" applyBorder="1" applyAlignment="1">
      <alignment wrapText="1"/>
    </xf>
    <xf numFmtId="2" fontId="29" fillId="0" borderId="127" xfId="0" applyNumberFormat="1" applyFont="1" applyBorder="1" applyAlignment="1">
      <alignment horizontal="right"/>
    </xf>
    <xf numFmtId="0" fontId="0" fillId="0" borderId="119" xfId="0" applyBorder="1" applyAlignment="1">
      <alignment wrapText="1"/>
    </xf>
    <xf numFmtId="0" fontId="21" fillId="0" borderId="0" xfId="20584" applyFont="1"/>
    <xf numFmtId="0" fontId="57" fillId="0" borderId="0" xfId="20585" applyFont="1"/>
    <xf numFmtId="0" fontId="34" fillId="0" borderId="0" xfId="20586" applyFont="1"/>
    <xf numFmtId="0" fontId="29" fillId="0" borderId="0" xfId="20587" applyFont="1"/>
    <xf numFmtId="9" fontId="29" fillId="0" borderId="0" xfId="20588" applyFont="1" applyFill="1" applyAlignment="1">
      <alignment horizontal="right"/>
    </xf>
    <xf numFmtId="2" fontId="29" fillId="0" borderId="0" xfId="20587" applyNumberFormat="1" applyFont="1" applyAlignment="1">
      <alignment horizontal="right"/>
    </xf>
    <xf numFmtId="166" fontId="29" fillId="0" borderId="0" xfId="20589" applyNumberFormat="1" applyFont="1" applyFill="1" applyAlignment="1">
      <alignment horizontal="right"/>
    </xf>
    <xf numFmtId="0" fontId="29" fillId="0" borderId="0" xfId="20587" applyFont="1" applyAlignment="1">
      <alignment wrapText="1"/>
    </xf>
    <xf numFmtId="0" fontId="2" fillId="0" borderId="0" xfId="20587" applyAlignment="1">
      <alignment wrapText="1"/>
    </xf>
    <xf numFmtId="0" fontId="2" fillId="0" borderId="0" xfId="20587"/>
    <xf numFmtId="0" fontId="193" fillId="0" borderId="0" xfId="20587" applyFont="1"/>
    <xf numFmtId="0" fontId="57" fillId="0" borderId="0" xfId="20587" applyFont="1" applyAlignment="1">
      <alignment wrapText="1"/>
    </xf>
    <xf numFmtId="0" fontId="57" fillId="0" borderId="0" xfId="20587" applyFont="1"/>
    <xf numFmtId="0" fontId="57" fillId="0" borderId="127" xfId="20587" applyFont="1" applyBorder="1" applyAlignment="1">
      <alignment horizontal="center" vertical="center" wrapText="1"/>
    </xf>
    <xf numFmtId="9" fontId="57" fillId="0" borderId="127" xfId="20588" applyFont="1" applyFill="1" applyBorder="1" applyAlignment="1">
      <alignment horizontal="center" vertical="center" wrapText="1"/>
    </xf>
    <xf numFmtId="2" fontId="57" fillId="0" borderId="127" xfId="20587" applyNumberFormat="1" applyFont="1" applyBorder="1" applyAlignment="1">
      <alignment horizontal="center" vertical="center" wrapText="1"/>
    </xf>
    <xf numFmtId="166" fontId="57" fillId="0" borderId="127" xfId="20589" applyNumberFormat="1" applyFont="1" applyFill="1" applyBorder="1" applyAlignment="1">
      <alignment horizontal="center" vertical="center" wrapText="1"/>
    </xf>
    <xf numFmtId="0" fontId="193" fillId="0" borderId="127" xfId="20587" applyFont="1" applyBorder="1" applyAlignment="1">
      <alignment horizontal="center" vertical="center" wrapText="1"/>
    </xf>
    <xf numFmtId="0" fontId="2" fillId="0" borderId="0" xfId="20587" applyAlignment="1">
      <alignment vertical="center"/>
    </xf>
    <xf numFmtId="0" fontId="2" fillId="0" borderId="127" xfId="20587" applyBorder="1"/>
    <xf numFmtId="10" fontId="2" fillId="0" borderId="127" xfId="20587" applyNumberFormat="1" applyBorder="1"/>
    <xf numFmtId="2" fontId="2" fillId="0" borderId="127" xfId="20587" applyNumberFormat="1" applyBorder="1" applyAlignment="1">
      <alignment horizontal="right"/>
    </xf>
    <xf numFmtId="166" fontId="0" fillId="0" borderId="127" xfId="20589" applyNumberFormat="1" applyFont="1" applyBorder="1" applyAlignment="1">
      <alignment horizontal="right"/>
    </xf>
    <xf numFmtId="0" fontId="29" fillId="0" borderId="127" xfId="20587" applyFont="1" applyBorder="1" applyAlignment="1">
      <alignment wrapText="1"/>
    </xf>
    <xf numFmtId="16" fontId="2" fillId="0" borderId="127" xfId="20587" quotePrefix="1" applyNumberFormat="1" applyBorder="1" applyAlignment="1">
      <alignment horizontal="center" wrapText="1"/>
    </xf>
    <xf numFmtId="10" fontId="2" fillId="0" borderId="0" xfId="20587" applyNumberFormat="1"/>
    <xf numFmtId="2" fontId="2" fillId="0" borderId="0" xfId="20587" applyNumberFormat="1" applyAlignment="1">
      <alignment horizontal="right"/>
    </xf>
    <xf numFmtId="166" fontId="0" fillId="0" borderId="0" xfId="20589" applyNumberFormat="1" applyFont="1" applyBorder="1" applyAlignment="1">
      <alignment horizontal="right"/>
    </xf>
    <xf numFmtId="16" fontId="2" fillId="0" borderId="0" xfId="20587" quotePrefix="1" applyNumberFormat="1" applyAlignment="1">
      <alignment horizontal="center" wrapText="1"/>
    </xf>
    <xf numFmtId="9" fontId="2" fillId="0" borderId="0" xfId="20587" applyNumberFormat="1"/>
    <xf numFmtId="2" fontId="29" fillId="0" borderId="127" xfId="20587" applyNumberFormat="1" applyFont="1" applyBorder="1" applyAlignment="1">
      <alignment horizontal="right"/>
    </xf>
    <xf numFmtId="0" fontId="57" fillId="0" borderId="127" xfId="20585" applyFont="1" applyBorder="1" applyAlignment="1">
      <alignment horizontal="center" vertical="center"/>
    </xf>
    <xf numFmtId="9" fontId="57" fillId="143" borderId="127" xfId="20588" applyFont="1" applyFill="1" applyBorder="1" applyAlignment="1">
      <alignment horizontal="center" vertical="center" wrapText="1"/>
    </xf>
    <xf numFmtId="2" fontId="57" fillId="143" borderId="127" xfId="20587" applyNumberFormat="1" applyFont="1" applyFill="1" applyBorder="1" applyAlignment="1">
      <alignment horizontal="center" vertical="center" wrapText="1"/>
    </xf>
    <xf numFmtId="0" fontId="193" fillId="0" borderId="127" xfId="0" applyFont="1" applyBorder="1" applyAlignment="1">
      <alignment horizontal="center" vertical="center" wrapText="1"/>
    </xf>
    <xf numFmtId="0" fontId="57" fillId="0" borderId="127" xfId="0" applyFont="1" applyBorder="1" applyAlignment="1">
      <alignment horizontal="center" vertical="center" wrapText="1"/>
    </xf>
    <xf numFmtId="9" fontId="29" fillId="0" borderId="127" xfId="20588" applyFont="1" applyFill="1" applyBorder="1" applyAlignment="1">
      <alignment horizontal="right"/>
    </xf>
    <xf numFmtId="0" fontId="2" fillId="0" borderId="0" xfId="20585"/>
    <xf numFmtId="9" fontId="0" fillId="143" borderId="127" xfId="20588" applyFont="1" applyFill="1" applyBorder="1" applyAlignment="1">
      <alignment horizontal="right"/>
    </xf>
    <xf numFmtId="0" fontId="0" fillId="0" borderId="92" xfId="0" applyBorder="1" applyAlignment="1">
      <alignment wrapText="1"/>
    </xf>
    <xf numFmtId="0" fontId="29" fillId="0" borderId="127" xfId="0" applyFont="1" applyBorder="1"/>
    <xf numFmtId="9" fontId="0" fillId="0" borderId="127" xfId="0" applyNumberFormat="1" applyBorder="1"/>
    <xf numFmtId="0" fontId="0" fillId="0" borderId="129" xfId="0" applyBorder="1" applyAlignment="1">
      <alignment wrapText="1"/>
    </xf>
    <xf numFmtId="0" fontId="0" fillId="0" borderId="96" xfId="0" applyBorder="1" applyAlignment="1">
      <alignment wrapText="1"/>
    </xf>
    <xf numFmtId="16" fontId="0" fillId="0" borderId="127" xfId="0" quotePrefix="1" applyNumberFormat="1" applyBorder="1" applyAlignment="1">
      <alignment horizontal="center" wrapText="1"/>
    </xf>
    <xf numFmtId="0" fontId="0" fillId="0" borderId="127" xfId="0" applyBorder="1" applyAlignment="1">
      <alignment wrapText="1"/>
    </xf>
    <xf numFmtId="0" fontId="29" fillId="0" borderId="127" xfId="0" applyFont="1" applyBorder="1" applyAlignment="1">
      <alignment wrapText="1"/>
    </xf>
    <xf numFmtId="9" fontId="29" fillId="143" borderId="127" xfId="20588" applyFont="1" applyFill="1" applyBorder="1" applyAlignment="1">
      <alignment horizontal="right"/>
    </xf>
    <xf numFmtId="171" fontId="188" fillId="3" borderId="127" xfId="64" applyNumberFormat="1" applyFont="1" applyFill="1" applyBorder="1"/>
    <xf numFmtId="171" fontId="210" fillId="143" borderId="127" xfId="64" applyNumberFormat="1" applyFont="1" applyFill="1" applyBorder="1"/>
    <xf numFmtId="42" fontId="23" fillId="3" borderId="112" xfId="1856" applyNumberFormat="1" applyFont="1" applyFill="1" applyBorder="1" applyAlignment="1">
      <alignment horizontal="left"/>
    </xf>
    <xf numFmtId="0" fontId="39" fillId="0" borderId="127" xfId="20548" applyFont="1" applyBorder="1"/>
    <xf numFmtId="166" fontId="232" fillId="2" borderId="0" xfId="20582" applyNumberFormat="1" applyFill="1" applyBorder="1" applyAlignment="1">
      <alignment horizontal="center"/>
    </xf>
    <xf numFmtId="0" fontId="29" fillId="0" borderId="0" xfId="20548" applyFont="1"/>
    <xf numFmtId="44" fontId="39" fillId="0" borderId="0" xfId="20549" applyNumberFormat="1"/>
    <xf numFmtId="166" fontId="39" fillId="0" borderId="0" xfId="20549" applyNumberFormat="1"/>
    <xf numFmtId="0" fontId="79" fillId="0" borderId="0" xfId="20563" applyFont="1" applyAlignment="1">
      <alignment horizontal="left"/>
    </xf>
    <xf numFmtId="166" fontId="22" fillId="2" borderId="0" xfId="6" applyNumberFormat="1" applyFill="1"/>
    <xf numFmtId="42" fontId="0" fillId="147" borderId="127" xfId="0" applyNumberFormat="1" applyFill="1" applyBorder="1" applyAlignment="1">
      <alignment vertical="center"/>
    </xf>
    <xf numFmtId="42" fontId="0" fillId="147" borderId="131" xfId="0" applyNumberFormat="1" applyFill="1" applyBorder="1" applyAlignment="1">
      <alignment vertical="center"/>
    </xf>
    <xf numFmtId="42" fontId="0" fillId="147" borderId="97" xfId="0" applyNumberFormat="1" applyFill="1" applyBorder="1" applyAlignment="1">
      <alignment horizontal="right" vertical="center"/>
    </xf>
    <xf numFmtId="9" fontId="191" fillId="147" borderId="115" xfId="58" applyFont="1" applyFill="1" applyBorder="1" applyAlignment="1">
      <alignment horizontal="center" vertical="center"/>
    </xf>
    <xf numFmtId="10" fontId="191" fillId="147" borderId="109" xfId="58" applyNumberFormat="1" applyFont="1" applyFill="1" applyBorder="1" applyAlignment="1">
      <alignment horizontal="center" vertical="center"/>
    </xf>
    <xf numFmtId="42" fontId="235" fillId="0" borderId="0" xfId="0" applyNumberFormat="1" applyFont="1" applyAlignment="1">
      <alignment vertical="center"/>
    </xf>
    <xf numFmtId="42" fontId="236" fillId="0" borderId="0" xfId="0" applyNumberFormat="1" applyFont="1" applyAlignment="1">
      <alignment vertical="center"/>
    </xf>
    <xf numFmtId="166" fontId="22" fillId="2" borderId="0" xfId="7" applyNumberFormat="1" applyFont="1" applyFill="1" applyBorder="1" applyAlignment="1">
      <alignment horizontal="left"/>
    </xf>
    <xf numFmtId="10" fontId="208" fillId="147" borderId="127" xfId="58" applyNumberFormat="1" applyFont="1" applyFill="1" applyBorder="1" applyAlignment="1" applyProtection="1">
      <alignment horizontal="center" wrapText="1"/>
      <protection locked="0"/>
    </xf>
    <xf numFmtId="5" fontId="35" fillId="147" borderId="7" xfId="20532" applyNumberFormat="1" applyFont="1" applyFill="1" applyBorder="1" applyAlignment="1">
      <alignment horizontal="right" wrapText="1"/>
    </xf>
    <xf numFmtId="0" fontId="208" fillId="147" borderId="127" xfId="2" applyFont="1" applyFill="1" applyBorder="1" applyAlignment="1" applyProtection="1">
      <alignment horizontal="left" wrapText="1"/>
      <protection locked="0"/>
    </xf>
    <xf numFmtId="10" fontId="208" fillId="147" borderId="127" xfId="58" applyNumberFormat="1" applyFont="1" applyFill="1" applyBorder="1" applyAlignment="1" applyProtection="1">
      <alignment horizontal="center"/>
      <protection locked="0"/>
    </xf>
    <xf numFmtId="166" fontId="30" fillId="148" borderId="172" xfId="7" applyNumberFormat="1" applyFont="1" applyFill="1" applyBorder="1" applyAlignment="1" applyProtection="1">
      <alignment horizontal="center" vertical="center" wrapText="1"/>
      <protection locked="0"/>
    </xf>
    <xf numFmtId="166" fontId="209" fillId="147" borderId="98" xfId="7" applyNumberFormat="1" applyFont="1" applyFill="1" applyBorder="1" applyAlignment="1">
      <alignment horizontal="center"/>
    </xf>
    <xf numFmtId="166" fontId="209" fillId="147" borderId="53" xfId="7" applyNumberFormat="1" applyFont="1" applyFill="1" applyBorder="1" applyAlignment="1">
      <alignment horizontal="center"/>
    </xf>
    <xf numFmtId="166" fontId="30" fillId="3" borderId="121" xfId="20531" applyNumberFormat="1" applyFont="1" applyFill="1" applyBorder="1" applyAlignment="1">
      <alignment horizontal="center" vertical="center"/>
    </xf>
    <xf numFmtId="166" fontId="30" fillId="0" borderId="53" xfId="7" applyNumberFormat="1" applyFont="1" applyFill="1" applyBorder="1" applyAlignment="1">
      <alignment horizontal="center" vertical="center"/>
    </xf>
    <xf numFmtId="166" fontId="30" fillId="148" borderId="53" xfId="7" applyNumberFormat="1" applyFont="1" applyFill="1" applyBorder="1" applyAlignment="1">
      <alignment horizontal="center"/>
    </xf>
    <xf numFmtId="166" fontId="209" fillId="143" borderId="98" xfId="202" applyNumberFormat="1" applyFont="1" applyFill="1" applyBorder="1" applyAlignment="1">
      <alignment horizontal="center"/>
    </xf>
    <xf numFmtId="166" fontId="30" fillId="143" borderId="98" xfId="7" applyNumberFormat="1" applyFont="1" applyFill="1" applyBorder="1" applyAlignment="1">
      <alignment horizontal="center" vertical="center"/>
    </xf>
    <xf numFmtId="166" fontId="30" fillId="0" borderId="98" xfId="7" applyNumberFormat="1" applyFont="1" applyFill="1" applyBorder="1" applyAlignment="1">
      <alignment horizontal="center" vertical="center"/>
    </xf>
    <xf numFmtId="166" fontId="30" fillId="3" borderId="98" xfId="20531" applyNumberFormat="1" applyFont="1" applyFill="1" applyBorder="1" applyAlignment="1">
      <alignment horizontal="center" vertical="center"/>
    </xf>
    <xf numFmtId="166" fontId="30" fillId="2" borderId="98" xfId="7" applyNumberFormat="1" applyFont="1" applyFill="1" applyBorder="1" applyAlignment="1">
      <alignment horizontal="center" vertical="center"/>
    </xf>
    <xf numFmtId="166" fontId="30" fillId="3" borderId="138" xfId="20531" applyNumberFormat="1" applyFont="1" applyFill="1" applyBorder="1" applyAlignment="1">
      <alignment horizontal="center" vertical="center"/>
    </xf>
    <xf numFmtId="166" fontId="30" fillId="148" borderId="173" xfId="7" applyNumberFormat="1" applyFont="1" applyFill="1" applyBorder="1" applyAlignment="1" applyProtection="1">
      <alignment horizontal="center" vertical="center" wrapText="1"/>
      <protection locked="0"/>
    </xf>
    <xf numFmtId="171" fontId="209" fillId="147" borderId="129" xfId="64" applyNumberFormat="1" applyFont="1" applyFill="1" applyBorder="1" applyAlignment="1">
      <alignment horizontal="left" wrapText="1" indent="1"/>
    </xf>
    <xf numFmtId="166" fontId="209" fillId="147" borderId="129" xfId="7" applyNumberFormat="1" applyFont="1" applyFill="1" applyBorder="1" applyAlignment="1">
      <alignment horizontal="center"/>
    </xf>
    <xf numFmtId="166" fontId="30" fillId="3" borderId="129" xfId="20531" applyNumberFormat="1" applyFont="1" applyFill="1" applyBorder="1" applyAlignment="1">
      <alignment horizontal="center" vertical="center"/>
    </xf>
    <xf numFmtId="166" fontId="30" fillId="0" borderId="5" xfId="7" applyNumberFormat="1" applyFont="1" applyFill="1" applyBorder="1" applyAlignment="1">
      <alignment horizontal="center" vertical="center"/>
    </xf>
    <xf numFmtId="166" fontId="30" fillId="148" borderId="5" xfId="7" applyNumberFormat="1" applyFont="1" applyFill="1" applyBorder="1" applyAlignment="1">
      <alignment horizontal="center"/>
    </xf>
    <xf numFmtId="166" fontId="209" fillId="147" borderId="129" xfId="202" applyNumberFormat="1" applyFont="1" applyFill="1" applyBorder="1" applyAlignment="1">
      <alignment horizontal="center"/>
    </xf>
    <xf numFmtId="166" fontId="30" fillId="3" borderId="129" xfId="7" applyNumberFormat="1" applyFont="1" applyFill="1" applyBorder="1" applyAlignment="1">
      <alignment horizontal="center" vertical="center"/>
    </xf>
    <xf numFmtId="166" fontId="30" fillId="0" borderId="129" xfId="7" applyNumberFormat="1" applyFont="1" applyFill="1" applyBorder="1" applyAlignment="1">
      <alignment horizontal="center" vertical="center"/>
    </xf>
    <xf numFmtId="166" fontId="30" fillId="2" borderId="129" xfId="7" applyNumberFormat="1" applyFont="1" applyFill="1" applyBorder="1" applyAlignment="1">
      <alignment horizontal="center" vertical="center"/>
    </xf>
    <xf numFmtId="166" fontId="214" fillId="143" borderId="129" xfId="7" applyNumberFormat="1" applyFont="1" applyFill="1" applyBorder="1" applyAlignment="1">
      <alignment horizontal="center" vertical="center"/>
    </xf>
    <xf numFmtId="166" fontId="30" fillId="3" borderId="154" xfId="20531" applyNumberFormat="1" applyFont="1" applyFill="1" applyBorder="1" applyAlignment="1">
      <alignment horizontal="center" vertical="center"/>
    </xf>
    <xf numFmtId="219" fontId="217" fillId="0" borderId="127" xfId="390" applyNumberFormat="1" applyFont="1" applyBorder="1" applyAlignment="1">
      <alignment horizontal="right" vertical="top"/>
    </xf>
    <xf numFmtId="219" fontId="217" fillId="0" borderId="127" xfId="390" applyNumberFormat="1" applyFont="1" applyFill="1" applyBorder="1" applyAlignment="1">
      <alignment horizontal="right" vertical="top"/>
    </xf>
    <xf numFmtId="179" fontId="217" fillId="0" borderId="127" xfId="390" applyFont="1" applyBorder="1" applyAlignment="1">
      <alignment horizontal="right" vertical="top"/>
    </xf>
    <xf numFmtId="179" fontId="217" fillId="0" borderId="127" xfId="390" applyFont="1" applyFill="1" applyBorder="1" applyAlignment="1">
      <alignment horizontal="right" vertical="top"/>
    </xf>
    <xf numFmtId="10" fontId="217" fillId="0" borderId="127" xfId="20568" applyNumberFormat="1" applyFont="1" applyFill="1" applyBorder="1" applyAlignment="1">
      <alignment horizontal="right" vertical="top"/>
    </xf>
    <xf numFmtId="10" fontId="217" fillId="0" borderId="127" xfId="20568" applyNumberFormat="1" applyFont="1" applyBorder="1" applyAlignment="1">
      <alignment horizontal="right" vertical="top"/>
    </xf>
    <xf numFmtId="9" fontId="217" fillId="0" borderId="127" xfId="20568" applyFont="1" applyFill="1" applyBorder="1" applyAlignment="1">
      <alignment horizontal="right" vertical="center"/>
    </xf>
    <xf numFmtId="0" fontId="187" fillId="0" borderId="53" xfId="20569" applyFont="1" applyBorder="1" applyAlignment="1">
      <alignment vertical="center" wrapText="1"/>
    </xf>
    <xf numFmtId="0" fontId="187" fillId="0" borderId="2" xfId="20569" applyFont="1" applyBorder="1" applyAlignment="1">
      <alignment vertical="center" wrapText="1"/>
    </xf>
    <xf numFmtId="0" fontId="187" fillId="0" borderId="98" xfId="20569" applyFont="1" applyBorder="1" applyAlignment="1">
      <alignment vertical="center" wrapText="1"/>
    </xf>
    <xf numFmtId="0" fontId="187" fillId="0" borderId="127" xfId="20569" applyFont="1" applyBorder="1" applyAlignment="1">
      <alignment vertical="center" wrapText="1"/>
    </xf>
    <xf numFmtId="9" fontId="217" fillId="0" borderId="127" xfId="20568" applyFont="1" applyBorder="1" applyAlignment="1">
      <alignment horizontal="right" vertical="top"/>
    </xf>
    <xf numFmtId="9" fontId="217" fillId="0" borderId="127" xfId="20568" applyFont="1" applyFill="1" applyBorder="1" applyAlignment="1">
      <alignment horizontal="right" vertical="top"/>
    </xf>
    <xf numFmtId="0" fontId="186" fillId="0" borderId="98" xfId="20569" applyFont="1" applyBorder="1" applyAlignment="1">
      <alignment vertical="center" wrapText="1"/>
    </xf>
    <xf numFmtId="0" fontId="186" fillId="0" borderId="127" xfId="20569" applyFont="1" applyBorder="1" applyAlignment="1">
      <alignment vertical="center" wrapText="1"/>
    </xf>
    <xf numFmtId="219" fontId="217" fillId="0" borderId="127" xfId="390" applyNumberFormat="1" applyFont="1" applyBorder="1" applyAlignment="1">
      <alignment horizontal="right" vertical="top" wrapText="1"/>
    </xf>
    <xf numFmtId="0" fontId="217" fillId="0" borderId="127" xfId="390" applyNumberFormat="1" applyFont="1" applyFill="1" applyBorder="1" applyAlignment="1">
      <alignment horizontal="right" vertical="top" wrapText="1"/>
    </xf>
    <xf numFmtId="0" fontId="217" fillId="0" borderId="127" xfId="390" applyNumberFormat="1" applyFont="1" applyFill="1" applyBorder="1" applyAlignment="1">
      <alignment horizontal="right" vertical="top"/>
    </xf>
    <xf numFmtId="10" fontId="217" fillId="0" borderId="127" xfId="20568" applyNumberFormat="1" applyFont="1" applyBorder="1" applyAlignment="1">
      <alignment horizontal="right" vertical="top" wrapText="1"/>
    </xf>
    <xf numFmtId="219" fontId="217" fillId="0" borderId="127" xfId="390" applyNumberFormat="1" applyFont="1" applyFill="1" applyBorder="1" applyAlignment="1">
      <alignment horizontal="right" vertical="top" wrapText="1"/>
    </xf>
    <xf numFmtId="0" fontId="190" fillId="0" borderId="127" xfId="20566" applyFont="1" applyBorder="1" applyAlignment="1">
      <alignment horizontal="center" vertical="center" wrapText="1"/>
    </xf>
    <xf numFmtId="0" fontId="190" fillId="0" borderId="131" xfId="20566" applyFont="1" applyBorder="1" applyAlignment="1">
      <alignment horizontal="center" vertical="center" wrapText="1"/>
    </xf>
    <xf numFmtId="0" fontId="224" fillId="0" borderId="131" xfId="20575" applyFont="1" applyBorder="1" applyAlignment="1">
      <alignment horizontal="center" vertical="center" wrapText="1"/>
    </xf>
    <xf numFmtId="0" fontId="190" fillId="0" borderId="131" xfId="20571" applyFont="1" applyFill="1" applyBorder="1" applyAlignment="1">
      <alignment horizontal="center" vertical="center" wrapText="1"/>
    </xf>
    <xf numFmtId="0" fontId="190" fillId="0" borderId="127" xfId="20571" applyFont="1" applyFill="1" applyBorder="1" applyAlignment="1">
      <alignment horizontal="center" vertical="center" wrapText="1"/>
    </xf>
    <xf numFmtId="0" fontId="190" fillId="0" borderId="131" xfId="20575" applyFont="1" applyBorder="1" applyAlignment="1">
      <alignment horizontal="center" vertical="center" wrapText="1"/>
    </xf>
    <xf numFmtId="166" fontId="0" fillId="0" borderId="127" xfId="20589" applyNumberFormat="1" applyFont="1" applyFill="1" applyBorder="1" applyAlignment="1">
      <alignment horizontal="right"/>
    </xf>
    <xf numFmtId="171" fontId="29" fillId="3" borderId="140" xfId="20565" applyNumberFormat="1" applyFont="1" applyFill="1" applyBorder="1" applyAlignment="1">
      <alignment horizontal="right"/>
    </xf>
    <xf numFmtId="171" fontId="193" fillId="3" borderId="140" xfId="20565" applyNumberFormat="1" applyFont="1" applyFill="1" applyBorder="1" applyAlignment="1">
      <alignment horizontal="right"/>
    </xf>
    <xf numFmtId="166" fontId="42" fillId="147" borderId="125" xfId="20554" applyNumberFormat="1" applyFont="1" applyFill="1" applyBorder="1" applyAlignment="1">
      <alignment horizontal="right"/>
    </xf>
    <xf numFmtId="171" fontId="193" fillId="3" borderId="126" xfId="20565" applyNumberFormat="1" applyFont="1" applyFill="1" applyBorder="1" applyAlignment="1">
      <alignment horizontal="right"/>
    </xf>
    <xf numFmtId="171" fontId="42" fillId="147" borderId="142" xfId="20565" applyNumberFormat="1" applyFont="1" applyFill="1" applyBorder="1" applyAlignment="1">
      <alignment horizontal="right"/>
    </xf>
    <xf numFmtId="171" fontId="42" fillId="147" borderId="122" xfId="20565" applyNumberFormat="1" applyFont="1" applyFill="1" applyBorder="1" applyAlignment="1">
      <alignment horizontal="right"/>
    </xf>
    <xf numFmtId="171" fontId="42" fillId="147" borderId="159" xfId="20565" applyNumberFormat="1" applyFont="1" applyFill="1" applyBorder="1" applyAlignment="1">
      <alignment horizontal="right"/>
    </xf>
    <xf numFmtId="42" fontId="42" fillId="147" borderId="125" xfId="20554" applyNumberFormat="1" applyFont="1" applyFill="1" applyBorder="1" applyAlignment="1">
      <alignment horizontal="right"/>
    </xf>
    <xf numFmtId="42" fontId="42" fillId="147" borderId="143" xfId="20565" applyNumberFormat="1" applyFont="1" applyFill="1" applyBorder="1" applyAlignment="1">
      <alignment horizontal="right"/>
    </xf>
    <xf numFmtId="42" fontId="42" fillId="147" borderId="158" xfId="20565" applyNumberFormat="1" applyFont="1" applyFill="1" applyBorder="1" applyAlignment="1">
      <alignment horizontal="right"/>
    </xf>
    <xf numFmtId="2" fontId="42" fillId="147" borderId="125" xfId="20554" applyNumberFormat="1" applyFont="1" applyFill="1" applyBorder="1" applyAlignment="1">
      <alignment horizontal="right"/>
    </xf>
    <xf numFmtId="166" fontId="215" fillId="147" borderId="7" xfId="20531" applyNumberFormat="1" applyFont="1" applyFill="1" applyBorder="1" applyAlignment="1">
      <alignment horizontal="right" wrapText="1"/>
    </xf>
    <xf numFmtId="171" fontId="30" fillId="0" borderId="2" xfId="64" applyNumberFormat="1" applyFont="1" applyFill="1" applyBorder="1" applyAlignment="1">
      <alignment horizontal="center" vertical="center"/>
    </xf>
    <xf numFmtId="220" fontId="208" fillId="147" borderId="127" xfId="20545" applyNumberFormat="1" applyFont="1" applyFill="1" applyBorder="1" applyAlignment="1" applyProtection="1">
      <alignment horizontal="center" wrapText="1"/>
      <protection locked="0"/>
    </xf>
    <xf numFmtId="220" fontId="208" fillId="147" borderId="127" xfId="20531" applyNumberFormat="1" applyFont="1" applyFill="1" applyBorder="1" applyAlignment="1" applyProtection="1">
      <alignment horizontal="center" wrapText="1"/>
      <protection locked="0"/>
    </xf>
    <xf numFmtId="220" fontId="208" fillId="147" borderId="127" xfId="20543" applyNumberFormat="1" applyFont="1" applyFill="1" applyBorder="1" applyAlignment="1" applyProtection="1">
      <alignment horizontal="center"/>
      <protection locked="0"/>
    </xf>
    <xf numFmtId="220" fontId="208" fillId="147" borderId="127" xfId="20545" applyNumberFormat="1" applyFont="1" applyFill="1" applyBorder="1" applyAlignment="1" applyProtection="1">
      <alignment horizontal="center"/>
      <protection locked="0"/>
    </xf>
    <xf numFmtId="42" fontId="208" fillId="147" borderId="127" xfId="20543" applyNumberFormat="1" applyFont="1" applyFill="1" applyBorder="1" applyAlignment="1" applyProtection="1">
      <alignment horizontal="center"/>
      <protection locked="0"/>
    </xf>
    <xf numFmtId="42" fontId="208" fillId="147" borderId="127" xfId="20543" applyNumberFormat="1" applyFont="1" applyFill="1" applyBorder="1" applyAlignment="1" applyProtection="1">
      <alignment horizontal="center" wrapText="1"/>
      <protection locked="0"/>
    </xf>
    <xf numFmtId="42" fontId="208" fillId="147" borderId="127" xfId="20545" applyNumberFormat="1" applyFont="1" applyFill="1" applyBorder="1" applyAlignment="1" applyProtection="1">
      <alignment horizontal="center" wrapText="1"/>
      <protection locked="0"/>
    </xf>
    <xf numFmtId="42" fontId="34" fillId="3" borderId="0" xfId="20559" applyNumberFormat="1" applyFont="1" applyFill="1" applyAlignment="1">
      <alignment vertical="center"/>
    </xf>
    <xf numFmtId="0" fontId="12" fillId="2" borderId="127" xfId="20532" applyFill="1" applyBorder="1" applyAlignment="1">
      <alignment horizontal="left" indent="1"/>
    </xf>
    <xf numFmtId="43" fontId="188" fillId="3" borderId="127" xfId="20535" applyFont="1" applyFill="1" applyBorder="1"/>
    <xf numFmtId="0" fontId="57" fillId="2" borderId="127" xfId="20532" applyFont="1" applyFill="1" applyBorder="1" applyAlignment="1">
      <alignment horizontal="left" indent="2"/>
    </xf>
    <xf numFmtId="0" fontId="21" fillId="0" borderId="94" xfId="1856" applyFont="1" applyBorder="1" applyAlignment="1">
      <alignment horizontal="left" indent="1"/>
    </xf>
    <xf numFmtId="166" fontId="39" fillId="3" borderId="127" xfId="20531" applyNumberFormat="1" applyFont="1" applyFill="1" applyBorder="1"/>
    <xf numFmtId="0" fontId="34" fillId="0" borderId="0" xfId="20547" applyFont="1" applyAlignment="1">
      <alignment horizontal="center"/>
    </xf>
    <xf numFmtId="0" fontId="34" fillId="2" borderId="0" xfId="6" applyFont="1" applyFill="1" applyAlignment="1">
      <alignment horizontal="center"/>
    </xf>
    <xf numFmtId="0" fontId="33" fillId="0" borderId="0" xfId="6" applyFont="1" applyAlignment="1">
      <alignment horizontal="center"/>
    </xf>
    <xf numFmtId="1" fontId="209" fillId="147" borderId="127" xfId="6" applyNumberFormat="1" applyFont="1" applyFill="1" applyBorder="1" applyAlignment="1">
      <alignment horizontal="center"/>
    </xf>
    <xf numFmtId="0" fontId="209" fillId="147" borderId="98" xfId="6" applyFont="1" applyFill="1" applyBorder="1" applyAlignment="1">
      <alignment horizontal="center"/>
    </xf>
    <xf numFmtId="0" fontId="30" fillId="148" borderId="2" xfId="6" applyFont="1" applyFill="1" applyBorder="1" applyAlignment="1">
      <alignment horizontal="center"/>
    </xf>
    <xf numFmtId="168" fontId="22" fillId="0" borderId="127" xfId="5259" applyNumberFormat="1" applyFont="1" applyFill="1" applyBorder="1" applyAlignment="1">
      <alignment horizontal="center"/>
    </xf>
    <xf numFmtId="0" fontId="30" fillId="3" borderId="127" xfId="6" applyFont="1" applyFill="1" applyBorder="1" applyAlignment="1">
      <alignment horizontal="center" vertical="center"/>
    </xf>
    <xf numFmtId="0" fontId="30" fillId="148" borderId="91" xfId="6" applyFont="1" applyFill="1" applyBorder="1" applyAlignment="1">
      <alignment horizontal="center"/>
    </xf>
    <xf numFmtId="0" fontId="209" fillId="147" borderId="93" xfId="6" applyFont="1" applyFill="1" applyBorder="1" applyAlignment="1">
      <alignment horizontal="center"/>
    </xf>
    <xf numFmtId="0" fontId="22" fillId="147" borderId="127" xfId="6" applyFill="1" applyBorder="1" applyAlignment="1">
      <alignment horizontal="center"/>
    </xf>
    <xf numFmtId="166" fontId="22" fillId="0" borderId="0" xfId="6" applyNumberFormat="1"/>
    <xf numFmtId="0" fontId="238" fillId="0" borderId="0" xfId="20549" applyFont="1"/>
    <xf numFmtId="0" fontId="21" fillId="0" borderId="0" xfId="20548" applyFont="1" applyAlignment="1">
      <alignment horizontal="left" vertical="top" wrapText="1"/>
    </xf>
    <xf numFmtId="166" fontId="21" fillId="0" borderId="0" xfId="20550" applyNumberFormat="1" applyFont="1" applyFill="1" applyBorder="1" applyAlignment="1">
      <alignment wrapText="1"/>
    </xf>
    <xf numFmtId="0" fontId="238" fillId="0" borderId="0" xfId="20548" applyFont="1"/>
    <xf numFmtId="0" fontId="21" fillId="0" borderId="127" xfId="60" applyNumberFormat="1" applyFont="1" applyFill="1" applyBorder="1" applyAlignment="1">
      <alignment horizontal="center" wrapText="1"/>
    </xf>
    <xf numFmtId="0" fontId="239" fillId="0" borderId="0" xfId="20532" applyFont="1"/>
    <xf numFmtId="0" fontId="29" fillId="0" borderId="10" xfId="20548" applyFont="1" applyBorder="1"/>
    <xf numFmtId="0" fontId="131" fillId="74" borderId="73" xfId="20557" applyFont="1" applyFill="1" applyBorder="1" applyAlignment="1">
      <alignment horizontal="centerContinuous" vertical="center"/>
    </xf>
    <xf numFmtId="0" fontId="131" fillId="74" borderId="108" xfId="20557" applyFont="1" applyFill="1" applyBorder="1" applyAlignment="1">
      <alignment horizontal="centerContinuous" vertical="center"/>
    </xf>
    <xf numFmtId="39" fontId="209" fillId="147" borderId="127" xfId="6" applyNumberFormat="1" applyFont="1" applyFill="1" applyBorder="1" applyAlignment="1">
      <alignment horizontal="center"/>
    </xf>
    <xf numFmtId="39" fontId="209" fillId="147" borderId="127" xfId="6" applyNumberFormat="1" applyFont="1" applyFill="1" applyBorder="1" applyAlignment="1">
      <alignment horizontal="left" wrapText="1" indent="1"/>
    </xf>
    <xf numFmtId="39" fontId="209" fillId="147" borderId="2" xfId="6" applyNumberFormat="1" applyFont="1" applyFill="1" applyBorder="1" applyAlignment="1">
      <alignment horizontal="center"/>
    </xf>
    <xf numFmtId="39" fontId="209" fillId="147" borderId="2" xfId="6" applyNumberFormat="1" applyFont="1" applyFill="1" applyBorder="1" applyAlignment="1">
      <alignment horizontal="left" wrapText="1" indent="1"/>
    </xf>
    <xf numFmtId="0" fontId="1" fillId="0" borderId="0" xfId="20532" applyFont="1"/>
    <xf numFmtId="0" fontId="1" fillId="0" borderId="0" xfId="20563" applyFont="1"/>
    <xf numFmtId="171" fontId="1" fillId="0" borderId="0" xfId="163" applyNumberFormat="1" applyFont="1"/>
    <xf numFmtId="171" fontId="1" fillId="0" borderId="0" xfId="163" applyNumberFormat="1" applyFont="1" applyFill="1"/>
    <xf numFmtId="171" fontId="1" fillId="0" borderId="0" xfId="13594" applyNumberFormat="1" applyFont="1"/>
    <xf numFmtId="0" fontId="1" fillId="0" borderId="0" xfId="20548" applyFont="1"/>
    <xf numFmtId="2" fontId="1" fillId="0" borderId="127" xfId="20587" applyNumberFormat="1" applyFont="1" applyBorder="1" applyAlignment="1">
      <alignment horizontal="right"/>
    </xf>
    <xf numFmtId="0" fontId="1" fillId="0" borderId="127" xfId="20587" applyFont="1" applyBorder="1" applyAlignment="1">
      <alignment wrapText="1"/>
    </xf>
    <xf numFmtId="6" fontId="1" fillId="3" borderId="140" xfId="20563" applyNumberFormat="1" applyFont="1" applyFill="1" applyBorder="1"/>
    <xf numFmtId="0" fontId="1" fillId="0" borderId="140" xfId="20563" applyFont="1" applyBorder="1" applyAlignment="1">
      <alignment horizontal="center"/>
    </xf>
    <xf numFmtId="168" fontId="1" fillId="143" borderId="143" xfId="58" applyNumberFormat="1" applyFont="1" applyFill="1" applyBorder="1" applyAlignment="1">
      <alignment horizontal="right"/>
    </xf>
    <xf numFmtId="168" fontId="1" fillId="143" borderId="140" xfId="58" applyNumberFormat="1" applyFont="1" applyFill="1" applyBorder="1" applyAlignment="1">
      <alignment horizontal="right"/>
    </xf>
    <xf numFmtId="168" fontId="1" fillId="143" borderId="142" xfId="58" applyNumberFormat="1" applyFont="1" applyFill="1" applyBorder="1" applyAlignment="1">
      <alignment horizontal="right"/>
    </xf>
    <xf numFmtId="0" fontId="1" fillId="146" borderId="140" xfId="20563" applyFont="1" applyFill="1" applyBorder="1"/>
    <xf numFmtId="0" fontId="1" fillId="148" borderId="125" xfId="20563" applyFont="1" applyFill="1" applyBorder="1" applyAlignment="1">
      <alignment horizontal="center" wrapText="1"/>
    </xf>
    <xf numFmtId="5" fontId="1" fillId="143" borderId="125" xfId="20554" applyNumberFormat="1" applyFont="1" applyFill="1" applyBorder="1" applyAlignment="1">
      <alignment horizontal="right"/>
    </xf>
    <xf numFmtId="168" fontId="1" fillId="3" borderId="143" xfId="58" applyNumberFormat="1" applyFont="1" applyFill="1" applyBorder="1" applyAlignment="1">
      <alignment horizontal="right"/>
    </xf>
    <xf numFmtId="168" fontId="1" fillId="3" borderId="140" xfId="58" applyNumberFormat="1" applyFont="1" applyFill="1" applyBorder="1" applyAlignment="1">
      <alignment horizontal="right"/>
    </xf>
    <xf numFmtId="168" fontId="1" fillId="3" borderId="125" xfId="58" applyNumberFormat="1" applyFont="1" applyFill="1" applyBorder="1" applyAlignment="1">
      <alignment horizontal="right"/>
    </xf>
    <xf numFmtId="9" fontId="1" fillId="0" borderId="0" xfId="20563" applyNumberFormat="1" applyFont="1" applyAlignment="1">
      <alignment horizontal="right"/>
    </xf>
    <xf numFmtId="0" fontId="1" fillId="0" borderId="0" xfId="20563" applyFont="1" applyAlignment="1">
      <alignment horizontal="right"/>
    </xf>
    <xf numFmtId="171" fontId="1" fillId="0" borderId="0" xfId="20565" applyNumberFormat="1" applyFont="1" applyBorder="1" applyAlignment="1">
      <alignment horizontal="right"/>
    </xf>
    <xf numFmtId="5" fontId="1" fillId="3" borderId="125" xfId="20554" applyNumberFormat="1" applyFont="1" applyFill="1" applyBorder="1" applyAlignment="1">
      <alignment horizontal="right"/>
    </xf>
    <xf numFmtId="208" fontId="1" fillId="0" borderId="140" xfId="20563" applyNumberFormat="1" applyFont="1" applyBorder="1" applyAlignment="1">
      <alignment horizontal="right"/>
    </xf>
    <xf numFmtId="208" fontId="1" fillId="0" borderId="0" xfId="20563" applyNumberFormat="1" applyFont="1" applyAlignment="1">
      <alignment horizontal="right"/>
    </xf>
    <xf numFmtId="0" fontId="1" fillId="0" borderId="140" xfId="20563" applyFont="1" applyBorder="1" applyAlignment="1">
      <alignment horizontal="right"/>
    </xf>
    <xf numFmtId="0" fontId="1" fillId="0" borderId="0" xfId="20563" applyFont="1" applyAlignment="1">
      <alignment horizontal="right" vertical="center" wrapText="1"/>
    </xf>
    <xf numFmtId="0" fontId="1" fillId="0" borderId="159" xfId="20563" applyFont="1" applyBorder="1" applyAlignment="1">
      <alignment horizontal="right"/>
    </xf>
    <xf numFmtId="0" fontId="131" fillId="0" borderId="174" xfId="20558" applyFont="1" applyBorder="1" applyProtection="1">
      <protection locked="0"/>
    </xf>
    <xf numFmtId="168" fontId="131" fillId="0" borderId="174" xfId="17592" applyNumberFormat="1" applyFont="1" applyBorder="1" applyProtection="1">
      <protection locked="0"/>
    </xf>
    <xf numFmtId="0" fontId="22" fillId="0" borderId="174" xfId="20557" applyBorder="1"/>
    <xf numFmtId="0" fontId="30" fillId="0" borderId="174" xfId="20559" applyFont="1" applyBorder="1" applyAlignment="1">
      <alignment horizontal="left" indent="1"/>
    </xf>
    <xf numFmtId="42" fontId="30" fillId="0" borderId="174" xfId="20559" applyNumberFormat="1" applyFont="1" applyBorder="1"/>
    <xf numFmtId="168" fontId="30" fillId="0" borderId="174" xfId="17592" applyNumberFormat="1" applyFont="1" applyBorder="1"/>
    <xf numFmtId="42" fontId="30" fillId="0" borderId="174" xfId="20559" applyNumberFormat="1" applyFont="1" applyBorder="1" applyAlignment="1">
      <alignment horizontal="center" vertical="center"/>
    </xf>
    <xf numFmtId="171" fontId="1" fillId="0" borderId="0" xfId="64" applyNumberFormat="1" applyFont="1"/>
    <xf numFmtId="171" fontId="1" fillId="0" borderId="127" xfId="64" applyNumberFormat="1" applyFont="1" applyFill="1" applyBorder="1" applyAlignment="1">
      <alignment horizontal="center" vertical="center"/>
    </xf>
    <xf numFmtId="0" fontId="1" fillId="0" borderId="127" xfId="20532" applyFont="1" applyBorder="1"/>
    <xf numFmtId="0" fontId="1" fillId="3" borderId="127" xfId="20532" applyFont="1" applyFill="1" applyBorder="1"/>
    <xf numFmtId="0" fontId="1" fillId="0" borderId="21" xfId="20532" applyFont="1" applyBorder="1"/>
    <xf numFmtId="0" fontId="1" fillId="0" borderId="127" xfId="20532" applyFont="1" applyBorder="1" applyAlignment="1">
      <alignment horizontal="center" vertical="center" wrapText="1"/>
    </xf>
    <xf numFmtId="0" fontId="1" fillId="2" borderId="127" xfId="20532" applyFont="1" applyFill="1" applyBorder="1" applyAlignment="1">
      <alignment horizontal="left" indent="1"/>
    </xf>
    <xf numFmtId="0" fontId="1" fillId="0" borderId="127" xfId="20548" applyFont="1" applyBorder="1" applyAlignment="1">
      <alignment horizontal="center" wrapText="1"/>
    </xf>
    <xf numFmtId="0" fontId="1" fillId="0" borderId="127" xfId="20548" applyFont="1" applyBorder="1"/>
    <xf numFmtId="0" fontId="1" fillId="0" borderId="21" xfId="20548" applyFont="1" applyBorder="1"/>
    <xf numFmtId="0" fontId="1" fillId="3" borderId="127" xfId="20548" applyFont="1" applyFill="1" applyBorder="1"/>
    <xf numFmtId="0" fontId="0" fillId="0" borderId="0" xfId="0" applyAlignment="1">
      <alignment horizontal="left" wrapText="1"/>
    </xf>
    <xf numFmtId="0" fontId="0" fillId="0" borderId="0" xfId="0" applyAlignment="1">
      <alignment horizontal="center"/>
    </xf>
    <xf numFmtId="0" fontId="2" fillId="0" borderId="0" xfId="20585" applyAlignment="1">
      <alignment horizontal="center" wrapText="1"/>
    </xf>
    <xf numFmtId="0" fontId="2" fillId="0" borderId="0" xfId="20585" applyAlignment="1">
      <alignment horizontal="left" wrapText="1"/>
    </xf>
    <xf numFmtId="42" fontId="188" fillId="0" borderId="127" xfId="0" applyNumberFormat="1" applyFont="1" applyBorder="1" applyAlignment="1">
      <alignment horizontal="center"/>
    </xf>
    <xf numFmtId="0" fontId="188" fillId="0" borderId="127" xfId="0" applyFont="1" applyBorder="1" applyAlignment="1">
      <alignment horizontal="center"/>
    </xf>
    <xf numFmtId="0" fontId="21" fillId="0" borderId="90" xfId="2" applyFont="1" applyBorder="1" applyAlignment="1">
      <alignment horizontal="left"/>
    </xf>
    <xf numFmtId="0" fontId="21" fillId="0" borderId="91" xfId="2" applyFont="1" applyBorder="1" applyAlignment="1">
      <alignment horizontal="left"/>
    </xf>
    <xf numFmtId="0" fontId="21" fillId="0" borderId="92" xfId="2" applyFont="1" applyBorder="1" applyAlignment="1">
      <alignment horizontal="left"/>
    </xf>
    <xf numFmtId="0" fontId="23" fillId="0" borderId="0" xfId="2" applyFont="1" applyAlignment="1">
      <alignment horizontal="left" wrapText="1"/>
    </xf>
    <xf numFmtId="0" fontId="28" fillId="0" borderId="73" xfId="20549" applyFont="1" applyBorder="1" applyAlignment="1">
      <alignment horizontal="center"/>
    </xf>
    <xf numFmtId="0" fontId="28" fillId="0" borderId="108" xfId="20549" applyFont="1" applyBorder="1" applyAlignment="1">
      <alignment horizontal="center"/>
    </xf>
    <xf numFmtId="0" fontId="238" fillId="0" borderId="0" xfId="20548" applyFont="1" applyAlignment="1">
      <alignment horizontal="left" wrapText="1"/>
    </xf>
    <xf numFmtId="0" fontId="28" fillId="0" borderId="107" xfId="20549" applyFont="1" applyBorder="1" applyAlignment="1">
      <alignment horizontal="center"/>
    </xf>
    <xf numFmtId="42" fontId="23" fillId="0" borderId="174" xfId="1856" applyNumberFormat="1" applyFont="1" applyBorder="1" applyAlignment="1">
      <alignment horizontal="left" wrapText="1"/>
    </xf>
    <xf numFmtId="0" fontId="238" fillId="0" borderId="0" xfId="20549" applyFont="1" applyAlignment="1">
      <alignment horizontal="left" wrapText="1"/>
    </xf>
    <xf numFmtId="0" fontId="28" fillId="0" borderId="149" xfId="20549" applyFont="1" applyBorder="1" applyAlignment="1">
      <alignment horizontal="center"/>
    </xf>
    <xf numFmtId="0" fontId="30" fillId="0" borderId="107" xfId="7" applyNumberFormat="1" applyFont="1" applyFill="1" applyBorder="1" applyAlignment="1">
      <alignment horizontal="center" vertical="center"/>
    </xf>
    <xf numFmtId="0" fontId="30" fillId="0" borderId="73" xfId="7" applyNumberFormat="1" applyFont="1" applyFill="1" applyBorder="1" applyAlignment="1">
      <alignment horizontal="center" vertical="center"/>
    </xf>
    <xf numFmtId="0" fontId="30" fillId="0" borderId="108" xfId="7" applyNumberFormat="1" applyFont="1" applyFill="1" applyBorder="1" applyAlignment="1">
      <alignment horizontal="center" vertical="center"/>
    </xf>
    <xf numFmtId="0" fontId="35" fillId="0" borderId="0" xfId="20532" applyFont="1" applyAlignment="1">
      <alignment horizontal="left"/>
    </xf>
    <xf numFmtId="0" fontId="35" fillId="0" borderId="102" xfId="20532" applyFont="1" applyBorder="1" applyAlignment="1">
      <alignment horizontal="center" wrapText="1"/>
    </xf>
    <xf numFmtId="0" fontId="35" fillId="0" borderId="8" xfId="20532" applyFont="1" applyBorder="1" applyAlignment="1">
      <alignment horizontal="center" wrapText="1"/>
    </xf>
    <xf numFmtId="42" fontId="0" fillId="147" borderId="131" xfId="0" applyNumberFormat="1" applyFill="1" applyBorder="1" applyAlignment="1">
      <alignment horizontal="center" vertical="center"/>
    </xf>
    <xf numFmtId="42" fontId="0" fillId="147" borderId="2" xfId="0" applyNumberFormat="1" applyFill="1" applyBorder="1" applyAlignment="1">
      <alignment horizontal="center" vertical="center"/>
    </xf>
    <xf numFmtId="42" fontId="0" fillId="147" borderId="133" xfId="0" applyNumberFormat="1" applyFill="1" applyBorder="1" applyAlignment="1">
      <alignment horizontal="center" vertical="center"/>
    </xf>
    <xf numFmtId="42" fontId="0" fillId="147" borderId="5" xfId="0" applyNumberFormat="1" applyFill="1" applyBorder="1" applyAlignment="1">
      <alignment horizontal="center" vertical="center"/>
    </xf>
    <xf numFmtId="42" fontId="0" fillId="147" borderId="130" xfId="0" applyNumberFormat="1" applyFill="1" applyBorder="1" applyAlignment="1">
      <alignment horizontal="center" vertical="center"/>
    </xf>
    <xf numFmtId="42" fontId="0" fillId="147" borderId="4" xfId="0" applyNumberFormat="1" applyFill="1" applyBorder="1" applyAlignment="1">
      <alignment horizontal="center" vertical="center"/>
    </xf>
    <xf numFmtId="10" fontId="191" fillId="147" borderId="171" xfId="58" applyNumberFormat="1" applyFont="1" applyFill="1" applyBorder="1" applyAlignment="1">
      <alignment horizontal="center" vertical="center"/>
    </xf>
    <xf numFmtId="10" fontId="191" fillId="147" borderId="101" xfId="58" applyNumberFormat="1" applyFont="1" applyFill="1" applyBorder="1" applyAlignment="1">
      <alignment horizontal="center" vertical="center"/>
    </xf>
    <xf numFmtId="10" fontId="191" fillId="147" borderId="115" xfId="58" applyNumberFormat="1" applyFont="1" applyFill="1" applyBorder="1" applyAlignment="1">
      <alignment horizontal="center" vertical="center"/>
    </xf>
    <xf numFmtId="0" fontId="189" fillId="3" borderId="107" xfId="0" applyFont="1" applyFill="1" applyBorder="1" applyAlignment="1">
      <alignment horizontal="center" vertical="center" wrapText="1"/>
    </xf>
    <xf numFmtId="0" fontId="189" fillId="3" borderId="73" xfId="0" applyFont="1" applyFill="1" applyBorder="1" applyAlignment="1">
      <alignment horizontal="center" vertical="center" wrapText="1"/>
    </xf>
    <xf numFmtId="0" fontId="189" fillId="3" borderId="108" xfId="0" applyFont="1" applyFill="1" applyBorder="1" applyAlignment="1">
      <alignment horizontal="center" vertical="center" wrapText="1"/>
    </xf>
    <xf numFmtId="0" fontId="187" fillId="0" borderId="3" xfId="0" applyFont="1" applyBorder="1" applyAlignment="1">
      <alignment horizontal="center" vertical="center" wrapText="1"/>
    </xf>
    <xf numFmtId="0" fontId="188" fillId="3" borderId="103" xfId="0" applyFont="1" applyFill="1" applyBorder="1" applyAlignment="1">
      <alignment horizontal="center" wrapText="1"/>
    </xf>
    <xf numFmtId="0" fontId="188" fillId="3" borderId="109" xfId="0" applyFont="1" applyFill="1" applyBorder="1" applyAlignment="1">
      <alignment horizontal="center" wrapText="1"/>
    </xf>
    <xf numFmtId="0" fontId="188" fillId="149" borderId="103" xfId="0" applyFont="1" applyFill="1" applyBorder="1" applyAlignment="1">
      <alignment horizontal="center" wrapText="1"/>
    </xf>
    <xf numFmtId="0" fontId="188" fillId="149" borderId="109" xfId="0" applyFont="1" applyFill="1" applyBorder="1" applyAlignment="1">
      <alignment horizontal="center" wrapText="1"/>
    </xf>
    <xf numFmtId="0" fontId="189" fillId="3" borderId="171" xfId="0" applyFont="1" applyFill="1" applyBorder="1" applyAlignment="1">
      <alignment horizontal="center" wrapText="1"/>
    </xf>
    <xf numFmtId="0" fontId="189" fillId="3" borderId="156" xfId="0" applyFont="1" applyFill="1" applyBorder="1" applyAlignment="1">
      <alignment horizontal="center" wrapText="1"/>
    </xf>
    <xf numFmtId="0" fontId="191" fillId="2" borderId="0" xfId="0" applyFont="1" applyFill="1" applyAlignment="1">
      <alignment horizontal="left" vertical="top" wrapText="1"/>
    </xf>
    <xf numFmtId="0" fontId="188" fillId="3" borderId="101" xfId="0" applyFont="1" applyFill="1" applyBorder="1" applyAlignment="1">
      <alignment horizontal="center" wrapText="1"/>
    </xf>
    <xf numFmtId="0" fontId="188" fillId="3" borderId="156" xfId="0" applyFont="1" applyFill="1" applyBorder="1" applyAlignment="1">
      <alignment horizontal="center" wrapText="1"/>
    </xf>
    <xf numFmtId="0" fontId="192" fillId="143" borderId="107" xfId="0" applyFont="1" applyFill="1" applyBorder="1" applyAlignment="1">
      <alignment horizontal="center"/>
    </xf>
    <xf numFmtId="0" fontId="192" fillId="143" borderId="73" xfId="0" applyFont="1" applyFill="1" applyBorder="1" applyAlignment="1">
      <alignment horizontal="center"/>
    </xf>
    <xf numFmtId="0" fontId="192" fillId="143" borderId="108" xfId="0" applyFont="1" applyFill="1" applyBorder="1" applyAlignment="1">
      <alignment horizontal="center"/>
    </xf>
    <xf numFmtId="0" fontId="189" fillId="3" borderId="152" xfId="0" applyFont="1" applyFill="1" applyBorder="1" applyAlignment="1">
      <alignment horizontal="center" vertical="center" wrapText="1"/>
    </xf>
    <xf numFmtId="0" fontId="189" fillId="3" borderId="153" xfId="0" applyFont="1" applyFill="1" applyBorder="1" applyAlignment="1">
      <alignment horizontal="center" vertical="center" wrapText="1"/>
    </xf>
    <xf numFmtId="0" fontId="189" fillId="3" borderId="161" xfId="0" applyFont="1" applyFill="1" applyBorder="1" applyAlignment="1">
      <alignment horizontal="center" vertical="center" wrapText="1"/>
    </xf>
    <xf numFmtId="0" fontId="0" fillId="2" borderId="103" xfId="0" applyFill="1" applyBorder="1" applyAlignment="1">
      <alignment horizontal="center" vertical="center"/>
    </xf>
    <xf numFmtId="0" fontId="0" fillId="2" borderId="115" xfId="0" applyFill="1" applyBorder="1" applyAlignment="1">
      <alignment horizontal="center" vertical="center"/>
    </xf>
    <xf numFmtId="0" fontId="0" fillId="2" borderId="116" xfId="0" applyFill="1" applyBorder="1" applyAlignment="1">
      <alignment horizontal="center" vertical="center"/>
    </xf>
    <xf numFmtId="0" fontId="0" fillId="2" borderId="109" xfId="0" applyFill="1" applyBorder="1" applyAlignment="1">
      <alignment horizontal="center" vertical="center"/>
    </xf>
    <xf numFmtId="42" fontId="0" fillId="147" borderId="147" xfId="0" applyNumberFormat="1" applyFill="1" applyBorder="1" applyAlignment="1">
      <alignment horizontal="center" vertical="center"/>
    </xf>
    <xf numFmtId="42" fontId="0" fillId="147" borderId="145" xfId="0" applyNumberFormat="1" applyFill="1" applyBorder="1" applyAlignment="1">
      <alignment horizontal="center" vertical="center"/>
    </xf>
    <xf numFmtId="0" fontId="57" fillId="0" borderId="126" xfId="20563" applyFont="1" applyBorder="1" applyAlignment="1">
      <alignment horizontal="center" vertical="top" wrapText="1"/>
    </xf>
    <xf numFmtId="0" fontId="9" fillId="0" borderId="126" xfId="20563" applyBorder="1" applyAlignment="1">
      <alignment horizontal="center" vertical="top" wrapText="1"/>
    </xf>
    <xf numFmtId="0" fontId="1" fillId="146" borderId="126" xfId="20563" applyFont="1" applyFill="1" applyBorder="1" applyAlignment="1">
      <alignment wrapText="1"/>
    </xf>
    <xf numFmtId="0" fontId="1" fillId="146" borderId="141" xfId="20563" applyFont="1" applyFill="1" applyBorder="1" applyAlignment="1">
      <alignment wrapText="1"/>
    </xf>
    <xf numFmtId="0" fontId="1" fillId="146" borderId="125" xfId="20563" applyFont="1" applyFill="1" applyBorder="1" applyAlignment="1">
      <alignment wrapText="1"/>
    </xf>
    <xf numFmtId="0" fontId="1" fillId="146" borderId="126" xfId="20563" applyFont="1" applyFill="1" applyBorder="1" applyAlignment="1">
      <alignment horizontal="left" wrapText="1"/>
    </xf>
    <xf numFmtId="0" fontId="9" fillId="146" borderId="125" xfId="20563" applyFill="1" applyBorder="1" applyAlignment="1">
      <alignment horizontal="left" wrapText="1"/>
    </xf>
    <xf numFmtId="0" fontId="9" fillId="146" borderId="126" xfId="20563" applyFill="1" applyBorder="1" applyAlignment="1">
      <alignment horizontal="left" wrapText="1"/>
    </xf>
    <xf numFmtId="0" fontId="102" fillId="0" borderId="0" xfId="20561" applyFont="1" applyAlignment="1">
      <alignment horizontal="left" vertical="top" wrapText="1"/>
    </xf>
    <xf numFmtId="0" fontId="34" fillId="3" borderId="107" xfId="20558" applyFont="1" applyFill="1" applyBorder="1" applyAlignment="1">
      <alignment horizontal="center" wrapText="1"/>
    </xf>
    <xf numFmtId="0" fontId="34" fillId="3" borderId="73" xfId="20558" applyFont="1" applyFill="1" applyBorder="1" applyAlignment="1">
      <alignment horizontal="center" wrapText="1"/>
    </xf>
    <xf numFmtId="0" fontId="34" fillId="3" borderId="108" xfId="20558" applyFont="1" applyFill="1" applyBorder="1" applyAlignment="1">
      <alignment horizontal="center" wrapText="1"/>
    </xf>
    <xf numFmtId="0" fontId="102" fillId="0" borderId="0" xfId="20561" applyFont="1" applyAlignment="1">
      <alignment horizontal="left" wrapText="1"/>
    </xf>
    <xf numFmtId="0" fontId="34" fillId="0" borderId="0" xfId="20558" applyFont="1" applyAlignment="1">
      <alignment horizontal="left" vertical="top" wrapText="1"/>
    </xf>
    <xf numFmtId="0" fontId="34" fillId="0" borderId="0" xfId="20557" applyFont="1" applyAlignment="1">
      <alignment horizontal="left" vertical="top" wrapText="1"/>
    </xf>
    <xf numFmtId="0" fontId="34" fillId="0" borderId="0" xfId="20557" applyFont="1" applyAlignment="1">
      <alignment horizontal="left" wrapText="1"/>
    </xf>
    <xf numFmtId="0" fontId="185" fillId="142" borderId="100" xfId="20532" applyFont="1" applyFill="1" applyBorder="1" applyAlignment="1">
      <alignment vertical="center" wrapText="1"/>
    </xf>
    <xf numFmtId="0" fontId="185" fillId="142" borderId="8" xfId="20532" applyFont="1" applyFill="1" applyBorder="1" applyAlignment="1">
      <alignment vertical="center" wrapText="1"/>
    </xf>
    <xf numFmtId="0" fontId="185" fillId="142" borderId="100" xfId="20532" applyFont="1" applyFill="1" applyBorder="1" applyAlignment="1">
      <alignment vertical="center"/>
    </xf>
    <xf numFmtId="0" fontId="185" fillId="142" borderId="8" xfId="20532" applyFont="1" applyFill="1" applyBorder="1" applyAlignment="1">
      <alignment vertical="center"/>
    </xf>
    <xf numFmtId="0" fontId="185" fillId="142" borderId="102" xfId="20532" applyFont="1" applyFill="1" applyBorder="1" applyAlignment="1">
      <alignment vertical="center" wrapText="1"/>
    </xf>
    <xf numFmtId="0" fontId="185" fillId="142" borderId="101" xfId="20532" applyFont="1" applyFill="1" applyBorder="1" applyAlignment="1">
      <alignment vertical="center" wrapText="1"/>
    </xf>
    <xf numFmtId="0" fontId="185" fillId="142" borderId="156" xfId="20532" applyFont="1" applyFill="1" applyBorder="1" applyAlignment="1">
      <alignment vertical="center" wrapText="1"/>
    </xf>
    <xf numFmtId="0" fontId="185" fillId="142" borderId="102" xfId="20532" applyFont="1" applyFill="1" applyBorder="1" applyAlignment="1">
      <alignment horizontal="center" vertical="center"/>
    </xf>
    <xf numFmtId="0" fontId="185" fillId="142" borderId="156" xfId="20532" applyFont="1" applyFill="1" applyBorder="1" applyAlignment="1">
      <alignment horizontal="center" vertical="center"/>
    </xf>
    <xf numFmtId="0" fontId="1" fillId="0" borderId="127" xfId="20532" applyFont="1" applyBorder="1" applyAlignment="1">
      <alignment horizontal="center"/>
    </xf>
    <xf numFmtId="0" fontId="12" fillId="0" borderId="127" xfId="20532" applyBorder="1" applyAlignment="1">
      <alignment horizontal="center"/>
    </xf>
    <xf numFmtId="171" fontId="1" fillId="0" borderId="127" xfId="64" applyNumberFormat="1" applyFont="1" applyFill="1" applyBorder="1" applyAlignment="1">
      <alignment horizontal="center"/>
    </xf>
  </cellXfs>
  <cellStyles count="20590">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17 2 2" xfId="20565" xr:uid="{45822DFC-07CA-40B5-8723-40F8F3FFE95A}"/>
    <cellStyle name="Comma 118" xfId="20581" xr:uid="{653CC917-47A4-413B-8E8A-45B79B140CC2}"/>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12" xfId="20567" xr:uid="{59C17EA5-08AD-4D80-AC1C-ED4B65E39469}"/>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61 2 2" xfId="20564" xr:uid="{5E756C9E-EAD9-4C6C-9AC3-9AB6DCFA9AB0}"/>
    <cellStyle name="Currency 62" xfId="20579" xr:uid="{73802B2A-A29B-45DA-B0C4-F2BBF0F82C6C}"/>
    <cellStyle name="Currency 62 2" xfId="20589" xr:uid="{3CD05A53-DA99-4226-AF27-905070C92CA5}"/>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12" xfId="20571" xr:uid="{ECE6C88B-925A-4046-A0C6-443E34ACF52C}"/>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xfId="20582" builtinId="8"/>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12" xfId="20570" xr:uid="{03921355-7B55-4BD7-8180-02E2CF420EAD}"/>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22" xfId="20566" xr:uid="{4274BA2E-76D4-42DF-B17B-8A96717D3BDA}"/>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 8 3" xfId="20562" xr:uid="{A5241C68-4D71-423D-A378-4AE18A057E6E}"/>
    <cellStyle name="Normal 2 2 8 4" xfId="20573" xr:uid="{D8E6189D-97EA-4112-97C4-7FB35D08212E}"/>
    <cellStyle name="Normal 2 2 8 4 2" xfId="20574" xr:uid="{63BFFF18-3A4A-4318-9957-7423E25ECC39}"/>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 7" xfId="20584" xr:uid="{4D6CD0A0-8F89-419F-A8DE-1F56388FED43}"/>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2 6 2 2" xfId="20586" xr:uid="{AF55C1AA-FB69-4D76-974C-BD31AC283533}"/>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10 2 2" xfId="20563" xr:uid="{F0504E7F-80FC-4E6C-AE5E-C2BF8F3B816E}"/>
    <cellStyle name="Normal 210 3" xfId="20572" xr:uid="{E95D1431-A504-4218-96C0-1B6A01809779}"/>
    <cellStyle name="Normal 211" xfId="20578" xr:uid="{7FC7D5C1-9368-4F70-8CD4-989228DC9622}"/>
    <cellStyle name="Normal 211 2" xfId="20587" xr:uid="{FCE2E7EC-9696-478A-B22C-19CB7473B5BD}"/>
    <cellStyle name="Normal 212" xfId="20583" xr:uid="{56C32F31-5397-4999-9D0A-8B662B390B09}"/>
    <cellStyle name="Normal 212 2" xfId="20585" xr:uid="{823010F2-4AAD-4120-86CB-5AADE4FDA871}"/>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44" xfId="20577" xr:uid="{7CCE755E-DBF6-4654-BF16-91E8B2AFC34A}"/>
    <cellStyle name="Normal 344 6" xfId="20569" xr:uid="{C796EF72-A3AD-49B7-A90F-CDCDC6477B26}"/>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31" xfId="20575" xr:uid="{6AEB2EB0-1D82-4CE3-ACE6-F7424E279F5B}"/>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7 4" xfId="20561" xr:uid="{965650D4-4923-47E5-8D8B-7FB6C83294BB}"/>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23" xfId="20568" xr:uid="{2A86E31E-F865-4D80-9459-F71F7004523B}"/>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11" xfId="20576" xr:uid="{2E650156-212F-4B83-A20D-A771177DACB7}"/>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 91" xfId="20580" xr:uid="{79506528-03CC-4828-B0FC-882566E45FE2}"/>
    <cellStyle name="Percent 91 2" xfId="20588" xr:uid="{16F83D80-7A1D-4A2F-8642-E66BD8679637}"/>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0"/>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0</xdr:colOff>
      <xdr:row>16</xdr:row>
      <xdr:rowOff>195014</xdr:rowOff>
    </xdr:from>
    <xdr:ext cx="3232894" cy="376485"/>
    <xdr:sp macro="" textlink="">
      <xdr:nvSpPr>
        <xdr:cNvPr id="2" name="Rectangle 1">
          <a:extLst>
            <a:ext uri="{FF2B5EF4-FFF2-40B4-BE49-F238E27FC236}">
              <a16:creationId xmlns:a16="http://schemas.microsoft.com/office/drawing/2014/main" id="{F91792CF-9B92-459C-8631-20B4D05FB715}"/>
            </a:ext>
          </a:extLst>
        </xdr:cNvPr>
        <xdr:cNvSpPr/>
      </xdr:nvSpPr>
      <xdr:spPr>
        <a:xfrm flipV="1">
          <a:off x="13289644" y="3370014"/>
          <a:ext cx="3232894" cy="376485"/>
        </a:xfrm>
        <a:prstGeom prst="rect">
          <a:avLst/>
        </a:prstGeom>
        <a:noFill/>
      </xdr:spPr>
      <xdr:txBody>
        <a:bodyPr wrap="square" lIns="91440" tIns="45720" rIns="91440" bIns="45720">
          <a:noAutofit/>
        </a:bodyPr>
        <a:lstStyle/>
        <a:p>
          <a:pPr algn="ctr"/>
          <a:endParaRPr lang="en-US" sz="2800" b="0" cap="none" spc="0" baseline="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2718594</xdr:colOff>
      <xdr:row>23</xdr:row>
      <xdr:rowOff>154473</xdr:rowOff>
    </xdr:from>
    <xdr:to>
      <xdr:col>8</xdr:col>
      <xdr:colOff>175911</xdr:colOff>
      <xdr:row>40</xdr:row>
      <xdr:rowOff>119211</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2718594" y="4916973"/>
          <a:ext cx="8680942" cy="306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12</xdr:col>
      <xdr:colOff>479595</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1514086</xdr:colOff>
      <xdr:row>52</xdr:row>
      <xdr:rowOff>130012</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55</xdr:row>
      <xdr:rowOff>0</xdr:rowOff>
    </xdr:from>
    <xdr:to>
      <xdr:col>4</xdr:col>
      <xdr:colOff>253</xdr:colOff>
      <xdr:row>71</xdr:row>
      <xdr:rowOff>19084</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3</xdr:col>
      <xdr:colOff>1468005</xdr:colOff>
      <xdr:row>54</xdr:row>
      <xdr:rowOff>97627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3</xdr:col>
      <xdr:colOff>1582881</xdr:colOff>
      <xdr:row>71</xdr:row>
      <xdr:rowOff>19719</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1507374</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1583621</xdr:colOff>
      <xdr:row>71</xdr:row>
      <xdr:rowOff>15909</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1476682</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6069</xdr:colOff>
      <xdr:row>71</xdr:row>
      <xdr:rowOff>19719</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1504622</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17077</xdr:colOff>
      <xdr:row>71</xdr:row>
      <xdr:rowOff>19719</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C7DD-AF03-4688-B498-5BEB0A10F87A}">
  <dimension ref="A1:N177"/>
  <sheetViews>
    <sheetView workbookViewId="0"/>
  </sheetViews>
  <sheetFormatPr defaultRowHeight="15.75"/>
  <cols>
    <col min="1" max="1" width="31.625" customWidth="1"/>
    <col min="2" max="2" width="120.625" customWidth="1"/>
    <col min="10" max="10" width="8" style="8"/>
    <col min="11" max="11" width="13.75" style="8" bestFit="1" customWidth="1"/>
    <col min="12" max="12" width="14.25" style="8" customWidth="1"/>
    <col min="13" max="13" width="16.75" style="8" customWidth="1"/>
  </cols>
  <sheetData>
    <row r="1" spans="1:14" ht="16.149999999999999" thickBot="1">
      <c r="A1" s="397" t="s">
        <v>0</v>
      </c>
      <c r="J1"/>
      <c r="K1"/>
      <c r="L1"/>
      <c r="M1"/>
    </row>
    <row r="2" spans="1:14" ht="16.149999999999999" thickBot="1">
      <c r="A2" s="398" t="s">
        <v>1</v>
      </c>
      <c r="B2" s="610" t="s">
        <v>2</v>
      </c>
      <c r="J2"/>
      <c r="K2"/>
      <c r="L2"/>
      <c r="M2"/>
    </row>
    <row r="3" spans="1:14" ht="16.149999999999999" thickBot="1">
      <c r="A3" s="571" t="s">
        <v>3</v>
      </c>
      <c r="B3" s="572" t="s">
        <v>4</v>
      </c>
      <c r="J3" s="12"/>
      <c r="K3" s="12"/>
      <c r="L3" s="12"/>
      <c r="M3" s="12"/>
    </row>
    <row r="4" spans="1:14" ht="16.149999999999999" thickTop="1">
      <c r="B4" t="s">
        <v>5</v>
      </c>
      <c r="I4" s="595"/>
      <c r="J4" s="596"/>
      <c r="K4" s="596"/>
      <c r="L4" s="596"/>
      <c r="M4" s="596"/>
      <c r="N4" s="597"/>
    </row>
    <row r="5" spans="1:14">
      <c r="B5" t="s">
        <v>6</v>
      </c>
      <c r="I5" s="598"/>
      <c r="J5" s="948" t="s">
        <v>7</v>
      </c>
      <c r="K5" s="948"/>
      <c r="L5" s="948"/>
      <c r="M5" s="948"/>
      <c r="N5" s="599"/>
    </row>
    <row r="6" spans="1:14">
      <c r="B6" t="s">
        <v>8</v>
      </c>
      <c r="I6" s="598"/>
      <c r="J6"/>
      <c r="K6"/>
      <c r="L6"/>
      <c r="M6"/>
      <c r="N6" s="599"/>
    </row>
    <row r="7" spans="1:14" ht="26.65" thickBot="1">
      <c r="B7" t="s">
        <v>9</v>
      </c>
      <c r="I7" s="598"/>
      <c r="J7" s="182" t="s">
        <v>10</v>
      </c>
      <c r="K7" s="182" t="s">
        <v>11</v>
      </c>
      <c r="L7" s="182" t="s">
        <v>12</v>
      </c>
      <c r="M7" s="182" t="s">
        <v>13</v>
      </c>
      <c r="N7" s="599"/>
    </row>
    <row r="8" spans="1:14" ht="16.149999999999999" thickTop="1">
      <c r="B8" s="428" t="s">
        <v>14</v>
      </c>
      <c r="E8" s="407"/>
      <c r="I8" s="598"/>
      <c r="J8" s="12" t="s">
        <v>15</v>
      </c>
      <c r="K8" s="12" t="s">
        <v>16</v>
      </c>
      <c r="L8" s="12" t="s">
        <v>17</v>
      </c>
      <c r="M8" s="12" t="s">
        <v>18</v>
      </c>
      <c r="N8" s="599"/>
    </row>
    <row r="9" spans="1:14">
      <c r="B9" s="428" t="s">
        <v>19</v>
      </c>
      <c r="E9" s="407"/>
      <c r="I9" s="598"/>
      <c r="J9" s="12" t="s">
        <v>20</v>
      </c>
      <c r="K9" s="12" t="s">
        <v>21</v>
      </c>
      <c r="L9" s="12" t="s">
        <v>22</v>
      </c>
      <c r="M9" s="12" t="s">
        <v>23</v>
      </c>
      <c r="N9" s="599"/>
    </row>
    <row r="10" spans="1:14">
      <c r="E10" s="407"/>
      <c r="I10" s="598"/>
      <c r="J10" s="12"/>
      <c r="K10" s="12" t="s">
        <v>24</v>
      </c>
      <c r="L10" s="12" t="s">
        <v>25</v>
      </c>
      <c r="M10" s="12" t="s">
        <v>26</v>
      </c>
      <c r="N10" s="599"/>
    </row>
    <row r="11" spans="1:14">
      <c r="B11" s="406"/>
      <c r="E11" s="407"/>
      <c r="I11" s="598"/>
      <c r="J11" s="12"/>
      <c r="K11" s="12"/>
      <c r="L11" s="12" t="s">
        <v>27</v>
      </c>
      <c r="M11" s="12" t="s">
        <v>28</v>
      </c>
      <c r="N11" s="599"/>
    </row>
    <row r="12" spans="1:14">
      <c r="E12" s="407"/>
      <c r="I12" s="598"/>
      <c r="J12" s="12"/>
      <c r="K12" s="12"/>
      <c r="L12" s="12" t="s">
        <v>29</v>
      </c>
      <c r="M12" s="12"/>
      <c r="N12" s="599"/>
    </row>
    <row r="13" spans="1:14" ht="16.149999999999999" thickBot="1">
      <c r="E13" s="407"/>
      <c r="I13" s="598"/>
      <c r="J13" s="12"/>
      <c r="K13" s="12"/>
      <c r="L13" s="12" t="s">
        <v>30</v>
      </c>
      <c r="M13" s="12"/>
      <c r="N13" s="599"/>
    </row>
    <row r="14" spans="1:14" ht="16.149999999999999" thickBot="1">
      <c r="B14" s="239" t="s">
        <v>31</v>
      </c>
      <c r="I14" s="598"/>
      <c r="J14" s="12"/>
      <c r="K14" s="12"/>
      <c r="L14" s="12" t="s">
        <v>32</v>
      </c>
      <c r="M14" s="12"/>
      <c r="N14" s="599"/>
    </row>
    <row r="15" spans="1:14">
      <c r="B15" s="607" t="s">
        <v>33</v>
      </c>
      <c r="I15" s="598"/>
      <c r="J15" s="12"/>
      <c r="K15" s="12"/>
      <c r="L15" s="12" t="s">
        <v>34</v>
      </c>
      <c r="M15" s="12"/>
      <c r="N15" s="599"/>
    </row>
    <row r="16" spans="1:14">
      <c r="B16" s="608" t="s">
        <v>35</v>
      </c>
      <c r="I16" s="598"/>
      <c r="J16" s="12"/>
      <c r="K16" s="12"/>
      <c r="L16" s="12" t="s">
        <v>36</v>
      </c>
      <c r="M16" s="12"/>
      <c r="N16" s="599"/>
    </row>
    <row r="17" spans="1:14" ht="16.149999999999999" thickBot="1">
      <c r="B17" s="609" t="s">
        <v>37</v>
      </c>
      <c r="I17" s="598"/>
      <c r="J17" s="12"/>
      <c r="K17" s="12"/>
      <c r="L17" s="12" t="s">
        <v>28</v>
      </c>
      <c r="M17" s="12"/>
      <c r="N17" s="599"/>
    </row>
    <row r="18" spans="1:14" ht="16.149999999999999" thickBot="1">
      <c r="I18" s="600"/>
      <c r="J18" s="601"/>
      <c r="K18" s="601"/>
      <c r="L18" s="601"/>
      <c r="M18" s="601"/>
      <c r="N18" s="602"/>
    </row>
    <row r="19" spans="1:14" ht="16.149999999999999" thickTop="1">
      <c r="A19" s="397" t="s">
        <v>38</v>
      </c>
      <c r="J19" s="12"/>
      <c r="K19" s="12"/>
      <c r="L19" s="12"/>
      <c r="M19" s="12"/>
    </row>
    <row r="20" spans="1:14">
      <c r="A20" t="s">
        <v>39</v>
      </c>
      <c r="B20" s="592" t="s">
        <v>40</v>
      </c>
      <c r="J20" s="12"/>
      <c r="K20" s="12"/>
      <c r="L20" s="12"/>
      <c r="M20" s="12"/>
    </row>
    <row r="21" spans="1:14">
      <c r="A21" t="s">
        <v>41</v>
      </c>
      <c r="B21" s="592" t="s">
        <v>42</v>
      </c>
      <c r="J21" s="12"/>
      <c r="K21" s="12"/>
      <c r="L21" s="12"/>
      <c r="M21" s="12"/>
    </row>
    <row r="22" spans="1:14">
      <c r="B22" s="592"/>
      <c r="J22" s="12"/>
      <c r="K22" s="12"/>
      <c r="L22" s="12"/>
      <c r="M22" s="12"/>
    </row>
    <row r="23" spans="1:14">
      <c r="A23" t="s">
        <v>43</v>
      </c>
      <c r="B23" s="593" t="s">
        <v>44</v>
      </c>
      <c r="J23" s="12"/>
      <c r="K23" s="12"/>
      <c r="L23" s="12"/>
      <c r="M23" s="12"/>
    </row>
    <row r="24" spans="1:14">
      <c r="B24" s="593" t="s">
        <v>45</v>
      </c>
      <c r="J24" s="12"/>
      <c r="K24" s="12"/>
      <c r="L24" s="12"/>
      <c r="M24" s="12"/>
    </row>
    <row r="25" spans="1:14">
      <c r="B25" s="593" t="s">
        <v>46</v>
      </c>
      <c r="J25" s="12"/>
      <c r="K25" s="12"/>
      <c r="L25" s="12"/>
      <c r="M25" s="12"/>
    </row>
    <row r="26" spans="1:14">
      <c r="B26" s="3"/>
      <c r="J26" s="12"/>
      <c r="K26" s="12"/>
      <c r="L26" s="12"/>
      <c r="M26" s="12"/>
    </row>
    <row r="27" spans="1:14">
      <c r="A27" t="s">
        <v>47</v>
      </c>
      <c r="B27" s="594" t="s">
        <v>48</v>
      </c>
      <c r="J27" s="12"/>
      <c r="K27" s="12"/>
      <c r="L27" s="12"/>
      <c r="M27" s="12"/>
    </row>
    <row r="28" spans="1:14">
      <c r="B28" s="594" t="s">
        <v>49</v>
      </c>
      <c r="J28" s="12"/>
      <c r="K28" s="12"/>
      <c r="L28" s="12"/>
      <c r="M28" s="12"/>
    </row>
    <row r="29" spans="1:14">
      <c r="B29" s="3"/>
      <c r="J29" s="12"/>
      <c r="K29" s="12"/>
      <c r="L29" s="12"/>
      <c r="M29" s="12"/>
    </row>
    <row r="30" spans="1:14">
      <c r="A30" t="s">
        <v>50</v>
      </c>
      <c r="B30" s="593" t="s">
        <v>51</v>
      </c>
      <c r="J30" s="12"/>
      <c r="K30" s="12"/>
      <c r="L30" s="12"/>
      <c r="M30" s="12"/>
    </row>
    <row r="31" spans="1:14">
      <c r="B31" s="593"/>
      <c r="J31" s="12"/>
      <c r="K31" s="12"/>
      <c r="L31" s="12"/>
      <c r="M31" s="12"/>
    </row>
    <row r="32" spans="1:14">
      <c r="A32" t="s">
        <v>52</v>
      </c>
      <c r="B32" s="592" t="s">
        <v>53</v>
      </c>
      <c r="J32" s="12"/>
      <c r="K32" s="12"/>
      <c r="L32" s="12"/>
      <c r="M32" s="12"/>
    </row>
    <row r="33" spans="1:13">
      <c r="B33" t="s">
        <v>54</v>
      </c>
      <c r="J33" s="12"/>
      <c r="K33" s="12"/>
      <c r="L33" s="12"/>
      <c r="M33" s="12"/>
    </row>
    <row r="34" spans="1:13">
      <c r="B34" t="s">
        <v>55</v>
      </c>
      <c r="J34" s="12"/>
      <c r="K34" s="12"/>
      <c r="L34" s="12"/>
      <c r="M34" s="12"/>
    </row>
    <row r="35" spans="1:13">
      <c r="B35" s="902" t="s">
        <v>56</v>
      </c>
      <c r="J35" s="12"/>
      <c r="K35" s="12"/>
      <c r="L35" s="12"/>
      <c r="M35" s="12"/>
    </row>
    <row r="36" spans="1:13">
      <c r="B36" s="902" t="s">
        <v>57</v>
      </c>
      <c r="J36" s="12"/>
      <c r="K36" s="12"/>
      <c r="L36" s="12"/>
      <c r="M36" s="12"/>
    </row>
    <row r="37" spans="1:13">
      <c r="B37" s="902" t="s">
        <v>58</v>
      </c>
      <c r="J37" s="12"/>
      <c r="K37" s="12"/>
      <c r="L37" s="12"/>
      <c r="M37" s="12"/>
    </row>
    <row r="38" spans="1:13">
      <c r="B38" s="902" t="s">
        <v>59</v>
      </c>
      <c r="J38" s="12"/>
      <c r="K38" s="12"/>
      <c r="L38" s="12"/>
      <c r="M38" s="12"/>
    </row>
    <row r="39" spans="1:13">
      <c r="B39" t="s">
        <v>60</v>
      </c>
      <c r="J39" s="12"/>
      <c r="K39" s="12"/>
      <c r="L39" s="12"/>
      <c r="M39" s="12"/>
    </row>
    <row r="40" spans="1:13">
      <c r="J40" s="12"/>
      <c r="K40" s="12"/>
      <c r="L40" s="12"/>
      <c r="M40" s="12"/>
    </row>
    <row r="41" spans="1:13">
      <c r="A41" t="s">
        <v>61</v>
      </c>
      <c r="B41" s="902" t="s">
        <v>62</v>
      </c>
      <c r="J41" s="12"/>
      <c r="K41" s="12"/>
      <c r="L41" s="12"/>
      <c r="M41" s="12"/>
    </row>
    <row r="42" spans="1:13">
      <c r="B42" s="902" t="s">
        <v>63</v>
      </c>
      <c r="J42" s="12"/>
      <c r="K42" s="12"/>
      <c r="L42" s="12"/>
      <c r="M42" s="12"/>
    </row>
    <row r="43" spans="1:13">
      <c r="J43" s="12"/>
      <c r="K43" s="12"/>
      <c r="L43" s="12"/>
      <c r="M43" s="12"/>
    </row>
    <row r="44" spans="1:13">
      <c r="A44" t="s">
        <v>64</v>
      </c>
      <c r="B44" s="902" t="s">
        <v>65</v>
      </c>
      <c r="J44" s="12"/>
      <c r="K44" s="12"/>
      <c r="L44" s="12"/>
      <c r="M44" s="12"/>
    </row>
    <row r="45" spans="1:13">
      <c r="B45" t="s">
        <v>66</v>
      </c>
      <c r="J45" s="12"/>
      <c r="K45" s="12"/>
      <c r="L45" s="12"/>
      <c r="M45" s="12"/>
    </row>
    <row r="46" spans="1:13">
      <c r="B46" t="s">
        <v>67</v>
      </c>
      <c r="J46" s="12"/>
      <c r="K46" s="12"/>
      <c r="L46" s="12"/>
      <c r="M46" s="12"/>
    </row>
    <row r="47" spans="1:13">
      <c r="J47" s="12"/>
      <c r="K47" s="12"/>
      <c r="L47" s="12"/>
      <c r="M47" s="12"/>
    </row>
    <row r="48" spans="1:13" ht="30.6" customHeight="1">
      <c r="A48" s="483" t="s">
        <v>68</v>
      </c>
      <c r="B48" s="947" t="s">
        <v>69</v>
      </c>
      <c r="C48" s="947"/>
      <c r="D48" s="947"/>
      <c r="E48" s="947"/>
      <c r="F48" s="947"/>
      <c r="G48" s="947"/>
      <c r="H48" s="947"/>
      <c r="I48" s="947"/>
      <c r="J48" s="12"/>
      <c r="K48" s="12"/>
      <c r="L48" s="12"/>
      <c r="M48" s="12"/>
    </row>
    <row r="49" spans="1:13">
      <c r="B49" t="s">
        <v>70</v>
      </c>
      <c r="J49" s="12"/>
      <c r="K49" s="12"/>
      <c r="L49" s="12"/>
      <c r="M49" s="12"/>
    </row>
    <row r="50" spans="1:13">
      <c r="B50" t="s">
        <v>71</v>
      </c>
      <c r="J50" s="12"/>
      <c r="K50" s="12"/>
      <c r="L50" s="12"/>
      <c r="M50" s="12"/>
    </row>
    <row r="51" spans="1:13">
      <c r="J51" s="12"/>
      <c r="K51" s="12"/>
      <c r="L51" s="12"/>
      <c r="M51" s="12"/>
    </row>
    <row r="52" spans="1:13">
      <c r="A52" t="s">
        <v>72</v>
      </c>
      <c r="B52" t="s">
        <v>73</v>
      </c>
      <c r="J52" s="12"/>
      <c r="K52" s="12"/>
      <c r="L52" s="12"/>
      <c r="M52" s="12"/>
    </row>
    <row r="53" spans="1:13">
      <c r="J53" s="12"/>
      <c r="K53" s="12"/>
      <c r="L53" s="12"/>
      <c r="M53" s="12"/>
    </row>
    <row r="54" spans="1:13">
      <c r="J54" s="12"/>
      <c r="K54" s="12"/>
      <c r="L54" s="12"/>
      <c r="M54" s="12"/>
    </row>
    <row r="55" spans="1:13">
      <c r="J55" s="12"/>
      <c r="K55" s="12"/>
      <c r="L55" s="12"/>
      <c r="M55" s="12"/>
    </row>
    <row r="56" spans="1:13">
      <c r="J56" s="12"/>
      <c r="K56" s="12"/>
      <c r="L56" s="12"/>
      <c r="M56" s="12"/>
    </row>
    <row r="57" spans="1:13">
      <c r="J57" s="12"/>
      <c r="K57" s="12"/>
      <c r="L57" s="12"/>
      <c r="M57" s="12"/>
    </row>
    <row r="58" spans="1:13">
      <c r="J58" s="12"/>
      <c r="K58" s="12"/>
      <c r="L58" s="12"/>
      <c r="M58" s="12"/>
    </row>
    <row r="59" spans="1:13">
      <c r="J59" s="12"/>
      <c r="K59" s="12"/>
      <c r="L59" s="12"/>
      <c r="M59" s="12"/>
    </row>
    <row r="60" spans="1:13">
      <c r="J60" s="12"/>
      <c r="K60" s="12"/>
      <c r="L60" s="12"/>
      <c r="M60" s="12"/>
    </row>
    <row r="61" spans="1:13">
      <c r="J61" s="12"/>
      <c r="K61" s="12"/>
      <c r="L61" s="12"/>
      <c r="M61" s="12"/>
    </row>
    <row r="62" spans="1:13">
      <c r="J62" s="12"/>
      <c r="K62" s="12"/>
      <c r="L62" s="12"/>
      <c r="M62" s="12"/>
    </row>
    <row r="63" spans="1:13">
      <c r="J63" s="12"/>
      <c r="K63" s="12"/>
      <c r="L63" s="12"/>
      <c r="M63" s="12"/>
    </row>
    <row r="64" spans="1:13">
      <c r="J64" s="12"/>
      <c r="K64" s="12"/>
      <c r="L64" s="12"/>
      <c r="M64" s="12"/>
    </row>
    <row r="65" spans="10:13">
      <c r="J65" s="12"/>
      <c r="K65" s="12"/>
      <c r="L65" s="12"/>
      <c r="M65" s="12"/>
    </row>
    <row r="66" spans="10:13">
      <c r="J66" s="12"/>
      <c r="K66" s="12"/>
      <c r="L66" s="12"/>
      <c r="M66" s="12"/>
    </row>
    <row r="67" spans="10:13">
      <c r="J67" s="12"/>
      <c r="K67" s="12"/>
      <c r="L67" s="12"/>
      <c r="M67" s="12"/>
    </row>
    <row r="68" spans="10:13">
      <c r="J68" s="12"/>
      <c r="K68" s="12"/>
      <c r="L68" s="12"/>
      <c r="M68" s="12"/>
    </row>
    <row r="69" spans="10:13">
      <c r="J69" s="12"/>
      <c r="K69" s="12"/>
      <c r="L69" s="12"/>
      <c r="M69" s="12"/>
    </row>
    <row r="70" spans="10:13">
      <c r="J70" s="12"/>
      <c r="K70" s="12"/>
      <c r="L70" s="12"/>
      <c r="M70" s="12"/>
    </row>
    <row r="71" spans="10:13">
      <c r="J71" s="12"/>
      <c r="K71" s="12"/>
      <c r="L71" s="12"/>
      <c r="M71" s="12"/>
    </row>
    <row r="72" spans="10:13">
      <c r="J72" s="12"/>
      <c r="K72" s="12"/>
      <c r="L72" s="12"/>
      <c r="M72" s="12"/>
    </row>
    <row r="73" spans="10:13">
      <c r="J73" s="12"/>
      <c r="K73" s="12"/>
      <c r="L73" s="12"/>
      <c r="M73" s="12"/>
    </row>
    <row r="74" spans="10:13">
      <c r="J74" s="12"/>
      <c r="K74" s="12"/>
      <c r="L74" s="12"/>
      <c r="M74" s="12"/>
    </row>
    <row r="75" spans="10:13">
      <c r="J75" s="12"/>
      <c r="K75" s="12"/>
      <c r="L75" s="12"/>
      <c r="M75" s="12"/>
    </row>
    <row r="76" spans="10:13">
      <c r="J76" s="12"/>
      <c r="K76" s="12"/>
      <c r="L76" s="12"/>
      <c r="M76" s="12"/>
    </row>
    <row r="77" spans="10:13">
      <c r="J77" s="12"/>
      <c r="K77" s="12"/>
      <c r="L77" s="12"/>
      <c r="M77" s="12"/>
    </row>
    <row r="78" spans="10:13">
      <c r="J78" s="12"/>
      <c r="K78" s="12"/>
      <c r="L78" s="12"/>
      <c r="M78" s="12"/>
    </row>
    <row r="79" spans="10:13">
      <c r="J79" s="12"/>
      <c r="K79" s="12"/>
      <c r="L79" s="12"/>
      <c r="M79" s="12"/>
    </row>
    <row r="80" spans="10:13">
      <c r="J80" s="12"/>
      <c r="K80" s="12"/>
      <c r="L80" s="12"/>
      <c r="M80" s="12"/>
    </row>
    <row r="81" spans="10:13">
      <c r="J81" s="12"/>
      <c r="K81" s="12"/>
      <c r="L81" s="12"/>
      <c r="M81" s="12"/>
    </row>
    <row r="82" spans="10:13">
      <c r="J82" s="12"/>
      <c r="K82" s="12"/>
      <c r="L82" s="12"/>
      <c r="M82" s="12"/>
    </row>
    <row r="83" spans="10:13">
      <c r="J83" s="12"/>
      <c r="K83" s="12"/>
      <c r="L83" s="12"/>
      <c r="M83" s="12"/>
    </row>
    <row r="84" spans="10:13">
      <c r="J84" s="12"/>
      <c r="K84" s="12"/>
      <c r="L84" s="12"/>
      <c r="M84" s="12"/>
    </row>
    <row r="85" spans="10:13">
      <c r="J85" s="12"/>
      <c r="K85" s="12"/>
      <c r="L85" s="12"/>
      <c r="M85" s="12"/>
    </row>
    <row r="86" spans="10:13">
      <c r="J86" s="12"/>
      <c r="K86" s="12"/>
      <c r="L86" s="12"/>
      <c r="M86" s="12"/>
    </row>
    <row r="87" spans="10:13">
      <c r="J87" s="12"/>
      <c r="K87" s="12"/>
      <c r="L87" s="12"/>
      <c r="M87" s="12"/>
    </row>
    <row r="88" spans="10:13">
      <c r="J88" s="12"/>
      <c r="K88" s="12"/>
      <c r="L88" s="12"/>
      <c r="M88" s="12"/>
    </row>
    <row r="89" spans="10:13">
      <c r="J89" s="12"/>
      <c r="K89" s="12"/>
      <c r="L89" s="12"/>
      <c r="M89" s="12"/>
    </row>
    <row r="90" spans="10:13">
      <c r="J90" s="12"/>
      <c r="K90" s="12"/>
      <c r="L90" s="12"/>
      <c r="M90" s="12"/>
    </row>
    <row r="91" spans="10:13">
      <c r="J91" s="12"/>
      <c r="K91" s="12"/>
      <c r="L91" s="12"/>
      <c r="M91" s="12"/>
    </row>
    <row r="92" spans="10:13">
      <c r="J92" s="12"/>
      <c r="K92" s="12"/>
      <c r="L92" s="12"/>
      <c r="M92" s="12"/>
    </row>
    <row r="93" spans="10:13">
      <c r="J93" s="12"/>
      <c r="K93" s="12"/>
      <c r="L93" s="12"/>
      <c r="M93" s="12"/>
    </row>
    <row r="94" spans="10:13">
      <c r="J94" s="12"/>
      <c r="K94" s="12"/>
      <c r="L94" s="12"/>
      <c r="M94" s="12"/>
    </row>
    <row r="95" spans="10:13">
      <c r="J95" s="12"/>
      <c r="K95" s="12"/>
      <c r="L95" s="12"/>
      <c r="M95" s="12"/>
    </row>
    <row r="96" spans="10:13">
      <c r="J96" s="12"/>
      <c r="K96" s="12"/>
      <c r="L96" s="12"/>
      <c r="M96" s="12"/>
    </row>
    <row r="97" spans="10:13">
      <c r="J97" s="12"/>
      <c r="K97" s="12"/>
      <c r="L97" s="12"/>
      <c r="M97" s="12"/>
    </row>
    <row r="98" spans="10:13">
      <c r="J98" s="12"/>
      <c r="K98" s="12"/>
      <c r="L98" s="12"/>
      <c r="M98" s="12"/>
    </row>
    <row r="99" spans="10:13">
      <c r="J99" s="12"/>
      <c r="K99" s="12"/>
      <c r="L99" s="12"/>
      <c r="M99" s="12"/>
    </row>
    <row r="100" spans="10:13">
      <c r="J100" s="12"/>
      <c r="K100" s="12"/>
      <c r="L100" s="12"/>
      <c r="M100" s="12"/>
    </row>
    <row r="101" spans="10:13">
      <c r="J101" s="12"/>
      <c r="K101" s="12"/>
      <c r="L101" s="12"/>
      <c r="M101" s="12"/>
    </row>
    <row r="102" spans="10:13">
      <c r="J102" s="12"/>
      <c r="K102" s="12"/>
      <c r="L102" s="12"/>
      <c r="M102" s="12"/>
    </row>
    <row r="103" spans="10:13">
      <c r="J103" s="12"/>
      <c r="K103" s="12"/>
      <c r="L103" s="12"/>
      <c r="M103" s="12"/>
    </row>
    <row r="104" spans="10:13">
      <c r="J104" s="12"/>
      <c r="K104" s="12"/>
      <c r="L104" s="12"/>
      <c r="M104" s="12"/>
    </row>
    <row r="105" spans="10:13">
      <c r="J105" s="12"/>
      <c r="K105" s="12"/>
      <c r="L105" s="12"/>
      <c r="M105" s="12"/>
    </row>
    <row r="106" spans="10:13">
      <c r="J106" s="12"/>
      <c r="K106" s="12"/>
      <c r="L106" s="12"/>
      <c r="M106" s="12"/>
    </row>
    <row r="107" spans="10:13">
      <c r="J107" s="12"/>
      <c r="K107" s="12"/>
      <c r="L107" s="12"/>
      <c r="M107" s="12"/>
    </row>
    <row r="108" spans="10:13">
      <c r="J108" s="12"/>
      <c r="K108" s="12"/>
      <c r="L108" s="12"/>
      <c r="M108" s="12"/>
    </row>
    <row r="109" spans="10:13">
      <c r="J109" s="12"/>
      <c r="K109" s="12"/>
      <c r="L109" s="12"/>
      <c r="M109" s="12"/>
    </row>
    <row r="110" spans="10:13">
      <c r="J110" s="12"/>
      <c r="K110" s="12"/>
      <c r="L110" s="12"/>
      <c r="M110" s="12"/>
    </row>
    <row r="111" spans="10:13">
      <c r="J111" s="12"/>
      <c r="K111" s="12"/>
      <c r="L111" s="12"/>
      <c r="M111" s="12"/>
    </row>
    <row r="112" spans="10:13">
      <c r="J112" s="12"/>
      <c r="K112" s="12"/>
      <c r="L112" s="12"/>
      <c r="M112" s="12"/>
    </row>
    <row r="113" spans="10:13">
      <c r="J113" s="12"/>
      <c r="K113" s="12"/>
      <c r="L113" s="12"/>
      <c r="M113" s="12"/>
    </row>
    <row r="114" spans="10:13">
      <c r="J114" s="12"/>
      <c r="K114" s="12"/>
      <c r="L114" s="12"/>
      <c r="M114" s="12"/>
    </row>
    <row r="115" spans="10:13">
      <c r="J115" s="12"/>
      <c r="K115" s="12"/>
      <c r="L115" s="12"/>
      <c r="M115" s="12"/>
    </row>
    <row r="116" spans="10:13">
      <c r="J116" s="12"/>
      <c r="K116" s="12"/>
      <c r="L116" s="12"/>
      <c r="M116" s="12"/>
    </row>
    <row r="117" spans="10:13">
      <c r="J117" s="12"/>
      <c r="K117" s="12"/>
      <c r="L117" s="12"/>
      <c r="M117" s="12"/>
    </row>
    <row r="118" spans="10:13">
      <c r="J118" s="12"/>
      <c r="K118" s="12"/>
      <c r="L118" s="12"/>
      <c r="M118" s="12"/>
    </row>
    <row r="119" spans="10:13">
      <c r="J119" s="12"/>
      <c r="K119" s="12"/>
      <c r="L119" s="12"/>
      <c r="M119" s="12"/>
    </row>
    <row r="120" spans="10:13">
      <c r="J120" s="12"/>
      <c r="K120" s="12"/>
      <c r="L120" s="12"/>
      <c r="M120" s="12"/>
    </row>
    <row r="121" spans="10:13">
      <c r="J121" s="12"/>
      <c r="K121" s="12"/>
      <c r="L121" s="12"/>
      <c r="M121" s="12"/>
    </row>
    <row r="122" spans="10:13">
      <c r="J122" s="12"/>
      <c r="K122" s="12"/>
      <c r="L122" s="12"/>
      <c r="M122" s="12"/>
    </row>
    <row r="123" spans="10:13">
      <c r="J123" s="12"/>
      <c r="K123" s="12"/>
      <c r="L123" s="12"/>
      <c r="M123" s="12"/>
    </row>
    <row r="124" spans="10:13">
      <c r="J124" s="12"/>
      <c r="K124" s="12"/>
      <c r="L124" s="12"/>
      <c r="M124" s="12"/>
    </row>
    <row r="125" spans="10:13">
      <c r="J125" s="12"/>
      <c r="K125" s="12"/>
      <c r="L125" s="12"/>
      <c r="M125" s="12"/>
    </row>
    <row r="126" spans="10:13">
      <c r="J126" s="12"/>
      <c r="K126" s="12"/>
      <c r="L126" s="12"/>
      <c r="M126" s="12"/>
    </row>
    <row r="127" spans="10:13">
      <c r="J127" s="12"/>
      <c r="K127" s="12"/>
      <c r="L127" s="12"/>
      <c r="M127" s="12"/>
    </row>
    <row r="128" spans="10:13">
      <c r="J128" s="12"/>
      <c r="K128" s="12"/>
      <c r="L128" s="12"/>
      <c r="M128" s="12"/>
    </row>
    <row r="129" spans="10:13">
      <c r="J129" s="12"/>
      <c r="K129" s="12"/>
      <c r="L129" s="12"/>
      <c r="M129" s="12"/>
    </row>
    <row r="130" spans="10:13">
      <c r="J130" s="12"/>
      <c r="K130" s="12"/>
      <c r="L130" s="12"/>
      <c r="M130" s="12"/>
    </row>
    <row r="131" spans="10:13">
      <c r="J131" s="12"/>
      <c r="K131" s="12"/>
      <c r="L131" s="12"/>
      <c r="M131" s="12"/>
    </row>
    <row r="132" spans="10:13">
      <c r="J132" s="12"/>
      <c r="K132" s="12"/>
      <c r="L132" s="12"/>
      <c r="M132" s="12"/>
    </row>
    <row r="140" spans="10:13">
      <c r="J140" s="19"/>
      <c r="K140" s="19"/>
      <c r="L140" s="19"/>
      <c r="M140" s="19"/>
    </row>
    <row r="141" spans="10:13">
      <c r="J141" s="19"/>
      <c r="K141" s="19"/>
      <c r="L141" s="19"/>
      <c r="M141" s="19"/>
    </row>
    <row r="142" spans="10:13">
      <c r="J142" s="19"/>
      <c r="K142" s="19"/>
      <c r="L142" s="19"/>
      <c r="M142" s="19"/>
    </row>
    <row r="143" spans="10:13">
      <c r="J143" s="12"/>
      <c r="K143" s="12"/>
      <c r="L143" s="12"/>
      <c r="M143" s="12"/>
    </row>
    <row r="144" spans="10:13">
      <c r="J144" s="12"/>
      <c r="K144" s="12"/>
      <c r="L144" s="12"/>
      <c r="M144" s="12"/>
    </row>
    <row r="145" spans="10:13">
      <c r="J145" s="19"/>
      <c r="K145" s="19"/>
      <c r="L145" s="19"/>
      <c r="M145" s="19"/>
    </row>
    <row r="146" spans="10:13">
      <c r="J146" s="19"/>
      <c r="K146" s="19"/>
      <c r="L146" s="19"/>
      <c r="M146" s="19"/>
    </row>
    <row r="147" spans="10:13">
      <c r="J147" s="19"/>
      <c r="K147" s="19"/>
      <c r="L147" s="19"/>
      <c r="M147" s="19"/>
    </row>
    <row r="148" spans="10:13">
      <c r="J148" s="19"/>
      <c r="K148" s="19"/>
      <c r="L148" s="19"/>
      <c r="M148" s="19"/>
    </row>
    <row r="150" spans="10:13">
      <c r="J150" s="12"/>
      <c r="K150" s="12"/>
      <c r="L150" s="12"/>
      <c r="M150" s="12"/>
    </row>
    <row r="153" spans="10:13">
      <c r="J153" s="19"/>
      <c r="K153" s="19"/>
      <c r="L153" s="19"/>
      <c r="M153" s="19"/>
    </row>
    <row r="154" spans="10:13">
      <c r="J154" s="12"/>
      <c r="K154" s="12"/>
      <c r="L154" s="12"/>
      <c r="M154" s="12"/>
    </row>
    <row r="155" spans="10:13">
      <c r="J155" s="19"/>
      <c r="K155" s="19"/>
      <c r="L155" s="19"/>
      <c r="M155" s="19"/>
    </row>
    <row r="156" spans="10:13">
      <c r="J156" s="12"/>
      <c r="K156" s="12"/>
      <c r="L156" s="12"/>
      <c r="M156" s="12"/>
    </row>
    <row r="158" spans="10:13">
      <c r="J158" s="12"/>
      <c r="K158" s="12"/>
      <c r="L158" s="12"/>
      <c r="M158" s="12"/>
    </row>
    <row r="159" spans="10:13">
      <c r="J159" s="12"/>
      <c r="K159" s="12"/>
      <c r="L159" s="12"/>
      <c r="M159" s="12"/>
    </row>
    <row r="160" spans="10:13">
      <c r="J160" s="12"/>
      <c r="K160" s="12"/>
      <c r="L160" s="12"/>
      <c r="M160" s="12"/>
    </row>
    <row r="161" spans="10:13">
      <c r="J161" s="12"/>
      <c r="K161" s="12"/>
      <c r="L161" s="12"/>
      <c r="M161" s="12"/>
    </row>
    <row r="162" spans="10:13">
      <c r="J162" s="12"/>
      <c r="K162" s="12"/>
      <c r="L162" s="12"/>
      <c r="M162" s="12"/>
    </row>
    <row r="163" spans="10:13">
      <c r="J163" s="12"/>
      <c r="K163" s="12"/>
      <c r="L163" s="12"/>
      <c r="M163" s="12"/>
    </row>
    <row r="164" spans="10:13">
      <c r="J164" s="12"/>
      <c r="K164" s="12"/>
      <c r="L164" s="12"/>
      <c r="M164" s="12"/>
    </row>
    <row r="165" spans="10:13">
      <c r="J165" s="12"/>
      <c r="K165" s="12"/>
      <c r="L165" s="12"/>
      <c r="M165" s="12"/>
    </row>
    <row r="166" spans="10:13">
      <c r="J166" s="12"/>
      <c r="K166" s="12"/>
      <c r="L166" s="12"/>
      <c r="M166" s="12"/>
    </row>
    <row r="167" spans="10:13">
      <c r="J167" s="12"/>
      <c r="K167" s="12"/>
      <c r="L167" s="12"/>
      <c r="M167" s="12"/>
    </row>
    <row r="168" spans="10:13">
      <c r="J168" s="12"/>
      <c r="K168" s="12"/>
      <c r="L168" s="12"/>
      <c r="M168" s="12"/>
    </row>
    <row r="169" spans="10:13">
      <c r="J169" s="12"/>
      <c r="K169" s="12"/>
      <c r="L169" s="12"/>
      <c r="M169" s="12"/>
    </row>
    <row r="170" spans="10:13">
      <c r="J170" s="12"/>
      <c r="K170" s="12"/>
      <c r="L170" s="12"/>
      <c r="M170" s="12"/>
    </row>
    <row r="171" spans="10:13">
      <c r="J171" s="12"/>
      <c r="K171" s="12"/>
      <c r="L171" s="12"/>
      <c r="M171" s="12"/>
    </row>
    <row r="176" spans="10:13">
      <c r="J176" s="12"/>
      <c r="K176" s="12"/>
      <c r="L176" s="12"/>
      <c r="M176" s="12"/>
    </row>
    <row r="177" spans="10:13">
      <c r="J177" s="12"/>
      <c r="K177" s="12"/>
      <c r="L177" s="12"/>
      <c r="M177" s="12"/>
    </row>
  </sheetData>
  <mergeCells count="2">
    <mergeCell ref="B48:I48"/>
    <mergeCell ref="J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B8BE-C90D-4A75-9A13-EC331A6155B3}">
  <dimension ref="A1:H19"/>
  <sheetViews>
    <sheetView workbookViewId="0">
      <selection sqref="A1:H1"/>
    </sheetView>
  </sheetViews>
  <sheetFormatPr defaultColWidth="8.125" defaultRowHeight="14.25"/>
  <cols>
    <col min="1" max="16384" width="8.125" style="766"/>
  </cols>
  <sheetData>
    <row r="1" spans="1:8" ht="40.15" customHeight="1">
      <c r="A1" s="949" t="s">
        <v>74</v>
      </c>
      <c r="B1" s="949"/>
      <c r="C1" s="949"/>
      <c r="D1" s="949"/>
      <c r="E1" s="949"/>
      <c r="F1" s="949"/>
      <c r="G1" s="949"/>
      <c r="H1" s="949"/>
    </row>
    <row r="2" spans="1:8" ht="73.150000000000006" customHeight="1">
      <c r="A2" s="950" t="s">
        <v>75</v>
      </c>
      <c r="B2" s="950"/>
      <c r="C2" s="950"/>
      <c r="D2" s="950"/>
      <c r="E2" s="950"/>
      <c r="F2" s="950"/>
      <c r="G2" s="950"/>
      <c r="H2" s="950"/>
    </row>
    <row r="5" spans="1:8">
      <c r="A5" s="766" t="s">
        <v>76</v>
      </c>
    </row>
    <row r="6" spans="1:8">
      <c r="A6" s="730" t="s">
        <v>77</v>
      </c>
    </row>
    <row r="7" spans="1:8">
      <c r="A7" s="730"/>
      <c r="B7" s="766" t="s">
        <v>78</v>
      </c>
    </row>
    <row r="8" spans="1:8">
      <c r="A8" s="730" t="s">
        <v>79</v>
      </c>
    </row>
    <row r="9" spans="1:8">
      <c r="A9" s="730"/>
      <c r="B9" s="766" t="s">
        <v>80</v>
      </c>
    </row>
    <row r="10" spans="1:8">
      <c r="A10" s="730" t="s">
        <v>81</v>
      </c>
    </row>
    <row r="11" spans="1:8">
      <c r="A11" s="730"/>
    </row>
    <row r="12" spans="1:8">
      <c r="A12" s="730" t="s">
        <v>82</v>
      </c>
    </row>
    <row r="13" spans="1:8">
      <c r="A13" s="730"/>
      <c r="B13" s="766" t="s">
        <v>83</v>
      </c>
    </row>
    <row r="14" spans="1:8">
      <c r="A14" s="730"/>
    </row>
    <row r="15" spans="1:8">
      <c r="A15" s="730" t="s">
        <v>84</v>
      </c>
    </row>
    <row r="19" spans="1:8" ht="70.900000000000006" customHeight="1">
      <c r="A19" s="950"/>
      <c r="B19" s="950"/>
      <c r="C19" s="950"/>
      <c r="D19" s="950"/>
      <c r="E19" s="950"/>
      <c r="F19" s="950"/>
      <c r="G19" s="950"/>
      <c r="H19" s="950"/>
    </row>
  </sheetData>
  <mergeCells count="3">
    <mergeCell ref="A1:H1"/>
    <mergeCell ref="A2:H2"/>
    <mergeCell ref="A19:H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A77-E2ED-4E0A-8D2B-24FD9278AA6A}">
  <sheetPr>
    <pageSetUpPr fitToPage="1"/>
  </sheetPr>
  <dimension ref="A1:M40"/>
  <sheetViews>
    <sheetView workbookViewId="0"/>
  </sheetViews>
  <sheetFormatPr defaultRowHeight="15.75"/>
  <cols>
    <col min="2" max="2" width="64.25" customWidth="1"/>
    <col min="3" max="4" width="14.75" bestFit="1" customWidth="1"/>
    <col min="5" max="6" width="13.75" bestFit="1" customWidth="1"/>
    <col min="7" max="8" width="14.75" bestFit="1" customWidth="1"/>
    <col min="9" max="10" width="13.75" bestFit="1" customWidth="1"/>
    <col min="11" max="11" width="12.125" bestFit="1" customWidth="1"/>
    <col min="12" max="12" width="14.75" bestFit="1" customWidth="1"/>
    <col min="13" max="13" width="8.75" bestFit="1" customWidth="1"/>
  </cols>
  <sheetData>
    <row r="1" spans="1:6">
      <c r="A1" s="20" t="s">
        <v>85</v>
      </c>
      <c r="B1" s="408" t="str">
        <f>PA_NAME</f>
        <v>San Diego Gas &amp; Electric Co</v>
      </c>
    </row>
    <row r="2" spans="1:6">
      <c r="A2" s="20" t="s">
        <v>86</v>
      </c>
      <c r="B2" s="408" t="str">
        <f>RPT_YEAR</f>
        <v>2022-2023</v>
      </c>
    </row>
    <row r="3" spans="1:6" ht="30.75">
      <c r="D3" s="509"/>
    </row>
    <row r="4" spans="1:6">
      <c r="B4" s="397" t="s">
        <v>87</v>
      </c>
      <c r="C4" s="540" t="str">
        <f>LEFT($B$2,4)</f>
        <v>2022</v>
      </c>
      <c r="D4" s="540" t="str">
        <f>RIGHT($B$2,4)</f>
        <v>2023</v>
      </c>
    </row>
    <row r="5" spans="1:6">
      <c r="B5" t="str">
        <f>"Tab 3 - "&amp;'3 Funding Source'!C12</f>
        <v>Tab 3 - PA Spending Budget Request (PA Program and EM&amp;V + CEC AB 841)</v>
      </c>
      <c r="C5" s="537">
        <f>+'3 Funding Source'!D12</f>
        <v>147625169.58397257</v>
      </c>
      <c r="D5" s="537">
        <f>+'3 Funding Source'!E12</f>
        <v>115215747.7821871</v>
      </c>
    </row>
    <row r="6" spans="1:6">
      <c r="B6" t="str">
        <f>"Tab 4 - "&amp;'4 Program Budget'!D149</f>
        <v>Tab 4 - PA Spending Budget Request (PA Program and EM&amp;V + CEC AB 841)</v>
      </c>
      <c r="C6" s="537">
        <f>+'4 Program Budget'!Q149</f>
        <v>147625169.58397257</v>
      </c>
      <c r="D6" s="537">
        <f>+'4 Program Budget'!AG149</f>
        <v>115215747.7821871</v>
      </c>
    </row>
    <row r="7" spans="1:6">
      <c r="B7" t="s">
        <v>88</v>
      </c>
      <c r="C7" s="537">
        <f>+'7 PA PY budget_savings'!C69+'7 PA PY budget_savings'!C74</f>
        <v>147625169.58397257</v>
      </c>
      <c r="D7" s="537">
        <f>+'7 PA PY budget_savings'!I69+'7 PA PY budget_savings'!I74</f>
        <v>115215747.7821871</v>
      </c>
    </row>
    <row r="8" spans="1:6">
      <c r="B8" t="str" cm="1">
        <f t="array" ref="B8">"Tab 8 - "&amp;LEFT('8 Cap &amp; Target'!C37:C37,LEN('8 Cap &amp; Target'!C37:C37)-1)</f>
        <v xml:space="preserve">Tab 8 - PA Spending Budget Request (PA Program and EM&amp;V + CEC AB 841) </v>
      </c>
      <c r="C8" s="537">
        <f>+'8 Cap &amp; Target'!G37</f>
        <v>147625169.58397257</v>
      </c>
      <c r="D8" s="537">
        <f>+'8 Cap &amp; Target'!M37</f>
        <v>115215747.78218712</v>
      </c>
    </row>
    <row r="9" spans="1:6">
      <c r="B9" t="str">
        <f>"Tab 9 - "&amp;'9 Portfolio Summary'!A19</f>
        <v>Tab 9 - PA Spending Budget Request (PA Program and EM&amp;V + CEC AB 841)</v>
      </c>
      <c r="C9" s="537">
        <f>+'9 Portfolio Summary'!I19</f>
        <v>147625169.58397257</v>
      </c>
      <c r="D9" s="537">
        <f>+'9 Portfolio Summary'!M19</f>
        <v>115215747.80298713</v>
      </c>
    </row>
    <row r="10" spans="1:6">
      <c r="B10" s="538" t="s">
        <v>89</v>
      </c>
      <c r="C10" s="541">
        <f>IF(AND(ROUND(C5,0)=ROUND(C6,0),ROUND(C7,0)=ROUND(C8,0),ROUND(C9,0)=ROUND(C8,0),ROUND(C7,0)=ROUND(C6,0),ROUND(C5,0)=ROUND(C9,0),ROUND(C6,0)=ROUND(C8,0))=TRUE,0,"ERROR")</f>
        <v>0</v>
      </c>
      <c r="D10" s="541">
        <f>IF(AND(ROUND(D5,0)=ROUND(D6,0),ROUND(D7,0)=ROUND(D8,0),ROUND(D9,0)=ROUND(D8,0),ROUND(D7,0)=ROUND(D6,0),ROUND(D5,0)=ROUND(D9,0),ROUND(D6,0)=ROUND(D8,0))=TRUE,0,"ERROR")</f>
        <v>0</v>
      </c>
      <c r="F10" s="533"/>
    </row>
    <row r="11" spans="1:6">
      <c r="B11" s="538"/>
      <c r="C11" s="541"/>
      <c r="D11" s="541"/>
    </row>
    <row r="12" spans="1:6">
      <c r="B12" s="397" t="s">
        <v>90</v>
      </c>
      <c r="C12" s="540" t="str">
        <f>LEFT($B$2,4)</f>
        <v>2022</v>
      </c>
      <c r="D12" s="540" t="str">
        <f>RIGHT($B$2,4)</f>
        <v>2023</v>
      </c>
    </row>
    <row r="13" spans="1:6">
      <c r="B13" t="s">
        <v>91</v>
      </c>
      <c r="C13" s="537">
        <f>+'4 Program Budget'!S149</f>
        <v>107211818.93162264</v>
      </c>
      <c r="D13" s="537">
        <f>+'4 Program Budget'!AI149</f>
        <v>115215747.7821871</v>
      </c>
    </row>
    <row r="14" spans="1:6">
      <c r="B14" t="s">
        <v>92</v>
      </c>
      <c r="C14" s="537">
        <f>+'7 PA PY budget_savings'!C75</f>
        <v>107211818.93162265</v>
      </c>
      <c r="D14" s="537">
        <f>+'7 PA PY budget_savings'!I75</f>
        <v>115215747.7821871</v>
      </c>
    </row>
    <row r="15" spans="1:6">
      <c r="B15" s="538" t="s">
        <v>89</v>
      </c>
      <c r="C15" s="539">
        <f t="shared" ref="C15:D15" si="0">+C13-C14</f>
        <v>0</v>
      </c>
      <c r="D15" s="539">
        <f t="shared" si="0"/>
        <v>0</v>
      </c>
    </row>
    <row r="16" spans="1:6">
      <c r="C16" s="533"/>
      <c r="D16" s="533"/>
    </row>
    <row r="17" spans="2:13">
      <c r="C17" s="951" t="str">
        <f>LEFT(B2,4)</f>
        <v>2022</v>
      </c>
      <c r="D17" s="951"/>
      <c r="E17" s="951"/>
      <c r="F17" s="951"/>
      <c r="G17" s="951" t="str">
        <f>RIGHT(B2,4)</f>
        <v>2023</v>
      </c>
      <c r="H17" s="951"/>
      <c r="I17" s="951"/>
      <c r="J17" s="951"/>
    </row>
    <row r="18" spans="2:13">
      <c r="B18" s="397" t="s">
        <v>93</v>
      </c>
      <c r="C18" s="576" t="s">
        <v>94</v>
      </c>
      <c r="D18" s="576" t="s">
        <v>95</v>
      </c>
      <c r="E18" s="540" t="s">
        <v>96</v>
      </c>
      <c r="F18" s="540" t="s">
        <v>97</v>
      </c>
      <c r="G18" s="576" t="s">
        <v>94</v>
      </c>
      <c r="H18" s="576" t="s">
        <v>95</v>
      </c>
      <c r="I18" s="540" t="s">
        <v>96</v>
      </c>
      <c r="J18" s="540" t="s">
        <v>97</v>
      </c>
    </row>
    <row r="19" spans="2:13">
      <c r="B19" t="s">
        <v>98</v>
      </c>
      <c r="C19" s="537">
        <f>+'4 Program Budget'!M149</f>
        <v>9296641.164400002</v>
      </c>
      <c r="D19" s="537">
        <f>+'4 Program Budget'!N149+'4 Program Budget'!Q162</f>
        <v>2420221.9581000004</v>
      </c>
      <c r="E19" s="537">
        <f>+'4 Program Budget'!O149</f>
        <v>34481069.245500036</v>
      </c>
      <c r="F19" s="537">
        <f>+'4 Program Budget'!P149</f>
        <v>33225157.792942647</v>
      </c>
      <c r="G19" s="537">
        <f>+'4 Program Budget'!AC149</f>
        <v>11464696.046800004</v>
      </c>
      <c r="H19" s="537">
        <f>+'4 Program Budget'!AD149+'4 Program Budget'!AG162</f>
        <v>3147441.3147000019</v>
      </c>
      <c r="I19" s="537">
        <f>+'4 Program Budget'!AE149</f>
        <v>36829174.351600006</v>
      </c>
      <c r="J19" s="537">
        <f>+'4 Program Budget'!AF149</f>
        <v>39022729.450647123</v>
      </c>
    </row>
    <row r="20" spans="2:13">
      <c r="B20" t="s">
        <v>99</v>
      </c>
      <c r="C20" s="537">
        <f>+SUM('8 Cap &amp; Target'!G12:G14)</f>
        <v>9296641.1644000001</v>
      </c>
      <c r="D20" s="537">
        <f>SUM('8 Cap &amp; Target'!G18:G19)</f>
        <v>2420221.9581000004</v>
      </c>
      <c r="E20" s="537">
        <f>+SUM('8 Cap &amp; Target'!G25:G27)</f>
        <v>34481069.245499998</v>
      </c>
      <c r="F20" s="537">
        <f>+'8 Cap &amp; Target'!G23</f>
        <v>33225157.792942647</v>
      </c>
      <c r="G20" s="537">
        <f>+SUM('8 Cap &amp; Target'!M12:M14)</f>
        <v>11464696.046800002</v>
      </c>
      <c r="H20" s="537">
        <f>+SUM('8 Cap &amp; Target'!M18:M19)</f>
        <v>3147441.3147000019</v>
      </c>
      <c r="I20" s="537">
        <f>+SUM('8 Cap &amp; Target'!M25:M27)</f>
        <v>36829174.351600006</v>
      </c>
      <c r="J20" s="537">
        <f>+'8 Cap &amp; Target'!M23</f>
        <v>39022729.450647123</v>
      </c>
    </row>
    <row r="21" spans="2:13">
      <c r="B21" s="538" t="s">
        <v>89</v>
      </c>
      <c r="C21" s="539">
        <f>+C19-C20</f>
        <v>0</v>
      </c>
      <c r="D21" s="539">
        <f t="shared" ref="D21:J21" si="1">+D19-D20</f>
        <v>0</v>
      </c>
      <c r="E21" s="539">
        <f t="shared" si="1"/>
        <v>0</v>
      </c>
      <c r="F21" s="539">
        <f t="shared" si="1"/>
        <v>0</v>
      </c>
      <c r="G21" s="539">
        <f t="shared" si="1"/>
        <v>0</v>
      </c>
      <c r="H21" s="539">
        <f t="shared" si="1"/>
        <v>0</v>
      </c>
      <c r="I21" s="539">
        <f t="shared" si="1"/>
        <v>0</v>
      </c>
      <c r="J21" s="539">
        <f t="shared" si="1"/>
        <v>0</v>
      </c>
    </row>
    <row r="22" spans="2:13">
      <c r="B22" t="s">
        <v>100</v>
      </c>
      <c r="C22" s="543"/>
      <c r="D22" s="543"/>
      <c r="E22" s="544"/>
      <c r="F22" s="542">
        <f>+'9 Portfolio Summary'!H19</f>
        <v>33225157.792942636</v>
      </c>
      <c r="G22" s="544"/>
      <c r="H22" s="544"/>
      <c r="I22" s="544"/>
      <c r="J22" s="542">
        <f>+'9 Portfolio Summary'!L19</f>
        <v>39022729.450647116</v>
      </c>
    </row>
    <row r="23" spans="2:13">
      <c r="B23" s="538" t="s">
        <v>89</v>
      </c>
      <c r="C23" s="533"/>
      <c r="D23" s="533"/>
      <c r="F23" s="717">
        <f>+F19-F22</f>
        <v>0</v>
      </c>
      <c r="J23" s="717">
        <f>+J19-J22</f>
        <v>0</v>
      </c>
    </row>
    <row r="24" spans="2:13">
      <c r="C24" s="533"/>
      <c r="D24" s="533"/>
      <c r="F24" s="539"/>
      <c r="J24" s="539"/>
    </row>
    <row r="25" spans="2:13">
      <c r="B25" s="397" t="s">
        <v>101</v>
      </c>
      <c r="C25" s="540" t="str">
        <f>LEFT($B$2,4)</f>
        <v>2022</v>
      </c>
      <c r="D25" s="540" t="str">
        <f>RIGHT($B$2,4)</f>
        <v>2023</v>
      </c>
    </row>
    <row r="26" spans="2:13">
      <c r="B26" t="s">
        <v>102</v>
      </c>
      <c r="C26" s="537">
        <f>+'4 Program Budget'!Q146</f>
        <v>40413350.652349927</v>
      </c>
      <c r="D26" s="537">
        <f>+'4 Program Budget'!AG146</f>
        <v>0</v>
      </c>
    </row>
    <row r="27" spans="2:13">
      <c r="B27" t="s">
        <v>103</v>
      </c>
      <c r="C27" s="537">
        <f>+'3 Funding Source'!F35+'3 Funding Source'!F36</f>
        <v>40413350.652349927</v>
      </c>
      <c r="D27" s="537">
        <f>+'3 Funding Source'!I35+'3 Funding Source'!I36</f>
        <v>0</v>
      </c>
    </row>
    <row r="28" spans="2:13">
      <c r="B28" s="538" t="s">
        <v>89</v>
      </c>
      <c r="C28" s="539">
        <f>+C26-C27</f>
        <v>0</v>
      </c>
      <c r="D28" s="539">
        <f t="shared" ref="D28" si="2">+D26-D27</f>
        <v>0</v>
      </c>
    </row>
    <row r="30" spans="2:13">
      <c r="C30" s="952" t="str">
        <f>LEFT(B2,4)</f>
        <v>2022</v>
      </c>
      <c r="D30" s="952"/>
      <c r="E30" s="952"/>
      <c r="F30" s="952"/>
      <c r="G30" s="952"/>
      <c r="H30" s="952"/>
      <c r="I30" s="952"/>
      <c r="J30" s="952"/>
      <c r="K30" s="952"/>
      <c r="L30" s="952"/>
      <c r="M30" s="952"/>
    </row>
    <row r="31" spans="2:13" ht="31.5">
      <c r="B31" s="397" t="s">
        <v>104</v>
      </c>
      <c r="C31" s="648" t="s">
        <v>17</v>
      </c>
      <c r="D31" s="648" t="s">
        <v>22</v>
      </c>
      <c r="E31" s="648" t="s">
        <v>25</v>
      </c>
      <c r="F31" s="648" t="s">
        <v>27</v>
      </c>
      <c r="G31" s="648" t="s">
        <v>30</v>
      </c>
      <c r="H31" s="649" t="s">
        <v>29</v>
      </c>
      <c r="I31" s="649" t="s">
        <v>28</v>
      </c>
      <c r="J31" s="649" t="s">
        <v>32</v>
      </c>
      <c r="K31" s="649" t="s">
        <v>34</v>
      </c>
      <c r="L31" s="649" t="s">
        <v>105</v>
      </c>
      <c r="M31" s="648" t="s">
        <v>36</v>
      </c>
    </row>
    <row r="32" spans="2:13">
      <c r="B32" t="s">
        <v>106</v>
      </c>
      <c r="C32" s="542">
        <f>VLOOKUP(C31,'7 PA PY budget_savings'!$B$49:$I$57,2,FALSE)</f>
        <v>13808177.852961443</v>
      </c>
      <c r="D32" s="542">
        <f>VLOOKUP(D31,'7 PA PY budget_savings'!$B$49:$I$57,2,FALSE)</f>
        <v>37649286.366122037</v>
      </c>
      <c r="E32" s="542">
        <f>VLOOKUP(E31,'7 PA PY budget_savings'!$B$49:$I$57,2,FALSE)</f>
        <v>2693855.7064264049</v>
      </c>
      <c r="F32" s="542">
        <f>VLOOKUP(F31,'7 PA PY budget_savings'!$B$49:$I$57,2,FALSE)</f>
        <v>1870349.0797736992</v>
      </c>
      <c r="G32" s="542">
        <f>VLOOKUP(G31,'7 PA PY budget_savings'!$B$49:$I$57,2,FALSE)</f>
        <v>11529862.106959041</v>
      </c>
      <c r="H32" s="542">
        <f>VLOOKUP(H31,'7 PA PY budget_savings'!$B$49:$I$57,2,FALSE)</f>
        <v>3771892.0803999999</v>
      </c>
      <c r="I32" s="542">
        <f>'7 PA PY budget_savings'!C68</f>
        <v>3319112.0398999997</v>
      </c>
      <c r="J32" s="542">
        <f>VLOOKUP(J31,'7 PA PY budget_savings'!$B$49:$I$57,2,FALSE)</f>
        <v>4492850.0283999993</v>
      </c>
      <c r="K32" s="542">
        <f>VLOOKUP(K31,'7 PA PY budget_savings'!$B$49:$I$57,2,FALSE)</f>
        <v>287704.90000000002</v>
      </c>
      <c r="L32" s="542">
        <f>SUM(H32:K32)</f>
        <v>11871559.048699999</v>
      </c>
      <c r="M32" s="542">
        <f>+'7 PA PY budget_savings'!C57</f>
        <v>0</v>
      </c>
    </row>
    <row r="33" spans="2:13">
      <c r="B33" t="s">
        <v>107</v>
      </c>
      <c r="C33" s="542">
        <f>+'9 Portfolio Summary'!I8</f>
        <v>13808177.906616943</v>
      </c>
      <c r="D33" s="542">
        <f>+'9 Portfolio Summary'!I9</f>
        <v>37649286.344388291</v>
      </c>
      <c r="E33" s="542">
        <f>+'9 Portfolio Summary'!I10</f>
        <v>2693855.7169579379</v>
      </c>
      <c r="F33" s="542">
        <f>+'9 Portfolio Summary'!I11</f>
        <v>1870349.0832250069</v>
      </c>
      <c r="G33" s="542">
        <f>+'9 Portfolio Summary'!I12</f>
        <v>11529862.070972221</v>
      </c>
      <c r="H33" s="709"/>
      <c r="I33" s="709"/>
      <c r="J33" s="709"/>
      <c r="K33" s="709"/>
      <c r="L33" s="542">
        <f>+'9 Portfolio Summary'!I13</f>
        <v>11871559.038782232</v>
      </c>
      <c r="M33" s="542">
        <f>+'9 Portfolio Summary'!I17</f>
        <v>0</v>
      </c>
    </row>
    <row r="34" spans="2:13">
      <c r="B34" s="538" t="s">
        <v>89</v>
      </c>
      <c r="C34" s="717">
        <f>ROUND(C32,0)-ROUND(C33,0)</f>
        <v>0</v>
      </c>
      <c r="D34" s="717">
        <f>ROUND(D32,0)-ROUND(D33,0)</f>
        <v>0</v>
      </c>
      <c r="E34" s="717">
        <f>ROUND(E32,0)-ROUND(E33,0)</f>
        <v>0</v>
      </c>
      <c r="F34" s="717">
        <f>ROUND(F32,0)-ROUND(F33,0)</f>
        <v>0</v>
      </c>
      <c r="G34" s="717">
        <f>ROUND(G32,0)-ROUND(G33,0)</f>
        <v>0</v>
      </c>
      <c r="H34" s="710"/>
      <c r="I34" s="710"/>
      <c r="J34" s="710"/>
      <c r="K34" s="711"/>
      <c r="L34" s="717">
        <f>ROUND(L32,0)-ROUND(L33,0)</f>
        <v>0</v>
      </c>
      <c r="M34" s="717">
        <f>ROUND(M32,0)-ROUND(M33,0)</f>
        <v>0</v>
      </c>
    </row>
    <row r="35" spans="2:13">
      <c r="C35" s="711"/>
      <c r="D35" s="711"/>
      <c r="E35" s="711"/>
      <c r="F35" s="711"/>
      <c r="G35" s="711"/>
      <c r="H35" s="711"/>
      <c r="I35" s="711"/>
      <c r="J35" s="711"/>
      <c r="K35" s="711"/>
      <c r="L35" s="711"/>
      <c r="M35" s="711"/>
    </row>
    <row r="36" spans="2:13">
      <c r="C36" s="952">
        <f>+C30+1</f>
        <v>2023</v>
      </c>
      <c r="D36" s="952"/>
      <c r="E36" s="952"/>
      <c r="F36" s="952"/>
      <c r="G36" s="952"/>
      <c r="H36" s="952"/>
      <c r="I36" s="952"/>
      <c r="J36" s="952"/>
      <c r="K36" s="952"/>
      <c r="L36" s="952"/>
      <c r="M36" s="952"/>
    </row>
    <row r="37" spans="2:13" ht="47.25">
      <c r="C37" s="712" t="s">
        <v>17</v>
      </c>
      <c r="D37" s="712" t="s">
        <v>22</v>
      </c>
      <c r="E37" s="712" t="s">
        <v>25</v>
      </c>
      <c r="F37" s="712" t="s">
        <v>27</v>
      </c>
      <c r="G37" s="712" t="s">
        <v>30</v>
      </c>
      <c r="H37" s="713" t="s">
        <v>29</v>
      </c>
      <c r="I37" s="713" t="s">
        <v>108</v>
      </c>
      <c r="J37" s="713" t="s">
        <v>32</v>
      </c>
      <c r="K37" s="713" t="s">
        <v>34</v>
      </c>
      <c r="L37" s="713" t="s">
        <v>105</v>
      </c>
      <c r="M37" s="712" t="s">
        <v>36</v>
      </c>
    </row>
    <row r="38" spans="2:13">
      <c r="B38" t="str">
        <f>+B32</f>
        <v>Tab 7 - PA Portfolio Budget by Function</v>
      </c>
      <c r="C38" s="542">
        <f>VLOOKUP(C37,'7 PA PY budget_savings'!$B$49:$I$57,8,FALSE)</f>
        <v>16810126.026892178</v>
      </c>
      <c r="D38" s="542">
        <f>VLOOKUP(D37,'7 PA PY budget_savings'!$B$49:$I$57,8,FALSE)</f>
        <v>41397665.101668797</v>
      </c>
      <c r="E38" s="542">
        <f>VLOOKUP(E37,'7 PA PY budget_savings'!$B$49:$I$57,8,FALSE)</f>
        <v>4938845.8845752114</v>
      </c>
      <c r="F38" s="542">
        <f>VLOOKUP(F37,'7 PA PY budget_savings'!$B$49:$I$57,8,FALSE)</f>
        <v>2113637.2626524852</v>
      </c>
      <c r="G38" s="542">
        <f>VLOOKUP(G37,'7 PA PY budget_savings'!$B$49:$I$57,8,FALSE)</f>
        <v>12826944.650358442</v>
      </c>
      <c r="H38" s="542">
        <f>VLOOKUP(H37,'7 PA PY budget_savings'!$B$49:$I$57,8,FALSE)</f>
        <v>3959592.9551999997</v>
      </c>
      <c r="I38" s="542">
        <f>'7 PA PY budget_savings'!I68</f>
        <v>3757692.7478999998</v>
      </c>
      <c r="J38" s="542">
        <f>VLOOKUP(J37,'7 PA PY budget_savings'!$B$49:$I$57,8,FALSE)</f>
        <v>4263417.1873000003</v>
      </c>
      <c r="K38" s="542">
        <f>VLOOKUP(K37,'7 PA PY budget_savings'!$B$49:$I$57,8,FALSE)</f>
        <v>396119.34720000002</v>
      </c>
      <c r="L38" s="542">
        <f>SUM(H38:K38)</f>
        <v>12376822.237600001</v>
      </c>
      <c r="M38" s="542">
        <f>+'7 PA PY budget_savings'!I57</f>
        <v>0</v>
      </c>
    </row>
    <row r="39" spans="2:13">
      <c r="B39" t="str">
        <f>+B33</f>
        <v>Tab 9 - PA Portfolio Budget by Function</v>
      </c>
      <c r="C39" s="542">
        <f>+'9 Portfolio Summary'!M8</f>
        <v>16810126.049195573</v>
      </c>
      <c r="D39" s="542">
        <f>+'9 Portfolio Summary'!M9</f>
        <v>41397665.135517277</v>
      </c>
      <c r="E39" s="542">
        <f>+'9 Portfolio Summary'!M10</f>
        <v>4938845.87423639</v>
      </c>
      <c r="F39" s="542">
        <f>+'9 Portfolio Summary'!M11</f>
        <v>2113637.2509053545</v>
      </c>
      <c r="G39" s="542">
        <f>+'9 Portfolio Summary'!M12</f>
        <v>12826944.623417765</v>
      </c>
      <c r="H39" s="709"/>
      <c r="I39" s="709"/>
      <c r="J39" s="709"/>
      <c r="K39" s="709"/>
      <c r="L39" s="542">
        <f>+'9 Portfolio Summary'!M13</f>
        <v>12376822.251274761</v>
      </c>
      <c r="M39" s="542">
        <f>+'9 Portfolio Summary'!M17</f>
        <v>0</v>
      </c>
    </row>
    <row r="40" spans="2:13">
      <c r="B40" s="538" t="s">
        <v>89</v>
      </c>
      <c r="C40" s="717">
        <f>ROUND(C38,0)-ROUND(C39,0)</f>
        <v>0</v>
      </c>
      <c r="D40" s="717">
        <f>ROUND(D38,0)-ROUND(D39,0)</f>
        <v>0</v>
      </c>
      <c r="E40" s="717">
        <f>ROUND(E38,0)-ROUND(E39,0)</f>
        <v>0</v>
      </c>
      <c r="F40" s="717">
        <f>ROUND(F38,0)-ROUND(F39,0)</f>
        <v>0</v>
      </c>
      <c r="G40" s="717">
        <f>ROUND(G38,0)-ROUND(G39,0)</f>
        <v>0</v>
      </c>
      <c r="H40" s="710"/>
      <c r="I40" s="710"/>
      <c r="J40" s="710"/>
      <c r="K40" s="711"/>
      <c r="L40" s="717">
        <f>ROUND(L38,0)-ROUND(L39,0)</f>
        <v>0</v>
      </c>
      <c r="M40" s="717">
        <f>ROUND(M38,0)-ROUND(M39,0)</f>
        <v>0</v>
      </c>
    </row>
  </sheetData>
  <mergeCells count="4">
    <mergeCell ref="C17:F17"/>
    <mergeCell ref="G17:J17"/>
    <mergeCell ref="C36:M36"/>
    <mergeCell ref="C30:M30"/>
  </mergeCells>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zoomScaleNormal="100" zoomScaleSheetLayoutView="100" zoomScalePageLayoutView="70" workbookViewId="0"/>
  </sheetViews>
  <sheetFormatPr defaultColWidth="9.625" defaultRowHeight="15.4"/>
  <cols>
    <col min="1" max="1" width="15.25" style="1" customWidth="1"/>
    <col min="2" max="2" width="40" style="1" bestFit="1" customWidth="1"/>
    <col min="3" max="3" width="20.625" style="21" customWidth="1"/>
    <col min="4" max="4" width="20.625" style="22" customWidth="1"/>
    <col min="5" max="5" width="18.5" style="23" bestFit="1" customWidth="1"/>
    <col min="6" max="6" width="16.5" style="23" bestFit="1" customWidth="1"/>
    <col min="7" max="16384" width="9.625" style="1"/>
  </cols>
  <sheetData>
    <row r="1" spans="1:6">
      <c r="A1" s="20" t="s">
        <v>85</v>
      </c>
      <c r="B1" s="408" t="str">
        <f>PA_NAME</f>
        <v>San Diego Gas &amp; Electric Co</v>
      </c>
    </row>
    <row r="2" spans="1:6">
      <c r="A2" s="20" t="s">
        <v>86</v>
      </c>
      <c r="B2" s="408" t="str">
        <f>RPT_YEAR</f>
        <v>2022-2023</v>
      </c>
    </row>
    <row r="3" spans="1:6">
      <c r="A3" s="6" t="s">
        <v>109</v>
      </c>
    </row>
    <row r="4" spans="1:6" ht="15.75" thickBot="1">
      <c r="A4" s="29"/>
    </row>
    <row r="5" spans="1:6">
      <c r="B5" s="953" t="s">
        <v>110</v>
      </c>
      <c r="C5" s="954"/>
      <c r="D5" s="954"/>
      <c r="E5" s="954"/>
      <c r="F5" s="955"/>
    </row>
    <row r="6" spans="1:6" s="2" customFormat="1" ht="47.65">
      <c r="B6" s="37"/>
      <c r="C6" s="892" t="s">
        <v>111</v>
      </c>
      <c r="D6" s="892" t="s">
        <v>112</v>
      </c>
      <c r="E6" s="399" t="s">
        <v>113</v>
      </c>
      <c r="F6" s="400" t="s">
        <v>114</v>
      </c>
    </row>
    <row r="7" spans="1:6" s="2" customFormat="1">
      <c r="B7" s="37" t="s">
        <v>115</v>
      </c>
      <c r="C7" s="401"/>
      <c r="D7" s="402"/>
      <c r="E7" s="403"/>
      <c r="F7" s="404"/>
    </row>
    <row r="8" spans="1:6">
      <c r="B8" s="38">
        <v>2021</v>
      </c>
      <c r="C8" s="449">
        <v>0.28036</v>
      </c>
      <c r="D8" s="450">
        <v>1.9377525453218589</v>
      </c>
      <c r="E8" s="451">
        <f>+C8*530720712.6+D8*6587147.264</f>
        <v>161557120.36176193</v>
      </c>
      <c r="F8" s="452">
        <f>+C8*6775297605.66+D8*75826482.39</f>
        <v>2046455395.9768631</v>
      </c>
    </row>
    <row r="9" spans="1:6">
      <c r="B9" s="38">
        <v>2022</v>
      </c>
      <c r="C9" s="449">
        <v>0.28162999999999999</v>
      </c>
      <c r="D9" s="450">
        <v>2.0596297931364931</v>
      </c>
      <c r="E9" s="451">
        <f>+C9*'4 Program Budget'!T134+'4 Program Budget'!V134*1000*D9</f>
        <v>163033962.61149868</v>
      </c>
      <c r="F9" s="452">
        <f>+C9*'4 Program Budget'!Y134+'4 Program Budget'!Z134*1000*D9</f>
        <v>2064301546.1612575</v>
      </c>
    </row>
    <row r="10" spans="1:6" ht="15.75" thickBot="1">
      <c r="B10" s="405">
        <v>2023</v>
      </c>
      <c r="C10" s="453">
        <v>0.28201999999999999</v>
      </c>
      <c r="D10" s="454">
        <v>2.0609340432506711</v>
      </c>
      <c r="E10" s="455">
        <f>+C10*'4 Program Budget'!AJ134+'4 Program Budget'!AL134*1000*D10</f>
        <v>173990364.07368708</v>
      </c>
      <c r="F10" s="456">
        <f>+C10*'4 Program Budget'!AO134+'4 Program Budget'!AP134*1000*D10</f>
        <v>2268172298.420918</v>
      </c>
    </row>
    <row r="11" spans="1:6">
      <c r="C11" s="3"/>
      <c r="D11" s="3"/>
      <c r="E11" s="30"/>
      <c r="F11" s="3"/>
    </row>
    <row r="12" spans="1:6" ht="46.15" customHeight="1">
      <c r="B12" s="956" t="s">
        <v>116</v>
      </c>
      <c r="C12" s="956"/>
      <c r="D12" s="956"/>
      <c r="E12" s="956"/>
      <c r="F12" s="956"/>
    </row>
    <row r="13" spans="1:6" ht="31.5" customHeight="1">
      <c r="B13" s="956" t="s">
        <v>117</v>
      </c>
      <c r="C13" s="956"/>
      <c r="D13" s="956"/>
      <c r="E13" s="956"/>
      <c r="F13" s="956"/>
    </row>
    <row r="14" spans="1:6">
      <c r="C14" s="1"/>
      <c r="D14" s="1"/>
      <c r="E14" s="1"/>
      <c r="F14" s="1"/>
    </row>
    <row r="15" spans="1:6">
      <c r="B15" s="3" t="s">
        <v>113</v>
      </c>
      <c r="C15" s="3" t="s">
        <v>118</v>
      </c>
      <c r="D15" s="3"/>
      <c r="E15" s="3"/>
      <c r="F15" s="3"/>
    </row>
    <row r="16" spans="1:6">
      <c r="B16" s="3" t="s">
        <v>114</v>
      </c>
      <c r="C16" s="3" t="s">
        <v>119</v>
      </c>
      <c r="D16" s="3"/>
      <c r="E16" s="3"/>
      <c r="F16" s="24"/>
    </row>
    <row r="17" spans="2:6">
      <c r="B17" s="3"/>
      <c r="C17" s="3"/>
      <c r="D17" s="3"/>
      <c r="E17" s="3"/>
      <c r="F17" s="24"/>
    </row>
    <row r="18" spans="2:6">
      <c r="B18" s="3"/>
      <c r="C18" s="3"/>
      <c r="D18" s="3"/>
      <c r="E18" s="3"/>
      <c r="F18" s="24"/>
    </row>
    <row r="19" spans="2:6">
      <c r="B19" s="4"/>
      <c r="C19" s="25"/>
      <c r="D19" s="26"/>
      <c r="E19" s="27"/>
      <c r="F19" s="28"/>
    </row>
    <row r="23" spans="2:6">
      <c r="D23" s="1"/>
    </row>
    <row r="24" spans="2:6">
      <c r="B24" s="903"/>
      <c r="C24" s="904"/>
      <c r="D24" s="36"/>
      <c r="E24" s="904"/>
    </row>
    <row r="25" spans="2:6">
      <c r="B25" s="903"/>
      <c r="C25" s="904"/>
      <c r="D25" s="35"/>
      <c r="E25" s="904"/>
    </row>
    <row r="26" spans="2:6">
      <c r="C26" s="34"/>
      <c r="D26" s="33"/>
      <c r="E26" s="28"/>
    </row>
    <row r="27" spans="2:6">
      <c r="B27" s="903"/>
      <c r="C27" s="904"/>
      <c r="D27" s="32"/>
      <c r="E27" s="904"/>
    </row>
    <row r="28" spans="2:6">
      <c r="B28" s="905"/>
      <c r="C28" s="904"/>
      <c r="D28" s="31"/>
      <c r="E28" s="28"/>
    </row>
    <row r="29" spans="2:6">
      <c r="C29" s="34"/>
      <c r="D29" s="33"/>
      <c r="E29" s="28"/>
    </row>
    <row r="30" spans="2:6">
      <c r="C30" s="34"/>
      <c r="D30" s="33"/>
      <c r="E30" s="28"/>
    </row>
    <row r="31" spans="2:6">
      <c r="C31" s="34"/>
      <c r="D31" s="33"/>
      <c r="E31" s="28"/>
    </row>
    <row r="32" spans="2:6">
      <c r="C32" s="34"/>
      <c r="D32" s="33"/>
      <c r="E32" s="28"/>
    </row>
  </sheetData>
  <mergeCells count="3">
    <mergeCell ref="B5:F5"/>
    <mergeCell ref="B12:F12"/>
    <mergeCell ref="B13:F13"/>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pageSetUpPr fitToPage="1"/>
  </sheetPr>
  <dimension ref="A1:N43"/>
  <sheetViews>
    <sheetView zoomScale="80" zoomScaleNormal="80" zoomScaleSheetLayoutView="70" workbookViewId="0">
      <pane xSplit="2" ySplit="5" topLeftCell="H6" activePane="bottomRight" state="frozen"/>
      <selection pane="topRight"/>
      <selection pane="bottomLeft"/>
      <selection pane="bottomRight" activeCell="H27" sqref="H27"/>
    </sheetView>
  </sheetViews>
  <sheetFormatPr defaultColWidth="9.625" defaultRowHeight="15.4"/>
  <cols>
    <col min="1" max="1" width="12.25" style="5" bestFit="1" customWidth="1"/>
    <col min="2" max="2" width="58.25" style="5" customWidth="1"/>
    <col min="3" max="3" width="23.625" style="84" customWidth="1"/>
    <col min="4" max="4" width="22.625" style="84" customWidth="1"/>
    <col min="5" max="5" width="15.625" style="85" customWidth="1"/>
    <col min="6" max="6" width="21.625" style="85" customWidth="1"/>
    <col min="7" max="8" width="22.625" style="409" customWidth="1"/>
    <col min="9" max="9" width="15.625" style="410" customWidth="1"/>
    <col min="10" max="10" width="21.625" style="410" customWidth="1"/>
    <col min="11" max="12" width="22.625" style="409" customWidth="1"/>
    <col min="13" max="13" width="15.625" style="410" customWidth="1"/>
    <col min="14" max="14" width="21.625" style="410" customWidth="1"/>
    <col min="15" max="16384" width="9.625" style="5"/>
  </cols>
  <sheetData>
    <row r="1" spans="1:14">
      <c r="A1" s="20" t="s">
        <v>85</v>
      </c>
      <c r="B1" s="408" t="str">
        <f>PA_NAME</f>
        <v>San Diego Gas &amp; Electric Co</v>
      </c>
    </row>
    <row r="2" spans="1:14">
      <c r="A2" s="20" t="s">
        <v>86</v>
      </c>
      <c r="B2" s="408" t="str">
        <f>RPT_YEAR</f>
        <v>2022-2023</v>
      </c>
    </row>
    <row r="3" spans="1:14">
      <c r="A3" s="6" t="s">
        <v>109</v>
      </c>
    </row>
    <row r="4" spans="1:14">
      <c r="A4" s="29"/>
      <c r="B4" s="6" t="s">
        <v>120</v>
      </c>
      <c r="C4" s="6"/>
      <c r="D4" s="6"/>
      <c r="E4" s="6"/>
      <c r="F4" s="6"/>
      <c r="G4" s="6"/>
      <c r="H4" s="6"/>
      <c r="I4" s="6"/>
      <c r="J4" s="6"/>
      <c r="K4" s="6"/>
      <c r="L4" s="6"/>
      <c r="M4" s="6"/>
      <c r="N4" s="6"/>
    </row>
    <row r="5" spans="1:14" ht="60.4">
      <c r="B5" s="86" t="s">
        <v>121</v>
      </c>
      <c r="C5" s="86" t="s">
        <v>122</v>
      </c>
      <c r="D5" s="86" t="s">
        <v>123</v>
      </c>
      <c r="E5" s="86" t="s">
        <v>124</v>
      </c>
      <c r="F5" s="86" t="s">
        <v>125</v>
      </c>
      <c r="G5" s="86" t="s">
        <v>126</v>
      </c>
      <c r="H5" s="86" t="s">
        <v>127</v>
      </c>
      <c r="I5" s="86" t="s">
        <v>128</v>
      </c>
      <c r="J5" s="86" t="s">
        <v>129</v>
      </c>
      <c r="K5" s="86" t="s">
        <v>130</v>
      </c>
      <c r="L5" s="86" t="s">
        <v>131</v>
      </c>
      <c r="M5" s="86" t="s">
        <v>132</v>
      </c>
      <c r="N5" s="86" t="s">
        <v>133</v>
      </c>
    </row>
    <row r="6" spans="1:14">
      <c r="B6" s="797" t="s">
        <v>17</v>
      </c>
      <c r="C6" s="867">
        <v>-7128598.0249075592</v>
      </c>
      <c r="D6" s="798">
        <v>-5.8130978660778897E-3</v>
      </c>
      <c r="E6" s="865">
        <v>0.32072000000000001</v>
      </c>
      <c r="F6" s="865">
        <v>4.6498059504295718E-3</v>
      </c>
      <c r="G6" s="867">
        <v>16614180.392027363</v>
      </c>
      <c r="H6" s="798">
        <v>5.0823147917185233E-3</v>
      </c>
      <c r="I6" s="865">
        <v>0.32234999999999997</v>
      </c>
      <c r="J6" s="865">
        <v>6.5110845850284167E-3</v>
      </c>
      <c r="K6" s="867">
        <v>3317225.7564583346</v>
      </c>
      <c r="L6" s="798">
        <v>6.6724869044650498E-3</v>
      </c>
      <c r="M6" s="865">
        <v>0.32286000000000004</v>
      </c>
      <c r="N6" s="865">
        <v>6.9971714751591446E-3</v>
      </c>
    </row>
    <row r="7" spans="1:14">
      <c r="B7" s="797" t="s">
        <v>134</v>
      </c>
      <c r="C7" s="867">
        <v>-1749591.5488662831</v>
      </c>
      <c r="D7" s="798">
        <v>-3.2688857883198838E-3</v>
      </c>
      <c r="E7" s="866">
        <v>0.28875999999999996</v>
      </c>
      <c r="F7" s="866">
        <v>3.41350384458501E-3</v>
      </c>
      <c r="G7" s="867">
        <v>4077664.2901824936</v>
      </c>
      <c r="H7" s="798">
        <v>4.1903310707855817E-3</v>
      </c>
      <c r="I7" s="866">
        <v>0.28997000000000001</v>
      </c>
      <c r="J7" s="866">
        <v>4.7799010325063982E-3</v>
      </c>
      <c r="K7" s="867">
        <v>814155.90118876472</v>
      </c>
      <c r="L7" s="798">
        <v>5.5063028120237584E-3</v>
      </c>
      <c r="M7" s="866">
        <v>0.29034999999999994</v>
      </c>
      <c r="N7" s="866">
        <v>5.1367459172075155E-3</v>
      </c>
    </row>
    <row r="8" spans="1:14">
      <c r="B8" s="797" t="s">
        <v>135</v>
      </c>
      <c r="C8" s="867">
        <v>-6415805.1259171553</v>
      </c>
      <c r="D8" s="798">
        <v>-1.0099649878804087E-2</v>
      </c>
      <c r="E8" s="866">
        <v>0.26090000000000002</v>
      </c>
      <c r="F8" s="866">
        <v>2.991151768433337E-3</v>
      </c>
      <c r="G8" s="867">
        <v>14952918.280655008</v>
      </c>
      <c r="H8" s="798">
        <v>4.0245304714449804E-3</v>
      </c>
      <c r="I8" s="866">
        <v>0.26195000000000002</v>
      </c>
      <c r="J8" s="866">
        <v>4.188484934328828E-3</v>
      </c>
      <c r="K8" s="867">
        <v>2985534.3137244359</v>
      </c>
      <c r="L8" s="798">
        <v>5.251054043694834E-3</v>
      </c>
      <c r="M8" s="866">
        <v>0.26227</v>
      </c>
      <c r="N8" s="866">
        <v>4.5011774803247447E-3</v>
      </c>
    </row>
    <row r="9" spans="1:14" ht="17.100000000000001" customHeight="1">
      <c r="B9" s="797" t="s">
        <v>27</v>
      </c>
      <c r="C9" s="867">
        <v>-13066.091338882135</v>
      </c>
      <c r="D9" s="798">
        <v>5.8828853289899085E-4</v>
      </c>
      <c r="E9" s="866">
        <v>0.20026000000000002</v>
      </c>
      <c r="F9" s="866">
        <v>7.2713961572512845E-4</v>
      </c>
      <c r="G9" s="867">
        <v>403381.39442196127</v>
      </c>
      <c r="H9" s="798">
        <v>4.0447418356135889E-3</v>
      </c>
      <c r="I9" s="866">
        <v>0.20107</v>
      </c>
      <c r="J9" s="866">
        <v>3.2188023870488212E-3</v>
      </c>
      <c r="K9" s="867">
        <v>80540.063950113486</v>
      </c>
      <c r="L9" s="798">
        <v>5.2931189453710439E-3</v>
      </c>
      <c r="M9" s="866">
        <v>0.20132000000000003</v>
      </c>
      <c r="N9" s="866">
        <v>3.4591030039174157E-3</v>
      </c>
    </row>
    <row r="10" spans="1:14">
      <c r="B10" s="797" t="s">
        <v>136</v>
      </c>
      <c r="C10" s="867">
        <v>-173077.6808551288</v>
      </c>
      <c r="D10" s="798">
        <v>-3.1215030331584602E-3</v>
      </c>
      <c r="E10" s="866">
        <v>0.26140000000000002</v>
      </c>
      <c r="F10" s="866">
        <v>2.2986656519516238E-3</v>
      </c>
      <c r="G10" s="867">
        <v>30452.32705847641</v>
      </c>
      <c r="H10" s="798">
        <v>1.185921958683921E-3</v>
      </c>
      <c r="I10" s="866">
        <v>0.26171</v>
      </c>
      <c r="J10" s="866">
        <v>1.0182075539461983E-3</v>
      </c>
      <c r="K10" s="867">
        <v>6080.1821864740341</v>
      </c>
      <c r="L10" s="798">
        <v>1.5684774292271076E-3</v>
      </c>
      <c r="M10" s="866">
        <v>0.26180999999999999</v>
      </c>
      <c r="N10" s="866">
        <v>1.0942221313859357E-3</v>
      </c>
    </row>
    <row r="11" spans="1:14" hidden="1">
      <c r="B11" s="414"/>
      <c r="C11" s="413"/>
      <c r="D11" s="412"/>
      <c r="E11" s="415"/>
      <c r="F11" s="416"/>
      <c r="G11" s="413"/>
      <c r="H11" s="412"/>
      <c r="I11" s="415"/>
      <c r="J11" s="416"/>
      <c r="K11" s="867"/>
      <c r="L11" s="412"/>
      <c r="M11" s="415"/>
      <c r="N11" s="416"/>
    </row>
    <row r="12" spans="1:14">
      <c r="B12" s="414"/>
      <c r="C12" s="412"/>
      <c r="D12" s="412"/>
      <c r="E12" s="415"/>
      <c r="F12" s="415"/>
      <c r="G12" s="412"/>
      <c r="H12" s="412"/>
      <c r="I12" s="415"/>
      <c r="J12" s="415"/>
      <c r="K12" s="867"/>
      <c r="L12" s="412"/>
      <c r="M12" s="415"/>
      <c r="N12" s="415"/>
    </row>
    <row r="13" spans="1:14">
      <c r="B13" s="417"/>
      <c r="C13" s="413"/>
      <c r="D13" s="413"/>
      <c r="E13" s="413"/>
      <c r="F13" s="413"/>
      <c r="G13" s="413"/>
      <c r="H13" s="413"/>
      <c r="I13" s="413"/>
      <c r="J13" s="413"/>
      <c r="K13" s="413"/>
      <c r="L13" s="413"/>
      <c r="M13" s="413"/>
      <c r="N13" s="413"/>
    </row>
    <row r="14" spans="1:14">
      <c r="B14" s="411"/>
      <c r="C14" s="413"/>
      <c r="D14" s="413"/>
      <c r="E14" s="413"/>
      <c r="F14" s="413"/>
      <c r="G14" s="413"/>
      <c r="H14" s="413"/>
      <c r="I14" s="413"/>
      <c r="J14" s="413"/>
      <c r="K14" s="413"/>
      <c r="L14" s="413"/>
      <c r="M14" s="413"/>
      <c r="N14" s="413"/>
    </row>
    <row r="15" spans="1:14">
      <c r="B15" s="414"/>
      <c r="C15" s="413"/>
      <c r="D15" s="413"/>
      <c r="E15" s="413"/>
      <c r="F15" s="413"/>
      <c r="G15" s="413"/>
      <c r="H15" s="413"/>
      <c r="I15" s="413"/>
      <c r="J15" s="413"/>
      <c r="K15" s="413"/>
      <c r="L15" s="413"/>
      <c r="M15" s="413"/>
      <c r="N15" s="413"/>
    </row>
    <row r="16" spans="1:14">
      <c r="B16" s="414"/>
      <c r="C16" s="413"/>
      <c r="D16" s="413"/>
      <c r="E16" s="413"/>
      <c r="F16" s="413"/>
      <c r="G16" s="413"/>
      <c r="H16" s="413"/>
      <c r="I16" s="413"/>
      <c r="J16" s="413"/>
      <c r="K16" s="413"/>
      <c r="L16" s="413"/>
      <c r="M16" s="413"/>
      <c r="N16" s="413"/>
    </row>
    <row r="17" spans="1:14">
      <c r="B17" s="414"/>
      <c r="C17" s="413"/>
      <c r="D17" s="413"/>
      <c r="E17" s="413"/>
      <c r="F17" s="413"/>
      <c r="G17" s="413"/>
      <c r="H17" s="413"/>
      <c r="I17" s="413"/>
      <c r="J17" s="413"/>
      <c r="K17" s="413"/>
      <c r="L17" s="413"/>
      <c r="M17" s="413"/>
      <c r="N17" s="413"/>
    </row>
    <row r="18" spans="1:14">
      <c r="B18" s="411"/>
      <c r="C18" s="413"/>
      <c r="D18" s="413"/>
      <c r="E18" s="413"/>
      <c r="F18" s="413"/>
      <c r="G18" s="413"/>
      <c r="H18" s="413"/>
      <c r="I18" s="413"/>
      <c r="J18" s="413"/>
      <c r="K18" s="413"/>
      <c r="L18" s="413"/>
      <c r="M18" s="413"/>
      <c r="N18" s="413"/>
    </row>
    <row r="19" spans="1:14">
      <c r="B19" s="414"/>
      <c r="C19" s="413"/>
      <c r="D19" s="413"/>
      <c r="E19" s="413"/>
      <c r="F19" s="413"/>
      <c r="G19" s="413"/>
      <c r="H19" s="413"/>
      <c r="I19" s="413"/>
      <c r="J19" s="413"/>
      <c r="K19" s="413"/>
      <c r="L19" s="413"/>
      <c r="M19" s="413"/>
      <c r="N19" s="413"/>
    </row>
    <row r="20" spans="1:14">
      <c r="B20" s="417"/>
      <c r="C20" s="413"/>
      <c r="D20" s="413"/>
      <c r="E20" s="413"/>
      <c r="F20" s="413"/>
      <c r="G20" s="413"/>
      <c r="H20" s="413"/>
      <c r="I20" s="413"/>
      <c r="J20" s="413"/>
      <c r="K20" s="413"/>
      <c r="L20" s="413"/>
      <c r="M20" s="413"/>
      <c r="N20" s="413"/>
    </row>
    <row r="21" spans="1:14">
      <c r="B21" s="418"/>
      <c r="C21" s="413"/>
      <c r="D21" s="413"/>
      <c r="E21" s="413"/>
      <c r="F21" s="413"/>
      <c r="G21" s="413"/>
      <c r="H21" s="413"/>
      <c r="I21" s="413"/>
      <c r="J21" s="413"/>
      <c r="K21" s="413"/>
      <c r="L21" s="413"/>
      <c r="M21" s="413"/>
      <c r="N21" s="413"/>
    </row>
    <row r="22" spans="1:14">
      <c r="A22" s="29"/>
      <c r="B22" s="3" t="s">
        <v>137</v>
      </c>
      <c r="C22" s="87"/>
      <c r="D22" s="87"/>
      <c r="E22" s="88"/>
      <c r="F22" s="87"/>
      <c r="G22" s="87"/>
      <c r="H22" s="87"/>
      <c r="I22" s="88"/>
      <c r="J22" s="87"/>
      <c r="K22" s="87"/>
      <c r="L22" s="87"/>
      <c r="M22" s="88"/>
      <c r="N22" s="87"/>
    </row>
    <row r="23" spans="1:14">
      <c r="B23" s="40"/>
      <c r="C23" s="40"/>
      <c r="D23" s="40"/>
      <c r="E23" s="40"/>
      <c r="F23" s="40"/>
      <c r="G23" s="40"/>
      <c r="H23" s="40"/>
      <c r="I23" s="40"/>
      <c r="J23" s="40"/>
      <c r="K23" s="40"/>
      <c r="L23" s="40"/>
      <c r="M23" s="40"/>
      <c r="N23" s="40"/>
    </row>
    <row r="24" spans="1:14">
      <c r="B24" s="6" t="s">
        <v>138</v>
      </c>
    </row>
    <row r="25" spans="1:14" ht="60.4">
      <c r="B25" s="86" t="s">
        <v>121</v>
      </c>
      <c r="C25" s="86" t="s">
        <v>139</v>
      </c>
      <c r="D25" s="86" t="s">
        <v>140</v>
      </c>
      <c r="E25" s="86" t="s">
        <v>141</v>
      </c>
      <c r="F25" s="86" t="s">
        <v>142</v>
      </c>
      <c r="G25" s="86" t="s">
        <v>143</v>
      </c>
      <c r="H25" s="86" t="s">
        <v>144</v>
      </c>
      <c r="I25" s="86" t="s">
        <v>145</v>
      </c>
      <c r="J25" s="86" t="s">
        <v>146</v>
      </c>
      <c r="K25" s="86" t="s">
        <v>147</v>
      </c>
      <c r="L25" s="86" t="s">
        <v>148</v>
      </c>
      <c r="M25" s="86" t="s">
        <v>149</v>
      </c>
      <c r="N25" s="86" t="s">
        <v>150</v>
      </c>
    </row>
    <row r="26" spans="1:14">
      <c r="B26" s="419" t="s">
        <v>17</v>
      </c>
      <c r="C26" s="868">
        <v>247.56590330782291</v>
      </c>
      <c r="D26" s="795">
        <v>4.4429291165631792E-4</v>
      </c>
      <c r="E26" s="863">
        <v>1.9468737143739374</v>
      </c>
      <c r="F26" s="863">
        <v>1.4495201047945907E-3</v>
      </c>
      <c r="G26" s="869">
        <v>2445.7954576506245</v>
      </c>
      <c r="H26" s="795">
        <v>4.0151135023229105E-3</v>
      </c>
      <c r="I26" s="863">
        <v>2.0596297931364931</v>
      </c>
      <c r="J26" s="864">
        <v>9.2664390426949444E-3</v>
      </c>
      <c r="K26" s="868">
        <v>35.575055215984321</v>
      </c>
      <c r="L26" s="795">
        <v>5.5204170895800504E-5</v>
      </c>
      <c r="M26" s="863">
        <v>2.0603215818725391</v>
      </c>
      <c r="N26" s="864">
        <v>9.9582277787410006E-3</v>
      </c>
    </row>
    <row r="27" spans="1:14">
      <c r="B27" s="419" t="s">
        <v>151</v>
      </c>
      <c r="C27" s="868">
        <v>538.43820679541864</v>
      </c>
      <c r="D27" s="795">
        <v>3.2086936352771229E-3</v>
      </c>
      <c r="E27" s="863">
        <v>1.0635539423521934</v>
      </c>
      <c r="F27" s="864">
        <v>5.3009463613775919E-3</v>
      </c>
      <c r="G27" s="868">
        <v>5319.4309184344347</v>
      </c>
      <c r="H27" s="795">
        <v>2.6878513888199979E-2</v>
      </c>
      <c r="I27" s="863">
        <v>1.1971167848240776</v>
      </c>
      <c r="J27" s="864">
        <v>3.3887695771740861E-2</v>
      </c>
      <c r="K27" s="868">
        <v>77.373211258925039</v>
      </c>
      <c r="L27" s="795">
        <v>3.473391229363235E-4</v>
      </c>
      <c r="M27" s="863">
        <v>1.1996466807331136</v>
      </c>
      <c r="N27" s="864">
        <v>3.6417591680776913E-2</v>
      </c>
    </row>
    <row r="28" spans="1:14">
      <c r="B28" s="419" t="s">
        <v>152</v>
      </c>
      <c r="C28" s="868">
        <v>129.44898989675903</v>
      </c>
      <c r="D28" s="795">
        <v>1.3899557364443801E-2</v>
      </c>
      <c r="E28" s="863">
        <v>0.18800736311825117</v>
      </c>
      <c r="F28" s="864">
        <v>5.6982625257404789E-3</v>
      </c>
      <c r="G28" s="868">
        <v>1278.8746239149418</v>
      </c>
      <c r="H28" s="795">
        <v>0.1634477552456155</v>
      </c>
      <c r="I28" s="863">
        <v>0.16912508547719857</v>
      </c>
      <c r="J28" s="864">
        <v>3.6427643997065953E-2</v>
      </c>
      <c r="K28" s="868">
        <v>18.601733525091277</v>
      </c>
      <c r="L28" s="795">
        <v>2.642842233682283E-3</v>
      </c>
      <c r="M28" s="863">
        <v>0.17184460196910623</v>
      </c>
      <c r="N28" s="864">
        <v>3.9147160488973612E-2</v>
      </c>
    </row>
    <row r="29" spans="1:14">
      <c r="B29" s="420"/>
      <c r="C29" s="421"/>
      <c r="D29" s="421"/>
      <c r="E29" s="421"/>
      <c r="F29" s="421"/>
      <c r="G29" s="421"/>
      <c r="H29" s="421"/>
      <c r="I29" s="421"/>
      <c r="J29" s="421"/>
      <c r="K29" s="421"/>
      <c r="L29" s="421"/>
      <c r="M29" s="421"/>
      <c r="N29" s="421"/>
    </row>
    <row r="30" spans="1:14">
      <c r="B30" s="418"/>
      <c r="C30" s="421"/>
      <c r="D30" s="421"/>
      <c r="E30" s="421"/>
      <c r="F30" s="421"/>
      <c r="G30" s="421"/>
      <c r="H30" s="421"/>
      <c r="I30" s="421"/>
      <c r="J30" s="421"/>
      <c r="K30" s="421"/>
      <c r="L30" s="421"/>
      <c r="M30" s="421"/>
      <c r="N30" s="421"/>
    </row>
    <row r="31" spans="1:14">
      <c r="B31" s="414"/>
      <c r="C31" s="422"/>
      <c r="D31" s="423"/>
      <c r="E31" s="422"/>
      <c r="F31" s="422"/>
      <c r="G31" s="422"/>
      <c r="H31" s="423"/>
      <c r="I31" s="422"/>
      <c r="J31" s="422"/>
      <c r="K31" s="422"/>
      <c r="L31" s="423"/>
      <c r="M31" s="422"/>
      <c r="N31" s="422"/>
    </row>
    <row r="32" spans="1:14">
      <c r="B32" s="414"/>
      <c r="C32" s="422"/>
      <c r="D32" s="422"/>
      <c r="E32" s="422"/>
      <c r="F32" s="422"/>
      <c r="G32" s="422"/>
      <c r="H32" s="422"/>
      <c r="I32" s="422"/>
      <c r="J32" s="422"/>
      <c r="K32" s="422"/>
      <c r="L32" s="422"/>
      <c r="M32" s="422"/>
      <c r="N32" s="422"/>
    </row>
    <row r="33" spans="2:14">
      <c r="B33" s="414"/>
      <c r="C33" s="422"/>
      <c r="D33" s="422"/>
      <c r="E33" s="422"/>
      <c r="F33" s="422"/>
      <c r="G33" s="422"/>
      <c r="H33" s="422"/>
      <c r="I33" s="422"/>
      <c r="J33" s="422"/>
      <c r="K33" s="422"/>
      <c r="L33" s="422"/>
      <c r="M33" s="422"/>
      <c r="N33" s="422"/>
    </row>
    <row r="34" spans="2:14">
      <c r="B34" s="414"/>
      <c r="C34" s="422"/>
      <c r="D34" s="423"/>
      <c r="E34" s="422"/>
      <c r="F34" s="422"/>
      <c r="G34" s="422"/>
      <c r="H34" s="423"/>
      <c r="I34" s="422"/>
      <c r="J34" s="422"/>
      <c r="K34" s="422"/>
      <c r="L34" s="423"/>
      <c r="M34" s="422"/>
      <c r="N34" s="422"/>
    </row>
    <row r="35" spans="2:14">
      <c r="B35" s="418"/>
      <c r="C35" s="422"/>
      <c r="D35" s="422"/>
      <c r="E35" s="422"/>
      <c r="F35" s="422"/>
      <c r="G35" s="422"/>
      <c r="H35" s="422"/>
      <c r="I35" s="422"/>
      <c r="J35" s="422"/>
      <c r="K35" s="422"/>
      <c r="L35" s="422"/>
      <c r="M35" s="422"/>
      <c r="N35" s="422"/>
    </row>
    <row r="36" spans="2:14">
      <c r="B36" s="414"/>
      <c r="C36" s="422"/>
      <c r="D36" s="422"/>
      <c r="E36" s="422"/>
      <c r="F36" s="422"/>
      <c r="G36" s="422"/>
      <c r="H36" s="422"/>
      <c r="I36" s="422"/>
      <c r="J36" s="422"/>
      <c r="K36" s="422"/>
      <c r="L36" s="422"/>
      <c r="M36" s="422"/>
      <c r="N36" s="422"/>
    </row>
    <row r="37" spans="2:14">
      <c r="B37" s="414"/>
      <c r="C37" s="422"/>
      <c r="D37" s="422"/>
      <c r="E37" s="422"/>
      <c r="F37" s="422"/>
      <c r="G37" s="422"/>
      <c r="H37" s="422"/>
      <c r="I37" s="422"/>
      <c r="J37" s="422"/>
      <c r="K37" s="422"/>
      <c r="L37" s="422"/>
      <c r="M37" s="422"/>
      <c r="N37" s="422"/>
    </row>
    <row r="38" spans="2:14">
      <c r="B38" s="414"/>
      <c r="C38" s="422"/>
      <c r="D38" s="422"/>
      <c r="E38" s="422"/>
      <c r="F38" s="422"/>
      <c r="G38" s="422"/>
      <c r="H38" s="422"/>
      <c r="I38" s="422"/>
      <c r="J38" s="422"/>
      <c r="K38" s="422"/>
      <c r="L38" s="422"/>
      <c r="M38" s="422"/>
      <c r="N38" s="422"/>
    </row>
    <row r="39" spans="2:14">
      <c r="B39" s="414"/>
      <c r="C39" s="422"/>
      <c r="D39" s="422"/>
      <c r="E39" s="422"/>
      <c r="F39" s="422"/>
      <c r="G39" s="422"/>
      <c r="H39" s="422"/>
      <c r="I39" s="422"/>
      <c r="J39" s="422"/>
      <c r="K39" s="422"/>
      <c r="L39" s="422"/>
      <c r="M39" s="422"/>
      <c r="N39" s="422"/>
    </row>
    <row r="40" spans="2:14">
      <c r="B40" s="418"/>
      <c r="C40" s="422"/>
      <c r="D40" s="422"/>
      <c r="E40" s="422"/>
      <c r="F40" s="422"/>
      <c r="G40" s="422"/>
      <c r="H40" s="422"/>
      <c r="I40" s="422"/>
      <c r="J40" s="422"/>
      <c r="K40" s="422"/>
      <c r="L40" s="422"/>
      <c r="M40" s="422"/>
      <c r="N40" s="422"/>
    </row>
    <row r="41" spans="2:14">
      <c r="B41" s="414"/>
      <c r="C41" s="422"/>
      <c r="D41" s="422"/>
      <c r="E41" s="422"/>
      <c r="F41" s="422"/>
      <c r="G41" s="422"/>
      <c r="H41" s="422"/>
      <c r="I41" s="422"/>
      <c r="J41" s="422"/>
      <c r="K41" s="422"/>
      <c r="L41" s="422"/>
      <c r="M41" s="422"/>
      <c r="N41" s="422"/>
    </row>
    <row r="42" spans="2:14">
      <c r="B42" s="414"/>
      <c r="C42" s="422"/>
      <c r="D42" s="423"/>
      <c r="E42" s="422"/>
      <c r="F42" s="422"/>
      <c r="G42" s="422"/>
      <c r="H42" s="423"/>
      <c r="I42" s="422"/>
      <c r="J42" s="422"/>
      <c r="K42" s="422"/>
      <c r="L42" s="423"/>
      <c r="M42" s="422"/>
      <c r="N42" s="422"/>
    </row>
    <row r="43" spans="2:14">
      <c r="B43" s="3" t="s">
        <v>153</v>
      </c>
      <c r="C43" s="89"/>
      <c r="D43" s="89"/>
      <c r="E43" s="7"/>
      <c r="F43" s="7"/>
      <c r="G43" s="89"/>
      <c r="H43" s="89"/>
      <c r="I43" s="7"/>
      <c r="J43" s="7"/>
      <c r="K43" s="89"/>
      <c r="L43" s="89"/>
      <c r="M43" s="7"/>
      <c r="N43" s="7"/>
    </row>
  </sheetData>
  <pageMargins left="0.7" right="0.7" top="0.75" bottom="0.75" header="0.3" footer="0.3"/>
  <pageSetup paperSize="17" scale="50" fitToHeight="0" orientation="landscape"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pageSetUpPr fitToPage="1"/>
  </sheetPr>
  <dimension ref="A1:O78"/>
  <sheetViews>
    <sheetView zoomScale="70" zoomScaleNormal="70" workbookViewId="0"/>
  </sheetViews>
  <sheetFormatPr defaultColWidth="11.125" defaultRowHeight="15.75"/>
  <cols>
    <col min="1" max="1" width="12.25" style="96" bestFit="1" customWidth="1"/>
    <col min="2" max="2" width="11.125" style="96"/>
    <col min="3" max="3" width="71.5" style="96" customWidth="1"/>
    <col min="4" max="4" width="14.125" style="96" bestFit="1" customWidth="1"/>
    <col min="5" max="5" width="16.25" style="96" customWidth="1"/>
    <col min="6" max="6" width="14.125" style="96" bestFit="1" customWidth="1"/>
    <col min="7" max="7" width="16.25" style="96" customWidth="1"/>
    <col min="8" max="8" width="13.25" style="96" bestFit="1" customWidth="1"/>
    <col min="9" max="9" width="15.5" style="96" bestFit="1" customWidth="1"/>
    <col min="10" max="10" width="13.25" style="96" bestFit="1" customWidth="1"/>
    <col min="11" max="11" width="14.125" style="96" bestFit="1" customWidth="1"/>
    <col min="12" max="16384" width="11.125" style="96"/>
  </cols>
  <sheetData>
    <row r="1" spans="1:8">
      <c r="A1" s="20" t="s">
        <v>85</v>
      </c>
      <c r="B1" s="408" t="str">
        <f>PA_NAME</f>
        <v>San Diego Gas &amp; Electric Co</v>
      </c>
      <c r="C1" s="94"/>
      <c r="D1" s="94"/>
      <c r="E1" s="94"/>
      <c r="F1" s="95"/>
      <c r="G1" s="95"/>
      <c r="H1" s="95"/>
    </row>
    <row r="2" spans="1:8">
      <c r="A2" s="20" t="s">
        <v>86</v>
      </c>
      <c r="B2" s="408" t="str">
        <f>RPT_YEAR</f>
        <v>2022-2023</v>
      </c>
      <c r="C2" s="94"/>
      <c r="D2" s="94"/>
      <c r="E2" s="94"/>
      <c r="F2" s="95"/>
      <c r="G2" s="95"/>
      <c r="H2" s="95"/>
    </row>
    <row r="3" spans="1:8">
      <c r="A3" s="326"/>
      <c r="B3" s="94"/>
      <c r="C3" s="94"/>
      <c r="D3" s="94"/>
      <c r="E3" s="94"/>
      <c r="F3" s="95"/>
      <c r="G3" s="95"/>
      <c r="H3" s="95"/>
    </row>
    <row r="4" spans="1:8">
      <c r="A4" s="97" t="s">
        <v>154</v>
      </c>
      <c r="B4" s="94"/>
      <c r="D4" s="94"/>
      <c r="E4" s="94"/>
      <c r="F4" s="95"/>
      <c r="G4" s="95"/>
      <c r="H4" s="95"/>
    </row>
    <row r="5" spans="1:8">
      <c r="A5" s="326"/>
      <c r="B5" s="94"/>
      <c r="C5" s="94"/>
      <c r="D5" s="94"/>
      <c r="E5" s="94"/>
      <c r="F5" s="95"/>
      <c r="G5" s="95"/>
      <c r="H5" s="95"/>
    </row>
    <row r="6" spans="1:8" ht="16.149999999999999" thickBot="1">
      <c r="A6" s="94"/>
      <c r="B6" s="94"/>
      <c r="C6" s="97" t="s">
        <v>155</v>
      </c>
      <c r="D6" s="97"/>
      <c r="E6" s="97"/>
      <c r="F6" s="95"/>
      <c r="G6" s="95"/>
      <c r="H6" s="95"/>
    </row>
    <row r="7" spans="1:8">
      <c r="A7" s="94"/>
      <c r="B7" s="94"/>
      <c r="C7" s="181" t="s">
        <v>156</v>
      </c>
      <c r="D7" s="179">
        <v>2022</v>
      </c>
      <c r="E7" s="179">
        <v>2023</v>
      </c>
      <c r="F7" s="95"/>
      <c r="G7" s="95"/>
    </row>
    <row r="8" spans="1:8">
      <c r="A8" s="94"/>
      <c r="B8" s="94"/>
      <c r="C8" s="429" t="s">
        <v>157</v>
      </c>
      <c r="D8" s="256">
        <f>'4 Program Budget'!Q134+'4 Program Budget'!Q139</f>
        <v>82732385.580942631</v>
      </c>
      <c r="E8" s="256">
        <f>'4 Program Budget'!AG134+'4 Program Budget'!AG139</f>
        <v>94233376.338747099</v>
      </c>
      <c r="F8" s="95"/>
      <c r="G8" s="95"/>
    </row>
    <row r="9" spans="1:8">
      <c r="A9" s="94"/>
      <c r="B9" s="94"/>
      <c r="C9" s="224" t="s">
        <v>158</v>
      </c>
      <c r="D9" s="115"/>
      <c r="E9" s="115"/>
      <c r="F9" s="95"/>
      <c r="G9" s="95"/>
    </row>
    <row r="10" spans="1:8" ht="33.4">
      <c r="A10" s="94"/>
      <c r="B10" s="94"/>
      <c r="C10" s="548" t="s">
        <v>159</v>
      </c>
      <c r="D10" s="257">
        <f>'4 Program Budget'!Q145</f>
        <v>24479433.350680012</v>
      </c>
      <c r="E10" s="257">
        <f>'4 Program Budget'!AG145</f>
        <v>20982371.443440009</v>
      </c>
      <c r="F10" s="95"/>
      <c r="G10" s="95"/>
    </row>
    <row r="11" spans="1:8">
      <c r="A11" s="94"/>
      <c r="B11" s="94"/>
      <c r="C11" s="430" t="s">
        <v>160</v>
      </c>
      <c r="D11" s="257">
        <f>'4 Program Budget'!Q146</f>
        <v>40413350.652349927</v>
      </c>
      <c r="E11" s="257">
        <f>'4 Program Budget'!AG146</f>
        <v>0</v>
      </c>
      <c r="F11" s="95"/>
      <c r="G11" s="95"/>
    </row>
    <row r="12" spans="1:8" ht="16.149999999999999" thickBot="1">
      <c r="A12" s="94"/>
      <c r="B12" s="94"/>
      <c r="C12" s="874" t="s">
        <v>161</v>
      </c>
      <c r="D12" s="258">
        <f>SUM(D8:D11)</f>
        <v>147625169.58397257</v>
      </c>
      <c r="E12" s="258">
        <f>SUM(E8:E11)</f>
        <v>115215747.7821871</v>
      </c>
      <c r="F12" s="95"/>
      <c r="G12" s="95"/>
    </row>
    <row r="13" spans="1:8" ht="31.15" customHeight="1">
      <c r="A13" s="94"/>
      <c r="B13" s="94"/>
      <c r="C13" s="961" t="s">
        <v>162</v>
      </c>
      <c r="D13" s="961"/>
      <c r="E13" s="961"/>
      <c r="F13" s="95"/>
      <c r="G13" s="95"/>
    </row>
    <row r="14" spans="1:8">
      <c r="A14" s="94"/>
      <c r="B14" s="94"/>
      <c r="C14" s="94"/>
      <c r="D14" s="94"/>
      <c r="E14" s="94"/>
      <c r="F14" s="95"/>
      <c r="G14" s="95"/>
      <c r="H14" s="95"/>
    </row>
    <row r="15" spans="1:8">
      <c r="A15" s="94"/>
      <c r="B15" s="94"/>
      <c r="C15" s="97" t="s">
        <v>163</v>
      </c>
      <c r="D15" s="94"/>
      <c r="E15" s="94"/>
      <c r="F15" s="95"/>
      <c r="G15" s="95"/>
      <c r="H15" s="95"/>
    </row>
    <row r="16" spans="1:8" ht="16.149999999999999" thickBot="1">
      <c r="A16" s="94"/>
      <c r="B16" s="94"/>
      <c r="C16" s="94"/>
      <c r="D16" s="94"/>
      <c r="E16" s="94"/>
      <c r="F16" s="95"/>
      <c r="G16" s="95"/>
      <c r="H16" s="95"/>
    </row>
    <row r="17" spans="1:15">
      <c r="A17" s="94"/>
      <c r="B17" s="94"/>
      <c r="C17" s="181" t="s">
        <v>164</v>
      </c>
      <c r="D17" s="180" t="s">
        <v>165</v>
      </c>
      <c r="E17" s="179" t="s">
        <v>166</v>
      </c>
      <c r="F17" s="180" t="s">
        <v>167</v>
      </c>
      <c r="G17" s="179" t="s">
        <v>168</v>
      </c>
      <c r="H17" s="95"/>
    </row>
    <row r="18" spans="1:15">
      <c r="A18" s="94"/>
      <c r="B18" s="94"/>
      <c r="C18" s="98" t="s">
        <v>169</v>
      </c>
      <c r="D18" s="253">
        <f>D$12*E18</f>
        <v>132862652.62557532</v>
      </c>
      <c r="E18" s="240">
        <v>0.9</v>
      </c>
      <c r="F18" s="253">
        <f>E$12*G18</f>
        <v>103694173.0039684</v>
      </c>
      <c r="G18" s="240">
        <v>0.9</v>
      </c>
      <c r="H18" s="95"/>
      <c r="I18" s="783"/>
    </row>
    <row r="19" spans="1:15">
      <c r="A19" s="94"/>
      <c r="B19" s="94"/>
      <c r="C19" s="98" t="s">
        <v>170</v>
      </c>
      <c r="D19" s="253">
        <f>D$12*E19</f>
        <v>14762516.958397258</v>
      </c>
      <c r="E19" s="240">
        <v>0.1</v>
      </c>
      <c r="F19" s="253">
        <f>E$12*G19</f>
        <v>11521574.778218711</v>
      </c>
      <c r="G19" s="240">
        <v>0.1</v>
      </c>
      <c r="H19" s="95"/>
      <c r="J19" s="784"/>
    </row>
    <row r="20" spans="1:15" ht="16.149999999999999" thickBot="1">
      <c r="A20" s="94"/>
      <c r="B20" s="94"/>
      <c r="C20" s="99" t="s">
        <v>171</v>
      </c>
      <c r="D20" s="255">
        <f>SUM(D18:D19)</f>
        <v>147625169.58397257</v>
      </c>
      <c r="E20" s="101"/>
      <c r="F20" s="255">
        <f>SUM(F18:F19)</f>
        <v>115215747.78218712</v>
      </c>
      <c r="G20" s="101"/>
      <c r="H20" s="95"/>
    </row>
    <row r="21" spans="1:15">
      <c r="A21" s="94"/>
      <c r="B21" s="94"/>
      <c r="C21" s="94"/>
      <c r="D21" s="94"/>
      <c r="E21" s="94"/>
      <c r="F21" s="95"/>
      <c r="G21" s="95"/>
      <c r="H21" s="95"/>
    </row>
    <row r="22" spans="1:15">
      <c r="A22" s="94"/>
      <c r="B22" s="94"/>
      <c r="C22" s="94"/>
      <c r="D22" s="94"/>
      <c r="E22" s="94"/>
      <c r="F22" s="95"/>
      <c r="G22" s="95"/>
      <c r="H22" s="95"/>
    </row>
    <row r="23" spans="1:15">
      <c r="A23" s="94"/>
      <c r="B23" s="94"/>
      <c r="C23" s="97" t="s">
        <v>172</v>
      </c>
      <c r="D23" s="94"/>
      <c r="E23" s="94"/>
      <c r="F23" s="95"/>
      <c r="G23" s="95"/>
      <c r="H23" s="95"/>
    </row>
    <row r="24" spans="1:15" ht="16.149999999999999" thickBot="1">
      <c r="A24" s="94"/>
      <c r="B24" s="94"/>
      <c r="C24" s="94"/>
      <c r="D24" s="94"/>
      <c r="E24" s="94"/>
      <c r="F24" s="95"/>
      <c r="G24" s="95"/>
      <c r="H24" s="95"/>
    </row>
    <row r="25" spans="1:15" ht="60.75">
      <c r="A25" s="94"/>
      <c r="B25" s="94"/>
      <c r="C25" s="100" t="s">
        <v>173</v>
      </c>
      <c r="D25" s="176" t="s">
        <v>174</v>
      </c>
      <c r="E25" s="177" t="s">
        <v>175</v>
      </c>
      <c r="F25" s="176" t="s">
        <v>176</v>
      </c>
      <c r="G25" s="177" t="s">
        <v>177</v>
      </c>
      <c r="H25" s="95"/>
    </row>
    <row r="26" spans="1:15">
      <c r="A26" s="94"/>
      <c r="B26" s="94"/>
      <c r="C26" s="98" t="s">
        <v>169</v>
      </c>
      <c r="D26" s="253">
        <f>D18-D54</f>
        <v>96490637.038460374</v>
      </c>
      <c r="E26" s="241">
        <f>D26/D28</f>
        <v>0.89999999999999991</v>
      </c>
      <c r="F26" s="253">
        <f>+F18-G54</f>
        <v>103694173.0039684</v>
      </c>
      <c r="G26" s="241">
        <f>F26/F28</f>
        <v>0.89999999999999991</v>
      </c>
      <c r="H26" s="95"/>
    </row>
    <row r="27" spans="1:15">
      <c r="A27" s="94"/>
      <c r="B27" s="94"/>
      <c r="C27" s="102" t="s">
        <v>170</v>
      </c>
      <c r="D27" s="253">
        <f>D19-E54</f>
        <v>10721181.893162265</v>
      </c>
      <c r="E27" s="241">
        <f>D27/D28</f>
        <v>0.1</v>
      </c>
      <c r="F27" s="253">
        <f>+F19-H54</f>
        <v>11521574.778218711</v>
      </c>
      <c r="G27" s="241">
        <f>F27/F28</f>
        <v>9.9999999999999992E-2</v>
      </c>
      <c r="H27" s="95"/>
    </row>
    <row r="28" spans="1:15" ht="16.149999999999999" thickBot="1">
      <c r="A28" s="95"/>
      <c r="B28" s="95"/>
      <c r="C28" s="99" t="s">
        <v>171</v>
      </c>
      <c r="D28" s="254">
        <f>D20-F54</f>
        <v>107211818.93162265</v>
      </c>
      <c r="E28" s="101"/>
      <c r="F28" s="254">
        <f>F20-I54</f>
        <v>115215747.78218712</v>
      </c>
      <c r="G28" s="101"/>
      <c r="H28" s="95"/>
      <c r="O28" s="103"/>
    </row>
    <row r="29" spans="1:15">
      <c r="A29" s="95"/>
      <c r="B29" s="95"/>
      <c r="C29" s="95"/>
      <c r="D29" s="95"/>
      <c r="E29" s="95"/>
      <c r="F29" s="95"/>
      <c r="G29" s="95"/>
      <c r="H29" s="95"/>
    </row>
    <row r="30" spans="1:15">
      <c r="A30" s="95"/>
      <c r="B30" s="95"/>
      <c r="C30" s="104" t="s">
        <v>178</v>
      </c>
      <c r="D30" s="95"/>
      <c r="E30" s="95"/>
      <c r="F30" s="95"/>
      <c r="G30" s="95"/>
      <c r="H30" s="95"/>
    </row>
    <row r="31" spans="1:15" ht="16.149999999999999" thickBot="1">
      <c r="A31" s="95"/>
      <c r="B31" s="95"/>
      <c r="C31" s="104"/>
      <c r="D31" s="95"/>
      <c r="E31" s="95"/>
      <c r="F31" s="95"/>
      <c r="G31" s="95"/>
      <c r="H31" s="95"/>
    </row>
    <row r="32" spans="1:15" ht="16.149999999999999" thickBot="1">
      <c r="A32" s="95"/>
      <c r="B32" s="95"/>
      <c r="C32" s="95"/>
      <c r="D32" s="960">
        <v>2022</v>
      </c>
      <c r="E32" s="957"/>
      <c r="F32" s="963"/>
      <c r="G32" s="957">
        <v>2023</v>
      </c>
      <c r="H32" s="957"/>
      <c r="I32" s="958"/>
    </row>
    <row r="33" spans="1:9">
      <c r="A33" s="94"/>
      <c r="B33" s="94"/>
      <c r="C33" s="227" t="s">
        <v>179</v>
      </c>
      <c r="D33" s="181" t="s">
        <v>180</v>
      </c>
      <c r="E33" s="176" t="s">
        <v>181</v>
      </c>
      <c r="F33" s="177" t="s">
        <v>182</v>
      </c>
      <c r="G33" s="245" t="s">
        <v>180</v>
      </c>
      <c r="H33" s="176" t="s">
        <v>181</v>
      </c>
      <c r="I33" s="177" t="s">
        <v>182</v>
      </c>
    </row>
    <row r="34" spans="1:9">
      <c r="A34" s="94"/>
      <c r="B34" s="94"/>
      <c r="C34" s="228" t="s">
        <v>183</v>
      </c>
      <c r="D34" s="425">
        <f>+F34*E18</f>
        <v>0</v>
      </c>
      <c r="E34" s="253">
        <f>+F34*E19</f>
        <v>0</v>
      </c>
      <c r="F34" s="426">
        <f>+'4 Program Budget'!I141</f>
        <v>0</v>
      </c>
      <c r="G34" s="546">
        <f>+I34*$G$18</f>
        <v>0</v>
      </c>
      <c r="H34" s="547">
        <f>I34*$G$19</f>
        <v>0</v>
      </c>
      <c r="I34" s="466">
        <v>0</v>
      </c>
    </row>
    <row r="35" spans="1:9" ht="18">
      <c r="A35" s="94"/>
      <c r="B35" s="94"/>
      <c r="C35" s="229" t="s">
        <v>184</v>
      </c>
      <c r="D35" s="425">
        <f>+F35*E18</f>
        <v>0</v>
      </c>
      <c r="E35" s="253">
        <f>F35*E19</f>
        <v>0</v>
      </c>
      <c r="F35" s="424">
        <v>0</v>
      </c>
      <c r="G35" s="425">
        <f>+I35*$G$18</f>
        <v>0</v>
      </c>
      <c r="H35" s="253">
        <f>I35*$G$19</f>
        <v>0</v>
      </c>
      <c r="I35" s="466">
        <v>0</v>
      </c>
    </row>
    <row r="36" spans="1:9" ht="18">
      <c r="A36" s="94"/>
      <c r="B36" s="94"/>
      <c r="C36" s="230" t="s">
        <v>185</v>
      </c>
      <c r="D36" s="425">
        <f>+F36*E18</f>
        <v>36372015.587114938</v>
      </c>
      <c r="E36" s="253">
        <f>+F36*E19</f>
        <v>4041335.0652349927</v>
      </c>
      <c r="F36" s="256">
        <f>+'4 Program Budget'!K141-F35</f>
        <v>40413350.652349927</v>
      </c>
      <c r="G36" s="425">
        <f>+I36*G18</f>
        <v>0</v>
      </c>
      <c r="H36" s="253">
        <f>I36*G19</f>
        <v>0</v>
      </c>
      <c r="I36" s="466">
        <v>0</v>
      </c>
    </row>
    <row r="37" spans="1:9" ht="18">
      <c r="A37" s="94"/>
      <c r="B37" s="94"/>
      <c r="C37" s="230" t="s">
        <v>186</v>
      </c>
      <c r="D37" s="234"/>
      <c r="E37" s="232"/>
      <c r="F37" s="233"/>
      <c r="G37" s="425">
        <f>+I37*G18</f>
        <v>0</v>
      </c>
      <c r="H37" s="253">
        <f>I37*G19</f>
        <v>0</v>
      </c>
      <c r="I37" s="467">
        <v>0</v>
      </c>
    </row>
    <row r="38" spans="1:9" ht="16.149999999999999" thickBot="1">
      <c r="A38" s="94"/>
      <c r="B38" s="94"/>
      <c r="C38" s="231" t="s">
        <v>182</v>
      </c>
      <c r="D38" s="247">
        <f>SUM(D34:D36)</f>
        <v>36372015.587114938</v>
      </c>
      <c r="E38" s="247">
        <f>SUM(E34:E36)</f>
        <v>4041335.0652349927</v>
      </c>
      <c r="F38" s="247">
        <f>SUM(F34:F36)</f>
        <v>40413350.652349927</v>
      </c>
      <c r="G38" s="468">
        <f t="shared" ref="G38:I38" si="0">SUM(G34:G37)</f>
        <v>0</v>
      </c>
      <c r="H38" s="469">
        <f t="shared" si="0"/>
        <v>0</v>
      </c>
      <c r="I38" s="470">
        <f t="shared" si="0"/>
        <v>0</v>
      </c>
    </row>
    <row r="39" spans="1:9" ht="16.149999999999999" thickBot="1"/>
    <row r="40" spans="1:9" ht="16.149999999999999" thickBot="1">
      <c r="A40" s="95"/>
      <c r="B40" s="95"/>
      <c r="C40" s="95"/>
      <c r="D40" s="960">
        <v>2022</v>
      </c>
      <c r="E40" s="957"/>
      <c r="F40" s="963"/>
      <c r="G40" s="957">
        <v>2023</v>
      </c>
      <c r="H40" s="957"/>
      <c r="I40" s="958"/>
    </row>
    <row r="41" spans="1:9">
      <c r="A41" s="94"/>
      <c r="B41" s="94"/>
      <c r="C41" s="227" t="s">
        <v>187</v>
      </c>
      <c r="D41" s="181" t="s">
        <v>180</v>
      </c>
      <c r="E41" s="176" t="s">
        <v>181</v>
      </c>
      <c r="F41" s="177" t="s">
        <v>182</v>
      </c>
      <c r="G41" s="245" t="s">
        <v>180</v>
      </c>
      <c r="H41" s="176" t="s">
        <v>181</v>
      </c>
      <c r="I41" s="177" t="s">
        <v>182</v>
      </c>
    </row>
    <row r="42" spans="1:9">
      <c r="A42" s="94"/>
      <c r="B42" s="94"/>
      <c r="C42" s="228" t="s">
        <v>183</v>
      </c>
      <c r="D42" s="250">
        <f>E18*F42</f>
        <v>0</v>
      </c>
      <c r="E42" s="252">
        <f>E19*F42</f>
        <v>0</v>
      </c>
      <c r="F42" s="242">
        <f>'4 Program Budget'!R139</f>
        <v>0</v>
      </c>
      <c r="G42" s="472">
        <f>+$G$18*I42</f>
        <v>0</v>
      </c>
      <c r="H42" s="473">
        <f>I42*$G$19</f>
        <v>0</v>
      </c>
      <c r="I42" s="242">
        <f>'4 Program Budget'!AH139</f>
        <v>0</v>
      </c>
    </row>
    <row r="43" spans="1:9" ht="18">
      <c r="A43" s="94"/>
      <c r="B43" s="94"/>
      <c r="C43" s="229" t="s">
        <v>184</v>
      </c>
      <c r="D43" s="250">
        <f>E18*F43</f>
        <v>0</v>
      </c>
      <c r="E43" s="252">
        <f>E19*F43</f>
        <v>0</v>
      </c>
      <c r="F43" s="471">
        <v>0</v>
      </c>
      <c r="G43" s="474">
        <f t="shared" ref="G43:G45" si="1">+$G$18*I43</f>
        <v>0</v>
      </c>
      <c r="H43" s="474">
        <f t="shared" ref="H43:H45" si="2">I43*$G$19</f>
        <v>0</v>
      </c>
      <c r="I43" s="471">
        <v>0</v>
      </c>
    </row>
    <row r="44" spans="1:9" ht="18">
      <c r="A44" s="94"/>
      <c r="B44" s="94"/>
      <c r="C44" s="230" t="s">
        <v>185</v>
      </c>
      <c r="D44" s="250">
        <f>E18*F44</f>
        <v>0</v>
      </c>
      <c r="E44" s="252">
        <f>E19*F44</f>
        <v>0</v>
      </c>
      <c r="F44" s="471">
        <v>0</v>
      </c>
      <c r="G44" s="474">
        <f t="shared" si="1"/>
        <v>0</v>
      </c>
      <c r="H44" s="251">
        <f t="shared" si="2"/>
        <v>0</v>
      </c>
      <c r="I44" s="471">
        <v>0</v>
      </c>
    </row>
    <row r="45" spans="1:9" ht="18">
      <c r="A45" s="94"/>
      <c r="B45" s="94"/>
      <c r="C45" s="230" t="s">
        <v>186</v>
      </c>
      <c r="D45" s="234"/>
      <c r="E45" s="232"/>
      <c r="F45" s="233"/>
      <c r="G45" s="475">
        <f t="shared" si="1"/>
        <v>0</v>
      </c>
      <c r="H45" s="476">
        <f t="shared" si="2"/>
        <v>0</v>
      </c>
      <c r="I45" s="471">
        <v>0</v>
      </c>
    </row>
    <row r="46" spans="1:9" ht="16.149999999999999" thickBot="1">
      <c r="A46" s="94"/>
      <c r="B46" s="94"/>
      <c r="C46" s="231" t="s">
        <v>182</v>
      </c>
      <c r="D46" s="247">
        <f>SUM(D42:D44)</f>
        <v>0</v>
      </c>
      <c r="E46" s="247">
        <f>SUM(E42:E44)</f>
        <v>0</v>
      </c>
      <c r="F46" s="247">
        <f>SUM(F42:F44)</f>
        <v>0</v>
      </c>
      <c r="G46" s="247">
        <f>SUM(G42:G45)</f>
        <v>0</v>
      </c>
      <c r="H46" s="248">
        <f t="shared" ref="H46:I46" si="3">SUM(H42:H45)</f>
        <v>0</v>
      </c>
      <c r="I46" s="249">
        <f t="shared" si="3"/>
        <v>0</v>
      </c>
    </row>
    <row r="47" spans="1:9" ht="16.149999999999999" thickBot="1">
      <c r="A47" s="94"/>
      <c r="B47" s="94"/>
      <c r="C47" s="94"/>
      <c r="D47" s="178"/>
      <c r="E47" s="178"/>
      <c r="F47" s="178"/>
      <c r="G47" s="178"/>
      <c r="H47" s="178"/>
      <c r="I47" s="178"/>
    </row>
    <row r="48" spans="1:9" ht="16.149999999999999" thickBot="1">
      <c r="A48" s="95"/>
      <c r="B48" s="95"/>
      <c r="C48" s="95"/>
      <c r="D48" s="960">
        <v>2022</v>
      </c>
      <c r="E48" s="957"/>
      <c r="F48" s="963"/>
      <c r="G48" s="957">
        <v>2023</v>
      </c>
      <c r="H48" s="957"/>
      <c r="I48" s="958"/>
    </row>
    <row r="49" spans="1:11">
      <c r="A49" s="94"/>
      <c r="B49" s="94"/>
      <c r="C49" s="227" t="s">
        <v>188</v>
      </c>
      <c r="D49" s="181" t="s">
        <v>180</v>
      </c>
      <c r="E49" s="176" t="s">
        <v>181</v>
      </c>
      <c r="F49" s="177" t="s">
        <v>182</v>
      </c>
      <c r="G49" s="181" t="s">
        <v>180</v>
      </c>
      <c r="H49" s="176" t="s">
        <v>181</v>
      </c>
      <c r="I49" s="177" t="s">
        <v>182</v>
      </c>
    </row>
    <row r="50" spans="1:11">
      <c r="A50" s="94"/>
      <c r="B50" s="94"/>
      <c r="C50" s="228" t="s">
        <v>183</v>
      </c>
      <c r="D50" s="250">
        <f t="shared" ref="D50:I50" si="4">D34+D42</f>
        <v>0</v>
      </c>
      <c r="E50" s="251">
        <f t="shared" si="4"/>
        <v>0</v>
      </c>
      <c r="F50" s="427">
        <f t="shared" si="4"/>
        <v>0</v>
      </c>
      <c r="G50" s="250">
        <f t="shared" si="4"/>
        <v>0</v>
      </c>
      <c r="H50" s="251">
        <f t="shared" si="4"/>
        <v>0</v>
      </c>
      <c r="I50" s="242">
        <f t="shared" si="4"/>
        <v>0</v>
      </c>
    </row>
    <row r="51" spans="1:11" ht="18">
      <c r="A51" s="94"/>
      <c r="B51" s="94"/>
      <c r="C51" s="229" t="s">
        <v>184</v>
      </c>
      <c r="D51" s="250">
        <f t="shared" ref="D51:E51" si="5">D35+D43</f>
        <v>0</v>
      </c>
      <c r="E51" s="251">
        <f t="shared" si="5"/>
        <v>0</v>
      </c>
      <c r="F51" s="427">
        <f t="shared" ref="F51" si="6">F35+F43</f>
        <v>0</v>
      </c>
      <c r="G51" s="250">
        <f t="shared" ref="G51:H51" si="7">G35+G43</f>
        <v>0</v>
      </c>
      <c r="H51" s="251">
        <f t="shared" si="7"/>
        <v>0</v>
      </c>
      <c r="I51" s="242">
        <f t="shared" ref="I51" si="8">I35+I43</f>
        <v>0</v>
      </c>
    </row>
    <row r="52" spans="1:11" ht="18">
      <c r="A52" s="94"/>
      <c r="B52" s="94"/>
      <c r="C52" s="230" t="s">
        <v>185</v>
      </c>
      <c r="D52" s="250">
        <f t="shared" ref="D52:E52" si="9">D36+D44</f>
        <v>36372015.587114938</v>
      </c>
      <c r="E52" s="251">
        <f t="shared" si="9"/>
        <v>4041335.0652349927</v>
      </c>
      <c r="F52" s="427">
        <f t="shared" ref="F52" si="10">F36+F44</f>
        <v>40413350.652349927</v>
      </c>
      <c r="G52" s="250">
        <f t="shared" ref="G52:I53" si="11">G36+G44</f>
        <v>0</v>
      </c>
      <c r="H52" s="251">
        <f t="shared" si="11"/>
        <v>0</v>
      </c>
      <c r="I52" s="242">
        <f t="shared" ref="I52" si="12">I36+I44</f>
        <v>0</v>
      </c>
    </row>
    <row r="53" spans="1:11" ht="18">
      <c r="A53" s="94"/>
      <c r="B53" s="94"/>
      <c r="C53" s="230" t="s">
        <v>186</v>
      </c>
      <c r="D53" s="244"/>
      <c r="E53" s="243"/>
      <c r="F53" s="246"/>
      <c r="G53" s="250">
        <f t="shared" si="11"/>
        <v>0</v>
      </c>
      <c r="H53" s="251">
        <f t="shared" si="11"/>
        <v>0</v>
      </c>
      <c r="I53" s="242">
        <f t="shared" si="11"/>
        <v>0</v>
      </c>
    </row>
    <row r="54" spans="1:11" ht="16.149999999999999" thickBot="1">
      <c r="A54" s="94"/>
      <c r="B54" s="94"/>
      <c r="C54" s="231" t="s">
        <v>182</v>
      </c>
      <c r="D54" s="247">
        <f>SUM(D50:D52)</f>
        <v>36372015.587114938</v>
      </c>
      <c r="E54" s="247">
        <f>SUM(E50:E52)</f>
        <v>4041335.0652349927</v>
      </c>
      <c r="F54" s="247">
        <f>SUM(F50:F52)</f>
        <v>40413350.652349927</v>
      </c>
      <c r="G54" s="247">
        <f>G38+G46</f>
        <v>0</v>
      </c>
      <c r="H54" s="248">
        <f t="shared" ref="H54:I54" si="13">H38+H46</f>
        <v>0</v>
      </c>
      <c r="I54" s="249">
        <f t="shared" si="13"/>
        <v>0</v>
      </c>
    </row>
    <row r="55" spans="1:11">
      <c r="A55" s="94"/>
      <c r="B55" s="94"/>
      <c r="C55" s="94"/>
      <c r="D55" s="178"/>
      <c r="E55" s="178"/>
      <c r="F55" s="178"/>
      <c r="G55" s="178"/>
      <c r="H55" s="178"/>
      <c r="I55" s="105"/>
    </row>
    <row r="56" spans="1:11" ht="31.9" customHeight="1">
      <c r="C56" s="962" t="s">
        <v>189</v>
      </c>
      <c r="D56" s="962"/>
      <c r="E56" s="962"/>
      <c r="F56" s="962"/>
      <c r="G56" s="962"/>
      <c r="H56" s="962"/>
      <c r="I56" s="962"/>
    </row>
    <row r="57" spans="1:11">
      <c r="C57" s="888"/>
    </row>
    <row r="58" spans="1:11">
      <c r="C58" s="888"/>
    </row>
    <row r="59" spans="1:11">
      <c r="C59" s="431"/>
    </row>
    <row r="61" spans="1:11" ht="33.4" thickBot="1">
      <c r="C61" s="527" t="s">
        <v>190</v>
      </c>
    </row>
    <row r="62" spans="1:11" ht="16.149999999999999" thickBot="1">
      <c r="D62" s="960">
        <v>2022</v>
      </c>
      <c r="E62" s="957"/>
      <c r="F62" s="957"/>
      <c r="G62" s="958"/>
      <c r="H62" s="960">
        <v>2023</v>
      </c>
      <c r="I62" s="957"/>
      <c r="J62" s="957"/>
      <c r="K62" s="958"/>
    </row>
    <row r="63" spans="1:11" ht="31.15" thickBot="1">
      <c r="D63" s="512" t="s">
        <v>191</v>
      </c>
      <c r="E63" s="957" t="s">
        <v>192</v>
      </c>
      <c r="F63" s="957"/>
      <c r="G63" s="958"/>
      <c r="H63" s="512" t="s">
        <v>191</v>
      </c>
      <c r="I63" s="957" t="s">
        <v>192</v>
      </c>
      <c r="J63" s="957"/>
      <c r="K63" s="958"/>
    </row>
    <row r="64" spans="1:11" ht="61.15" thickBot="1">
      <c r="C64" s="527"/>
      <c r="D64" s="528" t="s">
        <v>193</v>
      </c>
      <c r="E64" s="529" t="s">
        <v>194</v>
      </c>
      <c r="F64" s="530" t="s">
        <v>195</v>
      </c>
      <c r="G64" s="531" t="s">
        <v>196</v>
      </c>
      <c r="H64" s="532" t="s">
        <v>193</v>
      </c>
      <c r="I64" s="529" t="s">
        <v>194</v>
      </c>
      <c r="J64" s="530" t="s">
        <v>195</v>
      </c>
      <c r="K64" s="531" t="s">
        <v>196</v>
      </c>
    </row>
    <row r="65" spans="3:11" ht="18">
      <c r="C65" s="524" t="s">
        <v>197</v>
      </c>
      <c r="D65" s="521">
        <v>0</v>
      </c>
      <c r="E65" s="518">
        <f>+$G65*$E$26</f>
        <v>71480781.144848377</v>
      </c>
      <c r="F65" s="513">
        <f>+$G65*$E$27</f>
        <v>7942309.0160942646</v>
      </c>
      <c r="G65" s="511">
        <f>+'7 PA PY budget_savings'!C69-'7 PA PY budget_savings'!C61</f>
        <v>79423090.160942644</v>
      </c>
      <c r="H65" s="521">
        <v>0</v>
      </c>
      <c r="I65" s="518">
        <f t="shared" ref="I65:I69" si="14">+$K65*$G$26</f>
        <v>81417637.047372386</v>
      </c>
      <c r="J65" s="779">
        <f>+$K65*$G$27</f>
        <v>9046404.1163747087</v>
      </c>
      <c r="K65" s="517">
        <f>+'7 PA PY budget_savings'!I69-'7 PA PY budget_savings'!I61</f>
        <v>90464041.163747102</v>
      </c>
    </row>
    <row r="66" spans="3:11" ht="18">
      <c r="C66" s="525" t="s">
        <v>198</v>
      </c>
      <c r="D66" s="523"/>
      <c r="E66" s="519">
        <f t="shared" ref="E66:E69" si="15">+$G66*$E$26</f>
        <v>58403505.602726944</v>
      </c>
      <c r="F66" s="514">
        <f t="shared" ref="F66:F69" si="16">+$G66*$E$27</f>
        <v>6489278.400302995</v>
      </c>
      <c r="G66" s="510">
        <f>+'7 PA PY budget_savings'!C74</f>
        <v>64892784.003029943</v>
      </c>
      <c r="H66" s="523"/>
      <c r="I66" s="519">
        <f t="shared" si="14"/>
        <v>18884134.299096007</v>
      </c>
      <c r="J66" s="514">
        <f t="shared" ref="J66:J69" si="17">+$K66*$G$27</f>
        <v>2098237.1443440006</v>
      </c>
      <c r="K66" s="256">
        <f>+'7 PA PY budget_savings'!I74</f>
        <v>20982371.443440009</v>
      </c>
    </row>
    <row r="67" spans="3:11" ht="18">
      <c r="C67" s="525" t="s">
        <v>199</v>
      </c>
      <c r="D67" s="523"/>
      <c r="E67" s="519">
        <f t="shared" si="15"/>
        <v>0</v>
      </c>
      <c r="F67" s="514">
        <f t="shared" si="16"/>
        <v>0</v>
      </c>
      <c r="G67" s="510">
        <f>+'7 PA PY budget_savings'!C80</f>
        <v>0</v>
      </c>
      <c r="H67" s="523"/>
      <c r="I67" s="519">
        <f t="shared" si="14"/>
        <v>0</v>
      </c>
      <c r="J67" s="514">
        <f t="shared" si="17"/>
        <v>0</v>
      </c>
      <c r="K67" s="256">
        <f>+'7 PA PY budget_savings'!I80</f>
        <v>0</v>
      </c>
    </row>
    <row r="68" spans="3:11" ht="18">
      <c r="C68" s="525" t="s">
        <v>200</v>
      </c>
      <c r="D68" s="523"/>
      <c r="E68" s="519">
        <f t="shared" si="15"/>
        <v>0</v>
      </c>
      <c r="F68" s="514">
        <f t="shared" si="16"/>
        <v>0</v>
      </c>
      <c r="G68" s="510">
        <f>+'7 PA PY budget_savings'!C85</f>
        <v>0</v>
      </c>
      <c r="H68" s="523"/>
      <c r="I68" s="519">
        <f t="shared" si="14"/>
        <v>0</v>
      </c>
      <c r="J68" s="514">
        <f t="shared" si="17"/>
        <v>0</v>
      </c>
      <c r="K68" s="256">
        <f>+'7 PA PY budget_savings'!I85</f>
        <v>0</v>
      </c>
    </row>
    <row r="69" spans="3:11" ht="18">
      <c r="C69" s="525" t="s">
        <v>201</v>
      </c>
      <c r="D69" s="523"/>
      <c r="E69" s="519">
        <f t="shared" si="15"/>
        <v>2978365.8779999996</v>
      </c>
      <c r="F69" s="514">
        <f t="shared" si="16"/>
        <v>330929.54200000002</v>
      </c>
      <c r="G69" s="242">
        <f>+'7 PA PY budget_savings'!C61</f>
        <v>3309295.42</v>
      </c>
      <c r="H69" s="523"/>
      <c r="I69" s="519">
        <f t="shared" si="14"/>
        <v>3392401.6574999993</v>
      </c>
      <c r="J69" s="514">
        <f t="shared" si="17"/>
        <v>376933.51749999996</v>
      </c>
      <c r="K69" s="242">
        <f>+'7 PA PY budget_savings'!I61</f>
        <v>3769335.1749999998</v>
      </c>
    </row>
    <row r="70" spans="3:11" ht="16.149999999999999" thickBot="1">
      <c r="C70" s="526" t="s">
        <v>202</v>
      </c>
      <c r="D70" s="522">
        <f>D65</f>
        <v>0</v>
      </c>
      <c r="E70" s="520">
        <f t="shared" ref="E70:F70" si="18">SUM(E65:E69)</f>
        <v>132862652.62557532</v>
      </c>
      <c r="F70" s="515">
        <f t="shared" si="18"/>
        <v>14762516.958397258</v>
      </c>
      <c r="G70" s="516">
        <f>SUM(G65:G69)</f>
        <v>147625169.58397257</v>
      </c>
      <c r="H70" s="522">
        <f>H65</f>
        <v>0</v>
      </c>
      <c r="I70" s="520">
        <f t="shared" ref="I70:J70" si="19">SUM(I65:I69)</f>
        <v>103694173.00396839</v>
      </c>
      <c r="J70" s="515">
        <f t="shared" si="19"/>
        <v>11521574.778218709</v>
      </c>
      <c r="K70" s="516">
        <f>SUM(K65:K69)</f>
        <v>115215747.7821871</v>
      </c>
    </row>
    <row r="71" spans="3:11">
      <c r="C71" s="184"/>
    </row>
    <row r="72" spans="3:11">
      <c r="C72" s="889" t="s">
        <v>203</v>
      </c>
      <c r="D72" s="890"/>
      <c r="E72" s="890"/>
      <c r="F72" s="890"/>
      <c r="G72" s="225"/>
    </row>
    <row r="73" spans="3:11">
      <c r="C73" s="959" t="s">
        <v>204</v>
      </c>
      <c r="D73" s="959"/>
      <c r="E73" s="959"/>
      <c r="F73" s="959"/>
      <c r="G73" s="906"/>
    </row>
    <row r="74" spans="3:11">
      <c r="C74" s="959"/>
      <c r="D74" s="959"/>
      <c r="E74" s="959"/>
      <c r="F74" s="959"/>
      <c r="G74" s="906"/>
    </row>
    <row r="75" spans="3:11">
      <c r="C75" s="891" t="s">
        <v>205</v>
      </c>
      <c r="D75" s="891"/>
      <c r="E75" s="891"/>
      <c r="F75" s="891"/>
      <c r="G75" s="107"/>
    </row>
    <row r="76" spans="3:11">
      <c r="C76" s="891" t="s">
        <v>206</v>
      </c>
      <c r="D76" s="891"/>
      <c r="E76" s="891"/>
      <c r="F76" s="891"/>
      <c r="G76" s="107"/>
    </row>
    <row r="77" spans="3:11">
      <c r="C77" s="891" t="s">
        <v>207</v>
      </c>
      <c r="D77" s="95"/>
      <c r="E77" s="95"/>
      <c r="F77" s="95"/>
    </row>
    <row r="78" spans="3:11">
      <c r="C78" s="891" t="s">
        <v>208</v>
      </c>
      <c r="D78" s="891"/>
      <c r="E78" s="891"/>
      <c r="F78" s="891"/>
      <c r="G78" s="107"/>
    </row>
  </sheetData>
  <mergeCells count="13">
    <mergeCell ref="C13:E13"/>
    <mergeCell ref="C56:I56"/>
    <mergeCell ref="D32:F32"/>
    <mergeCell ref="G32:I32"/>
    <mergeCell ref="D40:F40"/>
    <mergeCell ref="G40:I40"/>
    <mergeCell ref="D48:F48"/>
    <mergeCell ref="G48:I48"/>
    <mergeCell ref="E63:G63"/>
    <mergeCell ref="I63:K63"/>
    <mergeCell ref="C73:F74"/>
    <mergeCell ref="D62:G62"/>
    <mergeCell ref="H62:K62"/>
  </mergeCells>
  <pageMargins left="0.7" right="0.7" top="0.75" bottom="0.75" header="0.3" footer="0.3"/>
  <pageSetup scale="38"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dimension ref="A1:AR174"/>
  <sheetViews>
    <sheetView showGridLines="0" zoomScale="85" zoomScaleNormal="85" workbookViewId="0">
      <pane xSplit="4" ySplit="6" topLeftCell="E7" activePane="bottomRight" state="frozen"/>
      <selection pane="topRight" activeCell="B1" sqref="B1"/>
      <selection pane="bottomLeft" activeCell="B1" sqref="B1"/>
      <selection pane="bottomRight"/>
    </sheetView>
  </sheetViews>
  <sheetFormatPr defaultColWidth="8" defaultRowHeight="12.75"/>
  <cols>
    <col min="1" max="1" width="12.25" style="8" customWidth="1"/>
    <col min="2" max="2" width="31.5" style="8" customWidth="1"/>
    <col min="3" max="3" width="13.25" style="9" customWidth="1"/>
    <col min="4" max="4" width="80.625" style="8" customWidth="1"/>
    <col min="5" max="5" width="18.75" style="8" customWidth="1"/>
    <col min="6" max="6" width="15.125" style="39" customWidth="1"/>
    <col min="7" max="7" width="17.25" style="9" bestFit="1" customWidth="1"/>
    <col min="8" max="8" width="30.75" style="9" customWidth="1"/>
    <col min="9" max="9" width="25.75" style="8" customWidth="1"/>
    <col min="10" max="10" width="20" style="8" bestFit="1" customWidth="1"/>
    <col min="11" max="11" width="21.75" style="8" bestFit="1" customWidth="1"/>
    <col min="12" max="12" width="14.25" style="10" customWidth="1"/>
    <col min="13" max="16" width="14.75" style="10" customWidth="1"/>
    <col min="17" max="17" width="16.75" style="16" customWidth="1"/>
    <col min="18" max="18" width="14.75" style="16" customWidth="1"/>
    <col min="19" max="19" width="16.75" style="16" customWidth="1"/>
    <col min="20" max="28" width="14.75" style="338" customWidth="1"/>
    <col min="29" max="32" width="14.75" style="10" customWidth="1"/>
    <col min="33" max="33" width="16.75" style="16" customWidth="1"/>
    <col min="34" max="34" width="14.75" style="16" customWidth="1"/>
    <col min="35" max="35" width="16.75" style="16" customWidth="1"/>
    <col min="36" max="44" width="14.75" style="338" customWidth="1"/>
    <col min="45" max="16384" width="8" style="8"/>
  </cols>
  <sheetData>
    <row r="1" spans="1:44" ht="15.75">
      <c r="A1" s="20" t="s">
        <v>85</v>
      </c>
      <c r="B1" s="408" t="str">
        <f>PA_NAME</f>
        <v>San Diego Gas &amp; Electric Co</v>
      </c>
      <c r="D1" s="12"/>
      <c r="E1" s="12"/>
      <c r="I1" s="12"/>
      <c r="J1" s="12"/>
      <c r="K1" s="12"/>
      <c r="L1" s="781"/>
      <c r="M1" s="15"/>
      <c r="N1" s="15"/>
      <c r="O1" s="15"/>
      <c r="P1" s="15"/>
      <c r="Q1" s="17"/>
      <c r="R1" s="17"/>
      <c r="S1" s="17"/>
      <c r="T1" s="327"/>
      <c r="U1" s="327"/>
      <c r="V1" s="327"/>
      <c r="W1" s="327"/>
      <c r="X1" s="327"/>
      <c r="Y1" s="327"/>
      <c r="Z1" s="327"/>
      <c r="AA1" s="327"/>
      <c r="AB1" s="327"/>
      <c r="AC1" s="15"/>
      <c r="AD1" s="15"/>
      <c r="AE1" s="15"/>
      <c r="AF1" s="15"/>
      <c r="AG1" s="17"/>
      <c r="AH1" s="17"/>
      <c r="AI1" s="17"/>
      <c r="AJ1" s="327"/>
      <c r="AK1" s="327"/>
      <c r="AL1" s="327"/>
      <c r="AM1" s="327"/>
      <c r="AN1" s="327"/>
      <c r="AO1" s="327"/>
      <c r="AP1" s="327"/>
      <c r="AQ1" s="327"/>
      <c r="AR1" s="327"/>
    </row>
    <row r="2" spans="1:44" ht="15">
      <c r="A2" s="20" t="s">
        <v>86</v>
      </c>
      <c r="B2" s="408" t="str">
        <f>RPT_YEAR</f>
        <v>2022-2023</v>
      </c>
      <c r="D2" s="12"/>
      <c r="E2" s="12"/>
      <c r="F2" s="116"/>
      <c r="I2" s="12"/>
      <c r="J2" s="12"/>
      <c r="K2" s="12"/>
      <c r="L2" s="117"/>
      <c r="M2" s="15"/>
      <c r="N2" s="15"/>
      <c r="O2" s="794"/>
      <c r="P2" s="15"/>
      <c r="Q2" s="17"/>
      <c r="R2" s="17"/>
      <c r="S2" s="17"/>
      <c r="T2" s="327"/>
      <c r="U2" s="327"/>
      <c r="V2" s="327"/>
      <c r="W2" s="327"/>
      <c r="X2" s="327"/>
      <c r="Y2" s="327"/>
      <c r="Z2" s="327"/>
      <c r="AA2" s="327"/>
      <c r="AB2" s="327"/>
      <c r="AC2" s="15"/>
      <c r="AD2" s="15"/>
      <c r="AE2" s="794"/>
      <c r="AF2" s="15"/>
      <c r="AG2" s="17"/>
      <c r="AH2" s="17"/>
      <c r="AI2" s="17"/>
      <c r="AJ2" s="327"/>
      <c r="AK2" s="327"/>
      <c r="AL2" s="327"/>
      <c r="AM2" s="327"/>
      <c r="AN2" s="327"/>
      <c r="AO2" s="327"/>
      <c r="AP2" s="327"/>
      <c r="AQ2" s="327"/>
      <c r="AR2" s="327"/>
    </row>
    <row r="3" spans="1:44" ht="15">
      <c r="A3" s="237" t="s">
        <v>209</v>
      </c>
      <c r="B3" s="90"/>
      <c r="C3" s="876"/>
      <c r="D3" s="12"/>
      <c r="E3" s="12"/>
      <c r="I3" s="12"/>
      <c r="J3" s="12"/>
      <c r="K3" s="12"/>
      <c r="L3" s="12"/>
      <c r="M3" s="117"/>
      <c r="N3" s="117"/>
      <c r="O3" s="117"/>
      <c r="P3" s="672"/>
      <c r="Q3" s="17"/>
      <c r="R3" s="17"/>
      <c r="S3" s="17"/>
      <c r="T3" s="328"/>
      <c r="U3" s="328"/>
      <c r="V3" s="328"/>
      <c r="W3" s="328"/>
      <c r="X3" s="328"/>
      <c r="Y3" s="328"/>
      <c r="Z3" s="328"/>
      <c r="AA3" s="328"/>
      <c r="AB3" s="328"/>
      <c r="AC3" s="117"/>
      <c r="AD3" s="117"/>
      <c r="AE3" s="117"/>
      <c r="AF3" s="672"/>
      <c r="AG3" s="17"/>
      <c r="AH3" s="17"/>
      <c r="AI3" s="17"/>
      <c r="AJ3" s="328"/>
      <c r="AK3" s="328"/>
      <c r="AL3" s="328"/>
      <c r="AM3" s="328"/>
      <c r="AN3" s="328"/>
      <c r="AO3" s="328"/>
      <c r="AP3" s="328"/>
      <c r="AQ3" s="328"/>
      <c r="AR3" s="328"/>
    </row>
    <row r="4" spans="1:44" ht="15.4" thickBot="1">
      <c r="A4" s="14" t="s">
        <v>210</v>
      </c>
      <c r="C4" s="877"/>
      <c r="G4" s="670"/>
      <c r="H4" s="671"/>
      <c r="L4" s="118"/>
      <c r="M4" s="673"/>
      <c r="N4" s="673"/>
      <c r="O4" s="673"/>
      <c r="P4" s="673"/>
      <c r="Q4" s="41"/>
      <c r="R4" s="41"/>
      <c r="S4" s="13"/>
      <c r="T4" s="676"/>
      <c r="U4" s="676"/>
      <c r="V4" s="676"/>
      <c r="W4" s="673"/>
      <c r="X4" s="673"/>
      <c r="Y4" s="676"/>
      <c r="Z4" s="676"/>
      <c r="AA4" s="673"/>
      <c r="AB4" s="673"/>
      <c r="AC4" s="673"/>
      <c r="AD4" s="673"/>
      <c r="AE4" s="673"/>
      <c r="AF4" s="673"/>
      <c r="AG4" s="676"/>
      <c r="AH4" s="676"/>
      <c r="AI4" s="676"/>
      <c r="AJ4" s="676"/>
      <c r="AK4" s="676"/>
      <c r="AL4" s="676"/>
      <c r="AM4" s="329"/>
      <c r="AN4" s="329"/>
      <c r="AO4" s="676"/>
      <c r="AP4" s="676"/>
      <c r="AQ4" s="329"/>
      <c r="AR4" s="329"/>
    </row>
    <row r="5" spans="1:44" s="12" customFormat="1" ht="15.75" thickBot="1">
      <c r="B5" s="341"/>
      <c r="C5" s="878"/>
      <c r="D5" s="216"/>
      <c r="E5" s="667"/>
      <c r="F5" s="668"/>
      <c r="G5" s="668"/>
      <c r="H5" s="669"/>
      <c r="I5" s="216"/>
      <c r="J5" s="216"/>
      <c r="K5" s="216"/>
      <c r="L5" s="18"/>
      <c r="M5" s="964">
        <v>2022</v>
      </c>
      <c r="N5" s="965"/>
      <c r="O5" s="965"/>
      <c r="P5" s="965"/>
      <c r="Q5" s="965"/>
      <c r="R5" s="965"/>
      <c r="S5" s="965"/>
      <c r="T5" s="965"/>
      <c r="U5" s="965"/>
      <c r="V5" s="965"/>
      <c r="W5" s="965"/>
      <c r="X5" s="965"/>
      <c r="Y5" s="965"/>
      <c r="Z5" s="965"/>
      <c r="AA5" s="965"/>
      <c r="AB5" s="966"/>
      <c r="AC5" s="964">
        <v>2023</v>
      </c>
      <c r="AD5" s="965"/>
      <c r="AE5" s="965"/>
      <c r="AF5" s="965"/>
      <c r="AG5" s="965"/>
      <c r="AH5" s="965"/>
      <c r="AI5" s="965"/>
      <c r="AJ5" s="965"/>
      <c r="AK5" s="965"/>
      <c r="AL5" s="965"/>
      <c r="AM5" s="965"/>
      <c r="AN5" s="965"/>
      <c r="AO5" s="965"/>
      <c r="AP5" s="965"/>
      <c r="AQ5" s="965"/>
      <c r="AR5" s="966"/>
    </row>
    <row r="6" spans="1:44" s="11" customFormat="1" ht="93.6" customHeight="1" thickBot="1">
      <c r="B6" s="385" t="s">
        <v>211</v>
      </c>
      <c r="C6" s="386" t="s">
        <v>212</v>
      </c>
      <c r="D6" s="387" t="s">
        <v>213</v>
      </c>
      <c r="E6" s="386" t="s">
        <v>10</v>
      </c>
      <c r="F6" s="386" t="s">
        <v>11</v>
      </c>
      <c r="G6" s="386" t="s">
        <v>214</v>
      </c>
      <c r="H6" s="386" t="s">
        <v>13</v>
      </c>
      <c r="I6" s="386" t="s">
        <v>215</v>
      </c>
      <c r="J6" s="386" t="s">
        <v>216</v>
      </c>
      <c r="K6" s="386" t="s">
        <v>217</v>
      </c>
      <c r="L6" s="811" t="s">
        <v>218</v>
      </c>
      <c r="M6" s="799" t="s">
        <v>219</v>
      </c>
      <c r="N6" s="389" t="s">
        <v>220</v>
      </c>
      <c r="O6" s="389" t="s">
        <v>221</v>
      </c>
      <c r="P6" s="389" t="s">
        <v>222</v>
      </c>
      <c r="Q6" s="386" t="s">
        <v>223</v>
      </c>
      <c r="R6" s="386" t="s">
        <v>224</v>
      </c>
      <c r="S6" s="386" t="s">
        <v>225</v>
      </c>
      <c r="T6" s="390" t="s">
        <v>226</v>
      </c>
      <c r="U6" s="390" t="s">
        <v>227</v>
      </c>
      <c r="V6" s="390" t="s">
        <v>228</v>
      </c>
      <c r="W6" s="390" t="s">
        <v>229</v>
      </c>
      <c r="X6" s="390" t="s">
        <v>230</v>
      </c>
      <c r="Y6" s="390" t="s">
        <v>231</v>
      </c>
      <c r="Z6" s="390" t="s">
        <v>232</v>
      </c>
      <c r="AA6" s="390" t="s">
        <v>233</v>
      </c>
      <c r="AB6" s="390" t="s">
        <v>234</v>
      </c>
      <c r="AC6" s="388" t="s">
        <v>219</v>
      </c>
      <c r="AD6" s="389" t="s">
        <v>220</v>
      </c>
      <c r="AE6" s="389" t="s">
        <v>221</v>
      </c>
      <c r="AF6" s="389" t="s">
        <v>235</v>
      </c>
      <c r="AG6" s="386" t="s">
        <v>236</v>
      </c>
      <c r="AH6" s="386" t="s">
        <v>237</v>
      </c>
      <c r="AI6" s="386" t="s">
        <v>238</v>
      </c>
      <c r="AJ6" s="390" t="s">
        <v>226</v>
      </c>
      <c r="AK6" s="390" t="s">
        <v>227</v>
      </c>
      <c r="AL6" s="390" t="s">
        <v>228</v>
      </c>
      <c r="AM6" s="390" t="s">
        <v>229</v>
      </c>
      <c r="AN6" s="390" t="s">
        <v>230</v>
      </c>
      <c r="AO6" s="390" t="s">
        <v>231</v>
      </c>
      <c r="AP6" s="390" t="s">
        <v>232</v>
      </c>
      <c r="AQ6" s="390" t="s">
        <v>233</v>
      </c>
      <c r="AR6" s="390" t="s">
        <v>234</v>
      </c>
    </row>
    <row r="7" spans="1:44" s="12" customFormat="1" ht="13.15" thickTop="1">
      <c r="B7" s="342" t="s">
        <v>239</v>
      </c>
      <c r="C7" s="261"/>
      <c r="D7" s="259" t="s">
        <v>240</v>
      </c>
      <c r="E7" s="461" t="s">
        <v>15</v>
      </c>
      <c r="F7" s="260" t="s">
        <v>16</v>
      </c>
      <c r="G7" s="260" t="s">
        <v>17</v>
      </c>
      <c r="H7" s="261" t="s">
        <v>23</v>
      </c>
      <c r="I7" s="262"/>
      <c r="J7" s="674">
        <v>496213.45929999999</v>
      </c>
      <c r="K7" s="262"/>
      <c r="L7" s="812">
        <v>243330.78557306272</v>
      </c>
      <c r="M7" s="800">
        <v>89081.76</v>
      </c>
      <c r="N7" s="263">
        <v>9189.25</v>
      </c>
      <c r="O7" s="263">
        <v>499323.3</v>
      </c>
      <c r="P7" s="263">
        <v>0</v>
      </c>
      <c r="Q7" s="313">
        <f t="shared" ref="Q7:Q38" si="0">SUM(M7:P7)</f>
        <v>597594.30999999994</v>
      </c>
      <c r="R7" s="264"/>
      <c r="S7" s="315">
        <f t="shared" ref="S7:S38" si="1">Q7+R7</f>
        <v>597594.30999999994</v>
      </c>
      <c r="T7" s="678">
        <v>0</v>
      </c>
      <c r="U7" s="678">
        <v>0</v>
      </c>
      <c r="V7" s="678">
        <v>0</v>
      </c>
      <c r="W7" s="678">
        <v>0</v>
      </c>
      <c r="X7" s="678">
        <v>0</v>
      </c>
      <c r="Y7" s="678">
        <v>0</v>
      </c>
      <c r="Z7" s="678">
        <v>0</v>
      </c>
      <c r="AA7" s="678">
        <v>0</v>
      </c>
      <c r="AB7" s="678">
        <v>0</v>
      </c>
      <c r="AC7" s="383">
        <v>0</v>
      </c>
      <c r="AD7" s="263">
        <v>0</v>
      </c>
      <c r="AE7" s="263">
        <v>0</v>
      </c>
      <c r="AF7" s="263">
        <v>0</v>
      </c>
      <c r="AG7" s="315">
        <f t="shared" ref="AG7:AG38" si="2">SUM(AC7:AF7)</f>
        <v>0</v>
      </c>
      <c r="AH7" s="264"/>
      <c r="AI7" s="315">
        <f t="shared" ref="AI7:AI38" si="3">AG7+AH7</f>
        <v>0</v>
      </c>
      <c r="AJ7" s="678">
        <v>0</v>
      </c>
      <c r="AK7" s="678">
        <v>0</v>
      </c>
      <c r="AL7" s="678">
        <v>0</v>
      </c>
      <c r="AM7" s="678">
        <v>0</v>
      </c>
      <c r="AN7" s="678">
        <v>0</v>
      </c>
      <c r="AO7" s="678">
        <v>0</v>
      </c>
      <c r="AP7" s="678">
        <v>0</v>
      </c>
      <c r="AQ7" s="678">
        <v>0</v>
      </c>
      <c r="AR7" s="678">
        <v>0</v>
      </c>
    </row>
    <row r="8" spans="1:44" s="12" customFormat="1">
      <c r="B8" s="342" t="s">
        <v>241</v>
      </c>
      <c r="C8" s="261"/>
      <c r="D8" s="259" t="s">
        <v>242</v>
      </c>
      <c r="E8" s="461" t="s">
        <v>15</v>
      </c>
      <c r="F8" s="260" t="s">
        <v>16</v>
      </c>
      <c r="G8" s="260" t="s">
        <v>22</v>
      </c>
      <c r="H8" s="261" t="s">
        <v>23</v>
      </c>
      <c r="I8" s="259"/>
      <c r="J8" s="674">
        <v>106768.2555</v>
      </c>
      <c r="K8" s="259"/>
      <c r="L8" s="812">
        <v>30878.615499392938</v>
      </c>
      <c r="M8" s="800">
        <v>23910.240000000002</v>
      </c>
      <c r="N8" s="263">
        <v>0</v>
      </c>
      <c r="O8" s="263">
        <v>29965.440000000002</v>
      </c>
      <c r="P8" s="263">
        <v>25000</v>
      </c>
      <c r="Q8" s="315">
        <f t="shared" si="0"/>
        <v>78875.680000000008</v>
      </c>
      <c r="R8" s="264"/>
      <c r="S8" s="315">
        <f t="shared" si="1"/>
        <v>78875.680000000008</v>
      </c>
      <c r="T8" s="679">
        <v>0</v>
      </c>
      <c r="U8" s="679">
        <v>0</v>
      </c>
      <c r="V8" s="679">
        <v>0</v>
      </c>
      <c r="W8" s="678">
        <v>0</v>
      </c>
      <c r="X8" s="678">
        <v>0</v>
      </c>
      <c r="Y8" s="679">
        <v>0</v>
      </c>
      <c r="Z8" s="679">
        <v>0</v>
      </c>
      <c r="AA8" s="678">
        <v>0</v>
      </c>
      <c r="AB8" s="678">
        <v>0</v>
      </c>
      <c r="AC8" s="383">
        <v>0</v>
      </c>
      <c r="AD8" s="264">
        <v>0</v>
      </c>
      <c r="AE8" s="264">
        <v>0</v>
      </c>
      <c r="AF8" s="264">
        <v>0</v>
      </c>
      <c r="AG8" s="315">
        <f t="shared" si="2"/>
        <v>0</v>
      </c>
      <c r="AH8" s="264"/>
      <c r="AI8" s="315">
        <f t="shared" si="3"/>
        <v>0</v>
      </c>
      <c r="AJ8" s="679">
        <v>0</v>
      </c>
      <c r="AK8" s="679">
        <v>0</v>
      </c>
      <c r="AL8" s="679">
        <v>0</v>
      </c>
      <c r="AM8" s="678">
        <v>0</v>
      </c>
      <c r="AN8" s="678">
        <v>0</v>
      </c>
      <c r="AO8" s="679">
        <v>0</v>
      </c>
      <c r="AP8" s="679">
        <v>0</v>
      </c>
      <c r="AQ8" s="678">
        <v>0</v>
      </c>
      <c r="AR8" s="678">
        <v>0</v>
      </c>
    </row>
    <row r="9" spans="1:44" s="12" customFormat="1">
      <c r="B9" s="344" t="s">
        <v>243</v>
      </c>
      <c r="C9" s="260"/>
      <c r="D9" s="259" t="s">
        <v>244</v>
      </c>
      <c r="E9" s="461" t="s">
        <v>20</v>
      </c>
      <c r="F9" s="260" t="s">
        <v>16</v>
      </c>
      <c r="G9" s="260" t="s">
        <v>22</v>
      </c>
      <c r="H9" s="261" t="s">
        <v>18</v>
      </c>
      <c r="I9" s="262"/>
      <c r="J9" s="674">
        <v>1971872.8441999997</v>
      </c>
      <c r="K9" s="262"/>
      <c r="L9" s="812">
        <v>376087.70736794855</v>
      </c>
      <c r="M9" s="800">
        <v>135349.07</v>
      </c>
      <c r="N9" s="263">
        <v>0</v>
      </c>
      <c r="O9" s="263">
        <v>143498.82</v>
      </c>
      <c r="P9" s="263">
        <v>603690.21329999994</v>
      </c>
      <c r="Q9" s="313">
        <f t="shared" si="0"/>
        <v>882538.10329999996</v>
      </c>
      <c r="R9" s="263"/>
      <c r="S9" s="315">
        <f t="shared" si="1"/>
        <v>882538.10329999996</v>
      </c>
      <c r="T9" s="678">
        <v>2969184.8159999996</v>
      </c>
      <c r="U9" s="678">
        <v>304.57620000000003</v>
      </c>
      <c r="V9" s="678">
        <v>153.804</v>
      </c>
      <c r="W9" s="678">
        <v>0</v>
      </c>
      <c r="X9" s="678">
        <v>0</v>
      </c>
      <c r="Y9" s="678">
        <v>34785048.240000002</v>
      </c>
      <c r="Z9" s="678">
        <v>1094.3969999999999</v>
      </c>
      <c r="AA9" s="678">
        <v>0</v>
      </c>
      <c r="AB9" s="678">
        <v>0</v>
      </c>
      <c r="AC9" s="383">
        <v>0</v>
      </c>
      <c r="AD9" s="263">
        <v>0</v>
      </c>
      <c r="AE9" s="263">
        <v>0</v>
      </c>
      <c r="AF9" s="263">
        <v>0</v>
      </c>
      <c r="AG9" s="315">
        <f t="shared" si="2"/>
        <v>0</v>
      </c>
      <c r="AH9" s="263"/>
      <c r="AI9" s="315">
        <f t="shared" si="3"/>
        <v>0</v>
      </c>
      <c r="AJ9" s="678">
        <v>0</v>
      </c>
      <c r="AK9" s="678">
        <v>0</v>
      </c>
      <c r="AL9" s="678">
        <v>0</v>
      </c>
      <c r="AM9" s="678">
        <v>0</v>
      </c>
      <c r="AN9" s="678">
        <v>0</v>
      </c>
      <c r="AO9" s="678">
        <v>0</v>
      </c>
      <c r="AP9" s="678">
        <v>0</v>
      </c>
      <c r="AQ9" s="678">
        <v>0</v>
      </c>
      <c r="AR9" s="678">
        <v>0</v>
      </c>
    </row>
    <row r="10" spans="1:44" s="12" customFormat="1">
      <c r="B10" s="344" t="s">
        <v>245</v>
      </c>
      <c r="C10" s="260"/>
      <c r="D10" s="259" t="s">
        <v>246</v>
      </c>
      <c r="E10" s="461" t="s">
        <v>20</v>
      </c>
      <c r="F10" s="260" t="s">
        <v>16</v>
      </c>
      <c r="G10" s="260" t="s">
        <v>22</v>
      </c>
      <c r="H10" s="261" t="s">
        <v>18</v>
      </c>
      <c r="I10" s="265"/>
      <c r="J10" s="674">
        <v>2417258.5325000002</v>
      </c>
      <c r="K10" s="265"/>
      <c r="L10" s="812">
        <v>145835.73518076207</v>
      </c>
      <c r="M10" s="800">
        <v>145554.18</v>
      </c>
      <c r="N10" s="263">
        <v>0</v>
      </c>
      <c r="O10" s="263">
        <v>154544.97999999998</v>
      </c>
      <c r="P10" s="263">
        <v>757137.91999999993</v>
      </c>
      <c r="Q10" s="313">
        <f t="shared" si="0"/>
        <v>1057237.0799999998</v>
      </c>
      <c r="R10" s="263"/>
      <c r="S10" s="315">
        <f t="shared" si="1"/>
        <v>1057237.0799999998</v>
      </c>
      <c r="T10" s="678">
        <v>1697772.96</v>
      </c>
      <c r="U10" s="678">
        <v>98.658000000000001</v>
      </c>
      <c r="V10" s="678">
        <v>13.422000000000001</v>
      </c>
      <c r="W10" s="678">
        <v>0</v>
      </c>
      <c r="X10" s="678">
        <v>0</v>
      </c>
      <c r="Y10" s="678">
        <v>23768821.440000001</v>
      </c>
      <c r="Z10" s="678">
        <v>187.904</v>
      </c>
      <c r="AA10" s="678">
        <v>0</v>
      </c>
      <c r="AB10" s="678">
        <v>0</v>
      </c>
      <c r="AC10" s="383">
        <v>138608.1085</v>
      </c>
      <c r="AD10" s="263">
        <v>0</v>
      </c>
      <c r="AE10" s="263">
        <v>84294.366299999994</v>
      </c>
      <c r="AF10" s="263">
        <v>487364.68</v>
      </c>
      <c r="AG10" s="315">
        <f t="shared" si="2"/>
        <v>710267.15480000002</v>
      </c>
      <c r="AH10" s="263"/>
      <c r="AI10" s="315">
        <f t="shared" si="3"/>
        <v>710267.15480000002</v>
      </c>
      <c r="AJ10" s="678">
        <v>2075055.84</v>
      </c>
      <c r="AK10" s="678">
        <v>120.58199999999999</v>
      </c>
      <c r="AL10" s="678">
        <v>16.404</v>
      </c>
      <c r="AM10" s="678">
        <v>0</v>
      </c>
      <c r="AN10" s="678">
        <v>0</v>
      </c>
      <c r="AO10" s="678">
        <v>29050781.760000002</v>
      </c>
      <c r="AP10" s="678">
        <v>229.66</v>
      </c>
      <c r="AQ10" s="678">
        <v>0</v>
      </c>
      <c r="AR10" s="678">
        <v>0</v>
      </c>
    </row>
    <row r="11" spans="1:44" s="12" customFormat="1">
      <c r="B11" s="344" t="s">
        <v>247</v>
      </c>
      <c r="C11" s="260"/>
      <c r="D11" s="259" t="s">
        <v>248</v>
      </c>
      <c r="E11" s="461" t="s">
        <v>20</v>
      </c>
      <c r="F11" s="260" t="s">
        <v>16</v>
      </c>
      <c r="G11" s="260" t="s">
        <v>22</v>
      </c>
      <c r="H11" s="261" t="s">
        <v>18</v>
      </c>
      <c r="I11" s="266"/>
      <c r="J11" s="674">
        <v>695836.20030000003</v>
      </c>
      <c r="K11" s="266"/>
      <c r="L11" s="812">
        <v>301279.18986938376</v>
      </c>
      <c r="M11" s="800">
        <v>50954.12</v>
      </c>
      <c r="N11" s="263">
        <v>0</v>
      </c>
      <c r="O11" s="263">
        <v>101897.55</v>
      </c>
      <c r="P11" s="263">
        <v>95690.5</v>
      </c>
      <c r="Q11" s="313">
        <f t="shared" si="0"/>
        <v>248542.17</v>
      </c>
      <c r="R11" s="263"/>
      <c r="S11" s="315">
        <f t="shared" si="1"/>
        <v>248542.17</v>
      </c>
      <c r="T11" s="678">
        <v>249619.69452869994</v>
      </c>
      <c r="U11" s="678">
        <v>39.719544400000004</v>
      </c>
      <c r="V11" s="678">
        <v>27.033999999999999</v>
      </c>
      <c r="W11" s="678">
        <v>0</v>
      </c>
      <c r="X11" s="678">
        <v>0</v>
      </c>
      <c r="Y11" s="678">
        <v>3115735.8044997994</v>
      </c>
      <c r="Z11" s="678">
        <v>314.952</v>
      </c>
      <c r="AA11" s="678">
        <v>0</v>
      </c>
      <c r="AB11" s="678">
        <v>0</v>
      </c>
      <c r="AC11" s="383">
        <v>0</v>
      </c>
      <c r="AD11" s="263">
        <v>0</v>
      </c>
      <c r="AE11" s="263">
        <v>0</v>
      </c>
      <c r="AF11" s="263">
        <v>0</v>
      </c>
      <c r="AG11" s="315">
        <f t="shared" si="2"/>
        <v>0</v>
      </c>
      <c r="AH11" s="263"/>
      <c r="AI11" s="315">
        <f t="shared" si="3"/>
        <v>0</v>
      </c>
      <c r="AJ11" s="678">
        <v>0</v>
      </c>
      <c r="AK11" s="678">
        <v>0</v>
      </c>
      <c r="AL11" s="678">
        <v>0</v>
      </c>
      <c r="AM11" s="678">
        <v>0</v>
      </c>
      <c r="AN11" s="678">
        <v>0</v>
      </c>
      <c r="AO11" s="678">
        <v>0</v>
      </c>
      <c r="AP11" s="678">
        <v>0</v>
      </c>
      <c r="AQ11" s="678">
        <v>0</v>
      </c>
      <c r="AR11" s="678">
        <v>0</v>
      </c>
    </row>
    <row r="12" spans="1:44" s="12" customFormat="1">
      <c r="B12" s="344" t="s">
        <v>249</v>
      </c>
      <c r="C12" s="260"/>
      <c r="D12" s="259" t="s">
        <v>250</v>
      </c>
      <c r="E12" s="461" t="s">
        <v>20</v>
      </c>
      <c r="F12" s="260" t="s">
        <v>16</v>
      </c>
      <c r="G12" s="260" t="s">
        <v>22</v>
      </c>
      <c r="H12" s="261" t="s">
        <v>18</v>
      </c>
      <c r="I12" s="265"/>
      <c r="J12" s="674">
        <v>2243209.8177</v>
      </c>
      <c r="K12" s="265"/>
      <c r="L12" s="812">
        <v>812652.76167834643</v>
      </c>
      <c r="M12" s="800">
        <v>119021.666</v>
      </c>
      <c r="N12" s="263">
        <v>2000</v>
      </c>
      <c r="O12" s="263">
        <v>125445.7548</v>
      </c>
      <c r="P12" s="263">
        <v>495403.5</v>
      </c>
      <c r="Q12" s="313">
        <f t="shared" si="0"/>
        <v>741870.92079999996</v>
      </c>
      <c r="R12" s="263"/>
      <c r="S12" s="315">
        <f t="shared" si="1"/>
        <v>741870.92079999996</v>
      </c>
      <c r="T12" s="678">
        <v>755182.25989134994</v>
      </c>
      <c r="U12" s="678">
        <v>120.60496484999999</v>
      </c>
      <c r="V12" s="678">
        <v>43.411000000000001</v>
      </c>
      <c r="W12" s="678">
        <v>0</v>
      </c>
      <c r="X12" s="678">
        <v>0</v>
      </c>
      <c r="Y12" s="678">
        <v>5918489.528029901</v>
      </c>
      <c r="Z12" s="678">
        <v>397.93200000000002</v>
      </c>
      <c r="AA12" s="678">
        <v>0</v>
      </c>
      <c r="AB12" s="678">
        <v>0</v>
      </c>
      <c r="AC12" s="383">
        <v>0</v>
      </c>
      <c r="AD12" s="263">
        <v>0</v>
      </c>
      <c r="AE12" s="263">
        <v>0</v>
      </c>
      <c r="AF12" s="263">
        <v>0</v>
      </c>
      <c r="AG12" s="315">
        <f t="shared" si="2"/>
        <v>0</v>
      </c>
      <c r="AH12" s="263"/>
      <c r="AI12" s="315">
        <f t="shared" si="3"/>
        <v>0</v>
      </c>
      <c r="AJ12" s="678">
        <v>0</v>
      </c>
      <c r="AK12" s="678">
        <v>0</v>
      </c>
      <c r="AL12" s="678">
        <v>0</v>
      </c>
      <c r="AM12" s="678">
        <v>0</v>
      </c>
      <c r="AN12" s="678">
        <v>0</v>
      </c>
      <c r="AO12" s="678">
        <v>0</v>
      </c>
      <c r="AP12" s="678">
        <v>0</v>
      </c>
      <c r="AQ12" s="678">
        <v>0</v>
      </c>
      <c r="AR12" s="678">
        <v>0</v>
      </c>
    </row>
    <row r="13" spans="1:44" s="12" customFormat="1">
      <c r="B13" s="344" t="s">
        <v>251</v>
      </c>
      <c r="C13" s="260"/>
      <c r="D13" s="259" t="s">
        <v>252</v>
      </c>
      <c r="E13" s="461" t="s">
        <v>20</v>
      </c>
      <c r="F13" s="260" t="s">
        <v>16</v>
      </c>
      <c r="G13" s="260" t="s">
        <v>25</v>
      </c>
      <c r="H13" s="261" t="s">
        <v>18</v>
      </c>
      <c r="I13" s="265"/>
      <c r="J13" s="674">
        <v>911418.68859999999</v>
      </c>
      <c r="K13" s="265"/>
      <c r="L13" s="812">
        <v>326749.93372260424</v>
      </c>
      <c r="M13" s="800">
        <v>146556.25</v>
      </c>
      <c r="N13" s="263">
        <v>0</v>
      </c>
      <c r="O13" s="263">
        <v>94209.78</v>
      </c>
      <c r="P13" s="263">
        <v>769056.5</v>
      </c>
      <c r="Q13" s="313">
        <f t="shared" si="0"/>
        <v>1009822.53</v>
      </c>
      <c r="R13" s="263"/>
      <c r="S13" s="315">
        <f t="shared" si="1"/>
        <v>1009822.53</v>
      </c>
      <c r="T13" s="678">
        <v>2285422.875</v>
      </c>
      <c r="U13" s="678">
        <v>294.07499999999999</v>
      </c>
      <c r="V13" s="678">
        <v>63.213999999999999</v>
      </c>
      <c r="W13" s="678">
        <v>0</v>
      </c>
      <c r="X13" s="678">
        <v>0</v>
      </c>
      <c r="Y13" s="678">
        <v>11427114.380000001</v>
      </c>
      <c r="Z13" s="678">
        <v>316.06900000000002</v>
      </c>
      <c r="AA13" s="678">
        <v>0</v>
      </c>
      <c r="AB13" s="678">
        <v>0</v>
      </c>
      <c r="AC13" s="383">
        <v>0</v>
      </c>
      <c r="AD13" s="263">
        <v>0</v>
      </c>
      <c r="AE13" s="263">
        <v>0</v>
      </c>
      <c r="AF13" s="263">
        <v>0</v>
      </c>
      <c r="AG13" s="315">
        <f t="shared" si="2"/>
        <v>0</v>
      </c>
      <c r="AH13" s="263"/>
      <c r="AI13" s="315">
        <f t="shared" si="3"/>
        <v>0</v>
      </c>
      <c r="AJ13" s="678">
        <v>0</v>
      </c>
      <c r="AK13" s="678">
        <v>0</v>
      </c>
      <c r="AL13" s="678">
        <v>0</v>
      </c>
      <c r="AM13" s="678">
        <v>0</v>
      </c>
      <c r="AN13" s="678">
        <v>0</v>
      </c>
      <c r="AO13" s="678">
        <v>0</v>
      </c>
      <c r="AP13" s="678">
        <v>0</v>
      </c>
      <c r="AQ13" s="678">
        <v>0</v>
      </c>
      <c r="AR13" s="678">
        <v>0</v>
      </c>
    </row>
    <row r="14" spans="1:44" s="12" customFormat="1">
      <c r="B14" s="344" t="s">
        <v>253</v>
      </c>
      <c r="C14" s="260"/>
      <c r="D14" s="259" t="s">
        <v>254</v>
      </c>
      <c r="E14" s="461" t="s">
        <v>15</v>
      </c>
      <c r="F14" s="260" t="s">
        <v>16</v>
      </c>
      <c r="G14" s="260" t="s">
        <v>25</v>
      </c>
      <c r="H14" s="261" t="s">
        <v>23</v>
      </c>
      <c r="I14" s="265"/>
      <c r="J14" s="674">
        <v>407912.61049999995</v>
      </c>
      <c r="K14" s="265"/>
      <c r="L14" s="812">
        <v>63162.252047026042</v>
      </c>
      <c r="M14" s="800">
        <v>51820.05</v>
      </c>
      <c r="N14" s="263">
        <v>5000</v>
      </c>
      <c r="O14" s="263">
        <v>42674.710000000021</v>
      </c>
      <c r="P14" s="263">
        <v>225000</v>
      </c>
      <c r="Q14" s="313">
        <f t="shared" si="0"/>
        <v>324494.76</v>
      </c>
      <c r="R14" s="263"/>
      <c r="S14" s="315">
        <f t="shared" si="1"/>
        <v>324494.76</v>
      </c>
      <c r="T14" s="678">
        <v>0</v>
      </c>
      <c r="U14" s="678">
        <v>0</v>
      </c>
      <c r="V14" s="678">
        <v>0</v>
      </c>
      <c r="W14" s="678">
        <v>0</v>
      </c>
      <c r="X14" s="678">
        <v>0</v>
      </c>
      <c r="Y14" s="678">
        <v>0</v>
      </c>
      <c r="Z14" s="678">
        <v>0</v>
      </c>
      <c r="AA14" s="678">
        <v>0</v>
      </c>
      <c r="AB14" s="678">
        <v>0</v>
      </c>
      <c r="AC14" s="383">
        <v>0</v>
      </c>
      <c r="AD14" s="263">
        <v>0</v>
      </c>
      <c r="AE14" s="263">
        <v>0</v>
      </c>
      <c r="AF14" s="263">
        <v>0</v>
      </c>
      <c r="AG14" s="315">
        <f t="shared" si="2"/>
        <v>0</v>
      </c>
      <c r="AH14" s="263"/>
      <c r="AI14" s="315">
        <f t="shared" si="3"/>
        <v>0</v>
      </c>
      <c r="AJ14" s="678">
        <v>0</v>
      </c>
      <c r="AK14" s="678">
        <v>0</v>
      </c>
      <c r="AL14" s="678">
        <v>0</v>
      </c>
      <c r="AM14" s="678">
        <v>0</v>
      </c>
      <c r="AN14" s="678">
        <v>0</v>
      </c>
      <c r="AO14" s="678">
        <v>0</v>
      </c>
      <c r="AP14" s="678">
        <v>0</v>
      </c>
      <c r="AQ14" s="678">
        <v>0</v>
      </c>
      <c r="AR14" s="678">
        <v>0</v>
      </c>
    </row>
    <row r="15" spans="1:44" s="12" customFormat="1">
      <c r="B15" s="344" t="s">
        <v>255</v>
      </c>
      <c r="C15" s="260"/>
      <c r="D15" s="259" t="s">
        <v>256</v>
      </c>
      <c r="E15" s="461" t="s">
        <v>20</v>
      </c>
      <c r="F15" s="260" t="s">
        <v>16</v>
      </c>
      <c r="G15" s="260" t="s">
        <v>25</v>
      </c>
      <c r="H15" s="261" t="s">
        <v>18</v>
      </c>
      <c r="I15" s="265"/>
      <c r="J15" s="674">
        <v>1182822.5981000001</v>
      </c>
      <c r="K15" s="265"/>
      <c r="L15" s="812">
        <v>159773.75908391614</v>
      </c>
      <c r="M15" s="800">
        <v>168449.36</v>
      </c>
      <c r="N15" s="263">
        <v>5000</v>
      </c>
      <c r="O15" s="263">
        <v>159816.95000000001</v>
      </c>
      <c r="P15" s="263">
        <v>766747.30999999994</v>
      </c>
      <c r="Q15" s="313">
        <f t="shared" si="0"/>
        <v>1100013.6199999999</v>
      </c>
      <c r="R15" s="263"/>
      <c r="S15" s="315">
        <f t="shared" si="1"/>
        <v>1100013.6199999999</v>
      </c>
      <c r="T15" s="678">
        <v>2368898.0063999998</v>
      </c>
      <c r="U15" s="678">
        <v>333.88200000000006</v>
      </c>
      <c r="V15" s="678">
        <v>150.477</v>
      </c>
      <c r="W15" s="678">
        <v>0</v>
      </c>
      <c r="X15" s="678">
        <v>0</v>
      </c>
      <c r="Y15" s="678">
        <v>34651145.641000003</v>
      </c>
      <c r="Z15" s="678">
        <v>2721.4690000000001</v>
      </c>
      <c r="AA15" s="678">
        <v>0</v>
      </c>
      <c r="AB15" s="678">
        <v>0</v>
      </c>
      <c r="AC15" s="383">
        <v>0</v>
      </c>
      <c r="AD15" s="263">
        <v>0</v>
      </c>
      <c r="AE15" s="263">
        <v>0</v>
      </c>
      <c r="AF15" s="263">
        <v>0</v>
      </c>
      <c r="AG15" s="315">
        <f t="shared" si="2"/>
        <v>0</v>
      </c>
      <c r="AH15" s="263"/>
      <c r="AI15" s="315">
        <f t="shared" si="3"/>
        <v>0</v>
      </c>
      <c r="AJ15" s="678">
        <v>0</v>
      </c>
      <c r="AK15" s="678">
        <v>0</v>
      </c>
      <c r="AL15" s="678">
        <v>0</v>
      </c>
      <c r="AM15" s="678">
        <v>0</v>
      </c>
      <c r="AN15" s="678">
        <v>0</v>
      </c>
      <c r="AO15" s="678">
        <v>0</v>
      </c>
      <c r="AP15" s="678">
        <v>0</v>
      </c>
      <c r="AQ15" s="678">
        <v>0</v>
      </c>
      <c r="AR15" s="678">
        <v>0</v>
      </c>
    </row>
    <row r="16" spans="1:44" s="12" customFormat="1">
      <c r="B16" s="344" t="s">
        <v>257</v>
      </c>
      <c r="C16" s="260"/>
      <c r="D16" s="259" t="s">
        <v>258</v>
      </c>
      <c r="E16" s="461" t="s">
        <v>20</v>
      </c>
      <c r="F16" s="260" t="s">
        <v>16</v>
      </c>
      <c r="G16" s="260" t="s">
        <v>25</v>
      </c>
      <c r="H16" s="261" t="s">
        <v>18</v>
      </c>
      <c r="I16" s="265"/>
      <c r="J16" s="674">
        <v>256823.68910000002</v>
      </c>
      <c r="K16" s="265"/>
      <c r="L16" s="812">
        <v>292602.19270905608</v>
      </c>
      <c r="M16" s="800">
        <v>49970.14</v>
      </c>
      <c r="N16" s="263">
        <v>10000</v>
      </c>
      <c r="O16" s="263">
        <v>123314.75</v>
      </c>
      <c r="P16" s="263">
        <v>19382.5</v>
      </c>
      <c r="Q16" s="313">
        <f t="shared" si="0"/>
        <v>202667.39</v>
      </c>
      <c r="R16" s="263"/>
      <c r="S16" s="315">
        <f t="shared" si="1"/>
        <v>202667.39</v>
      </c>
      <c r="T16" s="678">
        <v>20411.177208599998</v>
      </c>
      <c r="U16" s="678">
        <v>4.0339710000000002</v>
      </c>
      <c r="V16" s="678">
        <v>19.120999999999999</v>
      </c>
      <c r="W16" s="678">
        <v>0</v>
      </c>
      <c r="X16" s="678">
        <v>0</v>
      </c>
      <c r="Y16" s="678">
        <v>214689.29879000003</v>
      </c>
      <c r="Z16" s="678">
        <v>293.70499999999998</v>
      </c>
      <c r="AA16" s="678">
        <v>0</v>
      </c>
      <c r="AB16" s="678">
        <v>0</v>
      </c>
      <c r="AC16" s="383">
        <v>0</v>
      </c>
      <c r="AD16" s="263">
        <v>0</v>
      </c>
      <c r="AE16" s="263">
        <v>0</v>
      </c>
      <c r="AF16" s="263">
        <v>0</v>
      </c>
      <c r="AG16" s="315">
        <f t="shared" si="2"/>
        <v>0</v>
      </c>
      <c r="AH16" s="263"/>
      <c r="AI16" s="315">
        <f t="shared" si="3"/>
        <v>0</v>
      </c>
      <c r="AJ16" s="678">
        <v>0</v>
      </c>
      <c r="AK16" s="678">
        <v>0</v>
      </c>
      <c r="AL16" s="678">
        <v>0</v>
      </c>
      <c r="AM16" s="678">
        <v>0</v>
      </c>
      <c r="AN16" s="678">
        <v>0</v>
      </c>
      <c r="AO16" s="678">
        <v>0</v>
      </c>
      <c r="AP16" s="678">
        <v>0</v>
      </c>
      <c r="AQ16" s="678">
        <v>0</v>
      </c>
      <c r="AR16" s="678">
        <v>0</v>
      </c>
    </row>
    <row r="17" spans="2:44" s="12" customFormat="1">
      <c r="B17" s="344" t="s">
        <v>259</v>
      </c>
      <c r="C17" s="260"/>
      <c r="D17" s="259" t="s">
        <v>260</v>
      </c>
      <c r="E17" s="461" t="s">
        <v>15</v>
      </c>
      <c r="F17" s="260" t="s">
        <v>16</v>
      </c>
      <c r="G17" s="260" t="s">
        <v>27</v>
      </c>
      <c r="H17" s="261" t="s">
        <v>23</v>
      </c>
      <c r="I17" s="265"/>
      <c r="J17" s="674">
        <v>164729.38150000002</v>
      </c>
      <c r="K17" s="265"/>
      <c r="L17" s="812">
        <v>35812.862098610203</v>
      </c>
      <c r="M17" s="800">
        <v>21399.93</v>
      </c>
      <c r="N17" s="263">
        <v>5000</v>
      </c>
      <c r="O17" s="263">
        <v>33431.509999999995</v>
      </c>
      <c r="P17" s="263">
        <v>50000</v>
      </c>
      <c r="Q17" s="313">
        <f t="shared" si="0"/>
        <v>109831.44</v>
      </c>
      <c r="R17" s="263"/>
      <c r="S17" s="315">
        <f t="shared" si="1"/>
        <v>109831.44</v>
      </c>
      <c r="T17" s="678">
        <v>0</v>
      </c>
      <c r="U17" s="678">
        <v>0</v>
      </c>
      <c r="V17" s="678">
        <v>0</v>
      </c>
      <c r="W17" s="678">
        <v>0</v>
      </c>
      <c r="X17" s="678">
        <v>0</v>
      </c>
      <c r="Y17" s="678">
        <v>0</v>
      </c>
      <c r="Z17" s="678">
        <v>0</v>
      </c>
      <c r="AA17" s="678">
        <v>0</v>
      </c>
      <c r="AB17" s="678">
        <v>0</v>
      </c>
      <c r="AC17" s="383">
        <v>0</v>
      </c>
      <c r="AD17" s="263">
        <v>0</v>
      </c>
      <c r="AE17" s="263">
        <v>0</v>
      </c>
      <c r="AF17" s="263">
        <v>0</v>
      </c>
      <c r="AG17" s="315">
        <f t="shared" si="2"/>
        <v>0</v>
      </c>
      <c r="AH17" s="263"/>
      <c r="AI17" s="315">
        <f t="shared" si="3"/>
        <v>0</v>
      </c>
      <c r="AJ17" s="678">
        <v>0</v>
      </c>
      <c r="AK17" s="678">
        <v>0</v>
      </c>
      <c r="AL17" s="678">
        <v>0</v>
      </c>
      <c r="AM17" s="678">
        <v>0</v>
      </c>
      <c r="AN17" s="678">
        <v>0</v>
      </c>
      <c r="AO17" s="678">
        <v>0</v>
      </c>
      <c r="AP17" s="678">
        <v>0</v>
      </c>
      <c r="AQ17" s="678">
        <v>0</v>
      </c>
      <c r="AR17" s="678">
        <v>0</v>
      </c>
    </row>
    <row r="18" spans="2:44" s="12" customFormat="1">
      <c r="B18" s="344" t="s">
        <v>261</v>
      </c>
      <c r="C18" s="897"/>
      <c r="D18" s="259" t="s">
        <v>262</v>
      </c>
      <c r="E18" s="461" t="s">
        <v>20</v>
      </c>
      <c r="F18" s="260" t="s">
        <v>16</v>
      </c>
      <c r="G18" s="260" t="s">
        <v>27</v>
      </c>
      <c r="H18" s="261" t="s">
        <v>18</v>
      </c>
      <c r="I18" s="898"/>
      <c r="J18" s="674">
        <v>135220.83189999999</v>
      </c>
      <c r="K18" s="262"/>
      <c r="L18" s="812">
        <v>52102.181507445865</v>
      </c>
      <c r="M18" s="800">
        <v>25551.040000000001</v>
      </c>
      <c r="N18" s="263">
        <v>10000</v>
      </c>
      <c r="O18" s="263">
        <v>75161.399999999994</v>
      </c>
      <c r="P18" s="263">
        <v>14925.94</v>
      </c>
      <c r="Q18" s="313">
        <f t="shared" si="0"/>
        <v>125638.38</v>
      </c>
      <c r="R18" s="263"/>
      <c r="S18" s="315">
        <f t="shared" si="1"/>
        <v>125638.38</v>
      </c>
      <c r="T18" s="678">
        <v>127082.736</v>
      </c>
      <c r="U18" s="678">
        <v>11.674799999999999</v>
      </c>
      <c r="V18" s="678">
        <v>0</v>
      </c>
      <c r="W18" s="678">
        <v>0</v>
      </c>
      <c r="X18" s="678">
        <v>0</v>
      </c>
      <c r="Y18" s="678">
        <v>506199.88800000004</v>
      </c>
      <c r="Z18" s="678">
        <v>0</v>
      </c>
      <c r="AA18" s="678">
        <v>0</v>
      </c>
      <c r="AB18" s="678">
        <v>0</v>
      </c>
      <c r="AC18" s="383">
        <v>0</v>
      </c>
      <c r="AD18" s="263">
        <v>0</v>
      </c>
      <c r="AE18" s="263">
        <v>0</v>
      </c>
      <c r="AF18" s="263">
        <v>0</v>
      </c>
      <c r="AG18" s="315">
        <f t="shared" si="2"/>
        <v>0</v>
      </c>
      <c r="AH18" s="263"/>
      <c r="AI18" s="315">
        <f t="shared" si="3"/>
        <v>0</v>
      </c>
      <c r="AJ18" s="678">
        <v>0</v>
      </c>
      <c r="AK18" s="678">
        <v>0</v>
      </c>
      <c r="AL18" s="678">
        <v>0</v>
      </c>
      <c r="AM18" s="678">
        <v>0</v>
      </c>
      <c r="AN18" s="678">
        <v>0</v>
      </c>
      <c r="AO18" s="678">
        <v>0</v>
      </c>
      <c r="AP18" s="678">
        <v>0</v>
      </c>
      <c r="AQ18" s="678">
        <v>0</v>
      </c>
      <c r="AR18" s="678">
        <v>0</v>
      </c>
    </row>
    <row r="19" spans="2:44" s="12" customFormat="1">
      <c r="B19" s="344" t="s">
        <v>263</v>
      </c>
      <c r="C19" s="899"/>
      <c r="D19" s="259" t="s">
        <v>264</v>
      </c>
      <c r="E19" s="461" t="s">
        <v>20</v>
      </c>
      <c r="F19" s="260" t="s">
        <v>16</v>
      </c>
      <c r="G19" s="260" t="s">
        <v>27</v>
      </c>
      <c r="H19" s="261" t="s">
        <v>18</v>
      </c>
      <c r="I19" s="900"/>
      <c r="J19" s="674">
        <v>155900.70390000002</v>
      </c>
      <c r="K19" s="259"/>
      <c r="L19" s="812">
        <v>62459.817018585149</v>
      </c>
      <c r="M19" s="800">
        <v>29507.77</v>
      </c>
      <c r="N19" s="263">
        <v>2000</v>
      </c>
      <c r="O19" s="263">
        <v>78750.3</v>
      </c>
      <c r="P19" s="263">
        <v>32445</v>
      </c>
      <c r="Q19" s="314">
        <f t="shared" si="0"/>
        <v>142703.07</v>
      </c>
      <c r="R19" s="264"/>
      <c r="S19" s="315">
        <f t="shared" si="1"/>
        <v>142703.07</v>
      </c>
      <c r="T19" s="679">
        <v>243110.73723759997</v>
      </c>
      <c r="U19" s="679">
        <v>27.0486924</v>
      </c>
      <c r="V19" s="679">
        <v>3.464</v>
      </c>
      <c r="W19" s="678">
        <v>0</v>
      </c>
      <c r="X19" s="678">
        <v>0</v>
      </c>
      <c r="Y19" s="679">
        <v>3578043.1385260001</v>
      </c>
      <c r="Z19" s="679">
        <v>39.161000000000001</v>
      </c>
      <c r="AA19" s="678">
        <v>0</v>
      </c>
      <c r="AB19" s="678">
        <v>0</v>
      </c>
      <c r="AC19" s="384">
        <v>0</v>
      </c>
      <c r="AD19" s="264">
        <v>0</v>
      </c>
      <c r="AE19" s="264">
        <v>0</v>
      </c>
      <c r="AF19" s="264">
        <v>0</v>
      </c>
      <c r="AG19" s="315">
        <f t="shared" si="2"/>
        <v>0</v>
      </c>
      <c r="AH19" s="264"/>
      <c r="AI19" s="315">
        <f t="shared" si="3"/>
        <v>0</v>
      </c>
      <c r="AJ19" s="679">
        <v>0</v>
      </c>
      <c r="AK19" s="679">
        <v>0</v>
      </c>
      <c r="AL19" s="679">
        <v>0</v>
      </c>
      <c r="AM19" s="678">
        <v>0</v>
      </c>
      <c r="AN19" s="678">
        <v>0</v>
      </c>
      <c r="AO19" s="679">
        <v>0</v>
      </c>
      <c r="AP19" s="679">
        <v>0</v>
      </c>
      <c r="AQ19" s="678">
        <v>0</v>
      </c>
      <c r="AR19" s="678">
        <v>0</v>
      </c>
    </row>
    <row r="20" spans="2:44" s="12" customFormat="1">
      <c r="B20" s="342" t="s">
        <v>265</v>
      </c>
      <c r="C20" s="261"/>
      <c r="D20" s="259" t="s">
        <v>266</v>
      </c>
      <c r="E20" s="461" t="s">
        <v>15</v>
      </c>
      <c r="F20" s="260" t="s">
        <v>16</v>
      </c>
      <c r="G20" s="260" t="s">
        <v>29</v>
      </c>
      <c r="H20" s="261" t="s">
        <v>23</v>
      </c>
      <c r="I20" s="259"/>
      <c r="J20" s="674">
        <v>450075.23</v>
      </c>
      <c r="K20" s="259"/>
      <c r="L20" s="812">
        <v>106426.61898279125</v>
      </c>
      <c r="M20" s="800">
        <v>19438.77</v>
      </c>
      <c r="N20" s="263">
        <v>0</v>
      </c>
      <c r="O20" s="263">
        <v>112660.666</v>
      </c>
      <c r="P20" s="263">
        <v>0</v>
      </c>
      <c r="Q20" s="314">
        <f t="shared" si="0"/>
        <v>132099.43599999999</v>
      </c>
      <c r="R20" s="264"/>
      <c r="S20" s="315">
        <f t="shared" si="1"/>
        <v>132099.43599999999</v>
      </c>
      <c r="T20" s="679">
        <v>0</v>
      </c>
      <c r="U20" s="679">
        <v>0</v>
      </c>
      <c r="V20" s="679">
        <v>0</v>
      </c>
      <c r="W20" s="678">
        <v>0</v>
      </c>
      <c r="X20" s="678">
        <v>0</v>
      </c>
      <c r="Y20" s="679">
        <v>0</v>
      </c>
      <c r="Z20" s="679">
        <v>0</v>
      </c>
      <c r="AA20" s="678">
        <v>0</v>
      </c>
      <c r="AB20" s="678">
        <v>0</v>
      </c>
      <c r="AC20" s="384">
        <v>20359.07</v>
      </c>
      <c r="AD20" s="264">
        <v>0</v>
      </c>
      <c r="AE20" s="264">
        <v>88552.17</v>
      </c>
      <c r="AF20" s="264">
        <v>0</v>
      </c>
      <c r="AG20" s="315">
        <f t="shared" si="2"/>
        <v>108911.23999999999</v>
      </c>
      <c r="AH20" s="264"/>
      <c r="AI20" s="315">
        <f t="shared" si="3"/>
        <v>108911.23999999999</v>
      </c>
      <c r="AJ20" s="679">
        <v>0</v>
      </c>
      <c r="AK20" s="679">
        <v>0</v>
      </c>
      <c r="AL20" s="679">
        <v>0</v>
      </c>
      <c r="AM20" s="678">
        <v>0</v>
      </c>
      <c r="AN20" s="678">
        <v>0</v>
      </c>
      <c r="AO20" s="679">
        <v>0</v>
      </c>
      <c r="AP20" s="679">
        <v>0</v>
      </c>
      <c r="AQ20" s="678">
        <v>0</v>
      </c>
      <c r="AR20" s="678">
        <v>0</v>
      </c>
    </row>
    <row r="21" spans="2:44" s="12" customFormat="1">
      <c r="B21" s="344" t="s">
        <v>267</v>
      </c>
      <c r="C21" s="260"/>
      <c r="D21" s="259" t="s">
        <v>268</v>
      </c>
      <c r="E21" s="461" t="s">
        <v>15</v>
      </c>
      <c r="F21" s="260" t="s">
        <v>16</v>
      </c>
      <c r="G21" s="260" t="s">
        <v>29</v>
      </c>
      <c r="H21" s="261" t="s">
        <v>23</v>
      </c>
      <c r="I21" s="262"/>
      <c r="J21" s="674">
        <v>718528.48960000009</v>
      </c>
      <c r="K21" s="262"/>
      <c r="L21" s="812">
        <v>168646.24359441578</v>
      </c>
      <c r="M21" s="800">
        <v>114685.84</v>
      </c>
      <c r="N21" s="263">
        <v>0</v>
      </c>
      <c r="O21" s="263">
        <v>735098.54599999997</v>
      </c>
      <c r="P21" s="263">
        <v>0</v>
      </c>
      <c r="Q21" s="313">
        <f t="shared" si="0"/>
        <v>849784.38599999994</v>
      </c>
      <c r="R21" s="263"/>
      <c r="S21" s="315">
        <f t="shared" si="1"/>
        <v>849784.38599999994</v>
      </c>
      <c r="T21" s="678">
        <v>0</v>
      </c>
      <c r="U21" s="678">
        <v>0</v>
      </c>
      <c r="V21" s="678">
        <v>0</v>
      </c>
      <c r="W21" s="678">
        <v>0</v>
      </c>
      <c r="X21" s="678">
        <v>0</v>
      </c>
      <c r="Y21" s="678">
        <v>0</v>
      </c>
      <c r="Z21" s="678">
        <v>0</v>
      </c>
      <c r="AA21" s="678">
        <v>0</v>
      </c>
      <c r="AB21" s="678">
        <v>0</v>
      </c>
      <c r="AC21" s="383">
        <v>37288.457999999999</v>
      </c>
      <c r="AD21" s="263">
        <v>0</v>
      </c>
      <c r="AE21" s="263">
        <v>157742.4664</v>
      </c>
      <c r="AF21" s="263">
        <v>0</v>
      </c>
      <c r="AG21" s="315">
        <f t="shared" si="2"/>
        <v>195030.92440000002</v>
      </c>
      <c r="AH21" s="263"/>
      <c r="AI21" s="315">
        <f t="shared" si="3"/>
        <v>195030.92440000002</v>
      </c>
      <c r="AJ21" s="678">
        <v>0</v>
      </c>
      <c r="AK21" s="678">
        <v>0</v>
      </c>
      <c r="AL21" s="678">
        <v>0</v>
      </c>
      <c r="AM21" s="678">
        <v>0</v>
      </c>
      <c r="AN21" s="678">
        <v>0</v>
      </c>
      <c r="AO21" s="678">
        <v>0</v>
      </c>
      <c r="AP21" s="678">
        <v>0</v>
      </c>
      <c r="AQ21" s="678">
        <v>0</v>
      </c>
      <c r="AR21" s="678">
        <v>0</v>
      </c>
    </row>
    <row r="22" spans="2:44" s="12" customFormat="1">
      <c r="B22" s="344" t="s">
        <v>269</v>
      </c>
      <c r="C22" s="260"/>
      <c r="D22" s="259" t="s">
        <v>270</v>
      </c>
      <c r="E22" s="461" t="s">
        <v>15</v>
      </c>
      <c r="F22" s="260" t="s">
        <v>16</v>
      </c>
      <c r="G22" s="260" t="s">
        <v>29</v>
      </c>
      <c r="H22" s="261" t="s">
        <v>23</v>
      </c>
      <c r="I22" s="262"/>
      <c r="J22" s="674">
        <v>245647.22639999999</v>
      </c>
      <c r="K22" s="262"/>
      <c r="L22" s="812">
        <v>53619.563355731188</v>
      </c>
      <c r="M22" s="800">
        <v>20175.97</v>
      </c>
      <c r="N22" s="263">
        <v>0</v>
      </c>
      <c r="O22" s="263">
        <v>122176.966</v>
      </c>
      <c r="P22" s="263">
        <v>0</v>
      </c>
      <c r="Q22" s="313">
        <f t="shared" si="0"/>
        <v>142352.93599999999</v>
      </c>
      <c r="R22" s="263"/>
      <c r="S22" s="315">
        <f t="shared" si="1"/>
        <v>142352.93599999999</v>
      </c>
      <c r="T22" s="678">
        <v>0</v>
      </c>
      <c r="U22" s="678">
        <v>0</v>
      </c>
      <c r="V22" s="678">
        <v>0</v>
      </c>
      <c r="W22" s="678">
        <v>0</v>
      </c>
      <c r="X22" s="678">
        <v>0</v>
      </c>
      <c r="Y22" s="678">
        <v>0</v>
      </c>
      <c r="Z22" s="678">
        <v>0</v>
      </c>
      <c r="AA22" s="678">
        <v>0</v>
      </c>
      <c r="AB22" s="678">
        <v>0</v>
      </c>
      <c r="AC22" s="383">
        <v>24233.34</v>
      </c>
      <c r="AD22" s="263">
        <v>0</v>
      </c>
      <c r="AE22" s="263">
        <v>105403.35</v>
      </c>
      <c r="AF22" s="263">
        <v>0</v>
      </c>
      <c r="AG22" s="315">
        <f t="shared" si="2"/>
        <v>129636.69</v>
      </c>
      <c r="AH22" s="263"/>
      <c r="AI22" s="315">
        <f t="shared" si="3"/>
        <v>129636.69</v>
      </c>
      <c r="AJ22" s="678">
        <v>0</v>
      </c>
      <c r="AK22" s="678">
        <v>0</v>
      </c>
      <c r="AL22" s="678">
        <v>0</v>
      </c>
      <c r="AM22" s="678">
        <v>0</v>
      </c>
      <c r="AN22" s="678">
        <v>0</v>
      </c>
      <c r="AO22" s="678">
        <v>0</v>
      </c>
      <c r="AP22" s="678">
        <v>0</v>
      </c>
      <c r="AQ22" s="678">
        <v>0</v>
      </c>
      <c r="AR22" s="678">
        <v>0</v>
      </c>
    </row>
    <row r="23" spans="2:44" s="12" customFormat="1">
      <c r="B23" s="344" t="s">
        <v>271</v>
      </c>
      <c r="C23" s="260"/>
      <c r="D23" s="259" t="s">
        <v>272</v>
      </c>
      <c r="E23" s="461" t="s">
        <v>15</v>
      </c>
      <c r="F23" s="260" t="s">
        <v>16</v>
      </c>
      <c r="G23" s="260" t="s">
        <v>28</v>
      </c>
      <c r="H23" s="261" t="s">
        <v>28</v>
      </c>
      <c r="I23" s="262"/>
      <c r="J23" s="674">
        <v>510522.44510000001</v>
      </c>
      <c r="K23" s="262"/>
      <c r="L23" s="812">
        <v>161208.107299834</v>
      </c>
      <c r="M23" s="800">
        <v>101963.84</v>
      </c>
      <c r="N23" s="263">
        <v>0</v>
      </c>
      <c r="O23" s="263">
        <v>616827.76</v>
      </c>
      <c r="P23" s="263">
        <v>0</v>
      </c>
      <c r="Q23" s="313">
        <f t="shared" si="0"/>
        <v>718791.6</v>
      </c>
      <c r="R23" s="263"/>
      <c r="S23" s="315">
        <f t="shared" si="1"/>
        <v>718791.6</v>
      </c>
      <c r="T23" s="678">
        <v>0</v>
      </c>
      <c r="U23" s="678">
        <v>0</v>
      </c>
      <c r="V23" s="678">
        <v>0</v>
      </c>
      <c r="W23" s="678">
        <v>0</v>
      </c>
      <c r="X23" s="678">
        <v>0</v>
      </c>
      <c r="Y23" s="678">
        <v>0</v>
      </c>
      <c r="Z23" s="678">
        <v>0</v>
      </c>
      <c r="AA23" s="678">
        <v>0</v>
      </c>
      <c r="AB23" s="678">
        <v>0</v>
      </c>
      <c r="AC23" s="383">
        <v>171896.86199999999</v>
      </c>
      <c r="AD23" s="263">
        <v>0</v>
      </c>
      <c r="AE23" s="263">
        <v>702456.77159999998</v>
      </c>
      <c r="AF23" s="263">
        <v>0</v>
      </c>
      <c r="AG23" s="315">
        <f t="shared" si="2"/>
        <v>874353.63359999994</v>
      </c>
      <c r="AH23" s="263"/>
      <c r="AI23" s="315">
        <f t="shared" si="3"/>
        <v>874353.63359999994</v>
      </c>
      <c r="AJ23" s="678">
        <v>0</v>
      </c>
      <c r="AK23" s="678">
        <v>0</v>
      </c>
      <c r="AL23" s="678">
        <v>0</v>
      </c>
      <c r="AM23" s="678">
        <v>0</v>
      </c>
      <c r="AN23" s="678">
        <v>0</v>
      </c>
      <c r="AO23" s="678">
        <v>0</v>
      </c>
      <c r="AP23" s="678">
        <v>0</v>
      </c>
      <c r="AQ23" s="678">
        <v>0</v>
      </c>
      <c r="AR23" s="678">
        <v>0</v>
      </c>
    </row>
    <row r="24" spans="2:44" s="12" customFormat="1">
      <c r="B24" s="344" t="s">
        <v>273</v>
      </c>
      <c r="C24" s="260"/>
      <c r="D24" s="259" t="s">
        <v>274</v>
      </c>
      <c r="E24" s="461" t="s">
        <v>15</v>
      </c>
      <c r="F24" s="260" t="s">
        <v>16</v>
      </c>
      <c r="G24" s="260" t="s">
        <v>28</v>
      </c>
      <c r="H24" s="261" t="s">
        <v>28</v>
      </c>
      <c r="I24" s="262"/>
      <c r="J24" s="674">
        <v>267955.60249999998</v>
      </c>
      <c r="K24" s="262"/>
      <c r="L24" s="812">
        <v>136989.08180725839</v>
      </c>
      <c r="M24" s="800">
        <v>52665.73</v>
      </c>
      <c r="N24" s="263">
        <v>0</v>
      </c>
      <c r="O24" s="263">
        <v>313095.71000000002</v>
      </c>
      <c r="P24" s="263">
        <v>0</v>
      </c>
      <c r="Q24" s="313">
        <f t="shared" si="0"/>
        <v>365761.44</v>
      </c>
      <c r="R24" s="263"/>
      <c r="S24" s="315">
        <f t="shared" si="1"/>
        <v>365761.44</v>
      </c>
      <c r="T24" s="678">
        <v>0</v>
      </c>
      <c r="U24" s="678">
        <v>0</v>
      </c>
      <c r="V24" s="678">
        <v>0</v>
      </c>
      <c r="W24" s="678">
        <v>0</v>
      </c>
      <c r="X24" s="678">
        <v>0</v>
      </c>
      <c r="Y24" s="678">
        <v>0</v>
      </c>
      <c r="Z24" s="678">
        <v>0</v>
      </c>
      <c r="AA24" s="678">
        <v>0</v>
      </c>
      <c r="AB24" s="678">
        <v>0</v>
      </c>
      <c r="AC24" s="383">
        <v>95221.093999999997</v>
      </c>
      <c r="AD24" s="263">
        <v>0</v>
      </c>
      <c r="AE24" s="263">
        <v>385217.43520000001</v>
      </c>
      <c r="AF24" s="263">
        <v>0</v>
      </c>
      <c r="AG24" s="315">
        <f t="shared" si="2"/>
        <v>480438.52919999999</v>
      </c>
      <c r="AH24" s="263"/>
      <c r="AI24" s="315">
        <f t="shared" si="3"/>
        <v>480438.52919999999</v>
      </c>
      <c r="AJ24" s="678">
        <v>0</v>
      </c>
      <c r="AK24" s="678">
        <v>0</v>
      </c>
      <c r="AL24" s="678">
        <v>0</v>
      </c>
      <c r="AM24" s="678">
        <v>0</v>
      </c>
      <c r="AN24" s="678">
        <v>0</v>
      </c>
      <c r="AO24" s="678">
        <v>0</v>
      </c>
      <c r="AP24" s="678">
        <v>0</v>
      </c>
      <c r="AQ24" s="678">
        <v>0</v>
      </c>
      <c r="AR24" s="678">
        <v>0</v>
      </c>
    </row>
    <row r="25" spans="2:44" s="12" customFormat="1">
      <c r="B25" s="344" t="s">
        <v>275</v>
      </c>
      <c r="C25" s="260"/>
      <c r="D25" s="259" t="s">
        <v>276</v>
      </c>
      <c r="E25" s="461" t="s">
        <v>15</v>
      </c>
      <c r="F25" s="260" t="s">
        <v>16</v>
      </c>
      <c r="G25" s="260" t="s">
        <v>28</v>
      </c>
      <c r="H25" s="261" t="s">
        <v>28</v>
      </c>
      <c r="I25" s="265"/>
      <c r="J25" s="674">
        <v>218322.92099999997</v>
      </c>
      <c r="K25" s="265"/>
      <c r="L25" s="812">
        <v>47662.652286472112</v>
      </c>
      <c r="M25" s="800">
        <v>37795.86</v>
      </c>
      <c r="N25" s="263">
        <v>0</v>
      </c>
      <c r="O25" s="263">
        <v>231678.62</v>
      </c>
      <c r="P25" s="263">
        <v>0</v>
      </c>
      <c r="Q25" s="313">
        <f t="shared" si="0"/>
        <v>269474.48</v>
      </c>
      <c r="R25" s="263"/>
      <c r="S25" s="315">
        <f t="shared" si="1"/>
        <v>269474.48</v>
      </c>
      <c r="T25" s="678">
        <v>0</v>
      </c>
      <c r="U25" s="678">
        <v>0</v>
      </c>
      <c r="V25" s="678">
        <v>0</v>
      </c>
      <c r="W25" s="678">
        <v>0</v>
      </c>
      <c r="X25" s="678">
        <v>0</v>
      </c>
      <c r="Y25" s="678">
        <v>0</v>
      </c>
      <c r="Z25" s="678">
        <v>0</v>
      </c>
      <c r="AA25" s="678">
        <v>0</v>
      </c>
      <c r="AB25" s="678">
        <v>0</v>
      </c>
      <c r="AC25" s="383">
        <v>74365.259999999995</v>
      </c>
      <c r="AD25" s="263">
        <v>0</v>
      </c>
      <c r="AE25" s="263">
        <v>296018.70600000001</v>
      </c>
      <c r="AF25" s="263">
        <v>0</v>
      </c>
      <c r="AG25" s="315">
        <f t="shared" si="2"/>
        <v>370383.96600000001</v>
      </c>
      <c r="AH25" s="263"/>
      <c r="AI25" s="315">
        <f t="shared" si="3"/>
        <v>370383.96600000001</v>
      </c>
      <c r="AJ25" s="678">
        <v>0</v>
      </c>
      <c r="AK25" s="678">
        <v>0</v>
      </c>
      <c r="AL25" s="678">
        <v>0</v>
      </c>
      <c r="AM25" s="678">
        <v>0</v>
      </c>
      <c r="AN25" s="678">
        <v>0</v>
      </c>
      <c r="AO25" s="678">
        <v>0</v>
      </c>
      <c r="AP25" s="678">
        <v>0</v>
      </c>
      <c r="AQ25" s="678">
        <v>0</v>
      </c>
      <c r="AR25" s="678">
        <v>0</v>
      </c>
    </row>
    <row r="26" spans="2:44" s="12" customFormat="1">
      <c r="B26" s="344" t="s">
        <v>277</v>
      </c>
      <c r="C26" s="260"/>
      <c r="D26" s="259" t="s">
        <v>278</v>
      </c>
      <c r="E26" s="461" t="s">
        <v>15</v>
      </c>
      <c r="F26" s="260" t="s">
        <v>16</v>
      </c>
      <c r="G26" s="260" t="s">
        <v>32</v>
      </c>
      <c r="H26" s="261" t="s">
        <v>23</v>
      </c>
      <c r="I26" s="265"/>
      <c r="J26" s="674">
        <v>4101177.4512999998</v>
      </c>
      <c r="K26" s="265"/>
      <c r="L26" s="812">
        <v>1592622.061692171</v>
      </c>
      <c r="M26" s="800">
        <v>933375.78</v>
      </c>
      <c r="N26" s="263">
        <v>382660.46</v>
      </c>
      <c r="O26" s="263">
        <v>2785917.62</v>
      </c>
      <c r="P26" s="263">
        <v>0</v>
      </c>
      <c r="Q26" s="313">
        <f t="shared" si="0"/>
        <v>4101953.8600000003</v>
      </c>
      <c r="R26" s="263"/>
      <c r="S26" s="315">
        <f t="shared" si="1"/>
        <v>4101953.8600000003</v>
      </c>
      <c r="T26" s="678">
        <v>0</v>
      </c>
      <c r="U26" s="678">
        <v>0</v>
      </c>
      <c r="V26" s="678">
        <v>0</v>
      </c>
      <c r="W26" s="678">
        <v>0</v>
      </c>
      <c r="X26" s="678">
        <v>0</v>
      </c>
      <c r="Y26" s="678">
        <v>0</v>
      </c>
      <c r="Z26" s="678">
        <v>0</v>
      </c>
      <c r="AA26" s="678">
        <v>0</v>
      </c>
      <c r="AB26" s="678">
        <v>0</v>
      </c>
      <c r="AC26" s="383">
        <v>840166.33490000002</v>
      </c>
      <c r="AD26" s="263">
        <v>385846.81400000001</v>
      </c>
      <c r="AE26" s="263">
        <v>2627101.0299</v>
      </c>
      <c r="AF26" s="263">
        <v>0</v>
      </c>
      <c r="AG26" s="315">
        <f t="shared" si="2"/>
        <v>3853114.1787999999</v>
      </c>
      <c r="AH26" s="263"/>
      <c r="AI26" s="315">
        <f t="shared" si="3"/>
        <v>3853114.1787999999</v>
      </c>
      <c r="AJ26" s="678">
        <v>0</v>
      </c>
      <c r="AK26" s="678">
        <v>0</v>
      </c>
      <c r="AL26" s="678">
        <v>0</v>
      </c>
      <c r="AM26" s="678">
        <v>0</v>
      </c>
      <c r="AN26" s="678">
        <v>0</v>
      </c>
      <c r="AO26" s="678">
        <v>0</v>
      </c>
      <c r="AP26" s="678">
        <v>0</v>
      </c>
      <c r="AQ26" s="678">
        <v>0</v>
      </c>
      <c r="AR26" s="678">
        <v>0</v>
      </c>
    </row>
    <row r="27" spans="2:44" s="12" customFormat="1">
      <c r="B27" s="344" t="s">
        <v>279</v>
      </c>
      <c r="C27" s="260"/>
      <c r="D27" s="259" t="s">
        <v>280</v>
      </c>
      <c r="E27" s="461" t="s">
        <v>15</v>
      </c>
      <c r="F27" s="260" t="s">
        <v>16</v>
      </c>
      <c r="G27" s="260" t="s">
        <v>17</v>
      </c>
      <c r="H27" s="261" t="s">
        <v>18</v>
      </c>
      <c r="I27" s="265"/>
      <c r="J27" s="674">
        <v>3647758.2270999998</v>
      </c>
      <c r="K27" s="265"/>
      <c r="L27" s="812">
        <v>2042323.1086543826</v>
      </c>
      <c r="M27" s="800">
        <v>491982.68800000002</v>
      </c>
      <c r="N27" s="263">
        <v>39382.5</v>
      </c>
      <c r="O27" s="263">
        <v>3095245.58</v>
      </c>
      <c r="P27" s="263">
        <v>0</v>
      </c>
      <c r="Q27" s="313">
        <f t="shared" si="0"/>
        <v>3626610.7680000002</v>
      </c>
      <c r="R27" s="263"/>
      <c r="S27" s="315">
        <f t="shared" si="1"/>
        <v>3626610.7680000002</v>
      </c>
      <c r="T27" s="678">
        <v>42998021.25</v>
      </c>
      <c r="U27" s="678">
        <v>7242.8</v>
      </c>
      <c r="V27" s="678">
        <v>1067.5260000000001</v>
      </c>
      <c r="W27" s="678">
        <v>0</v>
      </c>
      <c r="X27" s="678">
        <v>0</v>
      </c>
      <c r="Y27" s="678">
        <v>42998021.25</v>
      </c>
      <c r="Z27" s="678">
        <v>1067.5260000000001</v>
      </c>
      <c r="AA27" s="678">
        <v>0</v>
      </c>
      <c r="AB27" s="678">
        <v>0</v>
      </c>
      <c r="AC27" s="383">
        <v>0</v>
      </c>
      <c r="AD27" s="263">
        <v>0</v>
      </c>
      <c r="AE27" s="263">
        <v>0</v>
      </c>
      <c r="AF27" s="263">
        <v>0</v>
      </c>
      <c r="AG27" s="315">
        <f t="shared" si="2"/>
        <v>0</v>
      </c>
      <c r="AH27" s="263"/>
      <c r="AI27" s="315">
        <f t="shared" si="3"/>
        <v>0</v>
      </c>
      <c r="AJ27" s="678">
        <v>0</v>
      </c>
      <c r="AK27" s="678">
        <v>0</v>
      </c>
      <c r="AL27" s="678">
        <v>0</v>
      </c>
      <c r="AM27" s="678">
        <v>0</v>
      </c>
      <c r="AN27" s="678">
        <v>0</v>
      </c>
      <c r="AO27" s="678">
        <v>0</v>
      </c>
      <c r="AP27" s="678">
        <v>0</v>
      </c>
      <c r="AQ27" s="678">
        <v>0</v>
      </c>
      <c r="AR27" s="678">
        <v>0</v>
      </c>
    </row>
    <row r="28" spans="2:44" s="12" customFormat="1">
      <c r="B28" s="344" t="s">
        <v>281</v>
      </c>
      <c r="C28" s="260"/>
      <c r="D28" s="259" t="s">
        <v>282</v>
      </c>
      <c r="E28" s="461" t="s">
        <v>15</v>
      </c>
      <c r="F28" s="260" t="s">
        <v>16</v>
      </c>
      <c r="G28" s="260" t="s">
        <v>34</v>
      </c>
      <c r="H28" s="261" t="s">
        <v>23</v>
      </c>
      <c r="I28" s="266"/>
      <c r="J28" s="674">
        <v>437136.92910000001</v>
      </c>
      <c r="K28" s="266"/>
      <c r="L28" s="812">
        <v>158552.84296037303</v>
      </c>
      <c r="M28" s="800">
        <v>70727.320000000007</v>
      </c>
      <c r="N28" s="263">
        <v>20000</v>
      </c>
      <c r="O28" s="263">
        <v>196977.58</v>
      </c>
      <c r="P28" s="263">
        <v>0</v>
      </c>
      <c r="Q28" s="313">
        <f t="shared" si="0"/>
        <v>287704.90000000002</v>
      </c>
      <c r="R28" s="263"/>
      <c r="S28" s="315">
        <f t="shared" si="1"/>
        <v>287704.90000000002</v>
      </c>
      <c r="T28" s="678">
        <v>0</v>
      </c>
      <c r="U28" s="678">
        <v>0</v>
      </c>
      <c r="V28" s="678">
        <v>0</v>
      </c>
      <c r="W28" s="678">
        <v>0</v>
      </c>
      <c r="X28" s="678">
        <v>0</v>
      </c>
      <c r="Y28" s="678">
        <v>0</v>
      </c>
      <c r="Z28" s="678">
        <v>0</v>
      </c>
      <c r="AA28" s="678">
        <v>0</v>
      </c>
      <c r="AB28" s="678">
        <v>0</v>
      </c>
      <c r="AC28" s="383">
        <v>100939.29919999999</v>
      </c>
      <c r="AD28" s="263">
        <v>20000</v>
      </c>
      <c r="AE28" s="263">
        <v>275180.04800000001</v>
      </c>
      <c r="AF28" s="263">
        <v>0</v>
      </c>
      <c r="AG28" s="315">
        <f t="shared" si="2"/>
        <v>396119.34720000002</v>
      </c>
      <c r="AH28" s="263"/>
      <c r="AI28" s="315">
        <f t="shared" si="3"/>
        <v>396119.34720000002</v>
      </c>
      <c r="AJ28" s="678">
        <v>0</v>
      </c>
      <c r="AK28" s="678">
        <v>0</v>
      </c>
      <c r="AL28" s="678">
        <v>0</v>
      </c>
      <c r="AM28" s="678">
        <v>0</v>
      </c>
      <c r="AN28" s="678">
        <v>0</v>
      </c>
      <c r="AO28" s="678">
        <v>0</v>
      </c>
      <c r="AP28" s="678">
        <v>0</v>
      </c>
      <c r="AQ28" s="678">
        <v>0</v>
      </c>
      <c r="AR28" s="678">
        <v>0</v>
      </c>
    </row>
    <row r="29" spans="2:44" s="12" customFormat="1">
      <c r="B29" s="344" t="s">
        <v>283</v>
      </c>
      <c r="C29" s="260"/>
      <c r="D29" s="259" t="s">
        <v>284</v>
      </c>
      <c r="E29" s="461" t="s">
        <v>15</v>
      </c>
      <c r="F29" s="260" t="s">
        <v>16</v>
      </c>
      <c r="G29" s="260" t="s">
        <v>30</v>
      </c>
      <c r="H29" s="261" t="s">
        <v>23</v>
      </c>
      <c r="I29" s="262"/>
      <c r="J29" s="674">
        <v>146799.598</v>
      </c>
      <c r="K29" s="262"/>
      <c r="L29" s="812">
        <v>98416.26028425766</v>
      </c>
      <c r="M29" s="800">
        <v>35136.550000000003</v>
      </c>
      <c r="N29" s="263">
        <v>0</v>
      </c>
      <c r="O29" s="263">
        <v>69069.23</v>
      </c>
      <c r="P29" s="263">
        <v>0</v>
      </c>
      <c r="Q29" s="313">
        <f t="shared" si="0"/>
        <v>104205.78</v>
      </c>
      <c r="R29" s="263"/>
      <c r="S29" s="315">
        <f t="shared" si="1"/>
        <v>104205.78</v>
      </c>
      <c r="T29" s="678">
        <v>0</v>
      </c>
      <c r="U29" s="678">
        <v>0</v>
      </c>
      <c r="V29" s="678">
        <v>0</v>
      </c>
      <c r="W29" s="678">
        <v>0</v>
      </c>
      <c r="X29" s="678">
        <v>0</v>
      </c>
      <c r="Y29" s="678">
        <v>0</v>
      </c>
      <c r="Z29" s="678">
        <v>0</v>
      </c>
      <c r="AA29" s="678">
        <v>0</v>
      </c>
      <c r="AB29" s="678">
        <v>0</v>
      </c>
      <c r="AC29" s="383">
        <v>0</v>
      </c>
      <c r="AD29" s="263">
        <v>0</v>
      </c>
      <c r="AE29" s="263">
        <v>0</v>
      </c>
      <c r="AF29" s="263">
        <v>0</v>
      </c>
      <c r="AG29" s="315">
        <f t="shared" si="2"/>
        <v>0</v>
      </c>
      <c r="AH29" s="263"/>
      <c r="AI29" s="315">
        <f t="shared" si="3"/>
        <v>0</v>
      </c>
      <c r="AJ29" s="678">
        <v>0</v>
      </c>
      <c r="AK29" s="678">
        <v>0</v>
      </c>
      <c r="AL29" s="678">
        <v>0</v>
      </c>
      <c r="AM29" s="678">
        <v>0</v>
      </c>
      <c r="AN29" s="678">
        <v>0</v>
      </c>
      <c r="AO29" s="678">
        <v>0</v>
      </c>
      <c r="AP29" s="678">
        <v>0</v>
      </c>
      <c r="AQ29" s="678">
        <v>0</v>
      </c>
      <c r="AR29" s="678">
        <v>0</v>
      </c>
    </row>
    <row r="30" spans="2:44" s="12" customFormat="1">
      <c r="B30" s="344" t="s">
        <v>285</v>
      </c>
      <c r="C30" s="260"/>
      <c r="D30" s="259" t="s">
        <v>286</v>
      </c>
      <c r="E30" s="461" t="s">
        <v>15</v>
      </c>
      <c r="F30" s="260" t="s">
        <v>16</v>
      </c>
      <c r="G30" s="260" t="s">
        <v>30</v>
      </c>
      <c r="H30" s="261" t="s">
        <v>23</v>
      </c>
      <c r="I30" s="262"/>
      <c r="J30" s="674">
        <v>242877.41959999999</v>
      </c>
      <c r="K30" s="262"/>
      <c r="L30" s="812">
        <v>95406.874750607865</v>
      </c>
      <c r="M30" s="800">
        <v>51525.279999999999</v>
      </c>
      <c r="N30" s="263">
        <v>0</v>
      </c>
      <c r="O30" s="263">
        <v>204177.76</v>
      </c>
      <c r="P30" s="263">
        <v>0</v>
      </c>
      <c r="Q30" s="313">
        <f t="shared" si="0"/>
        <v>255703.04000000001</v>
      </c>
      <c r="R30" s="263"/>
      <c r="S30" s="315">
        <f t="shared" si="1"/>
        <v>255703.04000000001</v>
      </c>
      <c r="T30" s="678">
        <v>0</v>
      </c>
      <c r="U30" s="678">
        <v>0</v>
      </c>
      <c r="V30" s="678">
        <v>0</v>
      </c>
      <c r="W30" s="678">
        <v>0</v>
      </c>
      <c r="X30" s="678">
        <v>0</v>
      </c>
      <c r="Y30" s="678">
        <v>0</v>
      </c>
      <c r="Z30" s="678">
        <v>0</v>
      </c>
      <c r="AA30" s="678">
        <v>0</v>
      </c>
      <c r="AB30" s="678">
        <v>0</v>
      </c>
      <c r="AC30" s="383">
        <v>0</v>
      </c>
      <c r="AD30" s="263">
        <v>0</v>
      </c>
      <c r="AE30" s="263">
        <v>0</v>
      </c>
      <c r="AF30" s="263">
        <v>0</v>
      </c>
      <c r="AG30" s="315">
        <f t="shared" si="2"/>
        <v>0</v>
      </c>
      <c r="AH30" s="263"/>
      <c r="AI30" s="315">
        <f t="shared" si="3"/>
        <v>0</v>
      </c>
      <c r="AJ30" s="678">
        <v>0</v>
      </c>
      <c r="AK30" s="678">
        <v>0</v>
      </c>
      <c r="AL30" s="678">
        <v>0</v>
      </c>
      <c r="AM30" s="678">
        <v>0</v>
      </c>
      <c r="AN30" s="678">
        <v>0</v>
      </c>
      <c r="AO30" s="678">
        <v>0</v>
      </c>
      <c r="AP30" s="678">
        <v>0</v>
      </c>
      <c r="AQ30" s="678">
        <v>0</v>
      </c>
      <c r="AR30" s="678">
        <v>0</v>
      </c>
    </row>
    <row r="31" spans="2:44" s="12" customFormat="1">
      <c r="B31" s="344" t="s">
        <v>287</v>
      </c>
      <c r="C31" s="260"/>
      <c r="D31" s="259" t="s">
        <v>288</v>
      </c>
      <c r="E31" s="461" t="s">
        <v>15</v>
      </c>
      <c r="F31" s="260" t="s">
        <v>16</v>
      </c>
      <c r="G31" s="260" t="s">
        <v>22</v>
      </c>
      <c r="H31" s="261" t="s">
        <v>23</v>
      </c>
      <c r="I31" s="262"/>
      <c r="J31" s="674">
        <v>4163990.6986000002</v>
      </c>
      <c r="K31" s="262"/>
      <c r="L31" s="812">
        <v>1017977.4311404214</v>
      </c>
      <c r="M31" s="800">
        <v>462504.54</v>
      </c>
      <c r="N31" s="263">
        <v>0</v>
      </c>
      <c r="O31" s="263">
        <v>2208454.0299999998</v>
      </c>
      <c r="P31" s="263">
        <v>0</v>
      </c>
      <c r="Q31" s="313">
        <f t="shared" si="0"/>
        <v>2670958.5699999998</v>
      </c>
      <c r="R31" s="263"/>
      <c r="S31" s="315">
        <f t="shared" si="1"/>
        <v>2670958.5699999998</v>
      </c>
      <c r="T31" s="678">
        <v>0</v>
      </c>
      <c r="U31" s="678">
        <v>0</v>
      </c>
      <c r="V31" s="678">
        <v>0</v>
      </c>
      <c r="W31" s="678">
        <v>0</v>
      </c>
      <c r="X31" s="678">
        <v>0</v>
      </c>
      <c r="Y31" s="678">
        <v>0</v>
      </c>
      <c r="Z31" s="678">
        <v>0</v>
      </c>
      <c r="AA31" s="678">
        <v>0</v>
      </c>
      <c r="AB31" s="678">
        <v>0</v>
      </c>
      <c r="AC31" s="383">
        <v>517529.41</v>
      </c>
      <c r="AD31" s="263">
        <v>0</v>
      </c>
      <c r="AE31" s="263">
        <v>1830342.38</v>
      </c>
      <c r="AF31" s="263">
        <v>0</v>
      </c>
      <c r="AG31" s="315">
        <f t="shared" si="2"/>
        <v>2347871.79</v>
      </c>
      <c r="AH31" s="263"/>
      <c r="AI31" s="315">
        <f t="shared" si="3"/>
        <v>2347871.79</v>
      </c>
      <c r="AJ31" s="678">
        <v>0</v>
      </c>
      <c r="AK31" s="678">
        <v>0</v>
      </c>
      <c r="AL31" s="678">
        <v>0</v>
      </c>
      <c r="AM31" s="678">
        <v>0</v>
      </c>
      <c r="AN31" s="678">
        <v>0</v>
      </c>
      <c r="AO31" s="678">
        <v>0</v>
      </c>
      <c r="AP31" s="678">
        <v>0</v>
      </c>
      <c r="AQ31" s="678">
        <v>0</v>
      </c>
      <c r="AR31" s="678">
        <v>0</v>
      </c>
    </row>
    <row r="32" spans="2:44" s="12" customFormat="1">
      <c r="B32" s="344" t="s">
        <v>289</v>
      </c>
      <c r="C32" s="897"/>
      <c r="D32" s="259" t="s">
        <v>290</v>
      </c>
      <c r="E32" s="461" t="s">
        <v>20</v>
      </c>
      <c r="F32" s="260" t="s">
        <v>16</v>
      </c>
      <c r="G32" s="260" t="s">
        <v>22</v>
      </c>
      <c r="H32" s="261" t="s">
        <v>18</v>
      </c>
      <c r="I32" s="898"/>
      <c r="J32" s="674">
        <v>897608.26935000008</v>
      </c>
      <c r="K32" s="262"/>
      <c r="L32" s="812">
        <v>329111.68247617118</v>
      </c>
      <c r="M32" s="800">
        <v>78253.149999999994</v>
      </c>
      <c r="N32" s="263">
        <v>0</v>
      </c>
      <c r="O32" s="263">
        <v>374744.15</v>
      </c>
      <c r="P32" s="263">
        <v>23650</v>
      </c>
      <c r="Q32" s="313">
        <f t="shared" si="0"/>
        <v>476647.30000000005</v>
      </c>
      <c r="R32" s="263"/>
      <c r="S32" s="315">
        <f t="shared" si="1"/>
        <v>476647.30000000005</v>
      </c>
      <c r="T32" s="679">
        <v>406363.5</v>
      </c>
      <c r="U32" s="679">
        <v>0</v>
      </c>
      <c r="V32" s="679">
        <v>50.527999999999999</v>
      </c>
      <c r="W32" s="678">
        <v>0</v>
      </c>
      <c r="X32" s="678">
        <v>0</v>
      </c>
      <c r="Y32" s="678">
        <v>1219090.5</v>
      </c>
      <c r="Z32" s="678">
        <v>151.583</v>
      </c>
      <c r="AA32" s="678">
        <v>0</v>
      </c>
      <c r="AB32" s="678">
        <v>0</v>
      </c>
      <c r="AC32" s="384">
        <v>94927.044999999998</v>
      </c>
      <c r="AD32" s="264">
        <v>0</v>
      </c>
      <c r="AE32" s="264">
        <v>342564.37699999998</v>
      </c>
      <c r="AF32" s="264">
        <v>23650</v>
      </c>
      <c r="AG32" s="315">
        <f t="shared" si="2"/>
        <v>461141.42199999996</v>
      </c>
      <c r="AH32" s="263"/>
      <c r="AI32" s="315">
        <f t="shared" si="3"/>
        <v>461141.42199999996</v>
      </c>
      <c r="AJ32" s="679">
        <v>406363.5</v>
      </c>
      <c r="AK32" s="679">
        <v>0</v>
      </c>
      <c r="AL32" s="679">
        <v>50.527999999999999</v>
      </c>
      <c r="AM32" s="678">
        <v>0</v>
      </c>
      <c r="AN32" s="678">
        <v>0</v>
      </c>
      <c r="AO32" s="678">
        <v>1219090.5</v>
      </c>
      <c r="AP32" s="678">
        <v>151.583</v>
      </c>
      <c r="AQ32" s="678">
        <v>0</v>
      </c>
      <c r="AR32" s="678">
        <v>0</v>
      </c>
    </row>
    <row r="33" spans="2:44" s="12" customFormat="1">
      <c r="B33" s="342" t="s">
        <v>291</v>
      </c>
      <c r="C33" s="899"/>
      <c r="D33" s="259" t="s">
        <v>292</v>
      </c>
      <c r="E33" s="461" t="s">
        <v>20</v>
      </c>
      <c r="F33" s="260" t="s">
        <v>16</v>
      </c>
      <c r="G33" s="260" t="s">
        <v>27</v>
      </c>
      <c r="H33" s="261" t="s">
        <v>18</v>
      </c>
      <c r="I33" s="900"/>
      <c r="J33" s="674">
        <v>831799.85620000004</v>
      </c>
      <c r="K33" s="259"/>
      <c r="L33" s="812">
        <v>134542.25523062688</v>
      </c>
      <c r="M33" s="800">
        <v>151122.42000000001</v>
      </c>
      <c r="N33" s="263">
        <v>16000</v>
      </c>
      <c r="O33" s="263">
        <v>113966.65999999997</v>
      </c>
      <c r="P33" s="263">
        <v>602468.74</v>
      </c>
      <c r="Q33" s="314">
        <f t="shared" si="0"/>
        <v>883557.82</v>
      </c>
      <c r="R33" s="264"/>
      <c r="S33" s="315">
        <f t="shared" si="1"/>
        <v>883557.82</v>
      </c>
      <c r="T33" s="678">
        <v>1915183.9082300002</v>
      </c>
      <c r="U33" s="678">
        <v>260.60849999999999</v>
      </c>
      <c r="V33" s="678">
        <v>30.727</v>
      </c>
      <c r="W33" s="678">
        <v>0</v>
      </c>
      <c r="X33" s="678">
        <v>0</v>
      </c>
      <c r="Y33" s="679">
        <v>28031328.297500003</v>
      </c>
      <c r="Z33" s="679">
        <v>426.50299999999999</v>
      </c>
      <c r="AA33" s="678">
        <v>0</v>
      </c>
      <c r="AB33" s="678">
        <v>0</v>
      </c>
      <c r="AC33" s="383">
        <v>0</v>
      </c>
      <c r="AD33" s="263">
        <v>0</v>
      </c>
      <c r="AE33" s="263">
        <v>0</v>
      </c>
      <c r="AF33" s="263">
        <v>0</v>
      </c>
      <c r="AG33" s="315">
        <f t="shared" si="2"/>
        <v>0</v>
      </c>
      <c r="AH33" s="264"/>
      <c r="AI33" s="315">
        <f t="shared" si="3"/>
        <v>0</v>
      </c>
      <c r="AJ33" s="678">
        <v>0</v>
      </c>
      <c r="AK33" s="678">
        <v>0</v>
      </c>
      <c r="AL33" s="678">
        <v>0</v>
      </c>
      <c r="AM33" s="678">
        <v>0</v>
      </c>
      <c r="AN33" s="678">
        <v>0</v>
      </c>
      <c r="AO33" s="679">
        <v>0</v>
      </c>
      <c r="AP33" s="679">
        <v>0</v>
      </c>
      <c r="AQ33" s="678">
        <v>0</v>
      </c>
      <c r="AR33" s="678">
        <v>0</v>
      </c>
    </row>
    <row r="34" spans="2:44" s="12" customFormat="1">
      <c r="B34" s="344" t="s">
        <v>293</v>
      </c>
      <c r="C34" s="261"/>
      <c r="D34" s="259" t="s">
        <v>294</v>
      </c>
      <c r="E34" s="461" t="s">
        <v>20</v>
      </c>
      <c r="F34" s="260" t="s">
        <v>21</v>
      </c>
      <c r="G34" s="260" t="s">
        <v>17</v>
      </c>
      <c r="H34" s="261" t="s">
        <v>18</v>
      </c>
      <c r="I34" s="259"/>
      <c r="J34" s="674">
        <v>1793414.6305</v>
      </c>
      <c r="K34" s="259"/>
      <c r="L34" s="812">
        <v>0</v>
      </c>
      <c r="M34" s="800">
        <v>37500</v>
      </c>
      <c r="N34" s="263">
        <v>22500</v>
      </c>
      <c r="O34" s="263">
        <v>127500</v>
      </c>
      <c r="P34" s="263">
        <v>187500</v>
      </c>
      <c r="Q34" s="314">
        <f t="shared" si="0"/>
        <v>375000</v>
      </c>
      <c r="R34" s="264"/>
      <c r="S34" s="315">
        <f t="shared" si="1"/>
        <v>375000</v>
      </c>
      <c r="T34" s="678">
        <v>525000</v>
      </c>
      <c r="U34" s="678">
        <v>270.5</v>
      </c>
      <c r="V34" s="678">
        <v>74.141999999999996</v>
      </c>
      <c r="W34" s="678">
        <v>0</v>
      </c>
      <c r="X34" s="678">
        <v>0</v>
      </c>
      <c r="Y34" s="679">
        <v>5250000</v>
      </c>
      <c r="Z34" s="679">
        <v>741.423</v>
      </c>
      <c r="AA34" s="678">
        <v>0</v>
      </c>
      <c r="AB34" s="678">
        <v>0</v>
      </c>
      <c r="AC34" s="383">
        <v>150000</v>
      </c>
      <c r="AD34" s="263">
        <v>90000</v>
      </c>
      <c r="AE34" s="263">
        <v>510000</v>
      </c>
      <c r="AF34" s="263">
        <v>750000</v>
      </c>
      <c r="AG34" s="315">
        <f t="shared" si="2"/>
        <v>1500000</v>
      </c>
      <c r="AH34" s="264"/>
      <c r="AI34" s="315">
        <f t="shared" si="3"/>
        <v>1500000</v>
      </c>
      <c r="AJ34" s="678">
        <v>1365000</v>
      </c>
      <c r="AK34" s="678">
        <v>703.3</v>
      </c>
      <c r="AL34" s="678">
        <v>192.77</v>
      </c>
      <c r="AM34" s="678">
        <v>0</v>
      </c>
      <c r="AN34" s="678">
        <v>0</v>
      </c>
      <c r="AO34" s="679">
        <v>13650000</v>
      </c>
      <c r="AP34" s="679">
        <v>1927.6990000000001</v>
      </c>
      <c r="AQ34" s="678">
        <v>0</v>
      </c>
      <c r="AR34" s="678">
        <v>0</v>
      </c>
    </row>
    <row r="35" spans="2:44" s="12" customFormat="1">
      <c r="B35" s="344" t="s">
        <v>293</v>
      </c>
      <c r="C35" s="260"/>
      <c r="D35" s="259" t="s">
        <v>295</v>
      </c>
      <c r="E35" s="461" t="s">
        <v>20</v>
      </c>
      <c r="F35" s="260" t="s">
        <v>16</v>
      </c>
      <c r="G35" s="260" t="s">
        <v>17</v>
      </c>
      <c r="H35" s="261" t="s">
        <v>18</v>
      </c>
      <c r="I35" s="265"/>
      <c r="J35" s="674">
        <v>0</v>
      </c>
      <c r="K35" s="265"/>
      <c r="L35" s="812">
        <v>0</v>
      </c>
      <c r="M35" s="800">
        <v>128530.29</v>
      </c>
      <c r="N35" s="263">
        <v>0</v>
      </c>
      <c r="O35" s="263">
        <v>71092.42</v>
      </c>
      <c r="P35" s="263">
        <v>0</v>
      </c>
      <c r="Q35" s="313">
        <f t="shared" si="0"/>
        <v>199622.71</v>
      </c>
      <c r="R35" s="263"/>
      <c r="S35" s="315">
        <f t="shared" si="1"/>
        <v>199622.71</v>
      </c>
      <c r="T35" s="679">
        <v>0</v>
      </c>
      <c r="U35" s="679">
        <v>0</v>
      </c>
      <c r="V35" s="679">
        <v>0</v>
      </c>
      <c r="W35" s="678">
        <v>0</v>
      </c>
      <c r="X35" s="678">
        <v>0</v>
      </c>
      <c r="Y35" s="678">
        <v>0</v>
      </c>
      <c r="Z35" s="678">
        <v>0</v>
      </c>
      <c r="AA35" s="678">
        <v>0</v>
      </c>
      <c r="AB35" s="678">
        <v>0</v>
      </c>
      <c r="AC35" s="384">
        <v>263069.6765</v>
      </c>
      <c r="AD35" s="264">
        <v>0</v>
      </c>
      <c r="AE35" s="264">
        <v>124692.16469999999</v>
      </c>
      <c r="AF35" s="264">
        <v>0</v>
      </c>
      <c r="AG35" s="315">
        <f t="shared" si="2"/>
        <v>387761.84120000002</v>
      </c>
      <c r="AH35" s="263"/>
      <c r="AI35" s="315">
        <f t="shared" si="3"/>
        <v>387761.84120000002</v>
      </c>
      <c r="AJ35" s="679">
        <v>0</v>
      </c>
      <c r="AK35" s="679">
        <v>0</v>
      </c>
      <c r="AL35" s="679">
        <v>0</v>
      </c>
      <c r="AM35" s="678">
        <v>0</v>
      </c>
      <c r="AN35" s="678">
        <v>0</v>
      </c>
      <c r="AO35" s="678">
        <v>0</v>
      </c>
      <c r="AP35" s="678">
        <v>0</v>
      </c>
      <c r="AQ35" s="678">
        <v>0</v>
      </c>
      <c r="AR35" s="678">
        <v>0</v>
      </c>
    </row>
    <row r="36" spans="2:44" s="12" customFormat="1">
      <c r="B36" s="344" t="s">
        <v>296</v>
      </c>
      <c r="C36" s="260"/>
      <c r="D36" s="259" t="s">
        <v>297</v>
      </c>
      <c r="E36" s="461" t="s">
        <v>20</v>
      </c>
      <c r="F36" s="260" t="s">
        <v>21</v>
      </c>
      <c r="G36" s="260" t="s">
        <v>17</v>
      </c>
      <c r="H36" s="261" t="s">
        <v>18</v>
      </c>
      <c r="I36" s="265"/>
      <c r="J36" s="674">
        <v>5345437.8768999996</v>
      </c>
      <c r="K36" s="265"/>
      <c r="L36" s="812">
        <v>171865.08898624388</v>
      </c>
      <c r="M36" s="800">
        <v>132000</v>
      </c>
      <c r="N36" s="263">
        <v>132000</v>
      </c>
      <c r="O36" s="263">
        <v>44000</v>
      </c>
      <c r="P36" s="263">
        <v>4092000.0266999993</v>
      </c>
      <c r="Q36" s="313">
        <f t="shared" si="0"/>
        <v>4400000.0266999993</v>
      </c>
      <c r="R36" s="263"/>
      <c r="S36" s="315">
        <f t="shared" si="1"/>
        <v>4400000.0266999993</v>
      </c>
      <c r="T36" s="678">
        <v>3077991.9347900003</v>
      </c>
      <c r="U36" s="678">
        <v>1551.4921550000001</v>
      </c>
      <c r="V36" s="678">
        <v>439.678</v>
      </c>
      <c r="W36" s="678">
        <v>0</v>
      </c>
      <c r="X36" s="678">
        <v>0</v>
      </c>
      <c r="Y36" s="678">
        <v>42745796.796140015</v>
      </c>
      <c r="Z36" s="678">
        <v>2453.5889999999999</v>
      </c>
      <c r="AA36" s="678">
        <v>0</v>
      </c>
      <c r="AB36" s="678">
        <v>0</v>
      </c>
      <c r="AC36" s="383">
        <v>132000</v>
      </c>
      <c r="AD36" s="263">
        <v>132000</v>
      </c>
      <c r="AE36" s="263">
        <v>44000</v>
      </c>
      <c r="AF36" s="263">
        <v>4091999.8555999994</v>
      </c>
      <c r="AG36" s="315">
        <f t="shared" si="2"/>
        <v>4399999.8555999994</v>
      </c>
      <c r="AH36" s="263"/>
      <c r="AI36" s="315">
        <f t="shared" si="3"/>
        <v>4399999.8555999994</v>
      </c>
      <c r="AJ36" s="678">
        <v>3035173.1946299993</v>
      </c>
      <c r="AK36" s="678">
        <v>1542.7823100000001</v>
      </c>
      <c r="AL36" s="678">
        <v>445.51600000000002</v>
      </c>
      <c r="AM36" s="678">
        <v>0</v>
      </c>
      <c r="AN36" s="678">
        <v>0</v>
      </c>
      <c r="AO36" s="678">
        <v>42353429.607150003</v>
      </c>
      <c r="AP36" s="678">
        <v>2673.7150000000001</v>
      </c>
      <c r="AQ36" s="678">
        <v>0</v>
      </c>
      <c r="AR36" s="678">
        <v>0</v>
      </c>
    </row>
    <row r="37" spans="2:44" s="12" customFormat="1">
      <c r="B37" s="342" t="s">
        <v>296</v>
      </c>
      <c r="C37" s="261"/>
      <c r="D37" s="259" t="s">
        <v>298</v>
      </c>
      <c r="E37" s="461" t="s">
        <v>20</v>
      </c>
      <c r="F37" s="260" t="s">
        <v>16</v>
      </c>
      <c r="G37" s="260" t="s">
        <v>17</v>
      </c>
      <c r="H37" s="261" t="s">
        <v>18</v>
      </c>
      <c r="I37" s="267"/>
      <c r="J37" s="674">
        <v>0</v>
      </c>
      <c r="K37" s="267"/>
      <c r="L37" s="812">
        <v>1861920.8699999987</v>
      </c>
      <c r="M37" s="800">
        <v>214016.04</v>
      </c>
      <c r="N37" s="263">
        <v>0</v>
      </c>
      <c r="O37" s="263">
        <v>153755.07</v>
      </c>
      <c r="P37" s="263">
        <v>0</v>
      </c>
      <c r="Q37" s="314">
        <f t="shared" si="0"/>
        <v>367771.11</v>
      </c>
      <c r="R37" s="264"/>
      <c r="S37" s="315">
        <f t="shared" si="1"/>
        <v>367771.11</v>
      </c>
      <c r="T37" s="678">
        <v>0</v>
      </c>
      <c r="U37" s="678">
        <v>0</v>
      </c>
      <c r="V37" s="678">
        <v>0</v>
      </c>
      <c r="W37" s="678">
        <v>0</v>
      </c>
      <c r="X37" s="678">
        <v>0</v>
      </c>
      <c r="Y37" s="679">
        <v>0</v>
      </c>
      <c r="Z37" s="679">
        <v>0</v>
      </c>
      <c r="AA37" s="678">
        <v>0</v>
      </c>
      <c r="AB37" s="678">
        <v>0</v>
      </c>
      <c r="AC37" s="383">
        <v>287864.91769999999</v>
      </c>
      <c r="AD37" s="263">
        <v>0</v>
      </c>
      <c r="AE37" s="263">
        <v>166164.1115</v>
      </c>
      <c r="AF37" s="263">
        <v>0</v>
      </c>
      <c r="AG37" s="315">
        <f t="shared" si="2"/>
        <v>454029.02919999999</v>
      </c>
      <c r="AH37" s="264"/>
      <c r="AI37" s="315">
        <f t="shared" si="3"/>
        <v>454029.02919999999</v>
      </c>
      <c r="AJ37" s="678">
        <v>0</v>
      </c>
      <c r="AK37" s="678">
        <v>0</v>
      </c>
      <c r="AL37" s="678">
        <v>0</v>
      </c>
      <c r="AM37" s="678">
        <v>0</v>
      </c>
      <c r="AN37" s="678">
        <v>0</v>
      </c>
      <c r="AO37" s="679">
        <v>0</v>
      </c>
      <c r="AP37" s="679">
        <v>0</v>
      </c>
      <c r="AQ37" s="678">
        <v>0</v>
      </c>
      <c r="AR37" s="678">
        <v>0</v>
      </c>
    </row>
    <row r="38" spans="2:44" s="12" customFormat="1">
      <c r="B38" s="344" t="s">
        <v>299</v>
      </c>
      <c r="C38" s="260"/>
      <c r="D38" s="259" t="s">
        <v>300</v>
      </c>
      <c r="E38" s="461" t="s">
        <v>20</v>
      </c>
      <c r="F38" s="260" t="s">
        <v>21</v>
      </c>
      <c r="G38" s="260" t="s">
        <v>22</v>
      </c>
      <c r="H38" s="261" t="s">
        <v>18</v>
      </c>
      <c r="I38" s="262"/>
      <c r="J38" s="674">
        <v>10714191.2535</v>
      </c>
      <c r="K38" s="262"/>
      <c r="L38" s="812">
        <v>129604.32676520997</v>
      </c>
      <c r="M38" s="800">
        <v>582253.39630000002</v>
      </c>
      <c r="N38" s="263">
        <v>484190.04719999997</v>
      </c>
      <c r="O38" s="263">
        <v>3084315.7829999998</v>
      </c>
      <c r="P38" s="263">
        <v>3428346</v>
      </c>
      <c r="Q38" s="313">
        <f t="shared" si="0"/>
        <v>7579105.2264999999</v>
      </c>
      <c r="R38" s="263"/>
      <c r="S38" s="315">
        <f t="shared" si="1"/>
        <v>7579105.2264999999</v>
      </c>
      <c r="T38" s="679">
        <v>13472141.367712999</v>
      </c>
      <c r="U38" s="679">
        <v>2340.5945691759998</v>
      </c>
      <c r="V38" s="679">
        <v>-24.527000000000001</v>
      </c>
      <c r="W38" s="678">
        <v>0</v>
      </c>
      <c r="X38" s="678">
        <v>0</v>
      </c>
      <c r="Y38" s="678">
        <v>70621885.93971999</v>
      </c>
      <c r="Z38" s="678">
        <v>-117.44199999999999</v>
      </c>
      <c r="AA38" s="678">
        <v>0</v>
      </c>
      <c r="AB38" s="678">
        <v>0</v>
      </c>
      <c r="AC38" s="384">
        <v>825408.19799999997</v>
      </c>
      <c r="AD38" s="264">
        <v>581556.1483</v>
      </c>
      <c r="AE38" s="264">
        <v>4852025.7869999995</v>
      </c>
      <c r="AF38" s="264">
        <v>5838332.3624999998</v>
      </c>
      <c r="AG38" s="315">
        <f t="shared" si="2"/>
        <v>12097322.4958</v>
      </c>
      <c r="AH38" s="263"/>
      <c r="AI38" s="315">
        <f t="shared" si="3"/>
        <v>12097322.4958</v>
      </c>
      <c r="AJ38" s="679">
        <v>20430873.860305212</v>
      </c>
      <c r="AK38" s="679">
        <v>3537.6849442687494</v>
      </c>
      <c r="AL38" s="679">
        <v>-36.976999999999997</v>
      </c>
      <c r="AM38" s="678">
        <v>0</v>
      </c>
      <c r="AN38" s="678">
        <v>0</v>
      </c>
      <c r="AO38" s="678">
        <v>107046791.51555835</v>
      </c>
      <c r="AP38" s="678">
        <v>-177.09899999999999</v>
      </c>
      <c r="AQ38" s="678">
        <v>0</v>
      </c>
      <c r="AR38" s="678">
        <v>0</v>
      </c>
    </row>
    <row r="39" spans="2:44" s="12" customFormat="1">
      <c r="B39" s="344" t="s">
        <v>299</v>
      </c>
      <c r="C39" s="260"/>
      <c r="D39" s="259" t="s">
        <v>301</v>
      </c>
      <c r="E39" s="461" t="s">
        <v>20</v>
      </c>
      <c r="F39" s="260" t="s">
        <v>16</v>
      </c>
      <c r="G39" s="260" t="s">
        <v>22</v>
      </c>
      <c r="H39" s="261" t="s">
        <v>18</v>
      </c>
      <c r="I39" s="262"/>
      <c r="J39" s="674">
        <v>0</v>
      </c>
      <c r="K39" s="262"/>
      <c r="L39" s="812">
        <v>244672.37000000002</v>
      </c>
      <c r="M39" s="800">
        <v>343963.79599999997</v>
      </c>
      <c r="N39" s="263">
        <v>0</v>
      </c>
      <c r="O39" s="263">
        <v>353201.81</v>
      </c>
      <c r="P39" s="263">
        <v>0</v>
      </c>
      <c r="Q39" s="313">
        <f t="shared" ref="Q39:Q70" si="4">SUM(M39:P39)</f>
        <v>697165.60599999991</v>
      </c>
      <c r="R39" s="263"/>
      <c r="S39" s="315">
        <f t="shared" ref="S39:S70" si="5">Q39+R39</f>
        <v>697165.60599999991</v>
      </c>
      <c r="T39" s="679">
        <v>0</v>
      </c>
      <c r="U39" s="679">
        <v>0</v>
      </c>
      <c r="V39" s="679">
        <v>0</v>
      </c>
      <c r="W39" s="678">
        <v>0</v>
      </c>
      <c r="X39" s="678">
        <v>0</v>
      </c>
      <c r="Y39" s="678">
        <v>0</v>
      </c>
      <c r="Z39" s="678">
        <v>0</v>
      </c>
      <c r="AA39" s="678">
        <v>0</v>
      </c>
      <c r="AB39" s="678">
        <v>0</v>
      </c>
      <c r="AC39" s="384">
        <v>415628.32709999999</v>
      </c>
      <c r="AD39" s="264">
        <v>0</v>
      </c>
      <c r="AE39" s="264">
        <v>371412.62150000001</v>
      </c>
      <c r="AF39" s="264">
        <v>0</v>
      </c>
      <c r="AG39" s="315">
        <f t="shared" ref="AG39:AG70" si="6">SUM(AC39:AF39)</f>
        <v>787040.9486</v>
      </c>
      <c r="AH39" s="263"/>
      <c r="AI39" s="315">
        <f t="shared" ref="AI39:AI70" si="7">AG39+AH39</f>
        <v>787040.9486</v>
      </c>
      <c r="AJ39" s="679">
        <v>0</v>
      </c>
      <c r="AK39" s="679">
        <v>0</v>
      </c>
      <c r="AL39" s="679">
        <v>0</v>
      </c>
      <c r="AM39" s="678">
        <v>0</v>
      </c>
      <c r="AN39" s="678">
        <v>0</v>
      </c>
      <c r="AO39" s="678">
        <v>0</v>
      </c>
      <c r="AP39" s="678">
        <v>0</v>
      </c>
      <c r="AQ39" s="678">
        <v>0</v>
      </c>
      <c r="AR39" s="678">
        <v>0</v>
      </c>
    </row>
    <row r="40" spans="2:44" s="12" customFormat="1">
      <c r="B40" s="344" t="s">
        <v>302</v>
      </c>
      <c r="C40" s="261"/>
      <c r="D40" s="259" t="s">
        <v>303</v>
      </c>
      <c r="E40" s="461" t="s">
        <v>20</v>
      </c>
      <c r="F40" s="260" t="s">
        <v>21</v>
      </c>
      <c r="G40" s="260" t="s">
        <v>22</v>
      </c>
      <c r="H40" s="261" t="s">
        <v>18</v>
      </c>
      <c r="I40" s="259"/>
      <c r="J40" s="674">
        <v>16212470.831800001</v>
      </c>
      <c r="K40" s="259"/>
      <c r="L40" s="812">
        <v>246296.17454783607</v>
      </c>
      <c r="M40" s="800">
        <v>253320.88</v>
      </c>
      <c r="N40" s="263">
        <v>126660.44</v>
      </c>
      <c r="O40" s="263">
        <v>3842033.36</v>
      </c>
      <c r="P40" s="263">
        <v>9590680.3180696517</v>
      </c>
      <c r="Q40" s="314">
        <f t="shared" si="4"/>
        <v>13812694.998069651</v>
      </c>
      <c r="R40" s="264"/>
      <c r="S40" s="315">
        <f t="shared" si="5"/>
        <v>13812694.998069651</v>
      </c>
      <c r="T40" s="679">
        <v>19663281.398417912</v>
      </c>
      <c r="U40" s="679">
        <v>2234.1566017870041</v>
      </c>
      <c r="V40" s="679">
        <v>742.11300000000006</v>
      </c>
      <c r="W40" s="678">
        <v>0</v>
      </c>
      <c r="X40" s="678">
        <v>0</v>
      </c>
      <c r="Y40" s="679">
        <v>261475473.42233571</v>
      </c>
      <c r="Z40" s="679">
        <v>10335.880999999999</v>
      </c>
      <c r="AA40" s="678">
        <v>0</v>
      </c>
      <c r="AB40" s="678">
        <v>0</v>
      </c>
      <c r="AC40" s="384">
        <v>253346.22</v>
      </c>
      <c r="AD40" s="264">
        <v>126673.11</v>
      </c>
      <c r="AE40" s="264">
        <v>3842417.74</v>
      </c>
      <c r="AF40" s="264">
        <v>9590257.923305694</v>
      </c>
      <c r="AG40" s="315">
        <f t="shared" si="6"/>
        <v>13812694.993305694</v>
      </c>
      <c r="AH40" s="264"/>
      <c r="AI40" s="315">
        <f t="shared" si="7"/>
        <v>13812694.993305694</v>
      </c>
      <c r="AJ40" s="679">
        <v>19662628.804846369</v>
      </c>
      <c r="AK40" s="679">
        <v>2234.0272172612435</v>
      </c>
      <c r="AL40" s="679">
        <v>742.17499999999995</v>
      </c>
      <c r="AM40" s="678">
        <v>0</v>
      </c>
      <c r="AN40" s="678">
        <v>0</v>
      </c>
      <c r="AO40" s="679">
        <v>261467245.11419767</v>
      </c>
      <c r="AP40" s="679">
        <v>10337.219999999999</v>
      </c>
      <c r="AQ40" s="678">
        <v>0</v>
      </c>
      <c r="AR40" s="678">
        <v>0</v>
      </c>
    </row>
    <row r="41" spans="2:44" s="12" customFormat="1" ht="14.1" customHeight="1">
      <c r="B41" s="342" t="s">
        <v>302</v>
      </c>
      <c r="C41" s="261"/>
      <c r="D41" s="259" t="s">
        <v>304</v>
      </c>
      <c r="E41" s="461" t="s">
        <v>20</v>
      </c>
      <c r="F41" s="260" t="s">
        <v>16</v>
      </c>
      <c r="G41" s="260" t="s">
        <v>22</v>
      </c>
      <c r="H41" s="261" t="s">
        <v>18</v>
      </c>
      <c r="I41" s="259"/>
      <c r="J41" s="674">
        <v>0</v>
      </c>
      <c r="K41" s="259"/>
      <c r="L41" s="812">
        <v>102949.13000000003</v>
      </c>
      <c r="M41" s="800">
        <v>341611.75719999999</v>
      </c>
      <c r="N41" s="263">
        <v>0</v>
      </c>
      <c r="O41" s="263">
        <v>352242.03</v>
      </c>
      <c r="P41" s="263">
        <v>0</v>
      </c>
      <c r="Q41" s="314">
        <f t="shared" si="4"/>
        <v>693853.78720000002</v>
      </c>
      <c r="R41" s="264"/>
      <c r="S41" s="315">
        <f t="shared" si="5"/>
        <v>693853.78720000002</v>
      </c>
      <c r="T41" s="678">
        <v>0</v>
      </c>
      <c r="U41" s="678">
        <v>0</v>
      </c>
      <c r="V41" s="678">
        <v>0</v>
      </c>
      <c r="W41" s="678">
        <v>0</v>
      </c>
      <c r="X41" s="678">
        <v>0</v>
      </c>
      <c r="Y41" s="679">
        <v>0</v>
      </c>
      <c r="Z41" s="679">
        <v>0</v>
      </c>
      <c r="AA41" s="678">
        <v>0</v>
      </c>
      <c r="AB41" s="678">
        <v>0</v>
      </c>
      <c r="AC41" s="383">
        <v>402129.92810000002</v>
      </c>
      <c r="AD41" s="263">
        <v>0</v>
      </c>
      <c r="AE41" s="263">
        <v>292203.95449999999</v>
      </c>
      <c r="AF41" s="263">
        <v>0</v>
      </c>
      <c r="AG41" s="315">
        <f t="shared" si="6"/>
        <v>694333.88260000001</v>
      </c>
      <c r="AH41" s="264"/>
      <c r="AI41" s="315">
        <f t="shared" si="7"/>
        <v>694333.88260000001</v>
      </c>
      <c r="AJ41" s="678">
        <v>0</v>
      </c>
      <c r="AK41" s="678">
        <v>0</v>
      </c>
      <c r="AL41" s="678">
        <v>0</v>
      </c>
      <c r="AM41" s="678">
        <v>0</v>
      </c>
      <c r="AN41" s="678">
        <v>0</v>
      </c>
      <c r="AO41" s="679">
        <v>0</v>
      </c>
      <c r="AP41" s="679">
        <v>0</v>
      </c>
      <c r="AQ41" s="678">
        <v>0</v>
      </c>
      <c r="AR41" s="678">
        <v>0</v>
      </c>
    </row>
    <row r="42" spans="2:44" s="12" customFormat="1" ht="14.1" customHeight="1">
      <c r="B42" s="344" t="s">
        <v>305</v>
      </c>
      <c r="C42" s="261"/>
      <c r="D42" s="259" t="s">
        <v>306</v>
      </c>
      <c r="E42" s="461" t="s">
        <v>20</v>
      </c>
      <c r="F42" s="260" t="s">
        <v>21</v>
      </c>
      <c r="G42" s="260" t="s">
        <v>25</v>
      </c>
      <c r="H42" s="261" t="s">
        <v>18</v>
      </c>
      <c r="I42" s="259"/>
      <c r="J42" s="674">
        <v>0</v>
      </c>
      <c r="K42" s="259"/>
      <c r="L42" s="812">
        <v>0</v>
      </c>
      <c r="M42" s="800">
        <v>0</v>
      </c>
      <c r="N42" s="263">
        <v>0</v>
      </c>
      <c r="O42" s="263">
        <v>0</v>
      </c>
      <c r="P42" s="263">
        <v>0</v>
      </c>
      <c r="Q42" s="314">
        <f t="shared" si="4"/>
        <v>0</v>
      </c>
      <c r="R42" s="264"/>
      <c r="S42" s="315">
        <f t="shared" si="5"/>
        <v>0</v>
      </c>
      <c r="T42" s="679">
        <v>0</v>
      </c>
      <c r="U42" s="679">
        <v>0</v>
      </c>
      <c r="V42" s="679">
        <v>0</v>
      </c>
      <c r="W42" s="678">
        <v>0</v>
      </c>
      <c r="X42" s="678">
        <v>0</v>
      </c>
      <c r="Y42" s="679">
        <v>0</v>
      </c>
      <c r="Z42" s="679">
        <v>0</v>
      </c>
      <c r="AA42" s="678">
        <v>0</v>
      </c>
      <c r="AB42" s="678">
        <v>0</v>
      </c>
      <c r="AC42" s="384">
        <v>0</v>
      </c>
      <c r="AD42" s="264">
        <v>0</v>
      </c>
      <c r="AE42" s="264">
        <v>0</v>
      </c>
      <c r="AF42" s="264">
        <v>2453998.96</v>
      </c>
      <c r="AG42" s="315">
        <f t="shared" si="6"/>
        <v>2453998.96</v>
      </c>
      <c r="AH42" s="264"/>
      <c r="AI42" s="315">
        <f t="shared" si="7"/>
        <v>2453998.96</v>
      </c>
      <c r="AJ42" s="679">
        <v>2548320</v>
      </c>
      <c r="AK42" s="679">
        <v>177.96192719999999</v>
      </c>
      <c r="AL42" s="679">
        <v>91.230999999999995</v>
      </c>
      <c r="AM42" s="678">
        <v>0</v>
      </c>
      <c r="AN42" s="678">
        <v>0</v>
      </c>
      <c r="AO42" s="679">
        <v>50966400</v>
      </c>
      <c r="AP42" s="679">
        <v>1824.614</v>
      </c>
      <c r="AQ42" s="678">
        <v>0</v>
      </c>
      <c r="AR42" s="678">
        <v>0</v>
      </c>
    </row>
    <row r="43" spans="2:44" s="12" customFormat="1">
      <c r="B43" s="344" t="s">
        <v>305</v>
      </c>
      <c r="C43" s="260"/>
      <c r="D43" s="259" t="s">
        <v>307</v>
      </c>
      <c r="E43" s="461" t="s">
        <v>20</v>
      </c>
      <c r="F43" s="260" t="s">
        <v>16</v>
      </c>
      <c r="G43" s="260" t="s">
        <v>25</v>
      </c>
      <c r="H43" s="261" t="s">
        <v>18</v>
      </c>
      <c r="I43" s="266"/>
      <c r="J43" s="674">
        <v>0</v>
      </c>
      <c r="K43" s="266"/>
      <c r="L43" s="812">
        <v>0</v>
      </c>
      <c r="M43" s="800">
        <v>0</v>
      </c>
      <c r="N43" s="263">
        <v>0</v>
      </c>
      <c r="O43" s="263">
        <v>0</v>
      </c>
      <c r="P43" s="263">
        <v>0</v>
      </c>
      <c r="Q43" s="313">
        <f t="shared" si="4"/>
        <v>0</v>
      </c>
      <c r="R43" s="263"/>
      <c r="S43" s="315">
        <f t="shared" si="5"/>
        <v>0</v>
      </c>
      <c r="T43" s="678">
        <v>0</v>
      </c>
      <c r="U43" s="678">
        <v>0</v>
      </c>
      <c r="V43" s="678">
        <v>0</v>
      </c>
      <c r="W43" s="678">
        <v>0</v>
      </c>
      <c r="X43" s="678">
        <v>0</v>
      </c>
      <c r="Y43" s="678">
        <v>0</v>
      </c>
      <c r="Z43" s="678">
        <v>0</v>
      </c>
      <c r="AA43" s="678">
        <v>0</v>
      </c>
      <c r="AB43" s="678">
        <v>0</v>
      </c>
      <c r="AC43" s="383">
        <v>237278.4748</v>
      </c>
      <c r="AD43" s="263">
        <v>0</v>
      </c>
      <c r="AE43" s="263">
        <v>127383.28</v>
      </c>
      <c r="AF43" s="263">
        <v>0</v>
      </c>
      <c r="AG43" s="315">
        <f t="shared" si="6"/>
        <v>364661.7548</v>
      </c>
      <c r="AH43" s="263"/>
      <c r="AI43" s="315">
        <f t="shared" si="7"/>
        <v>364661.7548</v>
      </c>
      <c r="AJ43" s="678">
        <v>0</v>
      </c>
      <c r="AK43" s="678">
        <v>0</v>
      </c>
      <c r="AL43" s="678">
        <v>0</v>
      </c>
      <c r="AM43" s="678">
        <v>0</v>
      </c>
      <c r="AN43" s="678">
        <v>0</v>
      </c>
      <c r="AO43" s="678">
        <v>0</v>
      </c>
      <c r="AP43" s="678">
        <v>0</v>
      </c>
      <c r="AQ43" s="678">
        <v>0</v>
      </c>
      <c r="AR43" s="678">
        <v>0</v>
      </c>
    </row>
    <row r="44" spans="2:44" s="12" customFormat="1">
      <c r="B44" s="342" t="s">
        <v>308</v>
      </c>
      <c r="C44" s="261"/>
      <c r="D44" s="259" t="s">
        <v>309</v>
      </c>
      <c r="E44" s="461" t="s">
        <v>20</v>
      </c>
      <c r="F44" s="260" t="s">
        <v>21</v>
      </c>
      <c r="G44" s="260" t="s">
        <v>25</v>
      </c>
      <c r="H44" s="261" t="s">
        <v>18</v>
      </c>
      <c r="I44" s="268"/>
      <c r="J44" s="674">
        <v>0</v>
      </c>
      <c r="K44" s="268"/>
      <c r="L44" s="812">
        <v>0</v>
      </c>
      <c r="M44" s="800">
        <v>0</v>
      </c>
      <c r="N44" s="263">
        <v>0</v>
      </c>
      <c r="O44" s="263">
        <v>0</v>
      </c>
      <c r="P44" s="263">
        <v>0</v>
      </c>
      <c r="Q44" s="314">
        <f t="shared" si="4"/>
        <v>0</v>
      </c>
      <c r="R44" s="264"/>
      <c r="S44" s="315">
        <f t="shared" si="5"/>
        <v>0</v>
      </c>
      <c r="T44" s="678">
        <v>0</v>
      </c>
      <c r="U44" s="678">
        <v>0</v>
      </c>
      <c r="V44" s="678">
        <v>0</v>
      </c>
      <c r="W44" s="678">
        <v>0</v>
      </c>
      <c r="X44" s="678">
        <v>0</v>
      </c>
      <c r="Y44" s="679">
        <v>0</v>
      </c>
      <c r="Z44" s="679">
        <v>0</v>
      </c>
      <c r="AA44" s="678">
        <v>0</v>
      </c>
      <c r="AB44" s="678">
        <v>0</v>
      </c>
      <c r="AC44" s="383">
        <v>0</v>
      </c>
      <c r="AD44" s="263">
        <v>0</v>
      </c>
      <c r="AE44" s="263">
        <v>0</v>
      </c>
      <c r="AF44" s="263">
        <v>1271804.155</v>
      </c>
      <c r="AG44" s="315">
        <f t="shared" si="6"/>
        <v>1271804.155</v>
      </c>
      <c r="AH44" s="264"/>
      <c r="AI44" s="315">
        <f t="shared" si="7"/>
        <v>1271804.155</v>
      </c>
      <c r="AJ44" s="678">
        <v>2610550.0052211001</v>
      </c>
      <c r="AK44" s="678">
        <v>244.34747999999999</v>
      </c>
      <c r="AL44" s="678">
        <v>90.822999999999993</v>
      </c>
      <c r="AM44" s="678">
        <v>0</v>
      </c>
      <c r="AN44" s="678">
        <v>0</v>
      </c>
      <c r="AO44" s="679">
        <v>39158250.078316502</v>
      </c>
      <c r="AP44" s="679">
        <v>1362.347</v>
      </c>
      <c r="AQ44" s="678">
        <v>0</v>
      </c>
      <c r="AR44" s="678">
        <v>0</v>
      </c>
    </row>
    <row r="45" spans="2:44" s="12" customFormat="1">
      <c r="B45" s="344" t="s">
        <v>308</v>
      </c>
      <c r="C45" s="260"/>
      <c r="D45" s="259" t="s">
        <v>310</v>
      </c>
      <c r="E45" s="461" t="s">
        <v>20</v>
      </c>
      <c r="F45" s="260" t="s">
        <v>16</v>
      </c>
      <c r="G45" s="260" t="s">
        <v>25</v>
      </c>
      <c r="H45" s="261" t="s">
        <v>18</v>
      </c>
      <c r="I45" s="266"/>
      <c r="J45" s="674">
        <v>0</v>
      </c>
      <c r="K45" s="266"/>
      <c r="L45" s="812">
        <v>0</v>
      </c>
      <c r="M45" s="800">
        <v>0</v>
      </c>
      <c r="N45" s="263">
        <v>0</v>
      </c>
      <c r="O45" s="263">
        <v>0</v>
      </c>
      <c r="P45" s="263">
        <v>0</v>
      </c>
      <c r="Q45" s="313">
        <f t="shared" si="4"/>
        <v>0</v>
      </c>
      <c r="R45" s="263"/>
      <c r="S45" s="315">
        <f t="shared" si="5"/>
        <v>0</v>
      </c>
      <c r="T45" s="679">
        <v>0</v>
      </c>
      <c r="U45" s="679">
        <v>0</v>
      </c>
      <c r="V45" s="679">
        <v>0</v>
      </c>
      <c r="W45" s="678">
        <v>0</v>
      </c>
      <c r="X45" s="678">
        <v>0</v>
      </c>
      <c r="Y45" s="678">
        <v>0</v>
      </c>
      <c r="Z45" s="678">
        <v>0</v>
      </c>
      <c r="AA45" s="678">
        <v>0</v>
      </c>
      <c r="AB45" s="678">
        <v>0</v>
      </c>
      <c r="AC45" s="384">
        <v>247545.48480000001</v>
      </c>
      <c r="AD45" s="264">
        <v>0</v>
      </c>
      <c r="AE45" s="264">
        <v>109471.878</v>
      </c>
      <c r="AF45" s="264">
        <v>0</v>
      </c>
      <c r="AG45" s="315">
        <f t="shared" si="6"/>
        <v>357017.3628</v>
      </c>
      <c r="AH45" s="263"/>
      <c r="AI45" s="315">
        <f t="shared" si="7"/>
        <v>357017.3628</v>
      </c>
      <c r="AJ45" s="679">
        <v>0</v>
      </c>
      <c r="AK45" s="679">
        <v>0</v>
      </c>
      <c r="AL45" s="679">
        <v>0</v>
      </c>
      <c r="AM45" s="678">
        <v>0</v>
      </c>
      <c r="AN45" s="678">
        <v>0</v>
      </c>
      <c r="AO45" s="678">
        <v>0</v>
      </c>
      <c r="AP45" s="678">
        <v>0</v>
      </c>
      <c r="AQ45" s="678">
        <v>0</v>
      </c>
      <c r="AR45" s="678">
        <v>0</v>
      </c>
    </row>
    <row r="46" spans="2:44" s="12" customFormat="1">
      <c r="B46" s="344" t="s">
        <v>311</v>
      </c>
      <c r="C46" s="897"/>
      <c r="D46" s="259" t="s">
        <v>312</v>
      </c>
      <c r="E46" s="461" t="s">
        <v>20</v>
      </c>
      <c r="F46" s="260" t="s">
        <v>21</v>
      </c>
      <c r="G46" s="260" t="s">
        <v>27</v>
      </c>
      <c r="H46" s="261" t="s">
        <v>18</v>
      </c>
      <c r="I46" s="266"/>
      <c r="J46" s="674">
        <v>0</v>
      </c>
      <c r="K46" s="266"/>
      <c r="L46" s="812">
        <v>0</v>
      </c>
      <c r="M46" s="800">
        <v>40000</v>
      </c>
      <c r="N46" s="263">
        <v>24000</v>
      </c>
      <c r="O46" s="263">
        <v>136000</v>
      </c>
      <c r="P46" s="263">
        <v>200000</v>
      </c>
      <c r="Q46" s="313">
        <f t="shared" si="4"/>
        <v>400000</v>
      </c>
      <c r="R46" s="263"/>
      <c r="S46" s="315">
        <f t="shared" si="5"/>
        <v>400000</v>
      </c>
      <c r="T46" s="678">
        <v>611055.25</v>
      </c>
      <c r="U46" s="678">
        <v>3.1151249999999999</v>
      </c>
      <c r="V46" s="678">
        <v>57.418999999999997</v>
      </c>
      <c r="W46" s="678">
        <v>0</v>
      </c>
      <c r="X46" s="678">
        <v>0</v>
      </c>
      <c r="Y46" s="678">
        <v>6110552.5</v>
      </c>
      <c r="Z46" s="678">
        <v>574.18600000000004</v>
      </c>
      <c r="AA46" s="678">
        <v>0</v>
      </c>
      <c r="AB46" s="678">
        <v>0</v>
      </c>
      <c r="AC46" s="383">
        <v>160000</v>
      </c>
      <c r="AD46" s="263">
        <v>96000</v>
      </c>
      <c r="AE46" s="263">
        <v>544000</v>
      </c>
      <c r="AF46" s="263">
        <v>800000</v>
      </c>
      <c r="AG46" s="315">
        <f t="shared" si="6"/>
        <v>1600000</v>
      </c>
      <c r="AH46" s="263"/>
      <c r="AI46" s="315">
        <f t="shared" si="7"/>
        <v>1600000</v>
      </c>
      <c r="AJ46" s="678">
        <v>3760340</v>
      </c>
      <c r="AK46" s="678">
        <v>19.170000000000002</v>
      </c>
      <c r="AL46" s="678">
        <v>353.34500000000003</v>
      </c>
      <c r="AM46" s="678">
        <v>0</v>
      </c>
      <c r="AN46" s="678">
        <v>0</v>
      </c>
      <c r="AO46" s="678">
        <v>37603400</v>
      </c>
      <c r="AP46" s="678">
        <v>3533.45</v>
      </c>
      <c r="AQ46" s="678">
        <v>0</v>
      </c>
      <c r="AR46" s="678">
        <v>0</v>
      </c>
    </row>
    <row r="47" spans="2:44" s="12" customFormat="1">
      <c r="B47" s="344" t="s">
        <v>311</v>
      </c>
      <c r="C47" s="897"/>
      <c r="D47" s="259" t="s">
        <v>313</v>
      </c>
      <c r="E47" s="461" t="s">
        <v>20</v>
      </c>
      <c r="F47" s="260" t="s">
        <v>16</v>
      </c>
      <c r="G47" s="260" t="s">
        <v>27</v>
      </c>
      <c r="H47" s="261" t="s">
        <v>18</v>
      </c>
      <c r="I47" s="266"/>
      <c r="J47" s="674">
        <v>0</v>
      </c>
      <c r="K47" s="266"/>
      <c r="L47" s="812">
        <v>0</v>
      </c>
      <c r="M47" s="800">
        <v>111271.78</v>
      </c>
      <c r="N47" s="263">
        <v>0</v>
      </c>
      <c r="O47" s="263">
        <v>79260.800000000003</v>
      </c>
      <c r="P47" s="263">
        <v>0</v>
      </c>
      <c r="Q47" s="314">
        <f t="shared" si="4"/>
        <v>190532.58000000002</v>
      </c>
      <c r="R47" s="263"/>
      <c r="S47" s="315">
        <f t="shared" si="5"/>
        <v>190532.58000000002</v>
      </c>
      <c r="T47" s="678">
        <v>0</v>
      </c>
      <c r="U47" s="678">
        <v>0</v>
      </c>
      <c r="V47" s="678">
        <v>0</v>
      </c>
      <c r="W47" s="678">
        <v>0</v>
      </c>
      <c r="X47" s="678">
        <v>0</v>
      </c>
      <c r="Y47" s="679">
        <v>0</v>
      </c>
      <c r="Z47" s="679">
        <v>0</v>
      </c>
      <c r="AA47" s="678">
        <v>0</v>
      </c>
      <c r="AB47" s="678">
        <v>0</v>
      </c>
      <c r="AC47" s="383">
        <v>257863.06340000001</v>
      </c>
      <c r="AD47" s="263">
        <v>0</v>
      </c>
      <c r="AE47" s="263">
        <v>115467.723</v>
      </c>
      <c r="AF47" s="263">
        <v>0</v>
      </c>
      <c r="AG47" s="315">
        <f t="shared" si="6"/>
        <v>373330.78639999998</v>
      </c>
      <c r="AH47" s="263"/>
      <c r="AI47" s="315">
        <f t="shared" si="7"/>
        <v>373330.78639999998</v>
      </c>
      <c r="AJ47" s="678">
        <v>0</v>
      </c>
      <c r="AK47" s="678">
        <v>0</v>
      </c>
      <c r="AL47" s="678">
        <v>0</v>
      </c>
      <c r="AM47" s="678">
        <v>0</v>
      </c>
      <c r="AN47" s="678">
        <v>0</v>
      </c>
      <c r="AO47" s="679">
        <v>0</v>
      </c>
      <c r="AP47" s="679">
        <v>0</v>
      </c>
      <c r="AQ47" s="678">
        <v>0</v>
      </c>
      <c r="AR47" s="678">
        <v>0</v>
      </c>
    </row>
    <row r="48" spans="2:44" s="12" customFormat="1">
      <c r="B48" s="344" t="s">
        <v>314</v>
      </c>
      <c r="C48" s="260"/>
      <c r="D48" s="259" t="s">
        <v>315</v>
      </c>
      <c r="E48" s="461" t="s">
        <v>20</v>
      </c>
      <c r="F48" s="260" t="s">
        <v>21</v>
      </c>
      <c r="G48" s="260" t="s">
        <v>30</v>
      </c>
      <c r="H48" s="261" t="s">
        <v>18</v>
      </c>
      <c r="I48" s="262"/>
      <c r="J48" s="674">
        <v>0</v>
      </c>
      <c r="K48" s="262"/>
      <c r="L48" s="812">
        <v>0</v>
      </c>
      <c r="M48" s="800">
        <v>75900</v>
      </c>
      <c r="N48" s="263">
        <v>45540</v>
      </c>
      <c r="O48" s="263">
        <v>258060</v>
      </c>
      <c r="P48" s="263">
        <v>379500</v>
      </c>
      <c r="Q48" s="313">
        <f t="shared" si="4"/>
        <v>759000</v>
      </c>
      <c r="R48" s="263"/>
      <c r="S48" s="315">
        <f t="shared" si="5"/>
        <v>759000</v>
      </c>
      <c r="T48" s="678">
        <v>660000</v>
      </c>
      <c r="U48" s="678">
        <v>66</v>
      </c>
      <c r="V48" s="678">
        <v>3.3</v>
      </c>
      <c r="W48" s="678">
        <v>0</v>
      </c>
      <c r="X48" s="678">
        <v>0</v>
      </c>
      <c r="Y48" s="678">
        <v>13200000</v>
      </c>
      <c r="Z48" s="678">
        <v>66</v>
      </c>
      <c r="AA48" s="678">
        <v>0</v>
      </c>
      <c r="AB48" s="678">
        <v>0</v>
      </c>
      <c r="AC48" s="383">
        <v>230000</v>
      </c>
      <c r="AD48" s="263">
        <v>138000</v>
      </c>
      <c r="AE48" s="263">
        <v>782000</v>
      </c>
      <c r="AF48" s="263">
        <v>1150000</v>
      </c>
      <c r="AG48" s="315">
        <f t="shared" si="6"/>
        <v>2300000</v>
      </c>
      <c r="AH48" s="263"/>
      <c r="AI48" s="315">
        <f t="shared" si="7"/>
        <v>2300000</v>
      </c>
      <c r="AJ48" s="678">
        <v>2000000</v>
      </c>
      <c r="AK48" s="678">
        <v>200</v>
      </c>
      <c r="AL48" s="678">
        <v>10</v>
      </c>
      <c r="AM48" s="678">
        <v>0</v>
      </c>
      <c r="AN48" s="678">
        <v>0</v>
      </c>
      <c r="AO48" s="678">
        <v>40000000</v>
      </c>
      <c r="AP48" s="678">
        <v>200</v>
      </c>
      <c r="AQ48" s="678">
        <v>0</v>
      </c>
      <c r="AR48" s="678">
        <v>0</v>
      </c>
    </row>
    <row r="49" spans="2:44" s="12" customFormat="1">
      <c r="B49" s="344" t="s">
        <v>314</v>
      </c>
      <c r="C49" s="260"/>
      <c r="D49" s="259" t="s">
        <v>316</v>
      </c>
      <c r="E49" s="461" t="s">
        <v>20</v>
      </c>
      <c r="F49" s="260" t="s">
        <v>16</v>
      </c>
      <c r="G49" s="260" t="s">
        <v>30</v>
      </c>
      <c r="H49" s="261" t="s">
        <v>18</v>
      </c>
      <c r="I49" s="262"/>
      <c r="J49" s="674">
        <v>0</v>
      </c>
      <c r="K49" s="262"/>
      <c r="L49" s="812">
        <v>0</v>
      </c>
      <c r="M49" s="800">
        <v>176251.80499999999</v>
      </c>
      <c r="N49" s="263">
        <v>656.375</v>
      </c>
      <c r="O49" s="263">
        <v>97172.58</v>
      </c>
      <c r="P49" s="263">
        <v>0</v>
      </c>
      <c r="Q49" s="313">
        <f t="shared" si="4"/>
        <v>274080.76</v>
      </c>
      <c r="R49" s="263"/>
      <c r="S49" s="315">
        <f t="shared" si="5"/>
        <v>274080.76</v>
      </c>
      <c r="T49" s="678">
        <v>0</v>
      </c>
      <c r="U49" s="678">
        <v>0</v>
      </c>
      <c r="V49" s="678">
        <v>0</v>
      </c>
      <c r="W49" s="678">
        <v>0</v>
      </c>
      <c r="X49" s="678">
        <v>0</v>
      </c>
      <c r="Y49" s="678">
        <v>0</v>
      </c>
      <c r="Z49" s="678">
        <v>0</v>
      </c>
      <c r="AA49" s="678">
        <v>0</v>
      </c>
      <c r="AB49" s="678">
        <v>0</v>
      </c>
      <c r="AC49" s="383">
        <v>386777.35060000001</v>
      </c>
      <c r="AD49" s="263">
        <v>1352.1324999999999</v>
      </c>
      <c r="AE49" s="263">
        <v>125867.5505</v>
      </c>
      <c r="AF49" s="263">
        <v>0</v>
      </c>
      <c r="AG49" s="315">
        <f t="shared" si="6"/>
        <v>513997.03360000002</v>
      </c>
      <c r="AH49" s="263"/>
      <c r="AI49" s="315">
        <f t="shared" si="7"/>
        <v>513997.03360000002</v>
      </c>
      <c r="AJ49" s="678">
        <v>0</v>
      </c>
      <c r="AK49" s="678">
        <v>0</v>
      </c>
      <c r="AL49" s="678">
        <v>0</v>
      </c>
      <c r="AM49" s="678">
        <v>0</v>
      </c>
      <c r="AN49" s="678">
        <v>0</v>
      </c>
      <c r="AO49" s="678">
        <v>0</v>
      </c>
      <c r="AP49" s="678">
        <v>0</v>
      </c>
      <c r="AQ49" s="678">
        <v>0</v>
      </c>
      <c r="AR49" s="678">
        <v>0</v>
      </c>
    </row>
    <row r="50" spans="2:44" s="12" customFormat="1">
      <c r="B50" s="344" t="s">
        <v>317</v>
      </c>
      <c r="C50" s="260"/>
      <c r="D50" s="259" t="s">
        <v>318</v>
      </c>
      <c r="E50" s="461" t="s">
        <v>20</v>
      </c>
      <c r="F50" s="260" t="s">
        <v>21</v>
      </c>
      <c r="G50" s="260" t="s">
        <v>30</v>
      </c>
      <c r="H50" s="261" t="s">
        <v>18</v>
      </c>
      <c r="I50" s="262"/>
      <c r="J50" s="674">
        <v>764849.35620000004</v>
      </c>
      <c r="K50" s="262"/>
      <c r="L50" s="812">
        <v>0</v>
      </c>
      <c r="M50" s="800">
        <v>154556</v>
      </c>
      <c r="N50" s="263">
        <v>92733</v>
      </c>
      <c r="O50" s="263">
        <v>322711</v>
      </c>
      <c r="P50" s="263">
        <v>2293842.4759999998</v>
      </c>
      <c r="Q50" s="313">
        <f t="shared" si="4"/>
        <v>2863842.4759999998</v>
      </c>
      <c r="R50" s="263"/>
      <c r="S50" s="315">
        <f t="shared" si="5"/>
        <v>2863842.4759999998</v>
      </c>
      <c r="T50" s="678">
        <v>3350339.4734999998</v>
      </c>
      <c r="U50" s="678">
        <v>469.57056740999997</v>
      </c>
      <c r="V50" s="678">
        <v>24.495999999999999</v>
      </c>
      <c r="W50" s="678">
        <v>0</v>
      </c>
      <c r="X50" s="678">
        <v>0</v>
      </c>
      <c r="Y50" s="678">
        <v>41816188.466000006</v>
      </c>
      <c r="Z50" s="678">
        <v>269.45299999999997</v>
      </c>
      <c r="AA50" s="678">
        <v>0</v>
      </c>
      <c r="AB50" s="678">
        <v>0</v>
      </c>
      <c r="AC50" s="383">
        <v>154556</v>
      </c>
      <c r="AD50" s="263">
        <v>92733</v>
      </c>
      <c r="AE50" s="263">
        <v>322711</v>
      </c>
      <c r="AF50" s="263">
        <v>920796.98080000002</v>
      </c>
      <c r="AG50" s="315">
        <f t="shared" si="6"/>
        <v>1490796.9808</v>
      </c>
      <c r="AH50" s="263"/>
      <c r="AI50" s="315">
        <f t="shared" si="7"/>
        <v>1490796.9808</v>
      </c>
      <c r="AJ50" s="678">
        <v>1475491.0788</v>
      </c>
      <c r="AK50" s="678">
        <v>222.45755392800001</v>
      </c>
      <c r="AL50" s="678">
        <v>14.696999999999999</v>
      </c>
      <c r="AM50" s="678">
        <v>0</v>
      </c>
      <c r="AN50" s="678">
        <v>0</v>
      </c>
      <c r="AO50" s="678">
        <v>16753005.273996001</v>
      </c>
      <c r="AP50" s="678">
        <v>161.672</v>
      </c>
      <c r="AQ50" s="678">
        <v>0</v>
      </c>
      <c r="AR50" s="678">
        <v>0</v>
      </c>
    </row>
    <row r="51" spans="2:44" s="12" customFormat="1">
      <c r="B51" s="344" t="s">
        <v>317</v>
      </c>
      <c r="C51" s="260"/>
      <c r="D51" s="259" t="s">
        <v>319</v>
      </c>
      <c r="E51" s="461" t="s">
        <v>20</v>
      </c>
      <c r="F51" s="260" t="s">
        <v>16</v>
      </c>
      <c r="G51" s="260" t="s">
        <v>30</v>
      </c>
      <c r="H51" s="261" t="s">
        <v>18</v>
      </c>
      <c r="I51" s="262"/>
      <c r="J51" s="674">
        <v>0</v>
      </c>
      <c r="K51" s="262"/>
      <c r="L51" s="812">
        <v>0</v>
      </c>
      <c r="M51" s="800">
        <v>355603.20000000001</v>
      </c>
      <c r="N51" s="263">
        <v>1312.75</v>
      </c>
      <c r="O51" s="263">
        <v>216418.12</v>
      </c>
      <c r="P51" s="263">
        <v>0</v>
      </c>
      <c r="Q51" s="313">
        <f t="shared" si="4"/>
        <v>573334.07000000007</v>
      </c>
      <c r="R51" s="263"/>
      <c r="S51" s="315">
        <f t="shared" si="5"/>
        <v>573334.07000000007</v>
      </c>
      <c r="T51" s="678">
        <v>0</v>
      </c>
      <c r="U51" s="678">
        <v>0</v>
      </c>
      <c r="V51" s="678">
        <v>0</v>
      </c>
      <c r="W51" s="678">
        <v>0</v>
      </c>
      <c r="X51" s="678">
        <v>0</v>
      </c>
      <c r="Y51" s="678">
        <v>0</v>
      </c>
      <c r="Z51" s="678">
        <v>0</v>
      </c>
      <c r="AA51" s="678">
        <v>0</v>
      </c>
      <c r="AB51" s="678">
        <v>0</v>
      </c>
      <c r="AC51" s="383">
        <v>428199.36609999998</v>
      </c>
      <c r="AD51" s="263">
        <v>1352.1324999999999</v>
      </c>
      <c r="AE51" s="263">
        <v>264273.01699999999</v>
      </c>
      <c r="AF51" s="263">
        <v>0</v>
      </c>
      <c r="AG51" s="315">
        <f t="shared" si="6"/>
        <v>693824.51560000004</v>
      </c>
      <c r="AH51" s="263"/>
      <c r="AI51" s="315">
        <f t="shared" si="7"/>
        <v>693824.51560000004</v>
      </c>
      <c r="AJ51" s="678">
        <v>0</v>
      </c>
      <c r="AK51" s="678">
        <v>0</v>
      </c>
      <c r="AL51" s="678">
        <v>0</v>
      </c>
      <c r="AM51" s="678">
        <v>0</v>
      </c>
      <c r="AN51" s="678">
        <v>0</v>
      </c>
      <c r="AO51" s="678">
        <v>0</v>
      </c>
      <c r="AP51" s="678">
        <v>0</v>
      </c>
      <c r="AQ51" s="678">
        <v>0</v>
      </c>
      <c r="AR51" s="678">
        <v>0</v>
      </c>
    </row>
    <row r="52" spans="2:44" s="12" customFormat="1">
      <c r="B52" s="344" t="s">
        <v>320</v>
      </c>
      <c r="C52" s="260"/>
      <c r="D52" s="259" t="s">
        <v>321</v>
      </c>
      <c r="E52" s="461" t="s">
        <v>20</v>
      </c>
      <c r="F52" s="260" t="s">
        <v>21</v>
      </c>
      <c r="G52" s="260" t="s">
        <v>30</v>
      </c>
      <c r="H52" s="261" t="s">
        <v>18</v>
      </c>
      <c r="I52" s="262"/>
      <c r="J52" s="674">
        <v>1235329.0959000001</v>
      </c>
      <c r="K52" s="262"/>
      <c r="L52" s="812">
        <v>0</v>
      </c>
      <c r="M52" s="800">
        <v>110000</v>
      </c>
      <c r="N52" s="263">
        <v>165000</v>
      </c>
      <c r="O52" s="263">
        <v>2475000</v>
      </c>
      <c r="P52" s="263">
        <v>2748701.0621000025</v>
      </c>
      <c r="Q52" s="313">
        <f t="shared" si="4"/>
        <v>5498701.0621000025</v>
      </c>
      <c r="R52" s="263"/>
      <c r="S52" s="315">
        <f t="shared" si="5"/>
        <v>5498701.0621000025</v>
      </c>
      <c r="T52" s="678">
        <v>7696411.061413168</v>
      </c>
      <c r="U52" s="678">
        <v>674.01082837499848</v>
      </c>
      <c r="V52" s="678">
        <v>166.85599999999999</v>
      </c>
      <c r="W52" s="678">
        <v>0</v>
      </c>
      <c r="X52" s="678">
        <v>0</v>
      </c>
      <c r="Y52" s="678">
        <v>107032531.2776811</v>
      </c>
      <c r="Z52" s="678">
        <v>2264.7820000000002</v>
      </c>
      <c r="AA52" s="678">
        <v>0</v>
      </c>
      <c r="AB52" s="678">
        <v>0</v>
      </c>
      <c r="AC52" s="383">
        <v>110000</v>
      </c>
      <c r="AD52" s="263">
        <v>165000</v>
      </c>
      <c r="AE52" s="263">
        <v>2475000</v>
      </c>
      <c r="AF52" s="263">
        <v>2748701.0621000063</v>
      </c>
      <c r="AG52" s="315">
        <f t="shared" si="6"/>
        <v>5498701.0621000063</v>
      </c>
      <c r="AH52" s="263"/>
      <c r="AI52" s="315">
        <f t="shared" si="7"/>
        <v>5498701.0621000063</v>
      </c>
      <c r="AJ52" s="678">
        <v>7696411.0613888847</v>
      </c>
      <c r="AK52" s="678">
        <v>674.01082831229792</v>
      </c>
      <c r="AL52" s="678">
        <v>166.85599999999999</v>
      </c>
      <c r="AM52" s="678">
        <v>0</v>
      </c>
      <c r="AN52" s="678">
        <v>0</v>
      </c>
      <c r="AO52" s="678">
        <v>107032531.27867383</v>
      </c>
      <c r="AP52" s="678">
        <v>2264.7820000000002</v>
      </c>
      <c r="AQ52" s="678">
        <v>0</v>
      </c>
      <c r="AR52" s="678">
        <v>0</v>
      </c>
    </row>
    <row r="53" spans="2:44" s="12" customFormat="1">
      <c r="B53" s="344" t="s">
        <v>320</v>
      </c>
      <c r="C53" s="260"/>
      <c r="D53" s="259" t="s">
        <v>322</v>
      </c>
      <c r="E53" s="461" t="s">
        <v>20</v>
      </c>
      <c r="F53" s="260" t="s">
        <v>16</v>
      </c>
      <c r="G53" s="260" t="s">
        <v>30</v>
      </c>
      <c r="H53" s="261" t="s">
        <v>18</v>
      </c>
      <c r="I53" s="262"/>
      <c r="J53" s="674">
        <v>0</v>
      </c>
      <c r="K53" s="262"/>
      <c r="L53" s="812">
        <v>0</v>
      </c>
      <c r="M53" s="800">
        <v>493127.65</v>
      </c>
      <c r="N53" s="263">
        <v>1312.75</v>
      </c>
      <c r="O53" s="263">
        <v>203576.52</v>
      </c>
      <c r="P53" s="263">
        <v>0</v>
      </c>
      <c r="Q53" s="313">
        <f t="shared" si="4"/>
        <v>698016.92</v>
      </c>
      <c r="R53" s="263"/>
      <c r="S53" s="315">
        <f t="shared" si="5"/>
        <v>698016.92</v>
      </c>
      <c r="T53" s="678">
        <v>0</v>
      </c>
      <c r="U53" s="678">
        <v>0</v>
      </c>
      <c r="V53" s="678">
        <v>0</v>
      </c>
      <c r="W53" s="678">
        <v>0</v>
      </c>
      <c r="X53" s="678">
        <v>0</v>
      </c>
      <c r="Y53" s="678">
        <v>0</v>
      </c>
      <c r="Z53" s="678">
        <v>0</v>
      </c>
      <c r="AA53" s="678">
        <v>0</v>
      </c>
      <c r="AB53" s="678">
        <v>0</v>
      </c>
      <c r="AC53" s="383">
        <v>520518.45130000002</v>
      </c>
      <c r="AD53" s="263">
        <v>1352.1324999999999</v>
      </c>
      <c r="AE53" s="263">
        <v>174190.45300000001</v>
      </c>
      <c r="AF53" s="263">
        <v>0</v>
      </c>
      <c r="AG53" s="315">
        <f t="shared" si="6"/>
        <v>696061.0368</v>
      </c>
      <c r="AH53" s="263"/>
      <c r="AI53" s="315">
        <f t="shared" si="7"/>
        <v>696061.0368</v>
      </c>
      <c r="AJ53" s="678">
        <v>0</v>
      </c>
      <c r="AK53" s="678">
        <v>0</v>
      </c>
      <c r="AL53" s="678">
        <v>0</v>
      </c>
      <c r="AM53" s="678">
        <v>0</v>
      </c>
      <c r="AN53" s="678">
        <v>0</v>
      </c>
      <c r="AO53" s="678">
        <v>0</v>
      </c>
      <c r="AP53" s="678">
        <v>0</v>
      </c>
      <c r="AQ53" s="678">
        <v>0</v>
      </c>
      <c r="AR53" s="678">
        <v>0</v>
      </c>
    </row>
    <row r="54" spans="2:44" s="12" customFormat="1">
      <c r="B54" s="344" t="s">
        <v>323</v>
      </c>
      <c r="C54" s="260"/>
      <c r="D54" s="259" t="s">
        <v>324</v>
      </c>
      <c r="E54" s="461" t="s">
        <v>15</v>
      </c>
      <c r="F54" s="260" t="s">
        <v>21</v>
      </c>
      <c r="G54" s="260" t="s">
        <v>17</v>
      </c>
      <c r="H54" s="261" t="s">
        <v>18</v>
      </c>
      <c r="I54" s="262"/>
      <c r="J54" s="674">
        <v>0</v>
      </c>
      <c r="K54" s="262"/>
      <c r="L54" s="812">
        <v>0</v>
      </c>
      <c r="M54" s="800">
        <v>0</v>
      </c>
      <c r="N54" s="263">
        <v>0</v>
      </c>
      <c r="O54" s="263">
        <v>0</v>
      </c>
      <c r="P54" s="263">
        <v>0</v>
      </c>
      <c r="Q54" s="313">
        <f t="shared" si="4"/>
        <v>0</v>
      </c>
      <c r="R54" s="263"/>
      <c r="S54" s="315">
        <f t="shared" si="5"/>
        <v>0</v>
      </c>
      <c r="T54" s="678">
        <v>0</v>
      </c>
      <c r="U54" s="678">
        <v>0</v>
      </c>
      <c r="V54" s="678">
        <v>0</v>
      </c>
      <c r="W54" s="678">
        <v>0</v>
      </c>
      <c r="X54" s="678">
        <v>0</v>
      </c>
      <c r="Y54" s="678">
        <v>0</v>
      </c>
      <c r="Z54" s="678">
        <v>0</v>
      </c>
      <c r="AA54" s="678">
        <v>0</v>
      </c>
      <c r="AB54" s="678">
        <v>0</v>
      </c>
      <c r="AC54" s="383">
        <v>550000</v>
      </c>
      <c r="AD54" s="263">
        <v>330000</v>
      </c>
      <c r="AE54" s="263">
        <v>1870000</v>
      </c>
      <c r="AF54" s="263">
        <v>0</v>
      </c>
      <c r="AG54" s="315">
        <f t="shared" si="6"/>
        <v>2750000</v>
      </c>
      <c r="AH54" s="263"/>
      <c r="AI54" s="315">
        <f t="shared" si="7"/>
        <v>2750000</v>
      </c>
      <c r="AJ54" s="678">
        <v>41040000</v>
      </c>
      <c r="AK54" s="678">
        <v>10986.400000000001</v>
      </c>
      <c r="AL54" s="678">
        <v>760</v>
      </c>
      <c r="AM54" s="678">
        <v>0</v>
      </c>
      <c r="AN54" s="678">
        <v>0</v>
      </c>
      <c r="AO54" s="678">
        <v>82080000</v>
      </c>
      <c r="AP54" s="678">
        <v>1520</v>
      </c>
      <c r="AQ54" s="678">
        <v>0</v>
      </c>
      <c r="AR54" s="678">
        <v>0</v>
      </c>
    </row>
    <row r="55" spans="2:44" s="12" customFormat="1">
      <c r="B55" s="344" t="s">
        <v>323</v>
      </c>
      <c r="C55" s="260"/>
      <c r="D55" s="259" t="s">
        <v>325</v>
      </c>
      <c r="E55" s="461" t="s">
        <v>15</v>
      </c>
      <c r="F55" s="260" t="s">
        <v>16</v>
      </c>
      <c r="G55" s="260" t="s">
        <v>17</v>
      </c>
      <c r="H55" s="261" t="s">
        <v>18</v>
      </c>
      <c r="I55" s="262"/>
      <c r="J55" s="674">
        <v>0</v>
      </c>
      <c r="K55" s="262"/>
      <c r="L55" s="812">
        <v>0</v>
      </c>
      <c r="M55" s="800">
        <v>0</v>
      </c>
      <c r="N55" s="263">
        <v>0</v>
      </c>
      <c r="O55" s="263">
        <v>0</v>
      </c>
      <c r="P55" s="263">
        <v>0</v>
      </c>
      <c r="Q55" s="313">
        <f t="shared" si="4"/>
        <v>0</v>
      </c>
      <c r="R55" s="263"/>
      <c r="S55" s="315">
        <f t="shared" si="5"/>
        <v>0</v>
      </c>
      <c r="T55" s="678">
        <v>0</v>
      </c>
      <c r="U55" s="678">
        <v>0</v>
      </c>
      <c r="V55" s="678">
        <v>0</v>
      </c>
      <c r="W55" s="678">
        <v>0</v>
      </c>
      <c r="X55" s="678">
        <v>0</v>
      </c>
      <c r="Y55" s="678">
        <v>0</v>
      </c>
      <c r="Z55" s="678">
        <v>0</v>
      </c>
      <c r="AA55" s="678">
        <v>0</v>
      </c>
      <c r="AB55" s="678">
        <v>0</v>
      </c>
      <c r="AC55" s="383">
        <v>214655.12</v>
      </c>
      <c r="AD55" s="263">
        <v>0</v>
      </c>
      <c r="AE55" s="263">
        <v>33559.653200000001</v>
      </c>
      <c r="AF55" s="263">
        <v>0</v>
      </c>
      <c r="AG55" s="315">
        <f t="shared" si="6"/>
        <v>248214.7732</v>
      </c>
      <c r="AH55" s="263"/>
      <c r="AI55" s="315">
        <f t="shared" si="7"/>
        <v>248214.7732</v>
      </c>
      <c r="AJ55" s="678">
        <v>0</v>
      </c>
      <c r="AK55" s="678">
        <v>0</v>
      </c>
      <c r="AL55" s="678">
        <v>0</v>
      </c>
      <c r="AM55" s="678">
        <v>0</v>
      </c>
      <c r="AN55" s="678">
        <v>0</v>
      </c>
      <c r="AO55" s="678">
        <v>0</v>
      </c>
      <c r="AP55" s="678">
        <v>0</v>
      </c>
      <c r="AQ55" s="678">
        <v>0</v>
      </c>
      <c r="AR55" s="678">
        <v>0</v>
      </c>
    </row>
    <row r="56" spans="2:44" s="12" customFormat="1">
      <c r="B56" s="344" t="s">
        <v>326</v>
      </c>
      <c r="C56" s="260"/>
      <c r="D56" s="259" t="s">
        <v>327</v>
      </c>
      <c r="E56" s="461" t="s">
        <v>15</v>
      </c>
      <c r="F56" s="260" t="s">
        <v>24</v>
      </c>
      <c r="G56" s="260" t="s">
        <v>28</v>
      </c>
      <c r="H56" s="261" t="s">
        <v>28</v>
      </c>
      <c r="I56" s="262"/>
      <c r="J56" s="674">
        <v>498467</v>
      </c>
      <c r="K56" s="262"/>
      <c r="L56" s="812">
        <v>249204.64</v>
      </c>
      <c r="M56" s="800">
        <v>0</v>
      </c>
      <c r="N56" s="263">
        <v>0</v>
      </c>
      <c r="O56" s="263">
        <v>743950.74820000003</v>
      </c>
      <c r="P56" s="263">
        <v>0</v>
      </c>
      <c r="Q56" s="313">
        <f t="shared" si="4"/>
        <v>743950.74820000003</v>
      </c>
      <c r="R56" s="263"/>
      <c r="S56" s="315">
        <f t="shared" si="5"/>
        <v>743950.74820000003</v>
      </c>
      <c r="T56" s="679">
        <v>78878448.946458563</v>
      </c>
      <c r="U56" s="679">
        <v>14415.007471168994</v>
      </c>
      <c r="V56" s="679">
        <v>203.756</v>
      </c>
      <c r="W56" s="678">
        <v>0</v>
      </c>
      <c r="X56" s="678">
        <v>0</v>
      </c>
      <c r="Y56" s="678">
        <v>886950021.30092573</v>
      </c>
      <c r="Z56" s="678">
        <v>3105.2820000000002</v>
      </c>
      <c r="AA56" s="678">
        <v>0</v>
      </c>
      <c r="AB56" s="678">
        <v>0</v>
      </c>
      <c r="AC56" s="384">
        <v>0</v>
      </c>
      <c r="AD56" s="264">
        <v>0</v>
      </c>
      <c r="AE56" s="264">
        <v>743950.74820000003</v>
      </c>
      <c r="AF56" s="264">
        <v>0</v>
      </c>
      <c r="AG56" s="315">
        <f t="shared" si="6"/>
        <v>743950.74820000003</v>
      </c>
      <c r="AH56" s="263"/>
      <c r="AI56" s="315">
        <f t="shared" si="7"/>
        <v>743950.74820000003</v>
      </c>
      <c r="AJ56" s="679">
        <v>86322806.453281492</v>
      </c>
      <c r="AK56" s="679">
        <v>22171.783150321353</v>
      </c>
      <c r="AL56" s="679">
        <v>234.327</v>
      </c>
      <c r="AM56" s="678">
        <v>0</v>
      </c>
      <c r="AN56" s="678">
        <v>0</v>
      </c>
      <c r="AO56" s="678">
        <v>1040713801.9497708</v>
      </c>
      <c r="AP56" s="678">
        <v>3912.9029999999998</v>
      </c>
      <c r="AQ56" s="678">
        <v>0</v>
      </c>
      <c r="AR56" s="678">
        <v>0</v>
      </c>
    </row>
    <row r="57" spans="2:44" s="12" customFormat="1" ht="25.5">
      <c r="B57" s="344" t="s">
        <v>328</v>
      </c>
      <c r="C57" s="260"/>
      <c r="D57" s="259" t="s">
        <v>329</v>
      </c>
      <c r="E57" s="461" t="s">
        <v>15</v>
      </c>
      <c r="F57" s="260" t="s">
        <v>16</v>
      </c>
      <c r="G57" s="260" t="s">
        <v>28</v>
      </c>
      <c r="H57" s="261" t="s">
        <v>28</v>
      </c>
      <c r="I57" s="262"/>
      <c r="J57" s="674">
        <v>48984.777800000003</v>
      </c>
      <c r="K57" s="262"/>
      <c r="L57" s="812">
        <v>21083.353109753702</v>
      </c>
      <c r="M57" s="800">
        <v>9352.02</v>
      </c>
      <c r="N57" s="263">
        <v>0</v>
      </c>
      <c r="O57" s="263">
        <v>30262.26</v>
      </c>
      <c r="P57" s="263">
        <v>0</v>
      </c>
      <c r="Q57" s="313">
        <f t="shared" si="4"/>
        <v>39614.28</v>
      </c>
      <c r="R57" s="263"/>
      <c r="S57" s="315">
        <f t="shared" si="5"/>
        <v>39614.28</v>
      </c>
      <c r="T57" s="678">
        <v>0</v>
      </c>
      <c r="U57" s="678">
        <v>0</v>
      </c>
      <c r="V57" s="678">
        <v>0</v>
      </c>
      <c r="W57" s="678">
        <v>0</v>
      </c>
      <c r="X57" s="678">
        <v>0</v>
      </c>
      <c r="Y57" s="678">
        <v>0</v>
      </c>
      <c r="Z57" s="678">
        <v>0</v>
      </c>
      <c r="AA57" s="678">
        <v>0</v>
      </c>
      <c r="AB57" s="678">
        <v>0</v>
      </c>
      <c r="AC57" s="383">
        <v>16744.925999999999</v>
      </c>
      <c r="AD57" s="263">
        <v>0</v>
      </c>
      <c r="AE57" s="263">
        <v>45053.570800000001</v>
      </c>
      <c r="AF57" s="263">
        <v>0</v>
      </c>
      <c r="AG57" s="315">
        <f t="shared" si="6"/>
        <v>61798.496800000001</v>
      </c>
      <c r="AH57" s="263"/>
      <c r="AI57" s="315">
        <f t="shared" si="7"/>
        <v>61798.496800000001</v>
      </c>
      <c r="AJ57" s="678">
        <v>0</v>
      </c>
      <c r="AK57" s="678">
        <v>0</v>
      </c>
      <c r="AL57" s="678">
        <v>0</v>
      </c>
      <c r="AM57" s="678">
        <v>0</v>
      </c>
      <c r="AN57" s="678">
        <v>0</v>
      </c>
      <c r="AO57" s="678">
        <v>0</v>
      </c>
      <c r="AP57" s="678">
        <v>0</v>
      </c>
      <c r="AQ57" s="678">
        <v>0</v>
      </c>
      <c r="AR57" s="678">
        <v>0</v>
      </c>
    </row>
    <row r="58" spans="2:44" s="12" customFormat="1">
      <c r="B58" s="342" t="s">
        <v>330</v>
      </c>
      <c r="C58" s="261"/>
      <c r="D58" s="259" t="s">
        <v>331</v>
      </c>
      <c r="E58" s="461" t="s">
        <v>15</v>
      </c>
      <c r="F58" s="260" t="s">
        <v>24</v>
      </c>
      <c r="G58" s="260" t="s">
        <v>28</v>
      </c>
      <c r="H58" s="261" t="s">
        <v>28</v>
      </c>
      <c r="I58" s="259"/>
      <c r="J58" s="674">
        <v>552762</v>
      </c>
      <c r="K58" s="259"/>
      <c r="L58" s="812">
        <v>276383.92</v>
      </c>
      <c r="M58" s="800">
        <v>0</v>
      </c>
      <c r="N58" s="263">
        <v>0</v>
      </c>
      <c r="O58" s="263">
        <v>255107.6728</v>
      </c>
      <c r="P58" s="263">
        <v>0</v>
      </c>
      <c r="Q58" s="314">
        <f t="shared" si="4"/>
        <v>255107.6728</v>
      </c>
      <c r="R58" s="264"/>
      <c r="S58" s="315">
        <f t="shared" si="5"/>
        <v>255107.6728</v>
      </c>
      <c r="T58" s="679">
        <v>203948374.82645488</v>
      </c>
      <c r="U58" s="679">
        <v>26905.952528237012</v>
      </c>
      <c r="V58" s="679">
        <v>1089.2629999999999</v>
      </c>
      <c r="W58" s="678">
        <v>0</v>
      </c>
      <c r="X58" s="678">
        <v>0</v>
      </c>
      <c r="Y58" s="679">
        <v>2910765300.8692932</v>
      </c>
      <c r="Z58" s="679">
        <v>11919.732</v>
      </c>
      <c r="AA58" s="678">
        <v>0</v>
      </c>
      <c r="AB58" s="678">
        <v>0</v>
      </c>
      <c r="AC58" s="384">
        <v>0</v>
      </c>
      <c r="AD58" s="264">
        <v>0</v>
      </c>
      <c r="AE58" s="264">
        <v>255107.6728</v>
      </c>
      <c r="AF58" s="264">
        <v>0</v>
      </c>
      <c r="AG58" s="315">
        <f t="shared" si="6"/>
        <v>255107.6728</v>
      </c>
      <c r="AH58" s="264"/>
      <c r="AI58" s="315">
        <f t="shared" si="7"/>
        <v>255107.6728</v>
      </c>
      <c r="AJ58" s="679">
        <v>168506435.68012589</v>
      </c>
      <c r="AK58" s="679">
        <v>23032.38010088907</v>
      </c>
      <c r="AL58" s="679">
        <v>1085.8620000000001</v>
      </c>
      <c r="AM58" s="678">
        <v>0</v>
      </c>
      <c r="AN58" s="678">
        <v>0</v>
      </c>
      <c r="AO58" s="679">
        <v>2388225252.9631963</v>
      </c>
      <c r="AP58" s="679">
        <v>12037.521000000001</v>
      </c>
      <c r="AQ58" s="678">
        <v>0</v>
      </c>
      <c r="AR58" s="678">
        <v>0</v>
      </c>
    </row>
    <row r="59" spans="2:44" s="12" customFormat="1">
      <c r="B59" s="344" t="s">
        <v>332</v>
      </c>
      <c r="C59" s="260"/>
      <c r="D59" s="259" t="s">
        <v>333</v>
      </c>
      <c r="E59" s="461" t="s">
        <v>15</v>
      </c>
      <c r="F59" s="260" t="s">
        <v>16</v>
      </c>
      <c r="G59" s="260" t="s">
        <v>28</v>
      </c>
      <c r="H59" s="261" t="s">
        <v>28</v>
      </c>
      <c r="I59" s="262"/>
      <c r="J59" s="674">
        <v>50406.660799999998</v>
      </c>
      <c r="K59" s="262"/>
      <c r="L59" s="812">
        <v>21625.086874040553</v>
      </c>
      <c r="M59" s="800">
        <v>9537.2000000000007</v>
      </c>
      <c r="N59" s="263">
        <v>0</v>
      </c>
      <c r="O59" s="263">
        <v>30262.3</v>
      </c>
      <c r="P59" s="263">
        <v>0</v>
      </c>
      <c r="Q59" s="313">
        <f t="shared" si="4"/>
        <v>39799.5</v>
      </c>
      <c r="R59" s="263"/>
      <c r="S59" s="315">
        <f t="shared" si="5"/>
        <v>39799.5</v>
      </c>
      <c r="T59" s="678">
        <v>0</v>
      </c>
      <c r="U59" s="678">
        <v>0</v>
      </c>
      <c r="V59" s="678">
        <v>0</v>
      </c>
      <c r="W59" s="678">
        <v>0</v>
      </c>
      <c r="X59" s="678">
        <v>0</v>
      </c>
      <c r="Y59" s="678">
        <v>0</v>
      </c>
      <c r="Z59" s="678">
        <v>0</v>
      </c>
      <c r="AA59" s="678">
        <v>0</v>
      </c>
      <c r="AB59" s="678">
        <v>0</v>
      </c>
      <c r="AC59" s="383">
        <v>16920.385999999999</v>
      </c>
      <c r="AD59" s="263">
        <v>0</v>
      </c>
      <c r="AE59" s="263">
        <v>45054.6708</v>
      </c>
      <c r="AF59" s="263">
        <v>0</v>
      </c>
      <c r="AG59" s="315">
        <f t="shared" si="6"/>
        <v>61975.056799999998</v>
      </c>
      <c r="AH59" s="263"/>
      <c r="AI59" s="315">
        <f t="shared" si="7"/>
        <v>61975.056799999998</v>
      </c>
      <c r="AJ59" s="678">
        <v>0</v>
      </c>
      <c r="AK59" s="678">
        <v>0</v>
      </c>
      <c r="AL59" s="678">
        <v>0</v>
      </c>
      <c r="AM59" s="678">
        <v>0</v>
      </c>
      <c r="AN59" s="678">
        <v>0</v>
      </c>
      <c r="AO59" s="678">
        <v>0</v>
      </c>
      <c r="AP59" s="678">
        <v>0</v>
      </c>
      <c r="AQ59" s="678">
        <v>0</v>
      </c>
      <c r="AR59" s="678">
        <v>0</v>
      </c>
    </row>
    <row r="60" spans="2:44" s="12" customFormat="1">
      <c r="B60" s="342" t="s">
        <v>334</v>
      </c>
      <c r="C60" s="261"/>
      <c r="D60" s="259" t="s">
        <v>335</v>
      </c>
      <c r="E60" s="461" t="s">
        <v>15</v>
      </c>
      <c r="F60" s="260" t="s">
        <v>24</v>
      </c>
      <c r="G60" s="260" t="s">
        <v>28</v>
      </c>
      <c r="H60" s="261" t="s">
        <v>28</v>
      </c>
      <c r="I60" s="259"/>
      <c r="J60" s="674">
        <v>785210</v>
      </c>
      <c r="K60" s="259"/>
      <c r="L60" s="812">
        <v>392630.44</v>
      </c>
      <c r="M60" s="800">
        <v>0</v>
      </c>
      <c r="N60" s="263">
        <v>0</v>
      </c>
      <c r="O60" s="263">
        <v>837379.57889999996</v>
      </c>
      <c r="P60" s="263">
        <v>0</v>
      </c>
      <c r="Q60" s="314">
        <f t="shared" si="4"/>
        <v>837379.57889999996</v>
      </c>
      <c r="R60" s="264"/>
      <c r="S60" s="315">
        <f t="shared" si="5"/>
        <v>837379.57889999996</v>
      </c>
      <c r="T60" s="679">
        <v>131415042.82748091</v>
      </c>
      <c r="U60" s="679">
        <v>31752.894621452993</v>
      </c>
      <c r="V60" s="679">
        <v>1645.721</v>
      </c>
      <c r="W60" s="678">
        <v>0</v>
      </c>
      <c r="X60" s="678">
        <v>0</v>
      </c>
      <c r="Y60" s="679">
        <v>2100897502.0593603</v>
      </c>
      <c r="Z60" s="679">
        <v>29378.795999999998</v>
      </c>
      <c r="AA60" s="678">
        <v>0</v>
      </c>
      <c r="AB60" s="678">
        <v>0</v>
      </c>
      <c r="AC60" s="384">
        <v>0</v>
      </c>
      <c r="AD60" s="264">
        <v>0</v>
      </c>
      <c r="AE60" s="264">
        <v>837379.57889999996</v>
      </c>
      <c r="AF60" s="264">
        <v>0</v>
      </c>
      <c r="AG60" s="315">
        <f t="shared" si="6"/>
        <v>837379.57889999996</v>
      </c>
      <c r="AH60" s="264"/>
      <c r="AI60" s="315">
        <f t="shared" si="7"/>
        <v>837379.57889999996</v>
      </c>
      <c r="AJ60" s="679">
        <v>182183865.02858171</v>
      </c>
      <c r="AK60" s="679">
        <v>40367.104443949058</v>
      </c>
      <c r="AL60" s="679">
        <v>2115.6909999999998</v>
      </c>
      <c r="AM60" s="678">
        <v>0</v>
      </c>
      <c r="AN60" s="678">
        <v>0</v>
      </c>
      <c r="AO60" s="679">
        <v>2879703072.0344982</v>
      </c>
      <c r="AP60" s="679">
        <v>38020.381999999998</v>
      </c>
      <c r="AQ60" s="678">
        <v>0</v>
      </c>
      <c r="AR60" s="678">
        <v>0</v>
      </c>
    </row>
    <row r="61" spans="2:44" s="12" customFormat="1">
      <c r="B61" s="344" t="s">
        <v>336</v>
      </c>
      <c r="C61" s="260"/>
      <c r="D61" s="259" t="s">
        <v>337</v>
      </c>
      <c r="E61" s="461" t="s">
        <v>15</v>
      </c>
      <c r="F61" s="260" t="s">
        <v>16</v>
      </c>
      <c r="G61" s="260" t="s">
        <v>28</v>
      </c>
      <c r="H61" s="261" t="s">
        <v>28</v>
      </c>
      <c r="I61" s="262"/>
      <c r="J61" s="674">
        <v>67584.442999999999</v>
      </c>
      <c r="K61" s="262"/>
      <c r="L61" s="812">
        <v>28918.24823517555</v>
      </c>
      <c r="M61" s="800">
        <v>12087</v>
      </c>
      <c r="N61" s="263">
        <v>0</v>
      </c>
      <c r="O61" s="263">
        <v>37145.74</v>
      </c>
      <c r="P61" s="263">
        <v>0</v>
      </c>
      <c r="Q61" s="313">
        <f t="shared" si="4"/>
        <v>49232.74</v>
      </c>
      <c r="R61" s="263"/>
      <c r="S61" s="315">
        <f t="shared" si="5"/>
        <v>49232.74</v>
      </c>
      <c r="T61" s="678">
        <v>0</v>
      </c>
      <c r="U61" s="678">
        <v>0</v>
      </c>
      <c r="V61" s="678">
        <v>0</v>
      </c>
      <c r="W61" s="678">
        <v>0</v>
      </c>
      <c r="X61" s="678">
        <v>0</v>
      </c>
      <c r="Y61" s="678">
        <v>0</v>
      </c>
      <c r="Z61" s="678">
        <v>0</v>
      </c>
      <c r="AA61" s="678">
        <v>0</v>
      </c>
      <c r="AB61" s="678">
        <v>0</v>
      </c>
      <c r="AC61" s="383">
        <v>20097.792000000001</v>
      </c>
      <c r="AD61" s="263">
        <v>0</v>
      </c>
      <c r="AE61" s="263">
        <v>52207.2736</v>
      </c>
      <c r="AF61" s="263">
        <v>0</v>
      </c>
      <c r="AG61" s="315">
        <f t="shared" si="6"/>
        <v>72305.065600000002</v>
      </c>
      <c r="AH61" s="263"/>
      <c r="AI61" s="315">
        <f t="shared" si="7"/>
        <v>72305.065600000002</v>
      </c>
      <c r="AJ61" s="678">
        <v>0</v>
      </c>
      <c r="AK61" s="678">
        <v>0</v>
      </c>
      <c r="AL61" s="678">
        <v>0</v>
      </c>
      <c r="AM61" s="678">
        <v>0</v>
      </c>
      <c r="AN61" s="678">
        <v>0</v>
      </c>
      <c r="AO61" s="678">
        <v>0</v>
      </c>
      <c r="AP61" s="678">
        <v>0</v>
      </c>
      <c r="AQ61" s="678">
        <v>0</v>
      </c>
      <c r="AR61" s="678">
        <v>0</v>
      </c>
    </row>
    <row r="62" spans="2:44" s="12" customFormat="1">
      <c r="B62" s="344" t="s">
        <v>338</v>
      </c>
      <c r="C62" s="260"/>
      <c r="D62" s="259" t="s">
        <v>339</v>
      </c>
      <c r="E62" s="461" t="s">
        <v>15</v>
      </c>
      <c r="F62" s="260" t="s">
        <v>24</v>
      </c>
      <c r="G62" s="260" t="s">
        <v>29</v>
      </c>
      <c r="H62" s="261" t="s">
        <v>23</v>
      </c>
      <c r="I62" s="262"/>
      <c r="J62" s="674">
        <v>0</v>
      </c>
      <c r="K62" s="262"/>
      <c r="L62" s="812">
        <v>0</v>
      </c>
      <c r="M62" s="800">
        <v>138179.14240000001</v>
      </c>
      <c r="N62" s="263">
        <v>0</v>
      </c>
      <c r="O62" s="263">
        <v>2164806.5639999998</v>
      </c>
      <c r="P62" s="263">
        <v>0</v>
      </c>
      <c r="Q62" s="314">
        <f t="shared" si="4"/>
        <v>2302985.7063999996</v>
      </c>
      <c r="R62" s="263"/>
      <c r="S62" s="315">
        <f t="shared" si="5"/>
        <v>2302985.7063999996</v>
      </c>
      <c r="T62" s="678">
        <v>0</v>
      </c>
      <c r="U62" s="678">
        <v>0</v>
      </c>
      <c r="V62" s="678">
        <v>0</v>
      </c>
      <c r="W62" s="678">
        <v>0</v>
      </c>
      <c r="X62" s="678">
        <v>0</v>
      </c>
      <c r="Y62" s="679">
        <v>0</v>
      </c>
      <c r="Z62" s="679">
        <v>0</v>
      </c>
      <c r="AA62" s="678">
        <v>0</v>
      </c>
      <c r="AB62" s="678">
        <v>0</v>
      </c>
      <c r="AC62" s="383">
        <v>175669.03750000001</v>
      </c>
      <c r="AD62" s="263">
        <v>0</v>
      </c>
      <c r="AE62" s="263">
        <v>2752148.2549999999</v>
      </c>
      <c r="AF62" s="263">
        <v>0</v>
      </c>
      <c r="AG62" s="315">
        <f t="shared" si="6"/>
        <v>2927817.2925</v>
      </c>
      <c r="AH62" s="263"/>
      <c r="AI62" s="315">
        <f t="shared" si="7"/>
        <v>2927817.2925</v>
      </c>
      <c r="AJ62" s="678">
        <v>0</v>
      </c>
      <c r="AK62" s="678">
        <v>0</v>
      </c>
      <c r="AL62" s="678">
        <v>0</v>
      </c>
      <c r="AM62" s="678">
        <v>0</v>
      </c>
      <c r="AN62" s="678">
        <v>0</v>
      </c>
      <c r="AO62" s="679">
        <v>0</v>
      </c>
      <c r="AP62" s="679">
        <v>0</v>
      </c>
      <c r="AQ62" s="678">
        <v>0</v>
      </c>
      <c r="AR62" s="678">
        <v>0</v>
      </c>
    </row>
    <row r="63" spans="2:44" s="12" customFormat="1">
      <c r="B63" s="345" t="s">
        <v>340</v>
      </c>
      <c r="C63" s="879"/>
      <c r="D63" s="259" t="s">
        <v>341</v>
      </c>
      <c r="E63" s="461" t="s">
        <v>15</v>
      </c>
      <c r="F63" s="260" t="s">
        <v>16</v>
      </c>
      <c r="G63" s="260" t="s">
        <v>29</v>
      </c>
      <c r="H63" s="261" t="s">
        <v>23</v>
      </c>
      <c r="I63" s="266"/>
      <c r="J63" s="674">
        <v>0</v>
      </c>
      <c r="K63" s="266"/>
      <c r="L63" s="812">
        <v>0</v>
      </c>
      <c r="M63" s="800">
        <v>168616.61199999999</v>
      </c>
      <c r="N63" s="263">
        <v>0</v>
      </c>
      <c r="O63" s="263">
        <v>30.07</v>
      </c>
      <c r="P63" s="263">
        <v>0</v>
      </c>
      <c r="Q63" s="313">
        <f t="shared" si="4"/>
        <v>168646.682</v>
      </c>
      <c r="R63" s="263"/>
      <c r="S63" s="315">
        <f t="shared" si="5"/>
        <v>168646.682</v>
      </c>
      <c r="T63" s="679">
        <v>0</v>
      </c>
      <c r="U63" s="679">
        <v>0</v>
      </c>
      <c r="V63" s="679">
        <v>0</v>
      </c>
      <c r="W63" s="678">
        <v>0</v>
      </c>
      <c r="X63" s="678">
        <v>0</v>
      </c>
      <c r="Y63" s="678">
        <v>0</v>
      </c>
      <c r="Z63" s="678">
        <v>0</v>
      </c>
      <c r="AA63" s="678">
        <v>0</v>
      </c>
      <c r="AB63" s="678">
        <v>0</v>
      </c>
      <c r="AC63" s="384">
        <v>237562.76860000001</v>
      </c>
      <c r="AD63" s="264">
        <v>0</v>
      </c>
      <c r="AE63" s="264">
        <v>1490.01</v>
      </c>
      <c r="AF63" s="264">
        <v>0</v>
      </c>
      <c r="AG63" s="315">
        <f t="shared" si="6"/>
        <v>239052.77860000002</v>
      </c>
      <c r="AH63" s="263"/>
      <c r="AI63" s="315">
        <f t="shared" si="7"/>
        <v>239052.77860000002</v>
      </c>
      <c r="AJ63" s="679">
        <v>0</v>
      </c>
      <c r="AK63" s="679">
        <v>0</v>
      </c>
      <c r="AL63" s="679">
        <v>0</v>
      </c>
      <c r="AM63" s="678">
        <v>0</v>
      </c>
      <c r="AN63" s="678">
        <v>0</v>
      </c>
      <c r="AO63" s="678">
        <v>0</v>
      </c>
      <c r="AP63" s="678">
        <v>0</v>
      </c>
      <c r="AQ63" s="678">
        <v>0</v>
      </c>
      <c r="AR63" s="678">
        <v>0</v>
      </c>
    </row>
    <row r="64" spans="2:44" s="12" customFormat="1">
      <c r="B64" s="344" t="s">
        <v>342</v>
      </c>
      <c r="C64" s="260"/>
      <c r="D64" s="259" t="s">
        <v>343</v>
      </c>
      <c r="E64" s="461" t="s">
        <v>20</v>
      </c>
      <c r="F64" s="260" t="s">
        <v>24</v>
      </c>
      <c r="G64" s="260" t="s">
        <v>30</v>
      </c>
      <c r="H64" s="261" t="s">
        <v>18</v>
      </c>
      <c r="I64" s="266"/>
      <c r="J64" s="674">
        <v>58167</v>
      </c>
      <c r="K64" s="266"/>
      <c r="L64" s="812">
        <v>0</v>
      </c>
      <c r="M64" s="800">
        <v>13401.6</v>
      </c>
      <c r="N64" s="263">
        <v>349</v>
      </c>
      <c r="O64" s="263">
        <v>166571.1666</v>
      </c>
      <c r="P64" s="263">
        <v>27731.292907999999</v>
      </c>
      <c r="Q64" s="313">
        <f t="shared" si="4"/>
        <v>208053.05950800001</v>
      </c>
      <c r="R64" s="263"/>
      <c r="S64" s="315">
        <f t="shared" si="5"/>
        <v>208053.05950800001</v>
      </c>
      <c r="T64" s="678">
        <v>115004.37055189999</v>
      </c>
      <c r="U64" s="678">
        <v>44.142313559999998</v>
      </c>
      <c r="V64" s="678">
        <v>0.82699999999999996</v>
      </c>
      <c r="W64" s="678">
        <v>0</v>
      </c>
      <c r="X64" s="678">
        <v>0</v>
      </c>
      <c r="Y64" s="678">
        <v>891403.782962</v>
      </c>
      <c r="Z64" s="678">
        <v>13.555999999999999</v>
      </c>
      <c r="AA64" s="678">
        <v>0</v>
      </c>
      <c r="AB64" s="678">
        <v>0</v>
      </c>
      <c r="AC64" s="383">
        <v>13401.6</v>
      </c>
      <c r="AD64" s="263">
        <v>698</v>
      </c>
      <c r="AE64" s="263">
        <v>322979.71580000001</v>
      </c>
      <c r="AF64" s="263">
        <v>253471.8096790401</v>
      </c>
      <c r="AG64" s="315">
        <f t="shared" si="6"/>
        <v>590551.12547904009</v>
      </c>
      <c r="AH64" s="263"/>
      <c r="AI64" s="315">
        <f t="shared" si="7"/>
        <v>590551.12547904009</v>
      </c>
      <c r="AJ64" s="678">
        <v>1003694.9338919221</v>
      </c>
      <c r="AK64" s="678">
        <v>399.44115459280073</v>
      </c>
      <c r="AL64" s="678">
        <v>24.167000000000002</v>
      </c>
      <c r="AM64" s="678">
        <v>0</v>
      </c>
      <c r="AN64" s="678">
        <v>0</v>
      </c>
      <c r="AO64" s="678">
        <v>10102624.995072981</v>
      </c>
      <c r="AP64" s="678">
        <v>319.12400000000002</v>
      </c>
      <c r="AQ64" s="678">
        <v>0</v>
      </c>
      <c r="AR64" s="678">
        <v>0</v>
      </c>
    </row>
    <row r="65" spans="2:44" s="12" customFormat="1">
      <c r="B65" s="342" t="s">
        <v>344</v>
      </c>
      <c r="C65" s="899"/>
      <c r="D65" s="259" t="s">
        <v>345</v>
      </c>
      <c r="E65" s="461" t="s">
        <v>20</v>
      </c>
      <c r="F65" s="260" t="s">
        <v>16</v>
      </c>
      <c r="G65" s="260" t="s">
        <v>30</v>
      </c>
      <c r="H65" s="261" t="s">
        <v>18</v>
      </c>
      <c r="I65" s="268"/>
      <c r="J65" s="674">
        <v>25236.7808</v>
      </c>
      <c r="K65" s="268"/>
      <c r="L65" s="812">
        <v>0</v>
      </c>
      <c r="M65" s="800">
        <v>3106.21</v>
      </c>
      <c r="N65" s="263">
        <v>0</v>
      </c>
      <c r="O65" s="263">
        <v>0.55000000000000004</v>
      </c>
      <c r="P65" s="263">
        <v>0</v>
      </c>
      <c r="Q65" s="314">
        <f t="shared" si="4"/>
        <v>3106.76</v>
      </c>
      <c r="R65" s="264"/>
      <c r="S65" s="315">
        <f t="shared" si="5"/>
        <v>3106.76</v>
      </c>
      <c r="T65" s="678">
        <v>0</v>
      </c>
      <c r="U65" s="678">
        <v>0</v>
      </c>
      <c r="V65" s="678">
        <v>0</v>
      </c>
      <c r="W65" s="678">
        <v>0</v>
      </c>
      <c r="X65" s="678">
        <v>0</v>
      </c>
      <c r="Y65" s="679">
        <v>0</v>
      </c>
      <c r="Z65" s="679">
        <v>0</v>
      </c>
      <c r="AA65" s="678">
        <v>0</v>
      </c>
      <c r="AB65" s="678">
        <v>0</v>
      </c>
      <c r="AC65" s="383">
        <v>3423.0871999999999</v>
      </c>
      <c r="AD65" s="263">
        <v>0</v>
      </c>
      <c r="AE65" s="263">
        <v>21.47</v>
      </c>
      <c r="AF65" s="263">
        <v>0</v>
      </c>
      <c r="AG65" s="315">
        <f t="shared" si="6"/>
        <v>3444.5571999999997</v>
      </c>
      <c r="AH65" s="264"/>
      <c r="AI65" s="315">
        <f t="shared" si="7"/>
        <v>3444.5571999999997</v>
      </c>
      <c r="AJ65" s="678">
        <v>0</v>
      </c>
      <c r="AK65" s="678">
        <v>0</v>
      </c>
      <c r="AL65" s="678">
        <v>0</v>
      </c>
      <c r="AM65" s="678">
        <v>0</v>
      </c>
      <c r="AN65" s="678">
        <v>0</v>
      </c>
      <c r="AO65" s="679">
        <v>0</v>
      </c>
      <c r="AP65" s="679">
        <v>0</v>
      </c>
      <c r="AQ65" s="678">
        <v>0</v>
      </c>
      <c r="AR65" s="678">
        <v>0</v>
      </c>
    </row>
    <row r="66" spans="2:44" s="12" customFormat="1">
      <c r="B66" s="344" t="s">
        <v>346</v>
      </c>
      <c r="C66" s="897"/>
      <c r="D66" s="259" t="s">
        <v>347</v>
      </c>
      <c r="E66" s="461" t="s">
        <v>20</v>
      </c>
      <c r="F66" s="260" t="s">
        <v>24</v>
      </c>
      <c r="G66" s="260" t="s">
        <v>30</v>
      </c>
      <c r="H66" s="261" t="s">
        <v>18</v>
      </c>
      <c r="I66" s="266"/>
      <c r="J66" s="674">
        <v>0</v>
      </c>
      <c r="K66" s="266"/>
      <c r="L66" s="812">
        <v>0</v>
      </c>
      <c r="M66" s="800">
        <v>37802.400699999998</v>
      </c>
      <c r="N66" s="263">
        <v>13598.3104</v>
      </c>
      <c r="O66" s="263">
        <v>45327.701200000003</v>
      </c>
      <c r="P66" s="263">
        <v>170660.36000000002</v>
      </c>
      <c r="Q66" s="313">
        <f t="shared" si="4"/>
        <v>267388.77230000001</v>
      </c>
      <c r="R66" s="263"/>
      <c r="S66" s="315">
        <f t="shared" si="5"/>
        <v>267388.77230000001</v>
      </c>
      <c r="T66" s="678">
        <v>262554.40000000002</v>
      </c>
      <c r="U66" s="678">
        <v>51.371919009999999</v>
      </c>
      <c r="V66" s="678">
        <v>15.023999999999999</v>
      </c>
      <c r="W66" s="678">
        <v>0</v>
      </c>
      <c r="X66" s="678">
        <v>0</v>
      </c>
      <c r="Y66" s="678">
        <v>2257967.84</v>
      </c>
      <c r="Z66" s="678">
        <v>129.20599999999999</v>
      </c>
      <c r="AA66" s="678">
        <v>0</v>
      </c>
      <c r="AB66" s="678">
        <v>0</v>
      </c>
      <c r="AC66" s="383">
        <v>124677.5229</v>
      </c>
      <c r="AD66" s="263">
        <v>46738.080000000002</v>
      </c>
      <c r="AE66" s="263">
        <v>155793.60000000001</v>
      </c>
      <c r="AF66" s="263">
        <v>529280.24025749997</v>
      </c>
      <c r="AG66" s="315">
        <f t="shared" si="6"/>
        <v>856489.44315750001</v>
      </c>
      <c r="AH66" s="263"/>
      <c r="AI66" s="315">
        <f t="shared" si="7"/>
        <v>856489.44315750001</v>
      </c>
      <c r="AJ66" s="678">
        <v>918291.46</v>
      </c>
      <c r="AK66" s="678">
        <v>179.46720977656</v>
      </c>
      <c r="AL66" s="678">
        <v>52.076000000000001</v>
      </c>
      <c r="AM66" s="678">
        <v>0</v>
      </c>
      <c r="AN66" s="678">
        <v>0</v>
      </c>
      <c r="AO66" s="678">
        <v>7575904.5449999999</v>
      </c>
      <c r="AP66" s="678">
        <v>429.63099999999997</v>
      </c>
      <c r="AQ66" s="678">
        <v>0</v>
      </c>
      <c r="AR66" s="678">
        <v>0</v>
      </c>
    </row>
    <row r="67" spans="2:44" s="12" customFormat="1">
      <c r="B67" s="344" t="s">
        <v>348</v>
      </c>
      <c r="C67" s="897"/>
      <c r="D67" s="259" t="s">
        <v>349</v>
      </c>
      <c r="E67" s="461" t="s">
        <v>20</v>
      </c>
      <c r="F67" s="260" t="s">
        <v>16</v>
      </c>
      <c r="G67" s="260" t="s">
        <v>30</v>
      </c>
      <c r="H67" s="261" t="s">
        <v>18</v>
      </c>
      <c r="I67" s="266"/>
      <c r="J67" s="674">
        <v>0</v>
      </c>
      <c r="K67" s="266"/>
      <c r="L67" s="812">
        <v>0</v>
      </c>
      <c r="M67" s="800">
        <v>3975.46</v>
      </c>
      <c r="N67" s="263">
        <v>0</v>
      </c>
      <c r="O67" s="263">
        <v>0.71</v>
      </c>
      <c r="P67" s="263">
        <v>0</v>
      </c>
      <c r="Q67" s="313">
        <f t="shared" si="4"/>
        <v>3976.17</v>
      </c>
      <c r="R67" s="263"/>
      <c r="S67" s="315">
        <f t="shared" si="5"/>
        <v>3976.17</v>
      </c>
      <c r="T67" s="678">
        <v>0</v>
      </c>
      <c r="U67" s="678">
        <v>0</v>
      </c>
      <c r="V67" s="678">
        <v>0</v>
      </c>
      <c r="W67" s="678">
        <v>0</v>
      </c>
      <c r="X67" s="678">
        <v>0</v>
      </c>
      <c r="Y67" s="678">
        <v>0</v>
      </c>
      <c r="Z67" s="678">
        <v>0</v>
      </c>
      <c r="AA67" s="678">
        <v>0</v>
      </c>
      <c r="AB67" s="678">
        <v>0</v>
      </c>
      <c r="AC67" s="383">
        <v>5874.2672000000002</v>
      </c>
      <c r="AD67" s="263">
        <v>0</v>
      </c>
      <c r="AE67" s="263">
        <v>36.840000000000003</v>
      </c>
      <c r="AF67" s="263">
        <v>0</v>
      </c>
      <c r="AG67" s="315">
        <f t="shared" si="6"/>
        <v>5911.1072000000004</v>
      </c>
      <c r="AH67" s="263"/>
      <c r="AI67" s="315">
        <f t="shared" si="7"/>
        <v>5911.1072000000004</v>
      </c>
      <c r="AJ67" s="678">
        <v>0</v>
      </c>
      <c r="AK67" s="678">
        <v>0</v>
      </c>
      <c r="AL67" s="678">
        <v>0</v>
      </c>
      <c r="AM67" s="678">
        <v>0</v>
      </c>
      <c r="AN67" s="678">
        <v>0</v>
      </c>
      <c r="AO67" s="678">
        <v>0</v>
      </c>
      <c r="AP67" s="678">
        <v>0</v>
      </c>
      <c r="AQ67" s="678">
        <v>0</v>
      </c>
      <c r="AR67" s="678">
        <v>0</v>
      </c>
    </row>
    <row r="68" spans="2:44" s="12" customFormat="1">
      <c r="B68" s="344" t="s">
        <v>350</v>
      </c>
      <c r="C68" s="260"/>
      <c r="D68" s="259" t="s">
        <v>351</v>
      </c>
      <c r="E68" s="461" t="s">
        <v>20</v>
      </c>
      <c r="F68" s="260" t="s">
        <v>24</v>
      </c>
      <c r="G68" s="260" t="s">
        <v>22</v>
      </c>
      <c r="H68" s="261" t="s">
        <v>18</v>
      </c>
      <c r="I68" s="265"/>
      <c r="J68" s="674">
        <v>1319483.1542000002</v>
      </c>
      <c r="K68" s="265"/>
      <c r="L68" s="812">
        <v>0</v>
      </c>
      <c r="M68" s="800">
        <v>115259.45600000001</v>
      </c>
      <c r="N68" s="263">
        <v>83875.444300000003</v>
      </c>
      <c r="O68" s="263">
        <v>284420.82559999998</v>
      </c>
      <c r="P68" s="263">
        <v>1114757.0494470401</v>
      </c>
      <c r="Q68" s="313">
        <f t="shared" si="4"/>
        <v>1598312.77534704</v>
      </c>
      <c r="R68" s="263"/>
      <c r="S68" s="315">
        <f t="shared" si="5"/>
        <v>1598312.77534704</v>
      </c>
      <c r="T68" s="678">
        <v>306633.38655818999</v>
      </c>
      <c r="U68" s="678">
        <v>26.004286149999999</v>
      </c>
      <c r="V68" s="678">
        <v>163.548</v>
      </c>
      <c r="W68" s="678">
        <v>0</v>
      </c>
      <c r="X68" s="678">
        <v>0</v>
      </c>
      <c r="Y68" s="678">
        <v>2844563.1990710003</v>
      </c>
      <c r="Z68" s="678">
        <v>2802.6979999999999</v>
      </c>
      <c r="AA68" s="678">
        <v>0</v>
      </c>
      <c r="AB68" s="678">
        <v>0</v>
      </c>
      <c r="AC68" s="383">
        <v>115259.45600000001</v>
      </c>
      <c r="AD68" s="263">
        <v>83875.444300000003</v>
      </c>
      <c r="AE68" s="263">
        <v>284420.82559999998</v>
      </c>
      <c r="AF68" s="263">
        <v>1393516.7910480001</v>
      </c>
      <c r="AG68" s="315">
        <f t="shared" si="6"/>
        <v>1877072.5169480001</v>
      </c>
      <c r="AH68" s="263"/>
      <c r="AI68" s="315">
        <f t="shared" si="7"/>
        <v>1877072.5169480001</v>
      </c>
      <c r="AJ68" s="678">
        <v>383832.1722172267</v>
      </c>
      <c r="AK68" s="678">
        <v>32.562791643717119</v>
      </c>
      <c r="AL68" s="678">
        <v>204.48699999999999</v>
      </c>
      <c r="AM68" s="678">
        <v>0</v>
      </c>
      <c r="AN68" s="678">
        <v>0</v>
      </c>
      <c r="AO68" s="678">
        <v>3560939.9945058459</v>
      </c>
      <c r="AP68" s="678">
        <v>3503.6379999999999</v>
      </c>
      <c r="AQ68" s="678">
        <v>0</v>
      </c>
      <c r="AR68" s="678">
        <v>0</v>
      </c>
    </row>
    <row r="69" spans="2:44" s="12" customFormat="1">
      <c r="B69" s="344" t="s">
        <v>352</v>
      </c>
      <c r="C69" s="260"/>
      <c r="D69" s="259" t="s">
        <v>353</v>
      </c>
      <c r="E69" s="461" t="s">
        <v>20</v>
      </c>
      <c r="F69" s="260" t="s">
        <v>16</v>
      </c>
      <c r="G69" s="260" t="s">
        <v>22</v>
      </c>
      <c r="H69" s="261" t="s">
        <v>18</v>
      </c>
      <c r="I69" s="262"/>
      <c r="J69" s="674">
        <v>25827.081200000001</v>
      </c>
      <c r="K69" s="262"/>
      <c r="L69" s="812">
        <v>0</v>
      </c>
      <c r="M69" s="800">
        <v>8181.826</v>
      </c>
      <c r="N69" s="263">
        <v>0</v>
      </c>
      <c r="O69" s="263">
        <v>1.46</v>
      </c>
      <c r="P69" s="263">
        <v>0</v>
      </c>
      <c r="Q69" s="313">
        <f t="shared" si="4"/>
        <v>8183.2860000000001</v>
      </c>
      <c r="R69" s="263"/>
      <c r="S69" s="315">
        <f t="shared" si="5"/>
        <v>8183.2860000000001</v>
      </c>
      <c r="T69" s="678">
        <v>0</v>
      </c>
      <c r="U69" s="678">
        <v>0</v>
      </c>
      <c r="V69" s="678">
        <v>0</v>
      </c>
      <c r="W69" s="678">
        <v>0</v>
      </c>
      <c r="X69" s="678">
        <v>0</v>
      </c>
      <c r="Y69" s="678">
        <v>0</v>
      </c>
      <c r="Z69" s="678">
        <v>0</v>
      </c>
      <c r="AA69" s="678">
        <v>0</v>
      </c>
      <c r="AB69" s="678">
        <v>0</v>
      </c>
      <c r="AC69" s="383">
        <v>9736.1471999999994</v>
      </c>
      <c r="AD69" s="263">
        <v>0</v>
      </c>
      <c r="AE69" s="263">
        <v>61.07</v>
      </c>
      <c r="AF69" s="263">
        <v>0</v>
      </c>
      <c r="AG69" s="315">
        <f t="shared" si="6"/>
        <v>9797.2171999999991</v>
      </c>
      <c r="AH69" s="263"/>
      <c r="AI69" s="315">
        <f t="shared" si="7"/>
        <v>9797.2171999999991</v>
      </c>
      <c r="AJ69" s="678">
        <v>0</v>
      </c>
      <c r="AK69" s="678">
        <v>0</v>
      </c>
      <c r="AL69" s="678">
        <v>0</v>
      </c>
      <c r="AM69" s="678">
        <v>0</v>
      </c>
      <c r="AN69" s="678">
        <v>0</v>
      </c>
      <c r="AO69" s="678">
        <v>0</v>
      </c>
      <c r="AP69" s="678">
        <v>0</v>
      </c>
      <c r="AQ69" s="678">
        <v>0</v>
      </c>
      <c r="AR69" s="678">
        <v>0</v>
      </c>
    </row>
    <row r="70" spans="2:44" s="12" customFormat="1">
      <c r="B70" s="344" t="s">
        <v>354</v>
      </c>
      <c r="C70" s="260"/>
      <c r="D70" s="259" t="s">
        <v>355</v>
      </c>
      <c r="E70" s="461" t="s">
        <v>20</v>
      </c>
      <c r="F70" s="260" t="s">
        <v>24</v>
      </c>
      <c r="G70" s="260" t="s">
        <v>22</v>
      </c>
      <c r="H70" s="261" t="s">
        <v>18</v>
      </c>
      <c r="I70" s="262"/>
      <c r="J70" s="674">
        <v>1277862.1610000001</v>
      </c>
      <c r="K70" s="262"/>
      <c r="L70" s="812">
        <v>0</v>
      </c>
      <c r="M70" s="800">
        <v>144886.97</v>
      </c>
      <c r="N70" s="263">
        <v>113195.17</v>
      </c>
      <c r="O70" s="263">
        <v>647354.18999999994</v>
      </c>
      <c r="P70" s="263">
        <v>762822.36800000048</v>
      </c>
      <c r="Q70" s="313">
        <f t="shared" si="4"/>
        <v>1668258.6980000003</v>
      </c>
      <c r="R70" s="263"/>
      <c r="S70" s="315">
        <f t="shared" si="5"/>
        <v>1668258.6980000003</v>
      </c>
      <c r="T70" s="679">
        <v>505927.53983599995</v>
      </c>
      <c r="U70" s="679">
        <v>98.013362368000017</v>
      </c>
      <c r="V70" s="679">
        <v>156.482</v>
      </c>
      <c r="W70" s="678">
        <v>0</v>
      </c>
      <c r="X70" s="678">
        <v>0</v>
      </c>
      <c r="Y70" s="678">
        <v>5453031.6224079998</v>
      </c>
      <c r="Z70" s="678">
        <v>1848.4559999999999</v>
      </c>
      <c r="AA70" s="678">
        <v>0</v>
      </c>
      <c r="AB70" s="678">
        <v>0</v>
      </c>
      <c r="AC70" s="384">
        <v>190024.21720000001</v>
      </c>
      <c r="AD70" s="264">
        <v>119463.322</v>
      </c>
      <c r="AE70" s="264">
        <v>739366.71279999998</v>
      </c>
      <c r="AF70" s="264">
        <v>946888.57600000058</v>
      </c>
      <c r="AG70" s="315">
        <f t="shared" si="6"/>
        <v>1995742.8280000004</v>
      </c>
      <c r="AH70" s="263"/>
      <c r="AI70" s="315">
        <f t="shared" si="7"/>
        <v>1995742.8280000004</v>
      </c>
      <c r="AJ70" s="679">
        <v>683499.77830400015</v>
      </c>
      <c r="AK70" s="679">
        <v>132.06547648</v>
      </c>
      <c r="AL70" s="679">
        <v>197.12100000000001</v>
      </c>
      <c r="AM70" s="678">
        <v>0</v>
      </c>
      <c r="AN70" s="678">
        <v>0</v>
      </c>
      <c r="AO70" s="678">
        <v>7446835.727616</v>
      </c>
      <c r="AP70" s="678">
        <v>2330.2620000000002</v>
      </c>
      <c r="AQ70" s="678">
        <v>0</v>
      </c>
      <c r="AR70" s="678">
        <v>0</v>
      </c>
    </row>
    <row r="71" spans="2:44" s="12" customFormat="1">
      <c r="B71" s="344" t="s">
        <v>356</v>
      </c>
      <c r="C71" s="260"/>
      <c r="D71" s="259" t="s">
        <v>357</v>
      </c>
      <c r="E71" s="461" t="s">
        <v>20</v>
      </c>
      <c r="F71" s="260" t="s">
        <v>16</v>
      </c>
      <c r="G71" s="260" t="s">
        <v>22</v>
      </c>
      <c r="H71" s="261" t="s">
        <v>18</v>
      </c>
      <c r="I71" s="262"/>
      <c r="J71" s="674">
        <v>49147.770600000003</v>
      </c>
      <c r="K71" s="262"/>
      <c r="L71" s="812">
        <v>0</v>
      </c>
      <c r="M71" s="800">
        <v>10216.280000000001</v>
      </c>
      <c r="N71" s="263">
        <v>0</v>
      </c>
      <c r="O71" s="263">
        <v>1.82</v>
      </c>
      <c r="P71" s="263">
        <v>0</v>
      </c>
      <c r="Q71" s="313">
        <f t="shared" ref="Q71:Q102" si="8">SUM(M71:P71)</f>
        <v>10218.1</v>
      </c>
      <c r="R71" s="263"/>
      <c r="S71" s="315">
        <f t="shared" ref="S71:S102" si="9">Q71+R71</f>
        <v>10218.1</v>
      </c>
      <c r="T71" s="679">
        <v>0</v>
      </c>
      <c r="U71" s="679">
        <v>0</v>
      </c>
      <c r="V71" s="679">
        <v>0</v>
      </c>
      <c r="W71" s="678">
        <v>0</v>
      </c>
      <c r="X71" s="678">
        <v>0</v>
      </c>
      <c r="Y71" s="678">
        <v>0</v>
      </c>
      <c r="Z71" s="678">
        <v>0</v>
      </c>
      <c r="AA71" s="678">
        <v>0</v>
      </c>
      <c r="AB71" s="678">
        <v>0</v>
      </c>
      <c r="AC71" s="384">
        <v>11405.2408</v>
      </c>
      <c r="AD71" s="264">
        <v>0</v>
      </c>
      <c r="AE71" s="264">
        <v>71.53</v>
      </c>
      <c r="AF71" s="264">
        <v>0</v>
      </c>
      <c r="AG71" s="315">
        <f t="shared" ref="AG71:AG102" si="10">SUM(AC71:AF71)</f>
        <v>11476.7708</v>
      </c>
      <c r="AH71" s="263"/>
      <c r="AI71" s="315">
        <f t="shared" ref="AI71:AI102" si="11">AG71+AH71</f>
        <v>11476.7708</v>
      </c>
      <c r="AJ71" s="679">
        <v>0</v>
      </c>
      <c r="AK71" s="679">
        <v>0</v>
      </c>
      <c r="AL71" s="679">
        <v>0</v>
      </c>
      <c r="AM71" s="678">
        <v>0</v>
      </c>
      <c r="AN71" s="678">
        <v>0</v>
      </c>
      <c r="AO71" s="678">
        <v>0</v>
      </c>
      <c r="AP71" s="678">
        <v>0</v>
      </c>
      <c r="AQ71" s="678">
        <v>0</v>
      </c>
      <c r="AR71" s="678">
        <v>0</v>
      </c>
    </row>
    <row r="72" spans="2:44" s="12" customFormat="1">
      <c r="B72" s="344" t="s">
        <v>358</v>
      </c>
      <c r="C72" s="260"/>
      <c r="D72" s="259" t="s">
        <v>359</v>
      </c>
      <c r="E72" s="461" t="s">
        <v>20</v>
      </c>
      <c r="F72" s="260" t="s">
        <v>24</v>
      </c>
      <c r="G72" s="260" t="s">
        <v>22</v>
      </c>
      <c r="H72" s="261" t="s">
        <v>18</v>
      </c>
      <c r="I72" s="262"/>
      <c r="J72" s="674">
        <v>1160650.8419999999</v>
      </c>
      <c r="K72" s="262"/>
      <c r="L72" s="812">
        <v>0</v>
      </c>
      <c r="M72" s="800">
        <v>212932.8</v>
      </c>
      <c r="N72" s="263">
        <v>127759.67999999999</v>
      </c>
      <c r="O72" s="263">
        <v>641767.72660000005</v>
      </c>
      <c r="P72" s="263">
        <v>1146867.7933615146</v>
      </c>
      <c r="Q72" s="313">
        <f t="shared" si="8"/>
        <v>2129327.9999615145</v>
      </c>
      <c r="R72" s="263"/>
      <c r="S72" s="315">
        <f t="shared" si="9"/>
        <v>2129327.9999615145</v>
      </c>
      <c r="T72" s="678">
        <v>3541765.5003038193</v>
      </c>
      <c r="U72" s="678">
        <v>548.50188923682208</v>
      </c>
      <c r="V72" s="678">
        <v>-16.725999999999999</v>
      </c>
      <c r="W72" s="678">
        <v>0</v>
      </c>
      <c r="X72" s="678">
        <v>0</v>
      </c>
      <c r="Y72" s="678">
        <v>40536257.073486805</v>
      </c>
      <c r="Z72" s="678">
        <v>-184.41800000000001</v>
      </c>
      <c r="AA72" s="678">
        <v>0</v>
      </c>
      <c r="AB72" s="678">
        <v>0</v>
      </c>
      <c r="AC72" s="383">
        <v>217664.64000000001</v>
      </c>
      <c r="AD72" s="263">
        <v>130598.784</v>
      </c>
      <c r="AE72" s="263">
        <v>656029.23160000006</v>
      </c>
      <c r="AF72" s="263">
        <v>1172353.7443608837</v>
      </c>
      <c r="AG72" s="315">
        <f t="shared" si="10"/>
        <v>2176646.3999608839</v>
      </c>
      <c r="AH72" s="263"/>
      <c r="AI72" s="315">
        <f t="shared" si="11"/>
        <v>2176646.3999608839</v>
      </c>
      <c r="AJ72" s="678">
        <v>3620471.4002756486</v>
      </c>
      <c r="AK72" s="678">
        <v>560.69082233659503</v>
      </c>
      <c r="AL72" s="678">
        <v>-17.097999999999999</v>
      </c>
      <c r="AM72" s="678">
        <v>0</v>
      </c>
      <c r="AN72" s="678">
        <v>0</v>
      </c>
      <c r="AO72" s="678">
        <v>41437062.786639467</v>
      </c>
      <c r="AP72" s="678">
        <v>-188.51599999999999</v>
      </c>
      <c r="AQ72" s="678">
        <v>0</v>
      </c>
      <c r="AR72" s="678">
        <v>0</v>
      </c>
    </row>
    <row r="73" spans="2:44" s="12" customFormat="1">
      <c r="B73" s="344" t="s">
        <v>360</v>
      </c>
      <c r="C73" s="260"/>
      <c r="D73" s="259" t="s">
        <v>361</v>
      </c>
      <c r="E73" s="461" t="s">
        <v>20</v>
      </c>
      <c r="F73" s="260" t="s">
        <v>16</v>
      </c>
      <c r="G73" s="260" t="s">
        <v>22</v>
      </c>
      <c r="H73" s="261" t="s">
        <v>18</v>
      </c>
      <c r="I73" s="262"/>
      <c r="J73" s="674">
        <v>75117.354200000002</v>
      </c>
      <c r="K73" s="262"/>
      <c r="L73" s="812">
        <v>0</v>
      </c>
      <c r="M73" s="800">
        <v>16792.419999999998</v>
      </c>
      <c r="N73" s="263">
        <v>0</v>
      </c>
      <c r="O73" s="263">
        <v>2.99</v>
      </c>
      <c r="P73" s="263">
        <v>0</v>
      </c>
      <c r="Q73" s="313">
        <f t="shared" si="8"/>
        <v>16795.41</v>
      </c>
      <c r="R73" s="263"/>
      <c r="S73" s="315">
        <f t="shared" si="9"/>
        <v>16795.41</v>
      </c>
      <c r="T73" s="678">
        <v>0</v>
      </c>
      <c r="U73" s="678">
        <v>0</v>
      </c>
      <c r="V73" s="678">
        <v>0</v>
      </c>
      <c r="W73" s="678">
        <v>0</v>
      </c>
      <c r="X73" s="678">
        <v>0</v>
      </c>
      <c r="Y73" s="678">
        <v>0</v>
      </c>
      <c r="Z73" s="678">
        <v>0</v>
      </c>
      <c r="AA73" s="678">
        <v>0</v>
      </c>
      <c r="AB73" s="678">
        <v>0</v>
      </c>
      <c r="AC73" s="383">
        <v>15992.276</v>
      </c>
      <c r="AD73" s="263">
        <v>0</v>
      </c>
      <c r="AE73" s="263">
        <v>100.3</v>
      </c>
      <c r="AF73" s="263">
        <v>0</v>
      </c>
      <c r="AG73" s="315">
        <f t="shared" si="10"/>
        <v>16092.575999999999</v>
      </c>
      <c r="AH73" s="263"/>
      <c r="AI73" s="315">
        <f t="shared" si="11"/>
        <v>16092.575999999999</v>
      </c>
      <c r="AJ73" s="678">
        <v>0</v>
      </c>
      <c r="AK73" s="678">
        <v>0</v>
      </c>
      <c r="AL73" s="678">
        <v>0</v>
      </c>
      <c r="AM73" s="678">
        <v>0</v>
      </c>
      <c r="AN73" s="678">
        <v>0</v>
      </c>
      <c r="AO73" s="678">
        <v>0</v>
      </c>
      <c r="AP73" s="678">
        <v>0</v>
      </c>
      <c r="AQ73" s="678">
        <v>0</v>
      </c>
      <c r="AR73" s="678">
        <v>0</v>
      </c>
    </row>
    <row r="74" spans="2:44" s="12" customFormat="1">
      <c r="B74" s="344" t="s">
        <v>362</v>
      </c>
      <c r="C74" s="261"/>
      <c r="D74" s="259" t="s">
        <v>363</v>
      </c>
      <c r="E74" s="461" t="s">
        <v>20</v>
      </c>
      <c r="F74" s="260" t="s">
        <v>24</v>
      </c>
      <c r="G74" s="260" t="s">
        <v>22</v>
      </c>
      <c r="H74" s="261" t="s">
        <v>18</v>
      </c>
      <c r="I74" s="259"/>
      <c r="J74" s="674">
        <v>1453685.5</v>
      </c>
      <c r="K74" s="259"/>
      <c r="L74" s="812">
        <v>0</v>
      </c>
      <c r="M74" s="800">
        <v>79856.78</v>
      </c>
      <c r="N74" s="263">
        <v>42402.38</v>
      </c>
      <c r="O74" s="263">
        <v>448146.57</v>
      </c>
      <c r="P74" s="263">
        <v>1257941.8103935907</v>
      </c>
      <c r="Q74" s="314">
        <f t="shared" si="8"/>
        <v>1828347.5403935907</v>
      </c>
      <c r="R74" s="264"/>
      <c r="S74" s="315">
        <f t="shared" si="9"/>
        <v>1828347.5403935907</v>
      </c>
      <c r="T74" s="678">
        <v>2756432.8515936481</v>
      </c>
      <c r="U74" s="678">
        <v>935.07660841700067</v>
      </c>
      <c r="V74" s="678">
        <v>119.71899999999999</v>
      </c>
      <c r="W74" s="678">
        <v>0</v>
      </c>
      <c r="X74" s="678">
        <v>0</v>
      </c>
      <c r="Y74" s="679">
        <v>41468408.549186088</v>
      </c>
      <c r="Z74" s="679">
        <v>2134.4169999999999</v>
      </c>
      <c r="AA74" s="678">
        <v>0</v>
      </c>
      <c r="AB74" s="678">
        <v>0</v>
      </c>
      <c r="AC74" s="383">
        <v>74338.12</v>
      </c>
      <c r="AD74" s="263">
        <v>31630.85</v>
      </c>
      <c r="AE74" s="263">
        <v>513514.41</v>
      </c>
      <c r="AF74" s="263">
        <v>1290488.6335402834</v>
      </c>
      <c r="AG74" s="315">
        <f t="shared" si="10"/>
        <v>1909972.0135402833</v>
      </c>
      <c r="AH74" s="264"/>
      <c r="AI74" s="315">
        <f t="shared" si="11"/>
        <v>1909972.0135402833</v>
      </c>
      <c r="AJ74" s="678">
        <v>2878513.8846432245</v>
      </c>
      <c r="AK74" s="678">
        <v>970.18417372882095</v>
      </c>
      <c r="AL74" s="678">
        <v>121.32</v>
      </c>
      <c r="AM74" s="678">
        <v>0</v>
      </c>
      <c r="AN74" s="678">
        <v>0</v>
      </c>
      <c r="AO74" s="679">
        <v>43238551.60616225</v>
      </c>
      <c r="AP74" s="679">
        <v>2164.3670000000002</v>
      </c>
      <c r="AQ74" s="678">
        <v>0</v>
      </c>
      <c r="AR74" s="678">
        <v>0</v>
      </c>
    </row>
    <row r="75" spans="2:44" s="12" customFormat="1">
      <c r="B75" s="342" t="s">
        <v>364</v>
      </c>
      <c r="C75" s="261"/>
      <c r="D75" s="259" t="s">
        <v>365</v>
      </c>
      <c r="E75" s="461" t="s">
        <v>20</v>
      </c>
      <c r="F75" s="260" t="s">
        <v>16</v>
      </c>
      <c r="G75" s="260" t="s">
        <v>22</v>
      </c>
      <c r="H75" s="261" t="s">
        <v>18</v>
      </c>
      <c r="I75" s="259"/>
      <c r="J75" s="674">
        <v>778406.76340000005</v>
      </c>
      <c r="K75" s="259"/>
      <c r="L75" s="812">
        <v>179795.92169781134</v>
      </c>
      <c r="M75" s="800">
        <v>357545.54</v>
      </c>
      <c r="N75" s="263">
        <v>0</v>
      </c>
      <c r="O75" s="263">
        <v>754481.31</v>
      </c>
      <c r="P75" s="263">
        <v>0</v>
      </c>
      <c r="Q75" s="314">
        <f t="shared" si="8"/>
        <v>1112026.8500000001</v>
      </c>
      <c r="R75" s="264"/>
      <c r="S75" s="315">
        <f t="shared" si="9"/>
        <v>1112026.8500000001</v>
      </c>
      <c r="T75" s="679">
        <v>0</v>
      </c>
      <c r="U75" s="679">
        <v>0</v>
      </c>
      <c r="V75" s="679">
        <v>0</v>
      </c>
      <c r="W75" s="678">
        <v>0</v>
      </c>
      <c r="X75" s="678">
        <v>0</v>
      </c>
      <c r="Y75" s="679">
        <v>0</v>
      </c>
      <c r="Z75" s="679">
        <v>0</v>
      </c>
      <c r="AA75" s="678">
        <v>0</v>
      </c>
      <c r="AB75" s="678">
        <v>0</v>
      </c>
      <c r="AC75" s="384">
        <v>444343.99369999999</v>
      </c>
      <c r="AD75" s="264">
        <v>0</v>
      </c>
      <c r="AE75" s="264">
        <v>649544.8835</v>
      </c>
      <c r="AF75" s="264">
        <v>0</v>
      </c>
      <c r="AG75" s="315">
        <f t="shared" si="10"/>
        <v>1093888.8772</v>
      </c>
      <c r="AH75" s="264"/>
      <c r="AI75" s="315">
        <f t="shared" si="11"/>
        <v>1093888.8772</v>
      </c>
      <c r="AJ75" s="679">
        <v>0</v>
      </c>
      <c r="AK75" s="679">
        <v>0</v>
      </c>
      <c r="AL75" s="679">
        <v>0</v>
      </c>
      <c r="AM75" s="678">
        <v>0</v>
      </c>
      <c r="AN75" s="678">
        <v>0</v>
      </c>
      <c r="AO75" s="679">
        <v>0</v>
      </c>
      <c r="AP75" s="679">
        <v>0</v>
      </c>
      <c r="AQ75" s="678">
        <v>0</v>
      </c>
      <c r="AR75" s="678">
        <v>0</v>
      </c>
    </row>
    <row r="76" spans="2:44" s="12" customFormat="1">
      <c r="B76" s="344" t="s">
        <v>366</v>
      </c>
      <c r="C76" s="260"/>
      <c r="D76" s="259" t="s">
        <v>367</v>
      </c>
      <c r="E76" s="461" t="s">
        <v>20</v>
      </c>
      <c r="F76" s="260" t="s">
        <v>24</v>
      </c>
      <c r="G76" s="260" t="s">
        <v>17</v>
      </c>
      <c r="H76" s="261" t="s">
        <v>18</v>
      </c>
      <c r="I76" s="262"/>
      <c r="J76" s="674">
        <v>1012100.91</v>
      </c>
      <c r="K76" s="262"/>
      <c r="L76" s="812">
        <v>0</v>
      </c>
      <c r="M76" s="800">
        <v>94803.47</v>
      </c>
      <c r="N76" s="263">
        <v>275245.68</v>
      </c>
      <c r="O76" s="263">
        <v>740366.63</v>
      </c>
      <c r="P76" s="263">
        <v>946590.74560000002</v>
      </c>
      <c r="Q76" s="313">
        <f t="shared" si="8"/>
        <v>2057006.5256000001</v>
      </c>
      <c r="R76" s="263"/>
      <c r="S76" s="315">
        <f t="shared" si="9"/>
        <v>2057006.5256000001</v>
      </c>
      <c r="T76" s="678">
        <v>2196845.523</v>
      </c>
      <c r="U76" s="678">
        <v>419.00374620000002</v>
      </c>
      <c r="V76" s="678">
        <v>75.325000000000003</v>
      </c>
      <c r="W76" s="678">
        <v>0</v>
      </c>
      <c r="X76" s="678">
        <v>0</v>
      </c>
      <c r="Y76" s="678">
        <v>21968455.23</v>
      </c>
      <c r="Z76" s="678">
        <v>753.24800000000005</v>
      </c>
      <c r="AA76" s="678">
        <v>0</v>
      </c>
      <c r="AB76" s="678">
        <v>0</v>
      </c>
      <c r="AC76" s="383">
        <v>95808.79</v>
      </c>
      <c r="AD76" s="263">
        <v>225439.47</v>
      </c>
      <c r="AE76" s="263">
        <v>753485.7</v>
      </c>
      <c r="AF76" s="263">
        <v>1055790.612</v>
      </c>
      <c r="AG76" s="315">
        <f t="shared" si="10"/>
        <v>2130524.5719999997</v>
      </c>
      <c r="AH76" s="263"/>
      <c r="AI76" s="315">
        <f t="shared" si="11"/>
        <v>2130524.5719999997</v>
      </c>
      <c r="AJ76" s="678">
        <v>2457832.9027459999</v>
      </c>
      <c r="AK76" s="678">
        <v>474.5212004</v>
      </c>
      <c r="AL76" s="678">
        <v>95.545000000000002</v>
      </c>
      <c r="AM76" s="678">
        <v>0</v>
      </c>
      <c r="AN76" s="678">
        <v>0</v>
      </c>
      <c r="AO76" s="678">
        <v>24578329.027460001</v>
      </c>
      <c r="AP76" s="678">
        <v>955.44600000000003</v>
      </c>
      <c r="AQ76" s="678">
        <v>0</v>
      </c>
      <c r="AR76" s="678">
        <v>0</v>
      </c>
    </row>
    <row r="77" spans="2:44" s="12" customFormat="1">
      <c r="B77" s="344" t="s">
        <v>368</v>
      </c>
      <c r="C77" s="260"/>
      <c r="D77" s="259" t="s">
        <v>369</v>
      </c>
      <c r="E77" s="461" t="s">
        <v>20</v>
      </c>
      <c r="F77" s="260" t="s">
        <v>16</v>
      </c>
      <c r="G77" s="260" t="s">
        <v>17</v>
      </c>
      <c r="H77" s="261" t="s">
        <v>18</v>
      </c>
      <c r="I77" s="262"/>
      <c r="J77" s="674">
        <v>886465.1017</v>
      </c>
      <c r="K77" s="262"/>
      <c r="L77" s="812">
        <v>0</v>
      </c>
      <c r="M77" s="800">
        <v>386007.32</v>
      </c>
      <c r="N77" s="263">
        <v>0</v>
      </c>
      <c r="O77" s="263">
        <v>980033.89</v>
      </c>
      <c r="P77" s="263">
        <v>0</v>
      </c>
      <c r="Q77" s="313">
        <f t="shared" si="8"/>
        <v>1366041.21</v>
      </c>
      <c r="R77" s="263"/>
      <c r="S77" s="315">
        <f t="shared" si="9"/>
        <v>1366041.21</v>
      </c>
      <c r="T77" s="678">
        <v>0</v>
      </c>
      <c r="U77" s="678">
        <v>0</v>
      </c>
      <c r="V77" s="678">
        <v>0</v>
      </c>
      <c r="W77" s="678">
        <v>0</v>
      </c>
      <c r="X77" s="678">
        <v>0</v>
      </c>
      <c r="Y77" s="678">
        <v>0</v>
      </c>
      <c r="Z77" s="678">
        <v>0</v>
      </c>
      <c r="AA77" s="678">
        <v>0</v>
      </c>
      <c r="AB77" s="678">
        <v>0</v>
      </c>
      <c r="AC77" s="383">
        <v>548245.45200000005</v>
      </c>
      <c r="AD77" s="263">
        <v>0</v>
      </c>
      <c r="AE77" s="263">
        <v>933724.56200000003</v>
      </c>
      <c r="AF77" s="263">
        <v>0</v>
      </c>
      <c r="AG77" s="315">
        <f t="shared" si="10"/>
        <v>1481970.014</v>
      </c>
      <c r="AH77" s="263"/>
      <c r="AI77" s="315">
        <f t="shared" si="11"/>
        <v>1481970.014</v>
      </c>
      <c r="AJ77" s="678">
        <v>0</v>
      </c>
      <c r="AK77" s="678">
        <v>0</v>
      </c>
      <c r="AL77" s="678">
        <v>0</v>
      </c>
      <c r="AM77" s="678">
        <v>0</v>
      </c>
      <c r="AN77" s="678">
        <v>0</v>
      </c>
      <c r="AO77" s="678">
        <v>0</v>
      </c>
      <c r="AP77" s="678">
        <v>0</v>
      </c>
      <c r="AQ77" s="678">
        <v>0</v>
      </c>
      <c r="AR77" s="678">
        <v>0</v>
      </c>
    </row>
    <row r="78" spans="2:44" s="12" customFormat="1">
      <c r="B78" s="344" t="s">
        <v>370</v>
      </c>
      <c r="C78" s="260"/>
      <c r="D78" s="259" t="s">
        <v>371</v>
      </c>
      <c r="E78" s="461" t="s">
        <v>15</v>
      </c>
      <c r="F78" s="260" t="s">
        <v>24</v>
      </c>
      <c r="G78" s="260" t="s">
        <v>32</v>
      </c>
      <c r="H78" s="261" t="s">
        <v>23</v>
      </c>
      <c r="I78" s="262"/>
      <c r="J78" s="674">
        <v>81433</v>
      </c>
      <c r="K78" s="262"/>
      <c r="L78" s="812">
        <v>0</v>
      </c>
      <c r="M78" s="800">
        <v>1396</v>
      </c>
      <c r="N78" s="263">
        <v>8725</v>
      </c>
      <c r="O78" s="263">
        <v>129479</v>
      </c>
      <c r="P78" s="263">
        <v>0</v>
      </c>
      <c r="Q78" s="313">
        <f t="shared" si="8"/>
        <v>139600</v>
      </c>
      <c r="R78" s="263"/>
      <c r="S78" s="315">
        <f t="shared" si="9"/>
        <v>139600</v>
      </c>
      <c r="T78" s="679">
        <v>0</v>
      </c>
      <c r="U78" s="679">
        <v>0</v>
      </c>
      <c r="V78" s="679">
        <v>0</v>
      </c>
      <c r="W78" s="678">
        <v>0</v>
      </c>
      <c r="X78" s="678">
        <v>0</v>
      </c>
      <c r="Y78" s="678">
        <v>0</v>
      </c>
      <c r="Z78" s="678">
        <v>0</v>
      </c>
      <c r="AA78" s="678">
        <v>0</v>
      </c>
      <c r="AB78" s="678">
        <v>0</v>
      </c>
      <c r="AC78" s="384">
        <v>1396</v>
      </c>
      <c r="AD78" s="264">
        <v>8725</v>
      </c>
      <c r="AE78" s="264">
        <v>129479</v>
      </c>
      <c r="AF78" s="264">
        <v>0</v>
      </c>
      <c r="AG78" s="315">
        <f t="shared" si="10"/>
        <v>139600</v>
      </c>
      <c r="AH78" s="263"/>
      <c r="AI78" s="315">
        <f t="shared" si="11"/>
        <v>139600</v>
      </c>
      <c r="AJ78" s="679">
        <v>0</v>
      </c>
      <c r="AK78" s="679">
        <v>0</v>
      </c>
      <c r="AL78" s="679">
        <v>0</v>
      </c>
      <c r="AM78" s="678">
        <v>0</v>
      </c>
      <c r="AN78" s="678">
        <v>0</v>
      </c>
      <c r="AO78" s="678">
        <v>0</v>
      </c>
      <c r="AP78" s="678">
        <v>0</v>
      </c>
      <c r="AQ78" s="678">
        <v>0</v>
      </c>
      <c r="AR78" s="678">
        <v>0</v>
      </c>
    </row>
    <row r="79" spans="2:44" s="12" customFormat="1">
      <c r="B79" s="344" t="s">
        <v>372</v>
      </c>
      <c r="C79" s="260"/>
      <c r="D79" s="259" t="s">
        <v>373</v>
      </c>
      <c r="E79" s="461" t="s">
        <v>15</v>
      </c>
      <c r="F79" s="260" t="s">
        <v>16</v>
      </c>
      <c r="G79" s="260" t="s">
        <v>32</v>
      </c>
      <c r="H79" s="261" t="s">
        <v>23</v>
      </c>
      <c r="I79" s="262"/>
      <c r="J79" s="674">
        <v>25236.7808</v>
      </c>
      <c r="K79" s="262"/>
      <c r="L79" s="812">
        <v>0</v>
      </c>
      <c r="M79" s="800">
        <v>2900.16</v>
      </c>
      <c r="N79" s="263">
        <v>0</v>
      </c>
      <c r="O79" s="263">
        <v>0.52</v>
      </c>
      <c r="P79" s="263">
        <v>0</v>
      </c>
      <c r="Q79" s="314">
        <f t="shared" si="8"/>
        <v>2900.68</v>
      </c>
      <c r="R79" s="263"/>
      <c r="S79" s="315">
        <f t="shared" si="9"/>
        <v>2900.68</v>
      </c>
      <c r="T79" s="678">
        <v>0</v>
      </c>
      <c r="U79" s="678">
        <v>0</v>
      </c>
      <c r="V79" s="678">
        <v>0</v>
      </c>
      <c r="W79" s="678">
        <v>0</v>
      </c>
      <c r="X79" s="678">
        <v>0</v>
      </c>
      <c r="Y79" s="679">
        <v>0</v>
      </c>
      <c r="Z79" s="679">
        <v>0</v>
      </c>
      <c r="AA79" s="678">
        <v>0</v>
      </c>
      <c r="AB79" s="678">
        <v>0</v>
      </c>
      <c r="AC79" s="383">
        <v>3123.7568000000001</v>
      </c>
      <c r="AD79" s="263">
        <v>0</v>
      </c>
      <c r="AE79" s="263">
        <v>19.59</v>
      </c>
      <c r="AF79" s="263">
        <v>0</v>
      </c>
      <c r="AG79" s="315">
        <f t="shared" si="10"/>
        <v>3143.3468000000003</v>
      </c>
      <c r="AH79" s="263"/>
      <c r="AI79" s="315">
        <f t="shared" si="11"/>
        <v>3143.3468000000003</v>
      </c>
      <c r="AJ79" s="678">
        <v>0</v>
      </c>
      <c r="AK79" s="678">
        <v>0</v>
      </c>
      <c r="AL79" s="678">
        <v>0</v>
      </c>
      <c r="AM79" s="678">
        <v>0</v>
      </c>
      <c r="AN79" s="678">
        <v>0</v>
      </c>
      <c r="AO79" s="679">
        <v>0</v>
      </c>
      <c r="AP79" s="679">
        <v>0</v>
      </c>
      <c r="AQ79" s="678">
        <v>0</v>
      </c>
      <c r="AR79" s="678">
        <v>0</v>
      </c>
    </row>
    <row r="80" spans="2:44" s="12" customFormat="1">
      <c r="B80" s="344" t="s">
        <v>374</v>
      </c>
      <c r="C80" s="260"/>
      <c r="D80" s="259" t="s">
        <v>375</v>
      </c>
      <c r="E80" s="461" t="s">
        <v>15</v>
      </c>
      <c r="F80" s="260" t="s">
        <v>24</v>
      </c>
      <c r="G80" s="260" t="s">
        <v>32</v>
      </c>
      <c r="H80" s="261" t="s">
        <v>26</v>
      </c>
      <c r="I80" s="262"/>
      <c r="J80" s="674">
        <v>172034</v>
      </c>
      <c r="K80" s="262"/>
      <c r="L80" s="812">
        <v>0</v>
      </c>
      <c r="M80" s="800">
        <v>21817.917300000001</v>
      </c>
      <c r="N80" s="263">
        <v>15689.2889</v>
      </c>
      <c r="O80" s="263">
        <v>207637.93220000001</v>
      </c>
      <c r="P80" s="263">
        <v>0</v>
      </c>
      <c r="Q80" s="313">
        <f t="shared" si="8"/>
        <v>245145.1384</v>
      </c>
      <c r="R80" s="263"/>
      <c r="S80" s="315">
        <f t="shared" si="9"/>
        <v>245145.1384</v>
      </c>
      <c r="T80" s="678">
        <v>0</v>
      </c>
      <c r="U80" s="678">
        <v>0</v>
      </c>
      <c r="V80" s="678">
        <v>0</v>
      </c>
      <c r="W80" s="678">
        <v>0</v>
      </c>
      <c r="X80" s="678">
        <v>0</v>
      </c>
      <c r="Y80" s="678">
        <v>0</v>
      </c>
      <c r="Z80" s="678">
        <v>0</v>
      </c>
      <c r="AA80" s="678">
        <v>0</v>
      </c>
      <c r="AB80" s="678">
        <v>0</v>
      </c>
      <c r="AC80" s="383">
        <v>20197.821100000001</v>
      </c>
      <c r="AD80" s="263">
        <v>14521.309300000001</v>
      </c>
      <c r="AE80" s="263">
        <v>229304.67449999999</v>
      </c>
      <c r="AF80" s="263">
        <v>0</v>
      </c>
      <c r="AG80" s="315">
        <f t="shared" si="10"/>
        <v>264023.80489999999</v>
      </c>
      <c r="AH80" s="263"/>
      <c r="AI80" s="315">
        <f t="shared" si="11"/>
        <v>264023.80489999999</v>
      </c>
      <c r="AJ80" s="678">
        <v>0</v>
      </c>
      <c r="AK80" s="678">
        <v>0</v>
      </c>
      <c r="AL80" s="678">
        <v>0</v>
      </c>
      <c r="AM80" s="678">
        <v>0</v>
      </c>
      <c r="AN80" s="678">
        <v>0</v>
      </c>
      <c r="AO80" s="678">
        <v>0</v>
      </c>
      <c r="AP80" s="678">
        <v>0</v>
      </c>
      <c r="AQ80" s="678">
        <v>0</v>
      </c>
      <c r="AR80" s="678">
        <v>0</v>
      </c>
    </row>
    <row r="81" spans="2:44" s="12" customFormat="1">
      <c r="B81" s="344" t="s">
        <v>376</v>
      </c>
      <c r="C81" s="260"/>
      <c r="D81" s="259" t="s">
        <v>377</v>
      </c>
      <c r="E81" s="461" t="s">
        <v>15</v>
      </c>
      <c r="F81" s="260" t="s">
        <v>16</v>
      </c>
      <c r="G81" s="260" t="s">
        <v>32</v>
      </c>
      <c r="H81" s="261" t="s">
        <v>26</v>
      </c>
      <c r="I81" s="262"/>
      <c r="J81" s="674">
        <v>25236.7808</v>
      </c>
      <c r="K81" s="262"/>
      <c r="L81" s="812">
        <v>0</v>
      </c>
      <c r="M81" s="800">
        <v>3249.77</v>
      </c>
      <c r="N81" s="263">
        <v>0</v>
      </c>
      <c r="O81" s="263">
        <v>0.57999999999999996</v>
      </c>
      <c r="P81" s="263">
        <v>0</v>
      </c>
      <c r="Q81" s="313">
        <f t="shared" si="8"/>
        <v>3250.35</v>
      </c>
      <c r="R81" s="263"/>
      <c r="S81" s="315">
        <f t="shared" si="9"/>
        <v>3250.35</v>
      </c>
      <c r="T81" s="678">
        <v>0</v>
      </c>
      <c r="U81" s="678">
        <v>0</v>
      </c>
      <c r="V81" s="678">
        <v>0</v>
      </c>
      <c r="W81" s="678">
        <v>0</v>
      </c>
      <c r="X81" s="678">
        <v>0</v>
      </c>
      <c r="Y81" s="678">
        <v>0</v>
      </c>
      <c r="Z81" s="678">
        <v>0</v>
      </c>
      <c r="AA81" s="678">
        <v>0</v>
      </c>
      <c r="AB81" s="678">
        <v>0</v>
      </c>
      <c r="AC81" s="383">
        <v>3513.8168000000001</v>
      </c>
      <c r="AD81" s="263">
        <v>0</v>
      </c>
      <c r="AE81" s="263">
        <v>22.04</v>
      </c>
      <c r="AF81" s="263">
        <v>0</v>
      </c>
      <c r="AG81" s="315">
        <f t="shared" si="10"/>
        <v>3535.8568</v>
      </c>
      <c r="AH81" s="263"/>
      <c r="AI81" s="315">
        <f t="shared" si="11"/>
        <v>3535.8568</v>
      </c>
      <c r="AJ81" s="678">
        <v>0</v>
      </c>
      <c r="AK81" s="678">
        <v>0</v>
      </c>
      <c r="AL81" s="678">
        <v>0</v>
      </c>
      <c r="AM81" s="678">
        <v>0</v>
      </c>
      <c r="AN81" s="678">
        <v>0</v>
      </c>
      <c r="AO81" s="678">
        <v>0</v>
      </c>
      <c r="AP81" s="678">
        <v>0</v>
      </c>
      <c r="AQ81" s="678">
        <v>0</v>
      </c>
      <c r="AR81" s="678">
        <v>0</v>
      </c>
    </row>
    <row r="82" spans="2:44" s="12" customFormat="1">
      <c r="B82" s="342" t="s">
        <v>378</v>
      </c>
      <c r="C82" s="261"/>
      <c r="D82" s="259" t="s">
        <v>379</v>
      </c>
      <c r="E82" s="461" t="s">
        <v>20</v>
      </c>
      <c r="F82" s="260" t="s">
        <v>24</v>
      </c>
      <c r="G82" s="260" t="s">
        <v>22</v>
      </c>
      <c r="H82" s="261" t="s">
        <v>18</v>
      </c>
      <c r="I82" s="259"/>
      <c r="J82" s="674">
        <v>0</v>
      </c>
      <c r="K82" s="259"/>
      <c r="L82" s="812">
        <v>0</v>
      </c>
      <c r="M82" s="800">
        <v>37802.400699999998</v>
      </c>
      <c r="N82" s="263">
        <v>13598.3104</v>
      </c>
      <c r="O82" s="263">
        <v>45327.701200000003</v>
      </c>
      <c r="P82" s="263">
        <v>180899.9816</v>
      </c>
      <c r="Q82" s="314">
        <f t="shared" si="8"/>
        <v>277628.39390000002</v>
      </c>
      <c r="R82" s="264"/>
      <c r="S82" s="315">
        <f t="shared" si="9"/>
        <v>277628.39390000002</v>
      </c>
      <c r="T82" s="678">
        <v>262554.40000000002</v>
      </c>
      <c r="U82" s="678">
        <v>51.371919009999999</v>
      </c>
      <c r="V82" s="678">
        <v>15.023999999999999</v>
      </c>
      <c r="W82" s="678">
        <v>0</v>
      </c>
      <c r="X82" s="678">
        <v>0</v>
      </c>
      <c r="Y82" s="679">
        <v>2284223.2799999998</v>
      </c>
      <c r="Z82" s="679">
        <v>130.708</v>
      </c>
      <c r="AA82" s="678">
        <v>0</v>
      </c>
      <c r="AB82" s="678">
        <v>0</v>
      </c>
      <c r="AC82" s="383">
        <v>124677.5229</v>
      </c>
      <c r="AD82" s="263">
        <v>46738.080000000002</v>
      </c>
      <c r="AE82" s="263">
        <v>155793.60000000001</v>
      </c>
      <c r="AF82" s="263">
        <v>529280.24025749997</v>
      </c>
      <c r="AG82" s="315">
        <f t="shared" si="10"/>
        <v>856489.44315750001</v>
      </c>
      <c r="AH82" s="264"/>
      <c r="AI82" s="315">
        <f t="shared" si="11"/>
        <v>856489.44315750001</v>
      </c>
      <c r="AJ82" s="678">
        <v>918291.46</v>
      </c>
      <c r="AK82" s="678">
        <v>179.46720977656</v>
      </c>
      <c r="AL82" s="678">
        <v>52.076000000000001</v>
      </c>
      <c r="AM82" s="678">
        <v>0</v>
      </c>
      <c r="AN82" s="678">
        <v>0</v>
      </c>
      <c r="AO82" s="679">
        <v>7575904.5449999999</v>
      </c>
      <c r="AP82" s="679">
        <v>429.63099999999997</v>
      </c>
      <c r="AQ82" s="678">
        <v>0</v>
      </c>
      <c r="AR82" s="678">
        <v>0</v>
      </c>
    </row>
    <row r="83" spans="2:44" s="12" customFormat="1">
      <c r="B83" s="344" t="s">
        <v>380</v>
      </c>
      <c r="C83" s="260"/>
      <c r="D83" s="259" t="s">
        <v>381</v>
      </c>
      <c r="E83" s="461" t="s">
        <v>20</v>
      </c>
      <c r="F83" s="260" t="s">
        <v>16</v>
      </c>
      <c r="G83" s="260" t="s">
        <v>22</v>
      </c>
      <c r="H83" s="261" t="s">
        <v>18</v>
      </c>
      <c r="I83" s="265"/>
      <c r="J83" s="674">
        <v>0</v>
      </c>
      <c r="K83" s="265"/>
      <c r="L83" s="812">
        <v>0</v>
      </c>
      <c r="M83" s="800">
        <v>3973.69</v>
      </c>
      <c r="N83" s="263">
        <v>0</v>
      </c>
      <c r="O83" s="263">
        <v>0.71</v>
      </c>
      <c r="P83" s="263">
        <v>0</v>
      </c>
      <c r="Q83" s="313">
        <f t="shared" si="8"/>
        <v>3974.4</v>
      </c>
      <c r="R83" s="263"/>
      <c r="S83" s="315">
        <f t="shared" si="9"/>
        <v>3974.4</v>
      </c>
      <c r="T83" s="678">
        <v>0</v>
      </c>
      <c r="U83" s="678">
        <v>0</v>
      </c>
      <c r="V83" s="678">
        <v>0</v>
      </c>
      <c r="W83" s="678">
        <v>0</v>
      </c>
      <c r="X83" s="678">
        <v>0</v>
      </c>
      <c r="Y83" s="678">
        <v>0</v>
      </c>
      <c r="Z83" s="678">
        <v>0</v>
      </c>
      <c r="AA83" s="678">
        <v>0</v>
      </c>
      <c r="AB83" s="678">
        <v>0</v>
      </c>
      <c r="AC83" s="383">
        <v>5874.2672000000002</v>
      </c>
      <c r="AD83" s="263">
        <v>0</v>
      </c>
      <c r="AE83" s="263">
        <v>36.840000000000003</v>
      </c>
      <c r="AF83" s="263">
        <v>0</v>
      </c>
      <c r="AG83" s="315">
        <f t="shared" si="10"/>
        <v>5911.1072000000004</v>
      </c>
      <c r="AH83" s="263"/>
      <c r="AI83" s="315">
        <f t="shared" si="11"/>
        <v>5911.1072000000004</v>
      </c>
      <c r="AJ83" s="678">
        <v>0</v>
      </c>
      <c r="AK83" s="678">
        <v>0</v>
      </c>
      <c r="AL83" s="678">
        <v>0</v>
      </c>
      <c r="AM83" s="678">
        <v>0</v>
      </c>
      <c r="AN83" s="678">
        <v>0</v>
      </c>
      <c r="AO83" s="678">
        <v>0</v>
      </c>
      <c r="AP83" s="678">
        <v>0</v>
      </c>
      <c r="AQ83" s="678">
        <v>0</v>
      </c>
      <c r="AR83" s="678">
        <v>0</v>
      </c>
    </row>
    <row r="84" spans="2:44" s="12" customFormat="1">
      <c r="B84" s="344" t="s">
        <v>382</v>
      </c>
      <c r="C84" s="260"/>
      <c r="D84" s="259" t="s">
        <v>383</v>
      </c>
      <c r="E84" s="461" t="s">
        <v>20</v>
      </c>
      <c r="F84" s="260" t="s">
        <v>24</v>
      </c>
      <c r="G84" s="260" t="s">
        <v>17</v>
      </c>
      <c r="H84" s="261" t="s">
        <v>23</v>
      </c>
      <c r="I84" s="265"/>
      <c r="J84" s="674">
        <v>0</v>
      </c>
      <c r="K84" s="265"/>
      <c r="L84" s="812">
        <v>0</v>
      </c>
      <c r="M84" s="800">
        <v>0</v>
      </c>
      <c r="N84" s="263">
        <v>0</v>
      </c>
      <c r="O84" s="263">
        <v>0</v>
      </c>
      <c r="P84" s="263">
        <v>0</v>
      </c>
      <c r="Q84" s="313">
        <f t="shared" si="8"/>
        <v>0</v>
      </c>
      <c r="R84" s="263"/>
      <c r="S84" s="315">
        <f t="shared" si="9"/>
        <v>0</v>
      </c>
      <c r="T84" s="678">
        <v>0</v>
      </c>
      <c r="U84" s="678">
        <v>0</v>
      </c>
      <c r="V84" s="678">
        <v>0</v>
      </c>
      <c r="W84" s="678">
        <v>0</v>
      </c>
      <c r="X84" s="678">
        <v>0</v>
      </c>
      <c r="Y84" s="678">
        <v>0</v>
      </c>
      <c r="Z84" s="678">
        <v>0</v>
      </c>
      <c r="AA84" s="678">
        <v>0</v>
      </c>
      <c r="AB84" s="678">
        <v>0</v>
      </c>
      <c r="AC84" s="383">
        <v>96324</v>
      </c>
      <c r="AD84" s="263">
        <v>77059.199999999997</v>
      </c>
      <c r="AE84" s="263">
        <v>789856.8</v>
      </c>
      <c r="AF84" s="263">
        <v>0</v>
      </c>
      <c r="AG84" s="315">
        <f t="shared" si="10"/>
        <v>963240</v>
      </c>
      <c r="AH84" s="263"/>
      <c r="AI84" s="315">
        <f t="shared" si="11"/>
        <v>963240</v>
      </c>
      <c r="AJ84" s="678">
        <v>0</v>
      </c>
      <c r="AK84" s="678">
        <v>0</v>
      </c>
      <c r="AL84" s="678">
        <v>0</v>
      </c>
      <c r="AM84" s="678">
        <v>0</v>
      </c>
      <c r="AN84" s="678">
        <v>0</v>
      </c>
      <c r="AO84" s="678">
        <v>0</v>
      </c>
      <c r="AP84" s="678">
        <v>0</v>
      </c>
      <c r="AQ84" s="678">
        <v>0</v>
      </c>
      <c r="AR84" s="678">
        <v>0</v>
      </c>
    </row>
    <row r="85" spans="2:44" s="12" customFormat="1">
      <c r="B85" s="344" t="s">
        <v>384</v>
      </c>
      <c r="C85" s="260"/>
      <c r="D85" s="259" t="s">
        <v>385</v>
      </c>
      <c r="E85" s="461" t="s">
        <v>20</v>
      </c>
      <c r="F85" s="260" t="s">
        <v>16</v>
      </c>
      <c r="G85" s="260" t="s">
        <v>17</v>
      </c>
      <c r="H85" s="261" t="s">
        <v>23</v>
      </c>
      <c r="I85" s="265"/>
      <c r="J85" s="674">
        <v>0</v>
      </c>
      <c r="K85" s="265"/>
      <c r="L85" s="812">
        <v>0</v>
      </c>
      <c r="M85" s="800">
        <v>0</v>
      </c>
      <c r="N85" s="263">
        <v>0</v>
      </c>
      <c r="O85" s="263">
        <v>0</v>
      </c>
      <c r="P85" s="263">
        <v>0</v>
      </c>
      <c r="Q85" s="313">
        <f t="shared" si="8"/>
        <v>0</v>
      </c>
      <c r="R85" s="263"/>
      <c r="S85" s="315">
        <f t="shared" si="9"/>
        <v>0</v>
      </c>
      <c r="T85" s="678">
        <v>0</v>
      </c>
      <c r="U85" s="678">
        <v>0</v>
      </c>
      <c r="V85" s="678">
        <v>0</v>
      </c>
      <c r="W85" s="678">
        <v>0</v>
      </c>
      <c r="X85" s="678">
        <v>0</v>
      </c>
      <c r="Y85" s="678">
        <v>0</v>
      </c>
      <c r="Z85" s="678">
        <v>0</v>
      </c>
      <c r="AA85" s="678">
        <v>0</v>
      </c>
      <c r="AB85" s="678">
        <v>0</v>
      </c>
      <c r="AC85" s="383">
        <v>259771.4817</v>
      </c>
      <c r="AD85" s="263">
        <v>0</v>
      </c>
      <c r="AE85" s="263">
        <v>408411.56150000001</v>
      </c>
      <c r="AF85" s="263">
        <v>0</v>
      </c>
      <c r="AG85" s="315">
        <f t="shared" si="10"/>
        <v>668183.04319999996</v>
      </c>
      <c r="AH85" s="263"/>
      <c r="AI85" s="315">
        <f t="shared" si="11"/>
        <v>668183.04319999996</v>
      </c>
      <c r="AJ85" s="678">
        <v>0</v>
      </c>
      <c r="AK85" s="678">
        <v>0</v>
      </c>
      <c r="AL85" s="678">
        <v>0</v>
      </c>
      <c r="AM85" s="678">
        <v>0</v>
      </c>
      <c r="AN85" s="678">
        <v>0</v>
      </c>
      <c r="AO85" s="678">
        <v>0</v>
      </c>
      <c r="AP85" s="678">
        <v>0</v>
      </c>
      <c r="AQ85" s="678">
        <v>0</v>
      </c>
      <c r="AR85" s="678">
        <v>0</v>
      </c>
    </row>
    <row r="86" spans="2:44" s="12" customFormat="1">
      <c r="B86" s="344" t="s">
        <v>386</v>
      </c>
      <c r="C86" s="260"/>
      <c r="D86" s="259" t="s">
        <v>387</v>
      </c>
      <c r="E86" s="461" t="s">
        <v>15</v>
      </c>
      <c r="F86" s="260" t="s">
        <v>24</v>
      </c>
      <c r="G86" s="260" t="s">
        <v>29</v>
      </c>
      <c r="H86" s="261" t="s">
        <v>23</v>
      </c>
      <c r="I86" s="262"/>
      <c r="J86" s="674">
        <v>136500</v>
      </c>
      <c r="K86" s="262"/>
      <c r="L86" s="812">
        <v>0</v>
      </c>
      <c r="M86" s="800">
        <v>4118.3999999999996</v>
      </c>
      <c r="N86" s="263">
        <v>1304.55</v>
      </c>
      <c r="O86" s="263">
        <v>154788.42600000001</v>
      </c>
      <c r="P86" s="263">
        <v>0</v>
      </c>
      <c r="Q86" s="313">
        <f t="shared" si="8"/>
        <v>160211.37600000002</v>
      </c>
      <c r="R86" s="263"/>
      <c r="S86" s="315">
        <f t="shared" si="9"/>
        <v>160211.37600000002</v>
      </c>
      <c r="T86" s="678">
        <v>0</v>
      </c>
      <c r="U86" s="678">
        <v>0</v>
      </c>
      <c r="V86" s="678">
        <v>0</v>
      </c>
      <c r="W86" s="678">
        <v>0</v>
      </c>
      <c r="X86" s="678">
        <v>0</v>
      </c>
      <c r="Y86" s="678">
        <v>0</v>
      </c>
      <c r="Z86" s="678">
        <v>0</v>
      </c>
      <c r="AA86" s="678">
        <v>0</v>
      </c>
      <c r="AB86" s="678">
        <v>0</v>
      </c>
      <c r="AC86" s="383">
        <v>4118.3999999999996</v>
      </c>
      <c r="AD86" s="263">
        <v>1304.55</v>
      </c>
      <c r="AE86" s="263">
        <v>333079.57799999998</v>
      </c>
      <c r="AF86" s="263">
        <v>0</v>
      </c>
      <c r="AG86" s="315">
        <f t="shared" si="10"/>
        <v>338502.52799999999</v>
      </c>
      <c r="AH86" s="263"/>
      <c r="AI86" s="315">
        <f t="shared" si="11"/>
        <v>338502.52799999999</v>
      </c>
      <c r="AJ86" s="678">
        <v>0</v>
      </c>
      <c r="AK86" s="678">
        <v>0</v>
      </c>
      <c r="AL86" s="678">
        <v>0</v>
      </c>
      <c r="AM86" s="678">
        <v>0</v>
      </c>
      <c r="AN86" s="678">
        <v>0</v>
      </c>
      <c r="AO86" s="678">
        <v>0</v>
      </c>
      <c r="AP86" s="678">
        <v>0</v>
      </c>
      <c r="AQ86" s="678">
        <v>0</v>
      </c>
      <c r="AR86" s="678">
        <v>0</v>
      </c>
    </row>
    <row r="87" spans="2:44" s="12" customFormat="1">
      <c r="B87" s="344" t="s">
        <v>388</v>
      </c>
      <c r="C87" s="260"/>
      <c r="D87" s="259" t="s">
        <v>389</v>
      </c>
      <c r="E87" s="461" t="s">
        <v>15</v>
      </c>
      <c r="F87" s="260" t="s">
        <v>16</v>
      </c>
      <c r="G87" s="260" t="s">
        <v>29</v>
      </c>
      <c r="H87" s="261" t="s">
        <v>23</v>
      </c>
      <c r="I87" s="262"/>
      <c r="J87" s="674">
        <v>26321.011200000001</v>
      </c>
      <c r="K87" s="262"/>
      <c r="L87" s="812">
        <v>0</v>
      </c>
      <c r="M87" s="800">
        <v>15811.558000000001</v>
      </c>
      <c r="N87" s="263">
        <v>0</v>
      </c>
      <c r="O87" s="263">
        <v>0</v>
      </c>
      <c r="P87" s="263">
        <v>0</v>
      </c>
      <c r="Q87" s="313">
        <f t="shared" si="8"/>
        <v>15811.558000000001</v>
      </c>
      <c r="R87" s="263"/>
      <c r="S87" s="315">
        <f t="shared" si="9"/>
        <v>15811.558000000001</v>
      </c>
      <c r="T87" s="678">
        <v>0</v>
      </c>
      <c r="U87" s="678">
        <v>0</v>
      </c>
      <c r="V87" s="678">
        <v>0</v>
      </c>
      <c r="W87" s="678">
        <v>0</v>
      </c>
      <c r="X87" s="678">
        <v>0</v>
      </c>
      <c r="Y87" s="678">
        <v>0</v>
      </c>
      <c r="Z87" s="678">
        <v>0</v>
      </c>
      <c r="AA87" s="678">
        <v>0</v>
      </c>
      <c r="AB87" s="678">
        <v>0</v>
      </c>
      <c r="AC87" s="383">
        <v>20641.501700000001</v>
      </c>
      <c r="AD87" s="263">
        <v>0</v>
      </c>
      <c r="AE87" s="263">
        <v>0</v>
      </c>
      <c r="AF87" s="263">
        <v>0</v>
      </c>
      <c r="AG87" s="315">
        <f t="shared" si="10"/>
        <v>20641.501700000001</v>
      </c>
      <c r="AH87" s="263"/>
      <c r="AI87" s="315">
        <f t="shared" si="11"/>
        <v>20641.501700000001</v>
      </c>
      <c r="AJ87" s="678">
        <v>0</v>
      </c>
      <c r="AK87" s="678">
        <v>0</v>
      </c>
      <c r="AL87" s="678">
        <v>0</v>
      </c>
      <c r="AM87" s="678">
        <v>0</v>
      </c>
      <c r="AN87" s="678">
        <v>0</v>
      </c>
      <c r="AO87" s="678">
        <v>0</v>
      </c>
      <c r="AP87" s="678">
        <v>0</v>
      </c>
      <c r="AQ87" s="678">
        <v>0</v>
      </c>
      <c r="AR87" s="678">
        <v>0</v>
      </c>
    </row>
    <row r="88" spans="2:44" s="12" customFormat="1">
      <c r="B88" s="344" t="s">
        <v>390</v>
      </c>
      <c r="C88" s="260"/>
      <c r="D88" s="259" t="s">
        <v>391</v>
      </c>
      <c r="E88" s="461" t="s">
        <v>20</v>
      </c>
      <c r="F88" s="260" t="s">
        <v>24</v>
      </c>
      <c r="G88" s="260" t="s">
        <v>27</v>
      </c>
      <c r="H88" s="261" t="s">
        <v>23</v>
      </c>
      <c r="I88" s="262"/>
      <c r="J88" s="265"/>
      <c r="K88" s="262"/>
      <c r="L88" s="812">
        <v>0</v>
      </c>
      <c r="M88" s="800">
        <v>421.8408</v>
      </c>
      <c r="N88" s="263">
        <v>316.38060000000002</v>
      </c>
      <c r="O88" s="263">
        <v>1406.1360999999999</v>
      </c>
      <c r="P88" s="263">
        <v>1622.6005263132474</v>
      </c>
      <c r="Q88" s="313">
        <f t="shared" si="8"/>
        <v>3766.9580263132475</v>
      </c>
      <c r="R88" s="263"/>
      <c r="S88" s="315">
        <f t="shared" si="9"/>
        <v>3766.9580263132475</v>
      </c>
      <c r="T88" s="678">
        <v>2954.7948772299997</v>
      </c>
      <c r="U88" s="678">
        <v>0.31383119299999995</v>
      </c>
      <c r="V88" s="678">
        <v>0.18099999999999999</v>
      </c>
      <c r="W88" s="678">
        <v>0</v>
      </c>
      <c r="X88" s="678">
        <v>0</v>
      </c>
      <c r="Y88" s="678">
        <v>44321.9231612</v>
      </c>
      <c r="Z88" s="678">
        <v>2.7149999999999999</v>
      </c>
      <c r="AA88" s="678">
        <v>0</v>
      </c>
      <c r="AB88" s="678">
        <v>0</v>
      </c>
      <c r="AC88" s="383">
        <v>3008.0583999999999</v>
      </c>
      <c r="AD88" s="263">
        <v>2256.0437999999999</v>
      </c>
      <c r="AE88" s="263">
        <v>10026.861500000001</v>
      </c>
      <c r="AF88" s="263">
        <v>22539.333934117167</v>
      </c>
      <c r="AG88" s="315">
        <f t="shared" si="10"/>
        <v>37830.297634117167</v>
      </c>
      <c r="AH88" s="263"/>
      <c r="AI88" s="315">
        <f t="shared" si="11"/>
        <v>37830.297634117167</v>
      </c>
      <c r="AJ88" s="678">
        <v>41043.710751380764</v>
      </c>
      <c r="AK88" s="678">
        <v>4.3590861115959925</v>
      </c>
      <c r="AL88" s="678">
        <v>2.5139999999999998</v>
      </c>
      <c r="AM88" s="678">
        <v>0</v>
      </c>
      <c r="AN88" s="678">
        <v>0</v>
      </c>
      <c r="AO88" s="678">
        <v>615655.66127071157</v>
      </c>
      <c r="AP88" s="678">
        <v>37.71</v>
      </c>
      <c r="AQ88" s="678">
        <v>0</v>
      </c>
      <c r="AR88" s="678">
        <v>0</v>
      </c>
    </row>
    <row r="89" spans="2:44" s="12" customFormat="1">
      <c r="B89" s="344" t="s">
        <v>392</v>
      </c>
      <c r="C89" s="260"/>
      <c r="D89" s="259" t="s">
        <v>393</v>
      </c>
      <c r="E89" s="461" t="s">
        <v>20</v>
      </c>
      <c r="F89" s="260" t="s">
        <v>16</v>
      </c>
      <c r="G89" s="260" t="s">
        <v>27</v>
      </c>
      <c r="H89" s="261" t="s">
        <v>23</v>
      </c>
      <c r="I89" s="262"/>
      <c r="J89" s="265"/>
      <c r="K89" s="262"/>
      <c r="L89" s="812">
        <v>0</v>
      </c>
      <c r="M89" s="800">
        <v>477.43599999999998</v>
      </c>
      <c r="N89" s="263">
        <v>0</v>
      </c>
      <c r="O89" s="263">
        <v>0.09</v>
      </c>
      <c r="P89" s="263">
        <v>0</v>
      </c>
      <c r="Q89" s="313">
        <f t="shared" si="8"/>
        <v>477.52599999999995</v>
      </c>
      <c r="R89" s="263"/>
      <c r="S89" s="315">
        <f t="shared" si="9"/>
        <v>477.52599999999995</v>
      </c>
      <c r="T89" s="678">
        <v>0</v>
      </c>
      <c r="U89" s="678">
        <v>0</v>
      </c>
      <c r="V89" s="678">
        <v>0</v>
      </c>
      <c r="W89" s="678">
        <v>0</v>
      </c>
      <c r="X89" s="678">
        <v>0</v>
      </c>
      <c r="Y89" s="678">
        <v>0</v>
      </c>
      <c r="Z89" s="678">
        <v>0</v>
      </c>
      <c r="AA89" s="678">
        <v>0</v>
      </c>
      <c r="AB89" s="678">
        <v>0</v>
      </c>
      <c r="AC89" s="383">
        <v>111.61</v>
      </c>
      <c r="AD89" s="263">
        <v>0</v>
      </c>
      <c r="AE89" s="263">
        <v>0.7</v>
      </c>
      <c r="AF89" s="263">
        <v>0</v>
      </c>
      <c r="AG89" s="315">
        <f t="shared" si="10"/>
        <v>112.31</v>
      </c>
      <c r="AH89" s="263"/>
      <c r="AI89" s="315">
        <f t="shared" si="11"/>
        <v>112.31</v>
      </c>
      <c r="AJ89" s="678">
        <v>0</v>
      </c>
      <c r="AK89" s="678">
        <v>0</v>
      </c>
      <c r="AL89" s="678">
        <v>0</v>
      </c>
      <c r="AM89" s="678">
        <v>0</v>
      </c>
      <c r="AN89" s="678">
        <v>0</v>
      </c>
      <c r="AO89" s="678">
        <v>0</v>
      </c>
      <c r="AP89" s="678">
        <v>0</v>
      </c>
      <c r="AQ89" s="678">
        <v>0</v>
      </c>
      <c r="AR89" s="678">
        <v>0</v>
      </c>
    </row>
    <row r="90" spans="2:44" s="12" customFormat="1">
      <c r="B90" s="344" t="s">
        <v>394</v>
      </c>
      <c r="C90" s="260"/>
      <c r="D90" s="259" t="s">
        <v>395</v>
      </c>
      <c r="E90" s="461" t="s">
        <v>20</v>
      </c>
      <c r="F90" s="260" t="s">
        <v>24</v>
      </c>
      <c r="G90" s="260" t="s">
        <v>22</v>
      </c>
      <c r="H90" s="261" t="s">
        <v>23</v>
      </c>
      <c r="I90" s="265"/>
      <c r="J90" s="265"/>
      <c r="K90" s="265"/>
      <c r="L90" s="812">
        <v>0</v>
      </c>
      <c r="M90" s="800">
        <v>2041.3904</v>
      </c>
      <c r="N90" s="263">
        <v>1531.0427999999999</v>
      </c>
      <c r="O90" s="263">
        <v>6804.6347999999998</v>
      </c>
      <c r="P90" s="263">
        <v>6800.6739677243795</v>
      </c>
      <c r="Q90" s="313">
        <f t="shared" si="8"/>
        <v>17177.741967724378</v>
      </c>
      <c r="R90" s="263"/>
      <c r="S90" s="315">
        <f t="shared" si="9"/>
        <v>17177.741967724378</v>
      </c>
      <c r="T90" s="678">
        <v>15175.056195911</v>
      </c>
      <c r="U90" s="678">
        <v>1.3320740170000001</v>
      </c>
      <c r="V90" s="678">
        <v>1.2450000000000001</v>
      </c>
      <c r="W90" s="678">
        <v>0</v>
      </c>
      <c r="X90" s="678">
        <v>0</v>
      </c>
      <c r="Y90" s="678">
        <v>149710.3940453</v>
      </c>
      <c r="Z90" s="678">
        <v>18.678999999999998</v>
      </c>
      <c r="AA90" s="678">
        <v>0</v>
      </c>
      <c r="AB90" s="678">
        <v>0</v>
      </c>
      <c r="AC90" s="383">
        <v>14556.7268</v>
      </c>
      <c r="AD90" s="263">
        <v>10917.545099999999</v>
      </c>
      <c r="AE90" s="263">
        <v>48522.4228</v>
      </c>
      <c r="AF90" s="263">
        <v>94467.131643231682</v>
      </c>
      <c r="AG90" s="315">
        <f t="shared" si="10"/>
        <v>168463.82634323166</v>
      </c>
      <c r="AH90" s="263"/>
      <c r="AI90" s="315">
        <f t="shared" si="11"/>
        <v>168463.82634323166</v>
      </c>
      <c r="AJ90" s="678">
        <v>210794.64437889564</v>
      </c>
      <c r="AK90" s="678">
        <v>18.503674231560577</v>
      </c>
      <c r="AL90" s="678">
        <v>17.297999999999998</v>
      </c>
      <c r="AM90" s="678">
        <v>0</v>
      </c>
      <c r="AN90" s="678">
        <v>0</v>
      </c>
      <c r="AO90" s="678">
        <v>2079606.2204052585</v>
      </c>
      <c r="AP90" s="678">
        <v>259.47000000000003</v>
      </c>
      <c r="AQ90" s="678">
        <v>0</v>
      </c>
      <c r="AR90" s="678">
        <v>0</v>
      </c>
    </row>
    <row r="91" spans="2:44" s="12" customFormat="1">
      <c r="B91" s="344" t="s">
        <v>396</v>
      </c>
      <c r="C91" s="260"/>
      <c r="D91" s="259" t="s">
        <v>397</v>
      </c>
      <c r="E91" s="461" t="s">
        <v>20</v>
      </c>
      <c r="F91" s="260" t="s">
        <v>16</v>
      </c>
      <c r="G91" s="260" t="s">
        <v>22</v>
      </c>
      <c r="H91" s="261" t="s">
        <v>23</v>
      </c>
      <c r="I91" s="265"/>
      <c r="J91" s="267"/>
      <c r="K91" s="265"/>
      <c r="L91" s="812">
        <v>0</v>
      </c>
      <c r="M91" s="800">
        <v>1593.33</v>
      </c>
      <c r="N91" s="263">
        <v>0</v>
      </c>
      <c r="O91" s="263">
        <v>0.28000000000000003</v>
      </c>
      <c r="P91" s="263">
        <v>0</v>
      </c>
      <c r="Q91" s="313">
        <f t="shared" si="8"/>
        <v>1593.61</v>
      </c>
      <c r="R91" s="263"/>
      <c r="S91" s="315">
        <f t="shared" si="9"/>
        <v>1593.61</v>
      </c>
      <c r="T91" s="679">
        <v>0</v>
      </c>
      <c r="U91" s="679">
        <v>0</v>
      </c>
      <c r="V91" s="679">
        <v>0</v>
      </c>
      <c r="W91" s="678">
        <v>0</v>
      </c>
      <c r="X91" s="678">
        <v>0</v>
      </c>
      <c r="Y91" s="678">
        <v>0</v>
      </c>
      <c r="Z91" s="678">
        <v>0</v>
      </c>
      <c r="AA91" s="678">
        <v>0</v>
      </c>
      <c r="AB91" s="678">
        <v>0</v>
      </c>
      <c r="AC91" s="384">
        <v>2200.7736</v>
      </c>
      <c r="AD91" s="264">
        <v>0</v>
      </c>
      <c r="AE91" s="264">
        <v>13.8</v>
      </c>
      <c r="AF91" s="264">
        <v>0</v>
      </c>
      <c r="AG91" s="315">
        <f t="shared" si="10"/>
        <v>2214.5736000000002</v>
      </c>
      <c r="AH91" s="263"/>
      <c r="AI91" s="315">
        <f t="shared" si="11"/>
        <v>2214.5736000000002</v>
      </c>
      <c r="AJ91" s="679">
        <v>0</v>
      </c>
      <c r="AK91" s="679">
        <v>0</v>
      </c>
      <c r="AL91" s="679">
        <v>0</v>
      </c>
      <c r="AM91" s="678">
        <v>0</v>
      </c>
      <c r="AN91" s="678">
        <v>0</v>
      </c>
      <c r="AO91" s="678">
        <v>0</v>
      </c>
      <c r="AP91" s="678">
        <v>0</v>
      </c>
      <c r="AQ91" s="678">
        <v>0</v>
      </c>
      <c r="AR91" s="678">
        <v>0</v>
      </c>
    </row>
    <row r="92" spans="2:44" s="12" customFormat="1">
      <c r="B92" s="344" t="s">
        <v>398</v>
      </c>
      <c r="C92" s="260"/>
      <c r="D92" s="259" t="s">
        <v>399</v>
      </c>
      <c r="E92" s="461" t="s">
        <v>20</v>
      </c>
      <c r="F92" s="260" t="s">
        <v>24</v>
      </c>
      <c r="G92" s="260" t="s">
        <v>25</v>
      </c>
      <c r="H92" s="261" t="s">
        <v>23</v>
      </c>
      <c r="I92" s="265"/>
      <c r="J92" s="265"/>
      <c r="K92" s="265"/>
      <c r="L92" s="812">
        <v>0</v>
      </c>
      <c r="M92" s="800">
        <v>1205.5851</v>
      </c>
      <c r="N92" s="263">
        <v>904.18880000000001</v>
      </c>
      <c r="O92" s="263">
        <v>4018.6169</v>
      </c>
      <c r="P92" s="263">
        <v>3585.6497197025342</v>
      </c>
      <c r="Q92" s="313">
        <f t="shared" si="8"/>
        <v>9714.0405197025339</v>
      </c>
      <c r="R92" s="263"/>
      <c r="S92" s="315">
        <f t="shared" si="9"/>
        <v>9714.0405197025339</v>
      </c>
      <c r="T92" s="678">
        <v>268.903857045</v>
      </c>
      <c r="U92" s="678">
        <v>0.52272494300000005</v>
      </c>
      <c r="V92" s="678">
        <v>1.02</v>
      </c>
      <c r="W92" s="678">
        <v>0</v>
      </c>
      <c r="X92" s="678">
        <v>0</v>
      </c>
      <c r="Y92" s="678">
        <v>4033.5578558200004</v>
      </c>
      <c r="Z92" s="678">
        <v>15.298</v>
      </c>
      <c r="AA92" s="678">
        <v>0</v>
      </c>
      <c r="AB92" s="678">
        <v>0</v>
      </c>
      <c r="AC92" s="383">
        <v>8596.7741999999998</v>
      </c>
      <c r="AD92" s="263">
        <v>6447.5806000000002</v>
      </c>
      <c r="AE92" s="263">
        <v>28655.914000000001</v>
      </c>
      <c r="AF92" s="263">
        <v>49807.796156995362</v>
      </c>
      <c r="AG92" s="315">
        <f t="shared" si="10"/>
        <v>93508.064956995368</v>
      </c>
      <c r="AH92" s="263"/>
      <c r="AI92" s="315">
        <f t="shared" si="11"/>
        <v>93508.064956995368</v>
      </c>
      <c r="AJ92" s="678">
        <v>3735.3085161563849</v>
      </c>
      <c r="AK92" s="678">
        <v>7.2611044987206821</v>
      </c>
      <c r="AL92" s="678">
        <v>14.167</v>
      </c>
      <c r="AM92" s="678">
        <v>0</v>
      </c>
      <c r="AN92" s="678">
        <v>0</v>
      </c>
      <c r="AO92" s="678">
        <v>56029.627742345721</v>
      </c>
      <c r="AP92" s="678">
        <v>212.5</v>
      </c>
      <c r="AQ92" s="678">
        <v>0</v>
      </c>
      <c r="AR92" s="678">
        <v>0</v>
      </c>
    </row>
    <row r="93" spans="2:44" s="12" customFormat="1">
      <c r="B93" s="344" t="s">
        <v>400</v>
      </c>
      <c r="C93" s="260"/>
      <c r="D93" s="259" t="s">
        <v>401</v>
      </c>
      <c r="E93" s="461" t="s">
        <v>20</v>
      </c>
      <c r="F93" s="260" t="s">
        <v>16</v>
      </c>
      <c r="G93" s="260" t="s">
        <v>25</v>
      </c>
      <c r="H93" s="261" t="s">
        <v>23</v>
      </c>
      <c r="I93" s="265"/>
      <c r="J93" s="265"/>
      <c r="K93" s="265"/>
      <c r="L93" s="812">
        <v>0</v>
      </c>
      <c r="M93" s="800">
        <v>489.536</v>
      </c>
      <c r="N93" s="263">
        <v>0</v>
      </c>
      <c r="O93" s="263">
        <v>0.09</v>
      </c>
      <c r="P93" s="263">
        <v>0</v>
      </c>
      <c r="Q93" s="313">
        <f t="shared" si="8"/>
        <v>489.62599999999998</v>
      </c>
      <c r="R93" s="263"/>
      <c r="S93" s="315">
        <f t="shared" si="9"/>
        <v>489.62599999999998</v>
      </c>
      <c r="T93" s="678">
        <v>0</v>
      </c>
      <c r="U93" s="678">
        <v>0</v>
      </c>
      <c r="V93" s="678">
        <v>0</v>
      </c>
      <c r="W93" s="678">
        <v>0</v>
      </c>
      <c r="X93" s="678">
        <v>0</v>
      </c>
      <c r="Y93" s="678">
        <v>0</v>
      </c>
      <c r="Z93" s="678">
        <v>0</v>
      </c>
      <c r="AA93" s="678">
        <v>0</v>
      </c>
      <c r="AB93" s="678">
        <v>0</v>
      </c>
      <c r="AC93" s="383">
        <v>270.73</v>
      </c>
      <c r="AD93" s="263">
        <v>0</v>
      </c>
      <c r="AE93" s="263">
        <v>1.7</v>
      </c>
      <c r="AF93" s="263">
        <v>0</v>
      </c>
      <c r="AG93" s="315">
        <f t="shared" si="10"/>
        <v>272.43</v>
      </c>
      <c r="AH93" s="263"/>
      <c r="AI93" s="315">
        <f t="shared" si="11"/>
        <v>272.43</v>
      </c>
      <c r="AJ93" s="678">
        <v>0</v>
      </c>
      <c r="AK93" s="678">
        <v>0</v>
      </c>
      <c r="AL93" s="678">
        <v>0</v>
      </c>
      <c r="AM93" s="678">
        <v>0</v>
      </c>
      <c r="AN93" s="678">
        <v>0</v>
      </c>
      <c r="AO93" s="678">
        <v>0</v>
      </c>
      <c r="AP93" s="678">
        <v>0</v>
      </c>
      <c r="AQ93" s="678">
        <v>0</v>
      </c>
      <c r="AR93" s="678">
        <v>0</v>
      </c>
    </row>
    <row r="94" spans="2:44" s="12" customFormat="1">
      <c r="B94" s="344" t="s">
        <v>402</v>
      </c>
      <c r="C94" s="260"/>
      <c r="D94" s="259" t="s">
        <v>403</v>
      </c>
      <c r="E94" s="461" t="s">
        <v>20</v>
      </c>
      <c r="F94" s="260" t="s">
        <v>24</v>
      </c>
      <c r="G94" s="260" t="s">
        <v>30</v>
      </c>
      <c r="H94" s="261" t="s">
        <v>23</v>
      </c>
      <c r="I94" s="265"/>
      <c r="J94" s="265"/>
      <c r="K94" s="265"/>
      <c r="L94" s="812">
        <v>0</v>
      </c>
      <c r="M94" s="800">
        <v>1064.8230000000001</v>
      </c>
      <c r="N94" s="263">
        <v>798.61720000000003</v>
      </c>
      <c r="O94" s="263">
        <v>3549.4099000000001</v>
      </c>
      <c r="P94" s="263">
        <v>3137.5465620967125</v>
      </c>
      <c r="Q94" s="313">
        <f t="shared" si="8"/>
        <v>8550.3966620967112</v>
      </c>
      <c r="R94" s="263"/>
      <c r="S94" s="315">
        <f t="shared" si="9"/>
        <v>8550.3966620967112</v>
      </c>
      <c r="T94" s="678">
        <v>1826.0372276800001</v>
      </c>
      <c r="U94" s="678">
        <v>-1.305350574</v>
      </c>
      <c r="V94" s="678">
        <v>0.878</v>
      </c>
      <c r="W94" s="678">
        <v>0</v>
      </c>
      <c r="X94" s="678">
        <v>0</v>
      </c>
      <c r="Y94" s="678">
        <v>27390.558417599997</v>
      </c>
      <c r="Z94" s="678">
        <v>13.176</v>
      </c>
      <c r="AA94" s="678">
        <v>0</v>
      </c>
      <c r="AB94" s="678">
        <v>0</v>
      </c>
      <c r="AC94" s="383">
        <v>7593.0290999999997</v>
      </c>
      <c r="AD94" s="263">
        <v>5694.7718000000004</v>
      </c>
      <c r="AE94" s="263">
        <v>25310.097099999999</v>
      </c>
      <c r="AF94" s="263">
        <v>43583.254470969521</v>
      </c>
      <c r="AG94" s="315">
        <f t="shared" si="10"/>
        <v>82181.152470969522</v>
      </c>
      <c r="AH94" s="263"/>
      <c r="AI94" s="315">
        <f t="shared" si="11"/>
        <v>82181.152470969522</v>
      </c>
      <c r="AJ94" s="678">
        <v>25365.24750624791</v>
      </c>
      <c r="AK94" s="678">
        <v>-18.132456047211136</v>
      </c>
      <c r="AL94" s="678">
        <v>12.202</v>
      </c>
      <c r="AM94" s="678">
        <v>0</v>
      </c>
      <c r="AN94" s="678">
        <v>0</v>
      </c>
      <c r="AO94" s="678">
        <v>380478.71259371866</v>
      </c>
      <c r="AP94" s="678">
        <v>183.024</v>
      </c>
      <c r="AQ94" s="678">
        <v>0</v>
      </c>
      <c r="AR94" s="678">
        <v>0</v>
      </c>
    </row>
    <row r="95" spans="2:44" s="12" customFormat="1">
      <c r="B95" s="342" t="s">
        <v>404</v>
      </c>
      <c r="C95" s="261"/>
      <c r="D95" s="259" t="s">
        <v>405</v>
      </c>
      <c r="E95" s="461" t="s">
        <v>20</v>
      </c>
      <c r="F95" s="260" t="s">
        <v>16</v>
      </c>
      <c r="G95" s="260" t="s">
        <v>30</v>
      </c>
      <c r="H95" s="261" t="s">
        <v>23</v>
      </c>
      <c r="I95" s="267"/>
      <c r="J95" s="266"/>
      <c r="K95" s="267"/>
      <c r="L95" s="812">
        <v>0</v>
      </c>
      <c r="M95" s="800">
        <v>487.06599999999997</v>
      </c>
      <c r="N95" s="263">
        <v>0</v>
      </c>
      <c r="O95" s="263">
        <v>0.09</v>
      </c>
      <c r="P95" s="263">
        <v>0</v>
      </c>
      <c r="Q95" s="314">
        <f t="shared" si="8"/>
        <v>487.15599999999995</v>
      </c>
      <c r="R95" s="264"/>
      <c r="S95" s="315">
        <f t="shared" si="9"/>
        <v>487.15599999999995</v>
      </c>
      <c r="T95" s="678">
        <v>0</v>
      </c>
      <c r="U95" s="678">
        <v>0</v>
      </c>
      <c r="V95" s="678">
        <v>0</v>
      </c>
      <c r="W95" s="678">
        <v>0</v>
      </c>
      <c r="X95" s="678">
        <v>0</v>
      </c>
      <c r="Y95" s="679">
        <v>0</v>
      </c>
      <c r="Z95" s="679">
        <v>0</v>
      </c>
      <c r="AA95" s="678">
        <v>0</v>
      </c>
      <c r="AB95" s="678">
        <v>0</v>
      </c>
      <c r="AC95" s="383">
        <v>237.8</v>
      </c>
      <c r="AD95" s="263">
        <v>0</v>
      </c>
      <c r="AE95" s="263">
        <v>1.49</v>
      </c>
      <c r="AF95" s="263">
        <v>0</v>
      </c>
      <c r="AG95" s="315">
        <f t="shared" si="10"/>
        <v>239.29000000000002</v>
      </c>
      <c r="AH95" s="264"/>
      <c r="AI95" s="315">
        <f t="shared" si="11"/>
        <v>239.29000000000002</v>
      </c>
      <c r="AJ95" s="678">
        <v>0</v>
      </c>
      <c r="AK95" s="678">
        <v>0</v>
      </c>
      <c r="AL95" s="678">
        <v>0</v>
      </c>
      <c r="AM95" s="678">
        <v>0</v>
      </c>
      <c r="AN95" s="678">
        <v>0</v>
      </c>
      <c r="AO95" s="679">
        <v>0</v>
      </c>
      <c r="AP95" s="679">
        <v>0</v>
      </c>
      <c r="AQ95" s="678">
        <v>0</v>
      </c>
      <c r="AR95" s="678">
        <v>0</v>
      </c>
    </row>
    <row r="96" spans="2:44" s="12" customFormat="1">
      <c r="B96" s="344" t="s">
        <v>406</v>
      </c>
      <c r="C96" s="260"/>
      <c r="D96" s="259" t="s">
        <v>407</v>
      </c>
      <c r="E96" s="461" t="s">
        <v>20</v>
      </c>
      <c r="F96" s="260" t="s">
        <v>24</v>
      </c>
      <c r="G96" s="260" t="s">
        <v>17</v>
      </c>
      <c r="H96" s="261" t="s">
        <v>23</v>
      </c>
      <c r="I96" s="265"/>
      <c r="J96" s="265"/>
      <c r="K96" s="265"/>
      <c r="L96" s="812">
        <v>0</v>
      </c>
      <c r="M96" s="800">
        <v>1748.884</v>
      </c>
      <c r="N96" s="263">
        <v>1311.663</v>
      </c>
      <c r="O96" s="263">
        <v>5829.6133</v>
      </c>
      <c r="P96" s="263">
        <v>5976.985778844698</v>
      </c>
      <c r="Q96" s="313">
        <f t="shared" si="8"/>
        <v>14867.146078844697</v>
      </c>
      <c r="R96" s="263"/>
      <c r="S96" s="315">
        <f t="shared" si="9"/>
        <v>14867.146078844697</v>
      </c>
      <c r="T96" s="678">
        <v>358.60476493500005</v>
      </c>
      <c r="U96" s="678">
        <v>1.9733677739999997</v>
      </c>
      <c r="V96" s="678">
        <v>1.5329999999999999</v>
      </c>
      <c r="W96" s="678">
        <v>0</v>
      </c>
      <c r="X96" s="678">
        <v>0</v>
      </c>
      <c r="Y96" s="678">
        <v>5379.0714751999976</v>
      </c>
      <c r="Z96" s="678">
        <v>22.992000000000001</v>
      </c>
      <c r="AA96" s="678">
        <v>0</v>
      </c>
      <c r="AB96" s="678">
        <v>0</v>
      </c>
      <c r="AC96" s="383">
        <v>12470.9246</v>
      </c>
      <c r="AD96" s="263">
        <v>9353.1934999999994</v>
      </c>
      <c r="AE96" s="263">
        <v>41569.748800000001</v>
      </c>
      <c r="AF96" s="263">
        <v>83025.537745740105</v>
      </c>
      <c r="AG96" s="315">
        <f t="shared" si="10"/>
        <v>146419.40464574011</v>
      </c>
      <c r="AH96" s="263"/>
      <c r="AI96" s="315">
        <f t="shared" si="11"/>
        <v>146419.40464574011</v>
      </c>
      <c r="AJ96" s="678">
        <v>4981.3320236865929</v>
      </c>
      <c r="AK96" s="678">
        <v>27.411797065461204</v>
      </c>
      <c r="AL96" s="678">
        <v>21.292000000000002</v>
      </c>
      <c r="AM96" s="678">
        <v>0</v>
      </c>
      <c r="AN96" s="678">
        <v>0</v>
      </c>
      <c r="AO96" s="678">
        <v>74719.980355298874</v>
      </c>
      <c r="AP96" s="678">
        <v>319.37299999999999</v>
      </c>
      <c r="AQ96" s="678">
        <v>0</v>
      </c>
      <c r="AR96" s="678">
        <v>0</v>
      </c>
    </row>
    <row r="97" spans="2:44" s="12" customFormat="1">
      <c r="B97" s="344" t="s">
        <v>408</v>
      </c>
      <c r="C97" s="260"/>
      <c r="D97" s="259" t="s">
        <v>409</v>
      </c>
      <c r="E97" s="461" t="s">
        <v>20</v>
      </c>
      <c r="F97" s="260" t="s">
        <v>16</v>
      </c>
      <c r="G97" s="260" t="s">
        <v>17</v>
      </c>
      <c r="H97" s="261" t="s">
        <v>23</v>
      </c>
      <c r="I97" s="265"/>
      <c r="J97" s="265"/>
      <c r="K97" s="265"/>
      <c r="L97" s="812">
        <v>0</v>
      </c>
      <c r="M97" s="800">
        <v>501.346</v>
      </c>
      <c r="N97" s="263">
        <v>0</v>
      </c>
      <c r="O97" s="263">
        <v>0.09</v>
      </c>
      <c r="P97" s="263">
        <v>0</v>
      </c>
      <c r="Q97" s="313">
        <f t="shared" si="8"/>
        <v>501.43599999999998</v>
      </c>
      <c r="R97" s="263"/>
      <c r="S97" s="315">
        <f t="shared" si="9"/>
        <v>501.43599999999998</v>
      </c>
      <c r="T97" s="678">
        <v>0</v>
      </c>
      <c r="U97" s="678">
        <v>0</v>
      </c>
      <c r="V97" s="678">
        <v>0</v>
      </c>
      <c r="W97" s="678">
        <v>0</v>
      </c>
      <c r="X97" s="678">
        <v>0</v>
      </c>
      <c r="Y97" s="678">
        <v>0</v>
      </c>
      <c r="Z97" s="678">
        <v>0</v>
      </c>
      <c r="AA97" s="678">
        <v>0</v>
      </c>
      <c r="AB97" s="678">
        <v>0</v>
      </c>
      <c r="AC97" s="383">
        <v>425.69</v>
      </c>
      <c r="AD97" s="263">
        <v>0</v>
      </c>
      <c r="AE97" s="263">
        <v>2.67</v>
      </c>
      <c r="AF97" s="263">
        <v>0</v>
      </c>
      <c r="AG97" s="315">
        <f t="shared" si="10"/>
        <v>428.36</v>
      </c>
      <c r="AH97" s="263"/>
      <c r="AI97" s="315">
        <f t="shared" si="11"/>
        <v>428.36</v>
      </c>
      <c r="AJ97" s="678">
        <v>0</v>
      </c>
      <c r="AK97" s="678">
        <v>0</v>
      </c>
      <c r="AL97" s="678">
        <v>0</v>
      </c>
      <c r="AM97" s="678">
        <v>0</v>
      </c>
      <c r="AN97" s="678">
        <v>0</v>
      </c>
      <c r="AO97" s="678">
        <v>0</v>
      </c>
      <c r="AP97" s="678">
        <v>0</v>
      </c>
      <c r="AQ97" s="678">
        <v>0</v>
      </c>
      <c r="AR97" s="678">
        <v>0</v>
      </c>
    </row>
    <row r="98" spans="2:44" s="12" customFormat="1">
      <c r="B98" s="344" t="s">
        <v>410</v>
      </c>
      <c r="C98" s="260"/>
      <c r="D98" s="259" t="s">
        <v>411</v>
      </c>
      <c r="E98" s="461" t="s">
        <v>20</v>
      </c>
      <c r="F98" s="260" t="s">
        <v>24</v>
      </c>
      <c r="G98" s="260" t="s">
        <v>27</v>
      </c>
      <c r="H98" s="261" t="s">
        <v>23</v>
      </c>
      <c r="I98" s="265"/>
      <c r="J98" s="269"/>
      <c r="K98" s="265"/>
      <c r="L98" s="812">
        <v>0</v>
      </c>
      <c r="M98" s="800">
        <v>2082.6125000000002</v>
      </c>
      <c r="N98" s="263">
        <v>1695.1496999999999</v>
      </c>
      <c r="O98" s="263">
        <v>7749.2559000000001</v>
      </c>
      <c r="P98" s="263">
        <v>1822.9116473859281</v>
      </c>
      <c r="Q98" s="313">
        <f t="shared" si="8"/>
        <v>13349.92974738593</v>
      </c>
      <c r="R98" s="263"/>
      <c r="S98" s="315">
        <f t="shared" si="9"/>
        <v>13349.92974738593</v>
      </c>
      <c r="T98" s="678">
        <v>9199.0048843200002</v>
      </c>
      <c r="U98" s="678">
        <v>2.9304624990000003</v>
      </c>
      <c r="V98" s="678">
        <v>7.0999999999999994E-2</v>
      </c>
      <c r="W98" s="678">
        <v>0</v>
      </c>
      <c r="X98" s="678">
        <v>0</v>
      </c>
      <c r="Y98" s="678">
        <v>137985.0732712</v>
      </c>
      <c r="Z98" s="678">
        <v>1.0580000000000001</v>
      </c>
      <c r="AA98" s="678">
        <v>0</v>
      </c>
      <c r="AB98" s="678">
        <v>0</v>
      </c>
      <c r="AC98" s="383">
        <v>14099.95</v>
      </c>
      <c r="AD98" s="263">
        <v>11476.7034</v>
      </c>
      <c r="AE98" s="263">
        <v>52464.93</v>
      </c>
      <c r="AF98" s="263">
        <v>24041.775218368162</v>
      </c>
      <c r="AG98" s="315">
        <f t="shared" si="10"/>
        <v>102083.35861836816</v>
      </c>
      <c r="AH98" s="263"/>
      <c r="AI98" s="315">
        <f t="shared" si="11"/>
        <v>102083.35861836816</v>
      </c>
      <c r="AJ98" s="678">
        <v>121322.61487630864</v>
      </c>
      <c r="AK98" s="678">
        <v>38.648894966707786</v>
      </c>
      <c r="AL98" s="678">
        <v>0.93</v>
      </c>
      <c r="AM98" s="678">
        <v>0</v>
      </c>
      <c r="AN98" s="678">
        <v>0</v>
      </c>
      <c r="AO98" s="678">
        <v>1819839.2231446302</v>
      </c>
      <c r="AP98" s="678">
        <v>13.957000000000001</v>
      </c>
      <c r="AQ98" s="678">
        <v>0</v>
      </c>
      <c r="AR98" s="678">
        <v>0</v>
      </c>
    </row>
    <row r="99" spans="2:44" s="12" customFormat="1">
      <c r="B99" s="344" t="s">
        <v>412</v>
      </c>
      <c r="C99" s="260"/>
      <c r="D99" s="259" t="s">
        <v>413</v>
      </c>
      <c r="E99" s="461" t="s">
        <v>20</v>
      </c>
      <c r="F99" s="260" t="s">
        <v>16</v>
      </c>
      <c r="G99" s="260" t="s">
        <v>27</v>
      </c>
      <c r="H99" s="261" t="s">
        <v>23</v>
      </c>
      <c r="I99" s="266"/>
      <c r="J99" s="262"/>
      <c r="K99" s="266"/>
      <c r="L99" s="812">
        <v>0</v>
      </c>
      <c r="M99" s="800">
        <v>491.286</v>
      </c>
      <c r="N99" s="263">
        <v>0</v>
      </c>
      <c r="O99" s="263">
        <v>0.09</v>
      </c>
      <c r="P99" s="263">
        <v>0</v>
      </c>
      <c r="Q99" s="313">
        <f t="shared" si="8"/>
        <v>491.37599999999998</v>
      </c>
      <c r="R99" s="263"/>
      <c r="S99" s="315">
        <f t="shared" si="9"/>
        <v>491.37599999999998</v>
      </c>
      <c r="T99" s="678">
        <v>0</v>
      </c>
      <c r="U99" s="678">
        <v>0</v>
      </c>
      <c r="V99" s="678">
        <v>0</v>
      </c>
      <c r="W99" s="678">
        <v>0</v>
      </c>
      <c r="X99" s="678">
        <v>0</v>
      </c>
      <c r="Y99" s="678">
        <v>0</v>
      </c>
      <c r="Z99" s="678">
        <v>0</v>
      </c>
      <c r="AA99" s="678">
        <v>0</v>
      </c>
      <c r="AB99" s="678">
        <v>0</v>
      </c>
      <c r="AC99" s="383">
        <v>278.76</v>
      </c>
      <c r="AD99" s="263">
        <v>0</v>
      </c>
      <c r="AE99" s="263">
        <v>1.75</v>
      </c>
      <c r="AF99" s="263">
        <v>0</v>
      </c>
      <c r="AG99" s="315">
        <f t="shared" si="10"/>
        <v>280.51</v>
      </c>
      <c r="AH99" s="263"/>
      <c r="AI99" s="315">
        <f t="shared" si="11"/>
        <v>280.51</v>
      </c>
      <c r="AJ99" s="678">
        <v>0</v>
      </c>
      <c r="AK99" s="678">
        <v>0</v>
      </c>
      <c r="AL99" s="678">
        <v>0</v>
      </c>
      <c r="AM99" s="678">
        <v>0</v>
      </c>
      <c r="AN99" s="678">
        <v>0</v>
      </c>
      <c r="AO99" s="678">
        <v>0</v>
      </c>
      <c r="AP99" s="678">
        <v>0</v>
      </c>
      <c r="AQ99" s="678">
        <v>0</v>
      </c>
      <c r="AR99" s="678">
        <v>0</v>
      </c>
    </row>
    <row r="100" spans="2:44" s="12" customFormat="1">
      <c r="B100" s="344" t="s">
        <v>414</v>
      </c>
      <c r="C100" s="260"/>
      <c r="D100" s="259" t="s">
        <v>415</v>
      </c>
      <c r="E100" s="461" t="s">
        <v>20</v>
      </c>
      <c r="F100" s="260" t="s">
        <v>24</v>
      </c>
      <c r="G100" s="260" t="s">
        <v>22</v>
      </c>
      <c r="H100" s="261" t="s">
        <v>23</v>
      </c>
      <c r="I100" s="265"/>
      <c r="J100" s="262"/>
      <c r="K100" s="265"/>
      <c r="L100" s="812">
        <v>0</v>
      </c>
      <c r="M100" s="800">
        <v>3334.2085000000002</v>
      </c>
      <c r="N100" s="263">
        <v>2713.8906000000002</v>
      </c>
      <c r="O100" s="263">
        <v>12406.3572</v>
      </c>
      <c r="P100" s="263">
        <v>17856.062382522556</v>
      </c>
      <c r="Q100" s="313">
        <f t="shared" si="8"/>
        <v>36310.518682522554</v>
      </c>
      <c r="R100" s="263"/>
      <c r="S100" s="315">
        <f t="shared" si="9"/>
        <v>36310.518682522554</v>
      </c>
      <c r="T100" s="678">
        <v>72413.340037622998</v>
      </c>
      <c r="U100" s="678">
        <v>18.033510336000006</v>
      </c>
      <c r="V100" s="678">
        <v>1.5429999999999999</v>
      </c>
      <c r="W100" s="678">
        <v>0</v>
      </c>
      <c r="X100" s="678">
        <v>0</v>
      </c>
      <c r="Y100" s="678">
        <v>925275.49231893034</v>
      </c>
      <c r="Z100" s="678">
        <v>21.305</v>
      </c>
      <c r="AA100" s="678">
        <v>0</v>
      </c>
      <c r="AB100" s="678">
        <v>0</v>
      </c>
      <c r="AC100" s="383">
        <v>22573.6531</v>
      </c>
      <c r="AD100" s="263">
        <v>18373.903699999999</v>
      </c>
      <c r="AE100" s="263">
        <v>83994.988100000002</v>
      </c>
      <c r="AF100" s="263">
        <v>235489.43611320746</v>
      </c>
      <c r="AG100" s="315">
        <f t="shared" si="10"/>
        <v>360431.98101320746</v>
      </c>
      <c r="AH100" s="263"/>
      <c r="AI100" s="315">
        <f t="shared" si="11"/>
        <v>360431.98101320746</v>
      </c>
      <c r="AJ100" s="678">
        <v>955009.56536108523</v>
      </c>
      <c r="AK100" s="678">
        <v>237.81918987162615</v>
      </c>
      <c r="AL100" s="678">
        <v>20.352</v>
      </c>
      <c r="AM100" s="678">
        <v>0</v>
      </c>
      <c r="AN100" s="678">
        <v>0</v>
      </c>
      <c r="AO100" s="678">
        <v>12202762.351358781</v>
      </c>
      <c r="AP100" s="678">
        <v>280.98599999999999</v>
      </c>
      <c r="AQ100" s="678">
        <v>0</v>
      </c>
      <c r="AR100" s="678">
        <v>0</v>
      </c>
    </row>
    <row r="101" spans="2:44" s="12" customFormat="1">
      <c r="B101" s="344" t="s">
        <v>416</v>
      </c>
      <c r="C101" s="260"/>
      <c r="D101" s="259" t="s">
        <v>417</v>
      </c>
      <c r="E101" s="461" t="s">
        <v>20</v>
      </c>
      <c r="F101" s="260" t="s">
        <v>16</v>
      </c>
      <c r="G101" s="260" t="s">
        <v>22</v>
      </c>
      <c r="H101" s="261" t="s">
        <v>23</v>
      </c>
      <c r="I101" s="265"/>
      <c r="J101" s="262"/>
      <c r="K101" s="265"/>
      <c r="L101" s="812">
        <v>0</v>
      </c>
      <c r="M101" s="800">
        <v>1641.31</v>
      </c>
      <c r="N101" s="263">
        <v>0</v>
      </c>
      <c r="O101" s="263">
        <v>0.28999999999999998</v>
      </c>
      <c r="P101" s="263">
        <v>0</v>
      </c>
      <c r="Q101" s="313">
        <f t="shared" si="8"/>
        <v>1641.6</v>
      </c>
      <c r="R101" s="263"/>
      <c r="S101" s="315">
        <f t="shared" si="9"/>
        <v>1641.6</v>
      </c>
      <c r="T101" s="678">
        <v>0</v>
      </c>
      <c r="U101" s="678">
        <v>0</v>
      </c>
      <c r="V101" s="678">
        <v>0</v>
      </c>
      <c r="W101" s="678">
        <v>0</v>
      </c>
      <c r="X101" s="678">
        <v>0</v>
      </c>
      <c r="Y101" s="678">
        <v>0</v>
      </c>
      <c r="Z101" s="678">
        <v>0</v>
      </c>
      <c r="AA101" s="678">
        <v>0</v>
      </c>
      <c r="AB101" s="678">
        <v>0</v>
      </c>
      <c r="AC101" s="383">
        <v>2774.8836000000001</v>
      </c>
      <c r="AD101" s="263">
        <v>0</v>
      </c>
      <c r="AE101" s="263">
        <v>17.399999999999999</v>
      </c>
      <c r="AF101" s="263">
        <v>0</v>
      </c>
      <c r="AG101" s="315">
        <f t="shared" si="10"/>
        <v>2792.2836000000002</v>
      </c>
      <c r="AH101" s="263"/>
      <c r="AI101" s="315">
        <f t="shared" si="11"/>
        <v>2792.2836000000002</v>
      </c>
      <c r="AJ101" s="678">
        <v>0</v>
      </c>
      <c r="AK101" s="678">
        <v>0</v>
      </c>
      <c r="AL101" s="678">
        <v>0</v>
      </c>
      <c r="AM101" s="678">
        <v>0</v>
      </c>
      <c r="AN101" s="678">
        <v>0</v>
      </c>
      <c r="AO101" s="678">
        <v>0</v>
      </c>
      <c r="AP101" s="678">
        <v>0</v>
      </c>
      <c r="AQ101" s="678">
        <v>0</v>
      </c>
      <c r="AR101" s="678">
        <v>0</v>
      </c>
    </row>
    <row r="102" spans="2:44" s="12" customFormat="1">
      <c r="B102" s="344" t="s">
        <v>418</v>
      </c>
      <c r="C102" s="260"/>
      <c r="D102" s="259" t="s">
        <v>419</v>
      </c>
      <c r="E102" s="461" t="s">
        <v>20</v>
      </c>
      <c r="F102" s="260" t="s">
        <v>24</v>
      </c>
      <c r="G102" s="260" t="s">
        <v>25</v>
      </c>
      <c r="H102" s="261" t="s">
        <v>23</v>
      </c>
      <c r="I102" s="269"/>
      <c r="J102" s="259"/>
      <c r="K102" s="269"/>
      <c r="L102" s="812">
        <v>0</v>
      </c>
      <c r="M102" s="800">
        <v>5952.8137999999999</v>
      </c>
      <c r="N102" s="263">
        <v>4845.3135000000002</v>
      </c>
      <c r="O102" s="263">
        <v>22150.004799999999</v>
      </c>
      <c r="P102" s="263">
        <v>13146.631806701873</v>
      </c>
      <c r="Q102" s="313">
        <f t="shared" si="8"/>
        <v>46094.763906701875</v>
      </c>
      <c r="R102" s="263"/>
      <c r="S102" s="315">
        <f t="shared" si="9"/>
        <v>46094.763906701875</v>
      </c>
      <c r="T102" s="679">
        <v>51580.220221349999</v>
      </c>
      <c r="U102" s="679">
        <v>8.0251538409999981</v>
      </c>
      <c r="V102" s="679">
        <v>3.6440000000000001</v>
      </c>
      <c r="W102" s="678">
        <v>0</v>
      </c>
      <c r="X102" s="678">
        <v>0</v>
      </c>
      <c r="Y102" s="678">
        <v>773703.30347999989</v>
      </c>
      <c r="Z102" s="678">
        <v>54.661000000000001</v>
      </c>
      <c r="AA102" s="678">
        <v>0</v>
      </c>
      <c r="AB102" s="678">
        <v>0</v>
      </c>
      <c r="AC102" s="384">
        <v>40302.4447</v>
      </c>
      <c r="AD102" s="264">
        <v>32804.315399999999</v>
      </c>
      <c r="AE102" s="264">
        <v>149962.58480000001</v>
      </c>
      <c r="AF102" s="264">
        <v>173384.03211821528</v>
      </c>
      <c r="AG102" s="315">
        <f t="shared" si="10"/>
        <v>396453.37701821531</v>
      </c>
      <c r="AH102" s="263"/>
      <c r="AI102" s="315">
        <f t="shared" si="11"/>
        <v>396453.37701821531</v>
      </c>
      <c r="AJ102" s="679">
        <v>680266.88923838886</v>
      </c>
      <c r="AK102" s="679">
        <v>105.84003181549085</v>
      </c>
      <c r="AL102" s="679">
        <v>48.06</v>
      </c>
      <c r="AM102" s="678">
        <v>0</v>
      </c>
      <c r="AN102" s="678">
        <v>0</v>
      </c>
      <c r="AO102" s="678">
        <v>10204003.338575838</v>
      </c>
      <c r="AP102" s="678">
        <v>720.9</v>
      </c>
      <c r="AQ102" s="678">
        <v>0</v>
      </c>
      <c r="AR102" s="678">
        <v>0</v>
      </c>
    </row>
    <row r="103" spans="2:44" s="12" customFormat="1">
      <c r="B103" s="344" t="s">
        <v>420</v>
      </c>
      <c r="C103" s="260"/>
      <c r="D103" s="259" t="s">
        <v>421</v>
      </c>
      <c r="E103" s="461" t="s">
        <v>20</v>
      </c>
      <c r="F103" s="260" t="s">
        <v>16</v>
      </c>
      <c r="G103" s="260" t="s">
        <v>25</v>
      </c>
      <c r="H103" s="261" t="s">
        <v>23</v>
      </c>
      <c r="I103" s="262"/>
      <c r="J103" s="262"/>
      <c r="K103" s="262"/>
      <c r="L103" s="812">
        <v>0</v>
      </c>
      <c r="M103" s="800">
        <v>558.87599999999998</v>
      </c>
      <c r="N103" s="263">
        <v>0</v>
      </c>
      <c r="O103" s="263">
        <v>0.1</v>
      </c>
      <c r="P103" s="263">
        <v>0</v>
      </c>
      <c r="Q103" s="313">
        <f t="shared" ref="Q103:Q133" si="12">SUM(M103:P103)</f>
        <v>558.976</v>
      </c>
      <c r="R103" s="263"/>
      <c r="S103" s="315">
        <f t="shared" ref="S103:S133" si="13">Q103+R103</f>
        <v>558.976</v>
      </c>
      <c r="T103" s="678">
        <v>0</v>
      </c>
      <c r="U103" s="678">
        <v>0</v>
      </c>
      <c r="V103" s="678">
        <v>0</v>
      </c>
      <c r="W103" s="678">
        <v>0</v>
      </c>
      <c r="X103" s="678">
        <v>0</v>
      </c>
      <c r="Y103" s="678">
        <v>0</v>
      </c>
      <c r="Z103" s="678">
        <v>0</v>
      </c>
      <c r="AA103" s="678">
        <v>0</v>
      </c>
      <c r="AB103" s="678">
        <v>0</v>
      </c>
      <c r="AC103" s="383">
        <v>1122.74</v>
      </c>
      <c r="AD103" s="263">
        <v>0</v>
      </c>
      <c r="AE103" s="263">
        <v>7.04</v>
      </c>
      <c r="AF103" s="263">
        <v>0</v>
      </c>
      <c r="AG103" s="315">
        <f t="shared" ref="AG103:AG133" si="14">SUM(AC103:AF103)</f>
        <v>1129.78</v>
      </c>
      <c r="AH103" s="263"/>
      <c r="AI103" s="315">
        <f t="shared" ref="AI103:AI133" si="15">AG103+AH103</f>
        <v>1129.78</v>
      </c>
      <c r="AJ103" s="678">
        <v>0</v>
      </c>
      <c r="AK103" s="678">
        <v>0</v>
      </c>
      <c r="AL103" s="678">
        <v>0</v>
      </c>
      <c r="AM103" s="678">
        <v>0</v>
      </c>
      <c r="AN103" s="678">
        <v>0</v>
      </c>
      <c r="AO103" s="678">
        <v>0</v>
      </c>
      <c r="AP103" s="678">
        <v>0</v>
      </c>
      <c r="AQ103" s="678">
        <v>0</v>
      </c>
      <c r="AR103" s="678">
        <v>0</v>
      </c>
    </row>
    <row r="104" spans="2:44" s="12" customFormat="1">
      <c r="B104" s="344" t="s">
        <v>422</v>
      </c>
      <c r="C104" s="260"/>
      <c r="D104" s="259" t="s">
        <v>423</v>
      </c>
      <c r="E104" s="461" t="s">
        <v>20</v>
      </c>
      <c r="F104" s="260" t="s">
        <v>24</v>
      </c>
      <c r="G104" s="260" t="s">
        <v>30</v>
      </c>
      <c r="H104" s="261" t="s">
        <v>23</v>
      </c>
      <c r="I104" s="262"/>
      <c r="J104" s="265"/>
      <c r="K104" s="262"/>
      <c r="L104" s="812">
        <v>0</v>
      </c>
      <c r="M104" s="800">
        <v>1396.3188</v>
      </c>
      <c r="N104" s="263">
        <v>1136.5386000000001</v>
      </c>
      <c r="O104" s="263">
        <v>5195.6049000000003</v>
      </c>
      <c r="P104" s="263">
        <v>3196.6360889431407</v>
      </c>
      <c r="Q104" s="313">
        <f t="shared" si="12"/>
        <v>10925.098388943141</v>
      </c>
      <c r="R104" s="263"/>
      <c r="S104" s="315">
        <f t="shared" si="13"/>
        <v>10925.098388943141</v>
      </c>
      <c r="T104" s="678">
        <v>13769.793752380001</v>
      </c>
      <c r="U104" s="678">
        <v>7.0669897960000005</v>
      </c>
      <c r="V104" s="678">
        <v>0.26700000000000002</v>
      </c>
      <c r="W104" s="678">
        <v>0</v>
      </c>
      <c r="X104" s="678">
        <v>0</v>
      </c>
      <c r="Y104" s="678">
        <v>206546.90631269998</v>
      </c>
      <c r="Z104" s="678">
        <v>4.0039999999999996</v>
      </c>
      <c r="AA104" s="678">
        <v>0</v>
      </c>
      <c r="AB104" s="678">
        <v>0</v>
      </c>
      <c r="AC104" s="383">
        <v>9453.5228999999999</v>
      </c>
      <c r="AD104" s="263">
        <v>7694.7280000000001</v>
      </c>
      <c r="AE104" s="263">
        <v>35175.8992</v>
      </c>
      <c r="AF104" s="263">
        <v>42152.545850927905</v>
      </c>
      <c r="AG104" s="315">
        <f t="shared" si="14"/>
        <v>94476.695950927911</v>
      </c>
      <c r="AH104" s="263"/>
      <c r="AI104" s="315">
        <f t="shared" si="15"/>
        <v>94476.695950927911</v>
      </c>
      <c r="AJ104" s="678">
        <v>181584.29551308771</v>
      </c>
      <c r="AK104" s="678">
        <v>93.192491667808653</v>
      </c>
      <c r="AL104" s="678">
        <v>3.52</v>
      </c>
      <c r="AM104" s="678">
        <v>0</v>
      </c>
      <c r="AN104" s="678">
        <v>0</v>
      </c>
      <c r="AO104" s="678">
        <v>2723764.4326963164</v>
      </c>
      <c r="AP104" s="678">
        <v>52.795999999999999</v>
      </c>
      <c r="AQ104" s="678">
        <v>0</v>
      </c>
      <c r="AR104" s="678">
        <v>0</v>
      </c>
    </row>
    <row r="105" spans="2:44" s="12" customFormat="1">
      <c r="B105" s="344" t="s">
        <v>424</v>
      </c>
      <c r="C105" s="260"/>
      <c r="D105" s="259" t="s">
        <v>425</v>
      </c>
      <c r="E105" s="461" t="s">
        <v>20</v>
      </c>
      <c r="F105" s="260" t="s">
        <v>16</v>
      </c>
      <c r="G105" s="260" t="s">
        <v>30</v>
      </c>
      <c r="H105" s="261" t="s">
        <v>23</v>
      </c>
      <c r="I105" s="262"/>
      <c r="J105" s="266"/>
      <c r="K105" s="262"/>
      <c r="L105" s="812">
        <v>0</v>
      </c>
      <c r="M105" s="800">
        <v>490.49599999999998</v>
      </c>
      <c r="N105" s="263">
        <v>0</v>
      </c>
      <c r="O105" s="263">
        <v>0.09</v>
      </c>
      <c r="P105" s="263">
        <v>0</v>
      </c>
      <c r="Q105" s="313">
        <f t="shared" si="12"/>
        <v>490.58599999999996</v>
      </c>
      <c r="R105" s="263"/>
      <c r="S105" s="315">
        <f t="shared" si="13"/>
        <v>490.58599999999996</v>
      </c>
      <c r="T105" s="678">
        <v>0</v>
      </c>
      <c r="U105" s="678">
        <v>0</v>
      </c>
      <c r="V105" s="678">
        <v>0</v>
      </c>
      <c r="W105" s="678">
        <v>0</v>
      </c>
      <c r="X105" s="678">
        <v>0</v>
      </c>
      <c r="Y105" s="678">
        <v>0</v>
      </c>
      <c r="Z105" s="678">
        <v>0</v>
      </c>
      <c r="AA105" s="678">
        <v>0</v>
      </c>
      <c r="AB105" s="678">
        <v>0</v>
      </c>
      <c r="AC105" s="383">
        <v>268.95999999999998</v>
      </c>
      <c r="AD105" s="263">
        <v>0</v>
      </c>
      <c r="AE105" s="263">
        <v>1.69</v>
      </c>
      <c r="AF105" s="263">
        <v>0</v>
      </c>
      <c r="AG105" s="315">
        <f t="shared" si="14"/>
        <v>270.64999999999998</v>
      </c>
      <c r="AH105" s="263"/>
      <c r="AI105" s="315">
        <f t="shared" si="15"/>
        <v>270.64999999999998</v>
      </c>
      <c r="AJ105" s="678">
        <v>0</v>
      </c>
      <c r="AK105" s="678">
        <v>0</v>
      </c>
      <c r="AL105" s="678">
        <v>0</v>
      </c>
      <c r="AM105" s="678">
        <v>0</v>
      </c>
      <c r="AN105" s="678">
        <v>0</v>
      </c>
      <c r="AO105" s="678">
        <v>0</v>
      </c>
      <c r="AP105" s="678">
        <v>0</v>
      </c>
      <c r="AQ105" s="678">
        <v>0</v>
      </c>
      <c r="AR105" s="678">
        <v>0</v>
      </c>
    </row>
    <row r="106" spans="2:44" s="12" customFormat="1">
      <c r="B106" s="342" t="s">
        <v>426</v>
      </c>
      <c r="C106" s="261"/>
      <c r="D106" s="259" t="s">
        <v>427</v>
      </c>
      <c r="E106" s="461" t="s">
        <v>20</v>
      </c>
      <c r="F106" s="260" t="s">
        <v>24</v>
      </c>
      <c r="G106" s="260" t="s">
        <v>17</v>
      </c>
      <c r="H106" s="261" t="s">
        <v>23</v>
      </c>
      <c r="I106" s="259"/>
      <c r="J106" s="266"/>
      <c r="K106" s="259"/>
      <c r="L106" s="812">
        <v>0</v>
      </c>
      <c r="M106" s="800">
        <v>3832.8436999999999</v>
      </c>
      <c r="N106" s="263">
        <v>3119.7565</v>
      </c>
      <c r="O106" s="263">
        <v>14261.743899999999</v>
      </c>
      <c r="P106" s="263">
        <v>9400.7702540989831</v>
      </c>
      <c r="Q106" s="314">
        <f t="shared" si="12"/>
        <v>30615.11435409898</v>
      </c>
      <c r="R106" s="264"/>
      <c r="S106" s="315">
        <f t="shared" si="13"/>
        <v>30615.11435409898</v>
      </c>
      <c r="T106" s="678">
        <v>37795.691126530008</v>
      </c>
      <c r="U106" s="678">
        <v>9.7143617839999976</v>
      </c>
      <c r="V106" s="678">
        <v>1.65</v>
      </c>
      <c r="W106" s="678">
        <v>0</v>
      </c>
      <c r="X106" s="678">
        <v>0</v>
      </c>
      <c r="Y106" s="679">
        <v>566935.36683249997</v>
      </c>
      <c r="Z106" s="679">
        <v>24.756</v>
      </c>
      <c r="AA106" s="678">
        <v>0</v>
      </c>
      <c r="AB106" s="678">
        <v>0</v>
      </c>
      <c r="AC106" s="383">
        <v>25949.572</v>
      </c>
      <c r="AD106" s="263">
        <v>21121.744699999999</v>
      </c>
      <c r="AE106" s="263">
        <v>96556.547099999996</v>
      </c>
      <c r="AF106" s="263">
        <v>123994.56730959259</v>
      </c>
      <c r="AG106" s="315">
        <f t="shared" si="14"/>
        <v>267622.43110959255</v>
      </c>
      <c r="AH106" s="264"/>
      <c r="AI106" s="315">
        <f t="shared" si="15"/>
        <v>267622.43110959255</v>
      </c>
      <c r="AJ106" s="678">
        <v>498499.66116132919</v>
      </c>
      <c r="AK106" s="678">
        <v>128.12571242987124</v>
      </c>
      <c r="AL106" s="678">
        <v>21.768000000000001</v>
      </c>
      <c r="AM106" s="678">
        <v>0</v>
      </c>
      <c r="AN106" s="678">
        <v>0</v>
      </c>
      <c r="AO106" s="679">
        <v>7477494.9174199356</v>
      </c>
      <c r="AP106" s="679">
        <v>326.51900000000001</v>
      </c>
      <c r="AQ106" s="678">
        <v>0</v>
      </c>
      <c r="AR106" s="678">
        <v>0</v>
      </c>
    </row>
    <row r="107" spans="2:44" s="12" customFormat="1">
      <c r="B107" s="344" t="s">
        <v>428</v>
      </c>
      <c r="C107" s="260"/>
      <c r="D107" s="259" t="s">
        <v>429</v>
      </c>
      <c r="E107" s="461" t="s">
        <v>20</v>
      </c>
      <c r="F107" s="260" t="s">
        <v>16</v>
      </c>
      <c r="G107" s="260" t="s">
        <v>17</v>
      </c>
      <c r="H107" s="261" t="s">
        <v>23</v>
      </c>
      <c r="I107" s="262"/>
      <c r="J107" s="268"/>
      <c r="K107" s="262"/>
      <c r="L107" s="812">
        <v>0</v>
      </c>
      <c r="M107" s="800">
        <v>529.98599999999999</v>
      </c>
      <c r="N107" s="263">
        <v>0</v>
      </c>
      <c r="O107" s="263">
        <v>0.09</v>
      </c>
      <c r="P107" s="263">
        <v>0</v>
      </c>
      <c r="Q107" s="313">
        <f t="shared" si="12"/>
        <v>530.07600000000002</v>
      </c>
      <c r="R107" s="263"/>
      <c r="S107" s="315">
        <f t="shared" si="13"/>
        <v>530.07600000000002</v>
      </c>
      <c r="T107" s="679">
        <v>0</v>
      </c>
      <c r="U107" s="679">
        <v>0</v>
      </c>
      <c r="V107" s="679">
        <v>0</v>
      </c>
      <c r="W107" s="678">
        <v>0</v>
      </c>
      <c r="X107" s="678">
        <v>0</v>
      </c>
      <c r="Y107" s="678">
        <v>0</v>
      </c>
      <c r="Z107" s="678">
        <v>0</v>
      </c>
      <c r="AA107" s="678">
        <v>0</v>
      </c>
      <c r="AB107" s="678">
        <v>0</v>
      </c>
      <c r="AC107" s="384">
        <v>762.04</v>
      </c>
      <c r="AD107" s="264">
        <v>0</v>
      </c>
      <c r="AE107" s="264">
        <v>4.78</v>
      </c>
      <c r="AF107" s="264">
        <v>0</v>
      </c>
      <c r="AG107" s="315">
        <f t="shared" si="14"/>
        <v>766.81999999999994</v>
      </c>
      <c r="AH107" s="263"/>
      <c r="AI107" s="315">
        <f t="shared" si="15"/>
        <v>766.81999999999994</v>
      </c>
      <c r="AJ107" s="679">
        <v>0</v>
      </c>
      <c r="AK107" s="679">
        <v>0</v>
      </c>
      <c r="AL107" s="679">
        <v>0</v>
      </c>
      <c r="AM107" s="678">
        <v>0</v>
      </c>
      <c r="AN107" s="678">
        <v>0</v>
      </c>
      <c r="AO107" s="678">
        <v>0</v>
      </c>
      <c r="AP107" s="678">
        <v>0</v>
      </c>
      <c r="AQ107" s="678">
        <v>0</v>
      </c>
      <c r="AR107" s="678">
        <v>0</v>
      </c>
    </row>
    <row r="108" spans="2:44" s="12" customFormat="1">
      <c r="B108" s="344" t="s">
        <v>430</v>
      </c>
      <c r="C108" s="260"/>
      <c r="D108" s="259" t="s">
        <v>431</v>
      </c>
      <c r="E108" s="461" t="s">
        <v>20</v>
      </c>
      <c r="F108" s="260" t="s">
        <v>24</v>
      </c>
      <c r="G108" s="260" t="s">
        <v>17</v>
      </c>
      <c r="H108" s="261" t="s">
        <v>23</v>
      </c>
      <c r="I108" s="265"/>
      <c r="J108" s="265"/>
      <c r="K108" s="265"/>
      <c r="L108" s="812">
        <v>0</v>
      </c>
      <c r="M108" s="800">
        <v>79755.866399999999</v>
      </c>
      <c r="N108" s="263">
        <v>69913.366399999999</v>
      </c>
      <c r="O108" s="263">
        <v>298065.69459999999</v>
      </c>
      <c r="P108" s="263">
        <v>53959.795828502065</v>
      </c>
      <c r="Q108" s="313">
        <f t="shared" si="12"/>
        <v>501694.72322850203</v>
      </c>
      <c r="R108" s="263"/>
      <c r="S108" s="315">
        <f t="shared" si="13"/>
        <v>501694.72322850203</v>
      </c>
      <c r="T108" s="678">
        <v>313486.99751680437</v>
      </c>
      <c r="U108" s="678">
        <v>0.11273460639999988</v>
      </c>
      <c r="V108" s="678">
        <v>0.94899999999999995</v>
      </c>
      <c r="W108" s="678">
        <v>0</v>
      </c>
      <c r="X108" s="678">
        <v>0</v>
      </c>
      <c r="Y108" s="678">
        <v>4173611.3012464009</v>
      </c>
      <c r="Z108" s="678">
        <v>17.084</v>
      </c>
      <c r="AA108" s="678">
        <v>0</v>
      </c>
      <c r="AB108" s="678">
        <v>0</v>
      </c>
      <c r="AC108" s="383">
        <v>50586.972300000001</v>
      </c>
      <c r="AD108" s="263">
        <v>49191.972300000001</v>
      </c>
      <c r="AE108" s="263">
        <v>326926.19890000002</v>
      </c>
      <c r="AF108" s="263">
        <v>621022.9403062833</v>
      </c>
      <c r="AG108" s="315">
        <f t="shared" si="14"/>
        <v>1047728.0838062833</v>
      </c>
      <c r="AH108" s="263"/>
      <c r="AI108" s="315">
        <f t="shared" si="15"/>
        <v>1047728.0838062833</v>
      </c>
      <c r="AJ108" s="678">
        <v>1358614.5492303029</v>
      </c>
      <c r="AK108" s="678">
        <v>-7.9859936030366176</v>
      </c>
      <c r="AL108" s="678">
        <v>33.142000000000003</v>
      </c>
      <c r="AM108" s="678">
        <v>0</v>
      </c>
      <c r="AN108" s="678">
        <v>0</v>
      </c>
      <c r="AO108" s="678">
        <v>16716384.736569144</v>
      </c>
      <c r="AP108" s="678">
        <v>596.56399999999996</v>
      </c>
      <c r="AQ108" s="678">
        <v>0</v>
      </c>
      <c r="AR108" s="678">
        <v>0</v>
      </c>
    </row>
    <row r="109" spans="2:44" s="12" customFormat="1">
      <c r="B109" s="344" t="s">
        <v>432</v>
      </c>
      <c r="C109" s="260"/>
      <c r="D109" s="259" t="s">
        <v>433</v>
      </c>
      <c r="E109" s="461" t="s">
        <v>20</v>
      </c>
      <c r="F109" s="260" t="s">
        <v>16</v>
      </c>
      <c r="G109" s="260" t="s">
        <v>17</v>
      </c>
      <c r="H109" s="261" t="s">
        <v>23</v>
      </c>
      <c r="I109" s="266"/>
      <c r="J109" s="266"/>
      <c r="K109" s="266"/>
      <c r="L109" s="812">
        <v>0</v>
      </c>
      <c r="M109" s="800">
        <v>3223.77</v>
      </c>
      <c r="N109" s="263">
        <v>0</v>
      </c>
      <c r="O109" s="263">
        <v>0.56999999999999995</v>
      </c>
      <c r="P109" s="263">
        <v>0</v>
      </c>
      <c r="Q109" s="313">
        <f t="shared" si="12"/>
        <v>3224.34</v>
      </c>
      <c r="R109" s="263"/>
      <c r="S109" s="315">
        <f t="shared" si="13"/>
        <v>3224.34</v>
      </c>
      <c r="T109" s="678">
        <v>0</v>
      </c>
      <c r="U109" s="678">
        <v>0</v>
      </c>
      <c r="V109" s="678">
        <v>0</v>
      </c>
      <c r="W109" s="678">
        <v>0</v>
      </c>
      <c r="X109" s="678">
        <v>0</v>
      </c>
      <c r="Y109" s="678">
        <v>0</v>
      </c>
      <c r="Z109" s="678">
        <v>0</v>
      </c>
      <c r="AA109" s="678">
        <v>0</v>
      </c>
      <c r="AB109" s="678">
        <v>0</v>
      </c>
      <c r="AC109" s="383">
        <v>5001.0636000000004</v>
      </c>
      <c r="AD109" s="263">
        <v>0</v>
      </c>
      <c r="AE109" s="263">
        <v>31.37</v>
      </c>
      <c r="AF109" s="263">
        <v>0</v>
      </c>
      <c r="AG109" s="315">
        <f t="shared" si="14"/>
        <v>5032.4336000000003</v>
      </c>
      <c r="AH109" s="263"/>
      <c r="AI109" s="315">
        <f t="shared" si="15"/>
        <v>5032.4336000000003</v>
      </c>
      <c r="AJ109" s="678">
        <v>0</v>
      </c>
      <c r="AK109" s="678">
        <v>0</v>
      </c>
      <c r="AL109" s="678">
        <v>0</v>
      </c>
      <c r="AM109" s="678">
        <v>0</v>
      </c>
      <c r="AN109" s="678">
        <v>0</v>
      </c>
      <c r="AO109" s="678">
        <v>0</v>
      </c>
      <c r="AP109" s="678">
        <v>0</v>
      </c>
      <c r="AQ109" s="678">
        <v>0</v>
      </c>
      <c r="AR109" s="678">
        <v>0</v>
      </c>
    </row>
    <row r="110" spans="2:44" s="12" customFormat="1">
      <c r="B110" s="344" t="s">
        <v>434</v>
      </c>
      <c r="C110" s="260"/>
      <c r="D110" s="259" t="s">
        <v>435</v>
      </c>
      <c r="E110" s="461" t="s">
        <v>20</v>
      </c>
      <c r="F110" s="260" t="s">
        <v>24</v>
      </c>
      <c r="G110" s="260" t="s">
        <v>17</v>
      </c>
      <c r="H110" s="261" t="s">
        <v>23</v>
      </c>
      <c r="I110" s="266"/>
      <c r="J110" s="266"/>
      <c r="K110" s="266"/>
      <c r="L110" s="812">
        <v>0</v>
      </c>
      <c r="M110" s="800">
        <v>38884.567799999997</v>
      </c>
      <c r="N110" s="263">
        <v>34055.664199999999</v>
      </c>
      <c r="O110" s="263">
        <v>96506.914099999995</v>
      </c>
      <c r="P110" s="263">
        <v>95212.120900000038</v>
      </c>
      <c r="Q110" s="313">
        <f t="shared" si="12"/>
        <v>264659.26699999999</v>
      </c>
      <c r="R110" s="263"/>
      <c r="S110" s="315">
        <f t="shared" si="13"/>
        <v>264659.26699999999</v>
      </c>
      <c r="T110" s="678">
        <v>919825.14050876047</v>
      </c>
      <c r="U110" s="678">
        <v>0</v>
      </c>
      <c r="V110" s="678">
        <v>0</v>
      </c>
      <c r="W110" s="678">
        <v>0</v>
      </c>
      <c r="X110" s="678">
        <v>0</v>
      </c>
      <c r="Y110" s="678">
        <v>13499422.250429945</v>
      </c>
      <c r="Z110" s="678">
        <v>0</v>
      </c>
      <c r="AA110" s="678">
        <v>0</v>
      </c>
      <c r="AB110" s="678">
        <v>0</v>
      </c>
      <c r="AC110" s="383">
        <v>20016.1158</v>
      </c>
      <c r="AD110" s="263">
        <v>23451.253000000001</v>
      </c>
      <c r="AE110" s="263">
        <v>100645.66959999999</v>
      </c>
      <c r="AF110" s="263">
        <v>211244.47333056564</v>
      </c>
      <c r="AG110" s="315">
        <f t="shared" si="14"/>
        <v>355357.51173056563</v>
      </c>
      <c r="AH110" s="263"/>
      <c r="AI110" s="315">
        <f t="shared" si="15"/>
        <v>355357.51173056563</v>
      </c>
      <c r="AJ110" s="678">
        <v>1833660.0852976006</v>
      </c>
      <c r="AK110" s="678">
        <v>0.80244798701871123</v>
      </c>
      <c r="AL110" s="678">
        <v>0.5</v>
      </c>
      <c r="AM110" s="678">
        <v>0</v>
      </c>
      <c r="AN110" s="678">
        <v>0</v>
      </c>
      <c r="AO110" s="678">
        <v>26543989.576289382</v>
      </c>
      <c r="AP110" s="678">
        <v>8.9909999999999997</v>
      </c>
      <c r="AQ110" s="678">
        <v>0</v>
      </c>
      <c r="AR110" s="678">
        <v>0</v>
      </c>
    </row>
    <row r="111" spans="2:44" s="12" customFormat="1">
      <c r="B111" s="342" t="s">
        <v>436</v>
      </c>
      <c r="C111" s="261"/>
      <c r="D111" s="259" t="s">
        <v>437</v>
      </c>
      <c r="E111" s="461" t="s">
        <v>20</v>
      </c>
      <c r="F111" s="260" t="s">
        <v>16</v>
      </c>
      <c r="G111" s="260" t="s">
        <v>17</v>
      </c>
      <c r="H111" s="261" t="s">
        <v>23</v>
      </c>
      <c r="I111" s="268"/>
      <c r="J111" s="268"/>
      <c r="K111" s="268"/>
      <c r="L111" s="812">
        <v>0</v>
      </c>
      <c r="M111" s="800">
        <v>2438.66</v>
      </c>
      <c r="N111" s="263">
        <v>0</v>
      </c>
      <c r="O111" s="263">
        <v>0.43</v>
      </c>
      <c r="P111" s="263">
        <v>0</v>
      </c>
      <c r="Q111" s="314">
        <f t="shared" si="12"/>
        <v>2439.0899999999997</v>
      </c>
      <c r="R111" s="264"/>
      <c r="S111" s="315">
        <f t="shared" si="13"/>
        <v>2439.0899999999997</v>
      </c>
      <c r="T111" s="679">
        <v>0</v>
      </c>
      <c r="U111" s="679">
        <v>0</v>
      </c>
      <c r="V111" s="679">
        <v>0</v>
      </c>
      <c r="W111" s="678">
        <v>0</v>
      </c>
      <c r="X111" s="678">
        <v>0</v>
      </c>
      <c r="Y111" s="679">
        <v>0</v>
      </c>
      <c r="Z111" s="679">
        <v>0</v>
      </c>
      <c r="AA111" s="678">
        <v>0</v>
      </c>
      <c r="AB111" s="678">
        <v>0</v>
      </c>
      <c r="AC111" s="384">
        <v>2830.1035999999999</v>
      </c>
      <c r="AD111" s="264">
        <v>0</v>
      </c>
      <c r="AE111" s="264">
        <v>17.75</v>
      </c>
      <c r="AF111" s="264">
        <v>0</v>
      </c>
      <c r="AG111" s="315">
        <f t="shared" si="14"/>
        <v>2847.8535999999999</v>
      </c>
      <c r="AH111" s="264"/>
      <c r="AI111" s="315">
        <f t="shared" si="15"/>
        <v>2847.8535999999999</v>
      </c>
      <c r="AJ111" s="679">
        <v>0</v>
      </c>
      <c r="AK111" s="679">
        <v>0</v>
      </c>
      <c r="AL111" s="679">
        <v>0</v>
      </c>
      <c r="AM111" s="678">
        <v>0</v>
      </c>
      <c r="AN111" s="678">
        <v>0</v>
      </c>
      <c r="AO111" s="679">
        <v>0</v>
      </c>
      <c r="AP111" s="679">
        <v>0</v>
      </c>
      <c r="AQ111" s="678">
        <v>0</v>
      </c>
      <c r="AR111" s="678">
        <v>0</v>
      </c>
    </row>
    <row r="112" spans="2:44" s="12" customFormat="1">
      <c r="B112" s="344"/>
      <c r="C112" s="260"/>
      <c r="D112" s="259"/>
      <c r="E112" s="259"/>
      <c r="F112" s="260"/>
      <c r="G112" s="260"/>
      <c r="H112" s="261"/>
      <c r="I112" s="266"/>
      <c r="J112" s="266"/>
      <c r="K112" s="266"/>
      <c r="L112" s="813"/>
      <c r="M112" s="800"/>
      <c r="N112" s="263"/>
      <c r="O112" s="263"/>
      <c r="P112" s="263"/>
      <c r="Q112" s="313">
        <f t="shared" si="12"/>
        <v>0</v>
      </c>
      <c r="R112" s="263"/>
      <c r="S112" s="315">
        <f t="shared" si="13"/>
        <v>0</v>
      </c>
      <c r="T112" s="331"/>
      <c r="U112" s="331"/>
      <c r="V112" s="331"/>
      <c r="W112" s="331"/>
      <c r="X112" s="331"/>
      <c r="Y112" s="331"/>
      <c r="Z112" s="331"/>
      <c r="AA112" s="331"/>
      <c r="AB112" s="331"/>
      <c r="AC112" s="383"/>
      <c r="AD112" s="263"/>
      <c r="AE112" s="263"/>
      <c r="AF112" s="263"/>
      <c r="AG112" s="315">
        <f t="shared" si="14"/>
        <v>0</v>
      </c>
      <c r="AH112" s="263"/>
      <c r="AI112" s="315">
        <f t="shared" si="15"/>
        <v>0</v>
      </c>
      <c r="AJ112" s="331"/>
      <c r="AK112" s="331"/>
      <c r="AL112" s="331"/>
      <c r="AM112" s="678"/>
      <c r="AN112" s="678"/>
      <c r="AO112" s="331"/>
      <c r="AP112" s="331"/>
      <c r="AQ112" s="678"/>
      <c r="AR112" s="678"/>
    </row>
    <row r="113" spans="2:44" s="12" customFormat="1">
      <c r="B113" s="344"/>
      <c r="C113" s="880" t="s">
        <v>438</v>
      </c>
      <c r="D113" s="266" t="s">
        <v>439</v>
      </c>
      <c r="E113" s="461" t="s">
        <v>20</v>
      </c>
      <c r="F113" s="260" t="s">
        <v>16</v>
      </c>
      <c r="G113" s="260" t="s">
        <v>17</v>
      </c>
      <c r="H113" s="261" t="s">
        <v>18</v>
      </c>
      <c r="I113" s="266"/>
      <c r="J113" s="674">
        <v>1518172.4561000001</v>
      </c>
      <c r="K113" s="266"/>
      <c r="L113" s="812">
        <v>679826.45354694431</v>
      </c>
      <c r="M113" s="800"/>
      <c r="N113" s="263"/>
      <c r="O113" s="263"/>
      <c r="P113" s="263"/>
      <c r="Q113" s="313">
        <f t="shared" si="12"/>
        <v>0</v>
      </c>
      <c r="R113" s="263"/>
      <c r="S113" s="315">
        <f t="shared" si="13"/>
        <v>0</v>
      </c>
      <c r="T113" s="331"/>
      <c r="U113" s="331"/>
      <c r="V113" s="331"/>
      <c r="W113" s="331"/>
      <c r="X113" s="331"/>
      <c r="Y113" s="331"/>
      <c r="Z113" s="331"/>
      <c r="AA113" s="331"/>
      <c r="AB113" s="331"/>
      <c r="AC113" s="383"/>
      <c r="AD113" s="263"/>
      <c r="AE113" s="263"/>
      <c r="AF113" s="263"/>
      <c r="AG113" s="315">
        <f t="shared" si="14"/>
        <v>0</v>
      </c>
      <c r="AH113" s="263"/>
      <c r="AI113" s="315">
        <f t="shared" si="15"/>
        <v>0</v>
      </c>
      <c r="AJ113" s="331"/>
      <c r="AK113" s="331"/>
      <c r="AL113" s="331"/>
      <c r="AM113" s="678"/>
      <c r="AN113" s="678"/>
      <c r="AO113" s="331"/>
      <c r="AP113" s="331"/>
      <c r="AQ113" s="678"/>
      <c r="AR113" s="678"/>
    </row>
    <row r="114" spans="2:44" s="12" customFormat="1">
      <c r="B114" s="344"/>
      <c r="C114" s="880" t="s">
        <v>440</v>
      </c>
      <c r="D114" s="266" t="s">
        <v>441</v>
      </c>
      <c r="E114" s="461" t="s">
        <v>15</v>
      </c>
      <c r="F114" s="260" t="s">
        <v>16</v>
      </c>
      <c r="G114" s="260" t="s">
        <v>32</v>
      </c>
      <c r="H114" s="261" t="s">
        <v>23</v>
      </c>
      <c r="I114" s="266"/>
      <c r="J114" s="674">
        <v>371675.3224</v>
      </c>
      <c r="K114" s="266"/>
      <c r="L114" s="812">
        <v>399790.28434139944</v>
      </c>
      <c r="M114" s="800"/>
      <c r="N114" s="263"/>
      <c r="O114" s="263"/>
      <c r="P114" s="263"/>
      <c r="Q114" s="313">
        <f t="shared" si="12"/>
        <v>0</v>
      </c>
      <c r="R114" s="263"/>
      <c r="S114" s="315">
        <f t="shared" si="13"/>
        <v>0</v>
      </c>
      <c r="T114" s="331"/>
      <c r="U114" s="331"/>
      <c r="V114" s="331"/>
      <c r="W114" s="331"/>
      <c r="X114" s="331"/>
      <c r="Y114" s="331"/>
      <c r="Z114" s="331"/>
      <c r="AA114" s="331"/>
      <c r="AB114" s="331"/>
      <c r="AC114" s="383"/>
      <c r="AD114" s="263"/>
      <c r="AE114" s="263"/>
      <c r="AF114" s="263"/>
      <c r="AG114" s="315">
        <f t="shared" si="14"/>
        <v>0</v>
      </c>
      <c r="AH114" s="263"/>
      <c r="AI114" s="315">
        <f t="shared" si="15"/>
        <v>0</v>
      </c>
      <c r="AJ114" s="331"/>
      <c r="AK114" s="331"/>
      <c r="AL114" s="331"/>
      <c r="AM114" s="678"/>
      <c r="AN114" s="678"/>
      <c r="AO114" s="331"/>
      <c r="AP114" s="331"/>
      <c r="AQ114" s="678"/>
      <c r="AR114" s="678"/>
    </row>
    <row r="115" spans="2:44" s="12" customFormat="1">
      <c r="B115" s="344"/>
      <c r="C115" s="880" t="s">
        <v>442</v>
      </c>
      <c r="D115" s="266" t="s">
        <v>443</v>
      </c>
      <c r="E115" s="461" t="s">
        <v>15</v>
      </c>
      <c r="F115" s="260" t="s">
        <v>16</v>
      </c>
      <c r="G115" s="260" t="s">
        <v>22</v>
      </c>
      <c r="H115" s="261" t="s">
        <v>23</v>
      </c>
      <c r="I115" s="266"/>
      <c r="J115" s="674">
        <v>626761.42200000002</v>
      </c>
      <c r="K115" s="266"/>
      <c r="L115" s="812">
        <v>190744.17732918024</v>
      </c>
      <c r="M115" s="800"/>
      <c r="N115" s="263"/>
      <c r="O115" s="263"/>
      <c r="P115" s="263"/>
      <c r="Q115" s="313">
        <f t="shared" si="12"/>
        <v>0</v>
      </c>
      <c r="R115" s="263"/>
      <c r="S115" s="315">
        <f t="shared" si="13"/>
        <v>0</v>
      </c>
      <c r="T115" s="331"/>
      <c r="U115" s="331"/>
      <c r="V115" s="331"/>
      <c r="W115" s="331"/>
      <c r="X115" s="331"/>
      <c r="Y115" s="331"/>
      <c r="Z115" s="331"/>
      <c r="AA115" s="331"/>
      <c r="AB115" s="331"/>
      <c r="AC115" s="383"/>
      <c r="AD115" s="263"/>
      <c r="AE115" s="263"/>
      <c r="AF115" s="263"/>
      <c r="AG115" s="315">
        <f t="shared" si="14"/>
        <v>0</v>
      </c>
      <c r="AH115" s="263"/>
      <c r="AI115" s="315">
        <f t="shared" si="15"/>
        <v>0</v>
      </c>
      <c r="AJ115" s="331"/>
      <c r="AK115" s="331"/>
      <c r="AL115" s="331"/>
      <c r="AM115" s="678"/>
      <c r="AN115" s="678"/>
      <c r="AO115" s="331"/>
      <c r="AP115" s="331"/>
      <c r="AQ115" s="678"/>
      <c r="AR115" s="678"/>
    </row>
    <row r="116" spans="2:44" s="12" customFormat="1">
      <c r="B116" s="344"/>
      <c r="C116" s="880" t="s">
        <v>444</v>
      </c>
      <c r="D116" s="266" t="s">
        <v>445</v>
      </c>
      <c r="E116" s="461" t="s">
        <v>15</v>
      </c>
      <c r="F116" s="260" t="s">
        <v>16</v>
      </c>
      <c r="G116" s="260" t="s">
        <v>30</v>
      </c>
      <c r="H116" s="261" t="s">
        <v>23</v>
      </c>
      <c r="I116" s="265"/>
      <c r="J116" s="674">
        <v>92489.432000000001</v>
      </c>
      <c r="K116" s="265"/>
      <c r="L116" s="812">
        <v>30178.631176845134</v>
      </c>
      <c r="M116" s="800"/>
      <c r="N116" s="263"/>
      <c r="O116" s="263"/>
      <c r="P116" s="263"/>
      <c r="Q116" s="313">
        <f t="shared" si="12"/>
        <v>0</v>
      </c>
      <c r="R116" s="263"/>
      <c r="S116" s="315">
        <f t="shared" si="13"/>
        <v>0</v>
      </c>
      <c r="T116" s="331"/>
      <c r="U116" s="331"/>
      <c r="V116" s="331"/>
      <c r="W116" s="331"/>
      <c r="X116" s="331"/>
      <c r="Y116" s="331"/>
      <c r="Z116" s="331"/>
      <c r="AA116" s="331"/>
      <c r="AB116" s="331"/>
      <c r="AC116" s="383"/>
      <c r="AD116" s="263"/>
      <c r="AE116" s="263"/>
      <c r="AF116" s="263"/>
      <c r="AG116" s="315">
        <f t="shared" si="14"/>
        <v>0</v>
      </c>
      <c r="AH116" s="263"/>
      <c r="AI116" s="315">
        <f t="shared" si="15"/>
        <v>0</v>
      </c>
      <c r="AJ116" s="331"/>
      <c r="AK116" s="331"/>
      <c r="AL116" s="331"/>
      <c r="AM116" s="678"/>
      <c r="AN116" s="678"/>
      <c r="AO116" s="331"/>
      <c r="AP116" s="331"/>
      <c r="AQ116" s="678"/>
      <c r="AR116" s="678"/>
    </row>
    <row r="117" spans="2:44" s="12" customFormat="1">
      <c r="B117" s="344"/>
      <c r="C117" s="880" t="s">
        <v>446</v>
      </c>
      <c r="D117" s="266" t="s">
        <v>447</v>
      </c>
      <c r="E117" s="461" t="s">
        <v>15</v>
      </c>
      <c r="F117" s="260" t="s">
        <v>16</v>
      </c>
      <c r="G117" s="260" t="s">
        <v>30</v>
      </c>
      <c r="H117" s="261" t="s">
        <v>23</v>
      </c>
      <c r="I117" s="267"/>
      <c r="J117" s="674">
        <v>128850.51640000001</v>
      </c>
      <c r="K117" s="267"/>
      <c r="L117" s="812">
        <v>29967.963387800184</v>
      </c>
      <c r="M117" s="801"/>
      <c r="N117" s="264"/>
      <c r="O117" s="264"/>
      <c r="P117" s="264"/>
      <c r="Q117" s="314">
        <f t="shared" si="12"/>
        <v>0</v>
      </c>
      <c r="R117" s="264"/>
      <c r="S117" s="315">
        <f t="shared" si="13"/>
        <v>0</v>
      </c>
      <c r="T117" s="332"/>
      <c r="U117" s="332"/>
      <c r="V117" s="332"/>
      <c r="W117" s="331"/>
      <c r="X117" s="332"/>
      <c r="Y117" s="332"/>
      <c r="Z117" s="332"/>
      <c r="AA117" s="331"/>
      <c r="AB117" s="331"/>
      <c r="AC117" s="384"/>
      <c r="AD117" s="264"/>
      <c r="AE117" s="264"/>
      <c r="AF117" s="264"/>
      <c r="AG117" s="315">
        <f t="shared" si="14"/>
        <v>0</v>
      </c>
      <c r="AH117" s="264"/>
      <c r="AI117" s="315">
        <f t="shared" si="15"/>
        <v>0</v>
      </c>
      <c r="AJ117" s="332"/>
      <c r="AK117" s="332"/>
      <c r="AL117" s="332"/>
      <c r="AM117" s="678"/>
      <c r="AN117" s="678"/>
      <c r="AO117" s="332"/>
      <c r="AP117" s="332"/>
      <c r="AQ117" s="678"/>
      <c r="AR117" s="678"/>
    </row>
    <row r="118" spans="2:44" s="12" customFormat="1">
      <c r="B118" s="344"/>
      <c r="C118" s="880" t="s">
        <v>448</v>
      </c>
      <c r="D118" s="266" t="s">
        <v>449</v>
      </c>
      <c r="E118" s="461" t="s">
        <v>15</v>
      </c>
      <c r="F118" s="260" t="s">
        <v>16</v>
      </c>
      <c r="G118" s="260" t="s">
        <v>30</v>
      </c>
      <c r="H118" s="261" t="s">
        <v>23</v>
      </c>
      <c r="I118" s="265"/>
      <c r="J118" s="674">
        <v>28226.284800000001</v>
      </c>
      <c r="K118" s="265"/>
      <c r="L118" s="812">
        <v>11239.947706243514</v>
      </c>
      <c r="M118" s="800"/>
      <c r="N118" s="263"/>
      <c r="O118" s="263"/>
      <c r="P118" s="263"/>
      <c r="Q118" s="313">
        <f t="shared" si="12"/>
        <v>0</v>
      </c>
      <c r="R118" s="263"/>
      <c r="S118" s="315">
        <f t="shared" si="13"/>
        <v>0</v>
      </c>
      <c r="T118" s="331"/>
      <c r="U118" s="331"/>
      <c r="V118" s="331"/>
      <c r="W118" s="331"/>
      <c r="X118" s="331"/>
      <c r="Y118" s="331"/>
      <c r="Z118" s="331"/>
      <c r="AA118" s="331"/>
      <c r="AB118" s="331"/>
      <c r="AC118" s="383"/>
      <c r="AD118" s="263"/>
      <c r="AE118" s="263"/>
      <c r="AF118" s="263"/>
      <c r="AG118" s="315">
        <f t="shared" si="14"/>
        <v>0</v>
      </c>
      <c r="AH118" s="263"/>
      <c r="AI118" s="315">
        <f t="shared" si="15"/>
        <v>0</v>
      </c>
      <c r="AJ118" s="331"/>
      <c r="AK118" s="331"/>
      <c r="AL118" s="331"/>
      <c r="AM118" s="678"/>
      <c r="AN118" s="678"/>
      <c r="AO118" s="331"/>
      <c r="AP118" s="331"/>
      <c r="AQ118" s="678"/>
      <c r="AR118" s="678"/>
    </row>
    <row r="119" spans="2:44" s="12" customFormat="1">
      <c r="B119" s="344"/>
      <c r="C119" s="880" t="s">
        <v>450</v>
      </c>
      <c r="D119" s="266" t="s">
        <v>451</v>
      </c>
      <c r="E119" s="461" t="s">
        <v>15</v>
      </c>
      <c r="F119" s="260" t="s">
        <v>16</v>
      </c>
      <c r="G119" s="260" t="s">
        <v>30</v>
      </c>
      <c r="H119" s="261" t="s">
        <v>23</v>
      </c>
      <c r="I119" s="265"/>
      <c r="J119" s="674">
        <v>28226.284800000001</v>
      </c>
      <c r="K119" s="265"/>
      <c r="L119" s="812">
        <v>14982.21044911955</v>
      </c>
      <c r="M119" s="800"/>
      <c r="N119" s="263"/>
      <c r="O119" s="263"/>
      <c r="P119" s="263"/>
      <c r="Q119" s="313">
        <f t="shared" si="12"/>
        <v>0</v>
      </c>
      <c r="R119" s="263"/>
      <c r="S119" s="315">
        <f t="shared" si="13"/>
        <v>0</v>
      </c>
      <c r="T119" s="331"/>
      <c r="U119" s="331"/>
      <c r="V119" s="331"/>
      <c r="W119" s="331"/>
      <c r="X119" s="331"/>
      <c r="Y119" s="331"/>
      <c r="Z119" s="331"/>
      <c r="AA119" s="331"/>
      <c r="AB119" s="331"/>
      <c r="AC119" s="383"/>
      <c r="AD119" s="263"/>
      <c r="AE119" s="263"/>
      <c r="AF119" s="263"/>
      <c r="AG119" s="315">
        <f t="shared" si="14"/>
        <v>0</v>
      </c>
      <c r="AH119" s="263"/>
      <c r="AI119" s="315">
        <f t="shared" si="15"/>
        <v>0</v>
      </c>
      <c r="AJ119" s="331"/>
      <c r="AK119" s="331"/>
      <c r="AL119" s="331"/>
      <c r="AM119" s="678"/>
      <c r="AN119" s="678"/>
      <c r="AO119" s="331"/>
      <c r="AP119" s="331"/>
      <c r="AQ119" s="678"/>
      <c r="AR119" s="678"/>
    </row>
    <row r="120" spans="2:44" s="12" customFormat="1">
      <c r="B120" s="344"/>
      <c r="C120" s="880" t="s">
        <v>452</v>
      </c>
      <c r="D120" s="266" t="s">
        <v>453</v>
      </c>
      <c r="E120" s="461" t="s">
        <v>15</v>
      </c>
      <c r="F120" s="260" t="s">
        <v>16</v>
      </c>
      <c r="G120" s="260" t="s">
        <v>30</v>
      </c>
      <c r="H120" s="261" t="s">
        <v>23</v>
      </c>
      <c r="I120" s="265"/>
      <c r="J120" s="674">
        <v>28226.284800000001</v>
      </c>
      <c r="K120" s="265"/>
      <c r="L120" s="812">
        <v>15681.16106159873</v>
      </c>
      <c r="M120" s="800"/>
      <c r="N120" s="263"/>
      <c r="O120" s="263"/>
      <c r="P120" s="263"/>
      <c r="Q120" s="313">
        <f t="shared" si="12"/>
        <v>0</v>
      </c>
      <c r="R120" s="263"/>
      <c r="S120" s="315">
        <f t="shared" si="13"/>
        <v>0</v>
      </c>
      <c r="T120" s="331"/>
      <c r="U120" s="331"/>
      <c r="V120" s="331"/>
      <c r="W120" s="331"/>
      <c r="X120" s="331"/>
      <c r="Y120" s="331"/>
      <c r="Z120" s="331"/>
      <c r="AA120" s="331"/>
      <c r="AB120" s="331"/>
      <c r="AC120" s="383"/>
      <c r="AD120" s="263"/>
      <c r="AE120" s="263"/>
      <c r="AF120" s="263"/>
      <c r="AG120" s="315">
        <f t="shared" si="14"/>
        <v>0</v>
      </c>
      <c r="AH120" s="263"/>
      <c r="AI120" s="315">
        <f t="shared" si="15"/>
        <v>0</v>
      </c>
      <c r="AJ120" s="331"/>
      <c r="AK120" s="331"/>
      <c r="AL120" s="331"/>
      <c r="AM120" s="678"/>
      <c r="AN120" s="678"/>
      <c r="AO120" s="331"/>
      <c r="AP120" s="331"/>
      <c r="AQ120" s="678"/>
      <c r="AR120" s="678"/>
    </row>
    <row r="121" spans="2:44" s="12" customFormat="1">
      <c r="B121" s="344"/>
      <c r="C121" s="880" t="s">
        <v>454</v>
      </c>
      <c r="D121" s="266" t="s">
        <v>455</v>
      </c>
      <c r="E121" s="461" t="s">
        <v>15</v>
      </c>
      <c r="F121" s="260" t="s">
        <v>16</v>
      </c>
      <c r="G121" s="260" t="s">
        <v>30</v>
      </c>
      <c r="H121" s="261" t="s">
        <v>23</v>
      </c>
      <c r="I121" s="262"/>
      <c r="J121" s="674">
        <v>28226.284800000001</v>
      </c>
      <c r="K121" s="262"/>
      <c r="L121" s="812">
        <v>22419.487254430849</v>
      </c>
      <c r="M121" s="800"/>
      <c r="N121" s="263"/>
      <c r="O121" s="263"/>
      <c r="P121" s="263"/>
      <c r="Q121" s="313">
        <f t="shared" si="12"/>
        <v>0</v>
      </c>
      <c r="R121" s="263"/>
      <c r="S121" s="315">
        <f t="shared" si="13"/>
        <v>0</v>
      </c>
      <c r="T121" s="331"/>
      <c r="U121" s="331"/>
      <c r="V121" s="331"/>
      <c r="W121" s="331"/>
      <c r="X121" s="331"/>
      <c r="Y121" s="331"/>
      <c r="Z121" s="331"/>
      <c r="AA121" s="331"/>
      <c r="AB121" s="331"/>
      <c r="AC121" s="383"/>
      <c r="AD121" s="263"/>
      <c r="AE121" s="263"/>
      <c r="AF121" s="263"/>
      <c r="AG121" s="315">
        <f t="shared" si="14"/>
        <v>0</v>
      </c>
      <c r="AH121" s="263"/>
      <c r="AI121" s="315">
        <f t="shared" si="15"/>
        <v>0</v>
      </c>
      <c r="AJ121" s="331"/>
      <c r="AK121" s="331"/>
      <c r="AL121" s="331"/>
      <c r="AM121" s="678"/>
      <c r="AN121" s="678"/>
      <c r="AO121" s="331"/>
      <c r="AP121" s="331"/>
      <c r="AQ121" s="678"/>
      <c r="AR121" s="678"/>
    </row>
    <row r="122" spans="2:44" s="12" customFormat="1">
      <c r="B122" s="344"/>
      <c r="C122" s="880" t="s">
        <v>456</v>
      </c>
      <c r="D122" s="266" t="s">
        <v>457</v>
      </c>
      <c r="E122" s="461" t="s">
        <v>15</v>
      </c>
      <c r="F122" s="260" t="s">
        <v>16</v>
      </c>
      <c r="G122" s="260" t="s">
        <v>30</v>
      </c>
      <c r="H122" s="261" t="s">
        <v>23</v>
      </c>
      <c r="I122" s="262"/>
      <c r="J122" s="674">
        <v>28226.284800000001</v>
      </c>
      <c r="K122" s="262"/>
      <c r="L122" s="812">
        <v>15283.624044527287</v>
      </c>
      <c r="M122" s="800"/>
      <c r="N122" s="263"/>
      <c r="O122" s="263"/>
      <c r="P122" s="263"/>
      <c r="Q122" s="313">
        <f t="shared" ref="Q122:Q125" si="16">SUM(M122:P122)</f>
        <v>0</v>
      </c>
      <c r="R122" s="263"/>
      <c r="S122" s="315">
        <f t="shared" ref="S122:S125" si="17">Q122+R122</f>
        <v>0</v>
      </c>
      <c r="T122" s="331"/>
      <c r="U122" s="331"/>
      <c r="V122" s="331"/>
      <c r="W122" s="331"/>
      <c r="X122" s="331"/>
      <c r="Y122" s="331"/>
      <c r="Z122" s="331"/>
      <c r="AA122" s="331"/>
      <c r="AB122" s="331"/>
      <c r="AC122" s="383"/>
      <c r="AD122" s="263"/>
      <c r="AE122" s="263"/>
      <c r="AF122" s="263"/>
      <c r="AG122" s="315">
        <f t="shared" ref="AG122:AG125" si="18">SUM(AC122:AF122)</f>
        <v>0</v>
      </c>
      <c r="AH122" s="263"/>
      <c r="AI122" s="315">
        <f t="shared" ref="AI122:AI125" si="19">AG122+AH122</f>
        <v>0</v>
      </c>
      <c r="AJ122" s="331"/>
      <c r="AK122" s="331"/>
      <c r="AL122" s="331"/>
      <c r="AM122" s="678"/>
      <c r="AN122" s="678"/>
      <c r="AO122" s="331"/>
      <c r="AP122" s="331"/>
      <c r="AQ122" s="678"/>
      <c r="AR122" s="678"/>
    </row>
    <row r="123" spans="2:44">
      <c r="B123" s="344"/>
      <c r="C123" s="880" t="s">
        <v>458</v>
      </c>
      <c r="D123" s="266" t="s">
        <v>459</v>
      </c>
      <c r="E123" s="461" t="s">
        <v>15</v>
      </c>
      <c r="F123" s="260" t="s">
        <v>16</v>
      </c>
      <c r="G123" s="260" t="s">
        <v>30</v>
      </c>
      <c r="H123" s="261" t="s">
        <v>23</v>
      </c>
      <c r="I123" s="262"/>
      <c r="J123" s="674">
        <v>28226.284800000001</v>
      </c>
      <c r="K123" s="262"/>
      <c r="L123" s="812">
        <v>15532.666868030548</v>
      </c>
      <c r="M123" s="800"/>
      <c r="N123" s="263"/>
      <c r="O123" s="263"/>
      <c r="P123" s="263"/>
      <c r="Q123" s="313">
        <f t="shared" si="16"/>
        <v>0</v>
      </c>
      <c r="R123" s="263"/>
      <c r="S123" s="315">
        <f t="shared" si="17"/>
        <v>0</v>
      </c>
      <c r="T123" s="331"/>
      <c r="U123" s="331"/>
      <c r="V123" s="331"/>
      <c r="W123" s="331"/>
      <c r="X123" s="331"/>
      <c r="Y123" s="331"/>
      <c r="Z123" s="331"/>
      <c r="AA123" s="331"/>
      <c r="AB123" s="331"/>
      <c r="AC123" s="383"/>
      <c r="AD123" s="263"/>
      <c r="AE123" s="263"/>
      <c r="AF123" s="263"/>
      <c r="AG123" s="315">
        <f t="shared" si="18"/>
        <v>0</v>
      </c>
      <c r="AH123" s="263"/>
      <c r="AI123" s="315">
        <f t="shared" si="19"/>
        <v>0</v>
      </c>
      <c r="AJ123" s="331"/>
      <c r="AK123" s="331"/>
      <c r="AL123" s="331"/>
      <c r="AM123" s="678"/>
      <c r="AN123" s="678"/>
      <c r="AO123" s="331"/>
      <c r="AP123" s="331"/>
      <c r="AQ123" s="678"/>
      <c r="AR123" s="678"/>
    </row>
    <row r="124" spans="2:44">
      <c r="B124" s="344"/>
      <c r="C124" s="880" t="s">
        <v>460</v>
      </c>
      <c r="D124" s="266" t="s">
        <v>461</v>
      </c>
      <c r="E124" s="461" t="s">
        <v>15</v>
      </c>
      <c r="F124" s="260" t="s">
        <v>16</v>
      </c>
      <c r="G124" s="260" t="s">
        <v>30</v>
      </c>
      <c r="H124" s="261" t="s">
        <v>23</v>
      </c>
      <c r="I124" s="262"/>
      <c r="J124" s="674">
        <v>22051.555899999999</v>
      </c>
      <c r="K124" s="262"/>
      <c r="L124" s="812">
        <v>6531.0847461494959</v>
      </c>
      <c r="M124" s="800"/>
      <c r="N124" s="263"/>
      <c r="O124" s="263"/>
      <c r="P124" s="263"/>
      <c r="Q124" s="313">
        <f t="shared" si="16"/>
        <v>0</v>
      </c>
      <c r="R124" s="263"/>
      <c r="S124" s="315">
        <f t="shared" si="17"/>
        <v>0</v>
      </c>
      <c r="T124" s="331"/>
      <c r="U124" s="331"/>
      <c r="V124" s="331"/>
      <c r="W124" s="331"/>
      <c r="X124" s="331"/>
      <c r="Y124" s="331"/>
      <c r="Z124" s="331"/>
      <c r="AA124" s="331"/>
      <c r="AB124" s="331"/>
      <c r="AC124" s="383"/>
      <c r="AD124" s="263"/>
      <c r="AE124" s="263"/>
      <c r="AF124" s="263"/>
      <c r="AG124" s="315">
        <f t="shared" si="18"/>
        <v>0</v>
      </c>
      <c r="AH124" s="263"/>
      <c r="AI124" s="315">
        <f t="shared" si="19"/>
        <v>0</v>
      </c>
      <c r="AJ124" s="331"/>
      <c r="AK124" s="331"/>
      <c r="AL124" s="331"/>
      <c r="AM124" s="678"/>
      <c r="AN124" s="678"/>
      <c r="AO124" s="331"/>
      <c r="AP124" s="331"/>
      <c r="AQ124" s="678"/>
      <c r="AR124" s="678"/>
    </row>
    <row r="125" spans="2:44">
      <c r="B125" s="344"/>
      <c r="C125" s="880" t="s">
        <v>462</v>
      </c>
      <c r="D125" s="266" t="s">
        <v>463</v>
      </c>
      <c r="E125" s="461" t="s">
        <v>20</v>
      </c>
      <c r="F125" s="260" t="s">
        <v>24</v>
      </c>
      <c r="G125" s="260" t="s">
        <v>30</v>
      </c>
      <c r="H125" s="261" t="s">
        <v>18</v>
      </c>
      <c r="I125" s="262"/>
      <c r="J125" s="674">
        <v>0</v>
      </c>
      <c r="K125" s="262"/>
      <c r="L125" s="812">
        <v>0</v>
      </c>
      <c r="M125" s="800"/>
      <c r="N125" s="263"/>
      <c r="O125" s="263"/>
      <c r="P125" s="263"/>
      <c r="Q125" s="313">
        <f t="shared" si="16"/>
        <v>0</v>
      </c>
      <c r="R125" s="263"/>
      <c r="S125" s="315">
        <f t="shared" si="17"/>
        <v>0</v>
      </c>
      <c r="T125" s="331"/>
      <c r="U125" s="331"/>
      <c r="V125" s="331"/>
      <c r="W125" s="331"/>
      <c r="X125" s="331"/>
      <c r="Y125" s="331"/>
      <c r="Z125" s="331"/>
      <c r="AA125" s="331"/>
      <c r="AB125" s="331"/>
      <c r="AC125" s="383"/>
      <c r="AD125" s="263"/>
      <c r="AE125" s="263"/>
      <c r="AF125" s="263"/>
      <c r="AG125" s="315">
        <f t="shared" si="18"/>
        <v>0</v>
      </c>
      <c r="AH125" s="263"/>
      <c r="AI125" s="315">
        <f t="shared" si="19"/>
        <v>0</v>
      </c>
      <c r="AJ125" s="331"/>
      <c r="AK125" s="331"/>
      <c r="AL125" s="331"/>
      <c r="AM125" s="678"/>
      <c r="AN125" s="678"/>
      <c r="AO125" s="331"/>
      <c r="AP125" s="331"/>
      <c r="AQ125" s="678"/>
      <c r="AR125" s="678"/>
    </row>
    <row r="126" spans="2:44" s="12" customFormat="1">
      <c r="B126" s="344"/>
      <c r="C126" s="880" t="s">
        <v>464</v>
      </c>
      <c r="D126" s="266" t="s">
        <v>465</v>
      </c>
      <c r="E126" s="461" t="s">
        <v>20</v>
      </c>
      <c r="F126" s="260" t="s">
        <v>16</v>
      </c>
      <c r="G126" s="260" t="s">
        <v>30</v>
      </c>
      <c r="H126" s="261" t="s">
        <v>18</v>
      </c>
      <c r="I126" s="262"/>
      <c r="J126" s="674">
        <v>25236.7808</v>
      </c>
      <c r="K126" s="262"/>
      <c r="L126" s="812">
        <v>0</v>
      </c>
      <c r="M126" s="800"/>
      <c r="N126" s="263"/>
      <c r="O126" s="263"/>
      <c r="P126" s="263"/>
      <c r="Q126" s="313">
        <f t="shared" si="12"/>
        <v>0</v>
      </c>
      <c r="R126" s="263"/>
      <c r="S126" s="315">
        <f t="shared" si="13"/>
        <v>0</v>
      </c>
      <c r="T126" s="331"/>
      <c r="U126" s="331"/>
      <c r="V126" s="331"/>
      <c r="W126" s="331"/>
      <c r="X126" s="331"/>
      <c r="Y126" s="331"/>
      <c r="Z126" s="331"/>
      <c r="AA126" s="331"/>
      <c r="AB126" s="331"/>
      <c r="AC126" s="383"/>
      <c r="AD126" s="263"/>
      <c r="AE126" s="263"/>
      <c r="AF126" s="263"/>
      <c r="AG126" s="315">
        <f t="shared" si="14"/>
        <v>0</v>
      </c>
      <c r="AH126" s="263"/>
      <c r="AI126" s="315">
        <f t="shared" si="15"/>
        <v>0</v>
      </c>
      <c r="AJ126" s="331"/>
      <c r="AK126" s="331"/>
      <c r="AL126" s="331"/>
      <c r="AM126" s="678"/>
      <c r="AN126" s="678"/>
      <c r="AO126" s="331"/>
      <c r="AP126" s="331"/>
      <c r="AQ126" s="678"/>
      <c r="AR126" s="678"/>
    </row>
    <row r="127" spans="2:44">
      <c r="B127" s="344"/>
      <c r="C127" s="880" t="s">
        <v>466</v>
      </c>
      <c r="D127" s="266" t="s">
        <v>467</v>
      </c>
      <c r="E127" s="461" t="s">
        <v>20</v>
      </c>
      <c r="F127" s="260" t="s">
        <v>24</v>
      </c>
      <c r="G127" s="260" t="s">
        <v>22</v>
      </c>
      <c r="H127" s="261" t="s">
        <v>18</v>
      </c>
      <c r="I127" s="262"/>
      <c r="J127" s="674">
        <v>279200</v>
      </c>
      <c r="K127" s="262"/>
      <c r="L127" s="812">
        <v>0</v>
      </c>
      <c r="M127" s="800"/>
      <c r="N127" s="263"/>
      <c r="O127" s="263"/>
      <c r="P127" s="263"/>
      <c r="Q127" s="313">
        <f t="shared" si="12"/>
        <v>0</v>
      </c>
      <c r="R127" s="263"/>
      <c r="S127" s="315">
        <f t="shared" si="13"/>
        <v>0</v>
      </c>
      <c r="T127" s="331"/>
      <c r="U127" s="331"/>
      <c r="V127" s="331"/>
      <c r="W127" s="331"/>
      <c r="X127" s="331"/>
      <c r="Y127" s="331"/>
      <c r="Z127" s="331"/>
      <c r="AA127" s="331"/>
      <c r="AB127" s="331"/>
      <c r="AC127" s="383"/>
      <c r="AD127" s="263"/>
      <c r="AE127" s="263"/>
      <c r="AF127" s="263"/>
      <c r="AG127" s="315">
        <f t="shared" si="14"/>
        <v>0</v>
      </c>
      <c r="AH127" s="263"/>
      <c r="AI127" s="315">
        <f t="shared" si="15"/>
        <v>0</v>
      </c>
      <c r="AJ127" s="331"/>
      <c r="AK127" s="331"/>
      <c r="AL127" s="331"/>
      <c r="AM127" s="678"/>
      <c r="AN127" s="678"/>
      <c r="AO127" s="331"/>
      <c r="AP127" s="331"/>
      <c r="AQ127" s="678"/>
      <c r="AR127" s="678"/>
    </row>
    <row r="128" spans="2:44">
      <c r="B128" s="344"/>
      <c r="C128" s="880" t="s">
        <v>468</v>
      </c>
      <c r="D128" s="266" t="s">
        <v>469</v>
      </c>
      <c r="E128" s="461" t="s">
        <v>20</v>
      </c>
      <c r="F128" s="260" t="s">
        <v>16</v>
      </c>
      <c r="G128" s="260" t="s">
        <v>22</v>
      </c>
      <c r="H128" s="261" t="s">
        <v>18</v>
      </c>
      <c r="I128" s="262"/>
      <c r="J128" s="674">
        <v>24103.8976</v>
      </c>
      <c r="K128" s="262"/>
      <c r="L128" s="812">
        <v>0</v>
      </c>
      <c r="M128" s="800"/>
      <c r="N128" s="263"/>
      <c r="O128" s="263"/>
      <c r="P128" s="263"/>
      <c r="Q128" s="313">
        <f t="shared" si="12"/>
        <v>0</v>
      </c>
      <c r="R128" s="263"/>
      <c r="S128" s="315">
        <f t="shared" si="13"/>
        <v>0</v>
      </c>
      <c r="T128" s="331"/>
      <c r="U128" s="331"/>
      <c r="V128" s="331"/>
      <c r="W128" s="331"/>
      <c r="X128" s="331"/>
      <c r="Y128" s="331"/>
      <c r="Z128" s="331"/>
      <c r="AA128" s="331"/>
      <c r="AB128" s="331"/>
      <c r="AC128" s="383"/>
      <c r="AD128" s="263"/>
      <c r="AE128" s="263"/>
      <c r="AF128" s="263"/>
      <c r="AG128" s="315">
        <f t="shared" si="14"/>
        <v>0</v>
      </c>
      <c r="AH128" s="263"/>
      <c r="AI128" s="315">
        <f t="shared" si="15"/>
        <v>0</v>
      </c>
      <c r="AJ128" s="331"/>
      <c r="AK128" s="331"/>
      <c r="AL128" s="331"/>
      <c r="AM128" s="678"/>
      <c r="AN128" s="678"/>
      <c r="AO128" s="331"/>
      <c r="AP128" s="331"/>
      <c r="AQ128" s="678"/>
      <c r="AR128" s="678"/>
    </row>
    <row r="129" spans="2:44">
      <c r="B129" s="344"/>
      <c r="C129" s="880" t="s">
        <v>470</v>
      </c>
      <c r="D129" s="266" t="s">
        <v>471</v>
      </c>
      <c r="E129" s="461" t="s">
        <v>20</v>
      </c>
      <c r="F129" s="260" t="s">
        <v>24</v>
      </c>
      <c r="G129" s="260" t="s">
        <v>17</v>
      </c>
      <c r="H129" s="261" t="s">
        <v>18</v>
      </c>
      <c r="I129" s="262"/>
      <c r="J129" s="674">
        <v>738763</v>
      </c>
      <c r="K129" s="262"/>
      <c r="L129" s="812">
        <v>0</v>
      </c>
      <c r="M129" s="800"/>
      <c r="N129" s="263"/>
      <c r="O129" s="263"/>
      <c r="P129" s="263"/>
      <c r="Q129" s="313">
        <f t="shared" si="12"/>
        <v>0</v>
      </c>
      <c r="R129" s="263"/>
      <c r="S129" s="315">
        <f t="shared" si="13"/>
        <v>0</v>
      </c>
      <c r="T129" s="331"/>
      <c r="U129" s="331"/>
      <c r="V129" s="331"/>
      <c r="W129" s="331"/>
      <c r="X129" s="331"/>
      <c r="Y129" s="331"/>
      <c r="Z129" s="331"/>
      <c r="AA129" s="331"/>
      <c r="AB129" s="331"/>
      <c r="AC129" s="383"/>
      <c r="AD129" s="263"/>
      <c r="AE129" s="263"/>
      <c r="AF129" s="263"/>
      <c r="AG129" s="315">
        <f t="shared" si="14"/>
        <v>0</v>
      </c>
      <c r="AH129" s="263"/>
      <c r="AI129" s="315">
        <f t="shared" si="15"/>
        <v>0</v>
      </c>
      <c r="AJ129" s="331"/>
      <c r="AK129" s="331"/>
      <c r="AL129" s="331"/>
      <c r="AM129" s="678"/>
      <c r="AN129" s="678"/>
      <c r="AO129" s="331"/>
      <c r="AP129" s="331"/>
      <c r="AQ129" s="678"/>
      <c r="AR129" s="678"/>
    </row>
    <row r="130" spans="2:44">
      <c r="B130" s="344"/>
      <c r="C130" s="880" t="s">
        <v>472</v>
      </c>
      <c r="D130" s="266" t="s">
        <v>473</v>
      </c>
      <c r="E130" s="461" t="s">
        <v>20</v>
      </c>
      <c r="F130" s="260" t="s">
        <v>16</v>
      </c>
      <c r="G130" s="260" t="s">
        <v>17</v>
      </c>
      <c r="H130" s="261" t="s">
        <v>18</v>
      </c>
      <c r="I130" s="262"/>
      <c r="J130" s="674">
        <v>39360.555099999998</v>
      </c>
      <c r="K130" s="262"/>
      <c r="L130" s="812">
        <v>0</v>
      </c>
      <c r="M130" s="800"/>
      <c r="N130" s="263"/>
      <c r="O130" s="263"/>
      <c r="P130" s="263"/>
      <c r="Q130" s="313">
        <f t="shared" si="12"/>
        <v>0</v>
      </c>
      <c r="R130" s="263"/>
      <c r="S130" s="315">
        <f t="shared" si="13"/>
        <v>0</v>
      </c>
      <c r="T130" s="331"/>
      <c r="U130" s="331"/>
      <c r="V130" s="331"/>
      <c r="W130" s="331"/>
      <c r="X130" s="331"/>
      <c r="Y130" s="331"/>
      <c r="Z130" s="331"/>
      <c r="AA130" s="331"/>
      <c r="AB130" s="331"/>
      <c r="AC130" s="383"/>
      <c r="AD130" s="263"/>
      <c r="AE130" s="263"/>
      <c r="AF130" s="263"/>
      <c r="AG130" s="315">
        <f t="shared" si="14"/>
        <v>0</v>
      </c>
      <c r="AH130" s="263"/>
      <c r="AI130" s="315">
        <f t="shared" si="15"/>
        <v>0</v>
      </c>
      <c r="AJ130" s="331"/>
      <c r="AK130" s="331"/>
      <c r="AL130" s="331"/>
      <c r="AM130" s="678"/>
      <c r="AN130" s="678"/>
      <c r="AO130" s="331"/>
      <c r="AP130" s="331"/>
      <c r="AQ130" s="678"/>
      <c r="AR130" s="678"/>
    </row>
    <row r="131" spans="2:44">
      <c r="B131" s="344"/>
      <c r="C131" s="260"/>
      <c r="D131" s="259"/>
      <c r="E131" s="259"/>
      <c r="F131" s="260"/>
      <c r="G131" s="260"/>
      <c r="H131" s="261"/>
      <c r="I131" s="262"/>
      <c r="J131" s="262"/>
      <c r="K131" s="262"/>
      <c r="L131" s="813"/>
      <c r="M131" s="800"/>
      <c r="N131" s="263"/>
      <c r="O131" s="263"/>
      <c r="P131" s="263"/>
      <c r="Q131" s="313">
        <f t="shared" si="12"/>
        <v>0</v>
      </c>
      <c r="R131" s="263"/>
      <c r="S131" s="315">
        <f t="shared" si="13"/>
        <v>0</v>
      </c>
      <c r="T131" s="331"/>
      <c r="U131" s="331"/>
      <c r="V131" s="331"/>
      <c r="W131" s="331"/>
      <c r="X131" s="331"/>
      <c r="Y131" s="331"/>
      <c r="Z131" s="331"/>
      <c r="AA131" s="331"/>
      <c r="AB131" s="331"/>
      <c r="AC131" s="383"/>
      <c r="AD131" s="263"/>
      <c r="AE131" s="263"/>
      <c r="AF131" s="263"/>
      <c r="AG131" s="315">
        <f t="shared" si="14"/>
        <v>0</v>
      </c>
      <c r="AH131" s="263"/>
      <c r="AI131" s="315">
        <f t="shared" si="15"/>
        <v>0</v>
      </c>
      <c r="AJ131" s="331"/>
      <c r="AK131" s="331"/>
      <c r="AL131" s="331"/>
      <c r="AM131" s="678"/>
      <c r="AN131" s="678"/>
      <c r="AO131" s="331"/>
      <c r="AP131" s="331"/>
      <c r="AQ131" s="678"/>
      <c r="AR131" s="678"/>
    </row>
    <row r="132" spans="2:44">
      <c r="B132" s="344"/>
      <c r="C132" s="260"/>
      <c r="D132" s="259"/>
      <c r="E132" s="259"/>
      <c r="F132" s="260"/>
      <c r="G132" s="260"/>
      <c r="H132" s="261"/>
      <c r="I132" s="262"/>
      <c r="J132" s="262"/>
      <c r="K132" s="262"/>
      <c r="L132" s="813"/>
      <c r="M132" s="800"/>
      <c r="N132" s="263"/>
      <c r="O132" s="263"/>
      <c r="P132" s="263"/>
      <c r="Q132" s="313">
        <f t="shared" si="12"/>
        <v>0</v>
      </c>
      <c r="R132" s="263"/>
      <c r="S132" s="315">
        <f t="shared" si="13"/>
        <v>0</v>
      </c>
      <c r="T132" s="331"/>
      <c r="U132" s="331"/>
      <c r="V132" s="331"/>
      <c r="W132" s="331"/>
      <c r="X132" s="331"/>
      <c r="Y132" s="331"/>
      <c r="Z132" s="331"/>
      <c r="AA132" s="331"/>
      <c r="AB132" s="331"/>
      <c r="AC132" s="383"/>
      <c r="AD132" s="263"/>
      <c r="AE132" s="263"/>
      <c r="AF132" s="263"/>
      <c r="AG132" s="315">
        <f t="shared" si="14"/>
        <v>0</v>
      </c>
      <c r="AH132" s="263"/>
      <c r="AI132" s="315">
        <f t="shared" si="15"/>
        <v>0</v>
      </c>
      <c r="AJ132" s="331"/>
      <c r="AK132" s="331"/>
      <c r="AL132" s="331"/>
      <c r="AM132" s="678"/>
      <c r="AN132" s="678"/>
      <c r="AO132" s="331"/>
      <c r="AP132" s="331"/>
      <c r="AQ132" s="678"/>
      <c r="AR132" s="678"/>
    </row>
    <row r="133" spans="2:44">
      <c r="B133" s="344"/>
      <c r="C133" s="260"/>
      <c r="D133" s="259"/>
      <c r="E133" s="259"/>
      <c r="F133" s="260"/>
      <c r="G133" s="260"/>
      <c r="H133" s="261"/>
      <c r="I133" s="262"/>
      <c r="J133" s="262"/>
      <c r="K133" s="262"/>
      <c r="L133" s="813"/>
      <c r="M133" s="800"/>
      <c r="N133" s="263"/>
      <c r="O133" s="263"/>
      <c r="P133" s="263"/>
      <c r="Q133" s="313">
        <f t="shared" si="12"/>
        <v>0</v>
      </c>
      <c r="R133" s="263"/>
      <c r="S133" s="315">
        <f t="shared" si="13"/>
        <v>0</v>
      </c>
      <c r="T133" s="331"/>
      <c r="U133" s="331"/>
      <c r="V133" s="331"/>
      <c r="W133" s="331"/>
      <c r="X133" s="331"/>
      <c r="Y133" s="331"/>
      <c r="Z133" s="331"/>
      <c r="AA133" s="331"/>
      <c r="AB133" s="331"/>
      <c r="AC133" s="383"/>
      <c r="AD133" s="263"/>
      <c r="AE133" s="263"/>
      <c r="AF133" s="263"/>
      <c r="AG133" s="315">
        <f t="shared" si="14"/>
        <v>0</v>
      </c>
      <c r="AH133" s="263"/>
      <c r="AI133" s="315">
        <f t="shared" si="15"/>
        <v>0</v>
      </c>
      <c r="AJ133" s="331"/>
      <c r="AK133" s="331"/>
      <c r="AL133" s="331"/>
      <c r="AM133" s="678"/>
      <c r="AN133" s="678"/>
      <c r="AO133" s="331"/>
      <c r="AP133" s="331"/>
      <c r="AQ133" s="678"/>
      <c r="AR133" s="678"/>
    </row>
    <row r="134" spans="2:44" s="684" customFormat="1" ht="18" customHeight="1" thickBot="1">
      <c r="B134" s="680"/>
      <c r="C134" s="682"/>
      <c r="D134" s="681" t="s">
        <v>474</v>
      </c>
      <c r="E134" s="681"/>
      <c r="F134" s="682"/>
      <c r="G134" s="682"/>
      <c r="H134" s="682"/>
      <c r="I134" s="697">
        <f t="shared" ref="I134:AR134" si="20">SUM(I7:I133)</f>
        <v>0</v>
      </c>
      <c r="J134" s="695">
        <f t="shared" si="20"/>
        <v>78720230.542349935</v>
      </c>
      <c r="K134" s="695">
        <f>+J141-41586889-0.49</f>
        <v>40413350.652349927</v>
      </c>
      <c r="L134" s="814">
        <f t="shared" si="20"/>
        <v>14405359.839999994</v>
      </c>
      <c r="M134" s="802">
        <f t="shared" si="20"/>
        <v>9296641.164400002</v>
      </c>
      <c r="N134" s="694">
        <f t="shared" si="20"/>
        <v>2420221.9581000004</v>
      </c>
      <c r="O134" s="694">
        <f t="shared" si="20"/>
        <v>34481069.245500036</v>
      </c>
      <c r="P134" s="694">
        <f t="shared" si="20"/>
        <v>33225157.792942647</v>
      </c>
      <c r="Q134" s="694">
        <f t="shared" si="20"/>
        <v>79423090.160942629</v>
      </c>
      <c r="R134" s="694">
        <f t="shared" si="20"/>
        <v>0</v>
      </c>
      <c r="S134" s="694">
        <f t="shared" si="20"/>
        <v>79423090.160942629</v>
      </c>
      <c r="T134" s="677">
        <f t="shared" si="20"/>
        <v>530720712.56353879</v>
      </c>
      <c r="U134" s="677">
        <f t="shared" si="20"/>
        <v>91643.182044424233</v>
      </c>
      <c r="V134" s="677">
        <f t="shared" si="20"/>
        <v>6587.1489999999994</v>
      </c>
      <c r="W134" s="677">
        <f t="shared" ref="W134:X134" si="21">SUM(W7:W133)</f>
        <v>0</v>
      </c>
      <c r="X134" s="677">
        <f t="shared" si="21"/>
        <v>0</v>
      </c>
      <c r="Y134" s="677">
        <f t="shared" si="20"/>
        <v>6775297605.8137608</v>
      </c>
      <c r="Z134" s="677">
        <f t="shared" si="20"/>
        <v>75826.482000000004</v>
      </c>
      <c r="AA134" s="677">
        <f t="shared" si="20"/>
        <v>0</v>
      </c>
      <c r="AB134" s="683">
        <f t="shared" si="20"/>
        <v>0</v>
      </c>
      <c r="AC134" s="693">
        <f t="shared" si="20"/>
        <v>11464696.046800004</v>
      </c>
      <c r="AD134" s="694">
        <f t="shared" si="20"/>
        <v>3147441.3147000019</v>
      </c>
      <c r="AE134" s="694">
        <f t="shared" si="20"/>
        <v>36829174.351600006</v>
      </c>
      <c r="AF134" s="694">
        <f t="shared" si="20"/>
        <v>39022729.450647123</v>
      </c>
      <c r="AG134" s="694">
        <f t="shared" si="20"/>
        <v>90464041.163747102</v>
      </c>
      <c r="AH134" s="694">
        <f t="shared" si="20"/>
        <v>0</v>
      </c>
      <c r="AI134" s="694">
        <f t="shared" si="20"/>
        <v>90464041.163747102</v>
      </c>
      <c r="AJ134" s="677">
        <f t="shared" si="20"/>
        <v>563898620.40311325</v>
      </c>
      <c r="AK134" s="677">
        <f t="shared" si="20"/>
        <v>109798.23797586047</v>
      </c>
      <c r="AL134" s="677">
        <f t="shared" si="20"/>
        <v>7258.6870000000026</v>
      </c>
      <c r="AM134" s="677">
        <f t="shared" ref="AM134:AN134" si="22">SUM(AM7:AM133)</f>
        <v>0</v>
      </c>
      <c r="AN134" s="677">
        <f t="shared" si="22"/>
        <v>0</v>
      </c>
      <c r="AO134" s="677">
        <f t="shared" si="20"/>
        <v>7363433934.0812368</v>
      </c>
      <c r="AP134" s="677">
        <f t="shared" ref="AP134:AQ134" si="23">SUM(AP7:AP133)</f>
        <v>92936.821999999986</v>
      </c>
      <c r="AQ134" s="677">
        <f t="shared" si="23"/>
        <v>0</v>
      </c>
      <c r="AR134" s="683">
        <f t="shared" si="20"/>
        <v>0</v>
      </c>
    </row>
    <row r="135" spans="2:44" s="19" customFormat="1" ht="18" customHeight="1">
      <c r="B135" s="347"/>
      <c r="C135" s="217"/>
      <c r="D135" s="186"/>
      <c r="E135" s="186"/>
      <c r="F135" s="93"/>
      <c r="G135" s="93"/>
      <c r="H135" s="217"/>
      <c r="I135" s="186"/>
      <c r="J135" s="186"/>
      <c r="K135" s="186"/>
      <c r="L135" s="815"/>
      <c r="M135" s="803"/>
      <c r="N135" s="187"/>
      <c r="O135" s="187"/>
      <c r="P135" s="187"/>
      <c r="Q135" s="187"/>
      <c r="R135" s="187"/>
      <c r="S135" s="187"/>
      <c r="T135" s="333"/>
      <c r="U135" s="333"/>
      <c r="V135" s="333"/>
      <c r="W135" s="333"/>
      <c r="X135" s="333"/>
      <c r="Y135" s="333"/>
      <c r="Z135" s="333"/>
      <c r="AA135" s="333"/>
      <c r="AB135" s="333"/>
      <c r="AC135" s="187"/>
      <c r="AD135" s="187"/>
      <c r="AE135" s="187"/>
      <c r="AF135" s="187"/>
      <c r="AG135" s="187"/>
      <c r="AH135" s="187"/>
      <c r="AI135" s="187"/>
      <c r="AJ135" s="862"/>
      <c r="AK135" s="862"/>
      <c r="AL135" s="862"/>
      <c r="AM135" s="333"/>
      <c r="AN135" s="333"/>
      <c r="AO135" s="333"/>
      <c r="AP135" s="333"/>
      <c r="AQ135" s="333"/>
      <c r="AR135" s="348"/>
    </row>
    <row r="136" spans="2:44" s="19" customFormat="1" ht="18" customHeight="1">
      <c r="B136" s="349"/>
      <c r="C136" s="881"/>
      <c r="D136" s="320" t="s">
        <v>475</v>
      </c>
      <c r="E136" s="320"/>
      <c r="F136" s="321"/>
      <c r="G136" s="322"/>
      <c r="H136" s="323"/>
      <c r="I136" s="324"/>
      <c r="J136" s="324"/>
      <c r="K136" s="324"/>
      <c r="L136" s="816"/>
      <c r="M136" s="804"/>
      <c r="N136" s="321"/>
      <c r="O136" s="321"/>
      <c r="P136" s="321"/>
      <c r="Q136" s="321"/>
      <c r="R136" s="321"/>
      <c r="S136" s="321"/>
      <c r="T136" s="334"/>
      <c r="U136" s="334"/>
      <c r="V136" s="334"/>
      <c r="W136" s="334"/>
      <c r="X136" s="334"/>
      <c r="Y136" s="334"/>
      <c r="Z136" s="334"/>
      <c r="AA136" s="334"/>
      <c r="AB136" s="334"/>
      <c r="AC136" s="321"/>
      <c r="AD136" s="321"/>
      <c r="AE136" s="321"/>
      <c r="AF136" s="321"/>
      <c r="AG136" s="321"/>
      <c r="AH136" s="321"/>
      <c r="AI136" s="321"/>
      <c r="AJ136" s="334"/>
      <c r="AK136" s="334"/>
      <c r="AL136" s="334"/>
      <c r="AM136" s="334"/>
      <c r="AN136" s="334"/>
      <c r="AO136" s="334"/>
      <c r="AP136" s="334"/>
      <c r="AQ136" s="334"/>
      <c r="AR136" s="350"/>
    </row>
    <row r="137" spans="2:44" s="12" customFormat="1" ht="13.15">
      <c r="B137" s="675" t="s">
        <v>476</v>
      </c>
      <c r="C137" s="882"/>
      <c r="D137" s="325" t="s">
        <v>477</v>
      </c>
      <c r="E137" s="440"/>
      <c r="F137" s="441"/>
      <c r="G137" s="441"/>
      <c r="H137" s="441"/>
      <c r="I137" s="440"/>
      <c r="J137" s="316">
        <v>902002.64000000013</v>
      </c>
      <c r="K137" s="440"/>
      <c r="L137" s="817">
        <v>220754.1100000001</v>
      </c>
      <c r="M137" s="805"/>
      <c r="N137" s="438"/>
      <c r="O137" s="438"/>
      <c r="P137" s="438"/>
      <c r="Q137" s="316">
        <v>910056.24050000007</v>
      </c>
      <c r="R137" s="316"/>
      <c r="S137" s="313">
        <f>Q137-R137</f>
        <v>910056.24050000007</v>
      </c>
      <c r="T137" s="436"/>
      <c r="U137" s="436"/>
      <c r="V137" s="436"/>
      <c r="W137" s="436"/>
      <c r="X137" s="436"/>
      <c r="Y137" s="436"/>
      <c r="Z137" s="436"/>
      <c r="AA137" s="436"/>
      <c r="AB137" s="436"/>
      <c r="AC137" s="438"/>
      <c r="AD137" s="438"/>
      <c r="AE137" s="438"/>
      <c r="AF137" s="438"/>
      <c r="AG137" s="316">
        <v>1036567.1731250001</v>
      </c>
      <c r="AH137" s="316"/>
      <c r="AI137" s="313">
        <f>AG137-AH137</f>
        <v>1036567.1731250001</v>
      </c>
      <c r="AJ137" s="436"/>
      <c r="AK137" s="436"/>
      <c r="AL137" s="436"/>
      <c r="AM137" s="436"/>
      <c r="AN137" s="436"/>
      <c r="AO137" s="436"/>
      <c r="AP137" s="436"/>
      <c r="AQ137" s="436"/>
      <c r="AR137" s="439"/>
    </row>
    <row r="138" spans="2:44" s="12" customFormat="1" ht="13.15">
      <c r="B138" s="347"/>
      <c r="C138" s="882"/>
      <c r="D138" s="325" t="s">
        <v>478</v>
      </c>
      <c r="E138" s="440"/>
      <c r="F138" s="441"/>
      <c r="G138" s="441"/>
      <c r="H138" s="441"/>
      <c r="I138" s="440"/>
      <c r="J138" s="316">
        <v>2378006.96</v>
      </c>
      <c r="K138" s="440"/>
      <c r="L138" s="817">
        <v>1970.5</v>
      </c>
      <c r="M138" s="805"/>
      <c r="N138" s="438"/>
      <c r="O138" s="438"/>
      <c r="P138" s="438"/>
      <c r="Q138" s="316">
        <v>2399239.1794999996</v>
      </c>
      <c r="R138" s="316"/>
      <c r="S138" s="313">
        <f>Q138-R138</f>
        <v>2399239.1794999996</v>
      </c>
      <c r="T138" s="436"/>
      <c r="U138" s="436"/>
      <c r="V138" s="436"/>
      <c r="W138" s="436"/>
      <c r="X138" s="436"/>
      <c r="Y138" s="436"/>
      <c r="Z138" s="436"/>
      <c r="AA138" s="436"/>
      <c r="AB138" s="436"/>
      <c r="AC138" s="438"/>
      <c r="AD138" s="438"/>
      <c r="AE138" s="438"/>
      <c r="AF138" s="438"/>
      <c r="AG138" s="316">
        <v>2732768.0018749996</v>
      </c>
      <c r="AH138" s="316"/>
      <c r="AI138" s="313">
        <f>AG138-AH138</f>
        <v>2732768.0018749996</v>
      </c>
      <c r="AJ138" s="436"/>
      <c r="AK138" s="436"/>
      <c r="AL138" s="436"/>
      <c r="AM138" s="436"/>
      <c r="AN138" s="436"/>
      <c r="AO138" s="436"/>
      <c r="AP138" s="436"/>
      <c r="AQ138" s="436"/>
      <c r="AR138" s="439"/>
    </row>
    <row r="139" spans="2:44" s="19" customFormat="1" ht="18" customHeight="1">
      <c r="B139" s="346"/>
      <c r="C139" s="883"/>
      <c r="D139" s="317" t="s">
        <v>479</v>
      </c>
      <c r="E139" s="442"/>
      <c r="F139" s="443"/>
      <c r="G139" s="443"/>
      <c r="H139" s="443"/>
      <c r="I139" s="674"/>
      <c r="J139" s="318">
        <f>J138+J137</f>
        <v>3280009.6</v>
      </c>
      <c r="K139" s="434"/>
      <c r="L139" s="818">
        <f>SUM(L137:L138)</f>
        <v>222724.6100000001</v>
      </c>
      <c r="M139" s="806"/>
      <c r="N139" s="434"/>
      <c r="O139" s="434"/>
      <c r="P139" s="434"/>
      <c r="Q139" s="318">
        <f>SUM(Q137:Q138)</f>
        <v>3309295.42</v>
      </c>
      <c r="R139" s="318">
        <f>SUM(R137:R138)</f>
        <v>0</v>
      </c>
      <c r="S139" s="318">
        <f>SUM(S137:S138)</f>
        <v>3309295.42</v>
      </c>
      <c r="T139" s="437"/>
      <c r="U139" s="437"/>
      <c r="V139" s="437"/>
      <c r="W139" s="437"/>
      <c r="X139" s="437"/>
      <c r="Y139" s="437"/>
      <c r="Z139" s="437"/>
      <c r="AA139" s="437"/>
      <c r="AB139" s="437"/>
      <c r="AC139" s="434"/>
      <c r="AD139" s="434"/>
      <c r="AE139" s="434"/>
      <c r="AF139" s="434"/>
      <c r="AG139" s="318">
        <f>SUM(AG137:AG138)</f>
        <v>3769335.1749999998</v>
      </c>
      <c r="AH139" s="318">
        <f>SUM(AH137:AH138)</f>
        <v>0</v>
      </c>
      <c r="AI139" s="318">
        <f>SUM(AI137:AI138)</f>
        <v>3769335.1749999998</v>
      </c>
      <c r="AJ139" s="434"/>
      <c r="AK139" s="434"/>
      <c r="AL139" s="434"/>
      <c r="AM139" s="434"/>
      <c r="AN139" s="434"/>
      <c r="AO139" s="434"/>
      <c r="AP139" s="434"/>
      <c r="AQ139" s="434"/>
      <c r="AR139" s="434"/>
    </row>
    <row r="140" spans="2:44" s="19" customFormat="1" ht="18" customHeight="1">
      <c r="B140" s="351"/>
      <c r="C140" s="93"/>
      <c r="D140" s="91"/>
      <c r="E140" s="91"/>
      <c r="F140" s="93"/>
      <c r="G140" s="93"/>
      <c r="H140" s="93"/>
      <c r="I140" s="91"/>
      <c r="J140" s="91"/>
      <c r="K140" s="91"/>
      <c r="L140" s="819"/>
      <c r="M140" s="807"/>
      <c r="N140" s="92"/>
      <c r="O140" s="92"/>
      <c r="P140" s="92"/>
      <c r="Q140" s="92"/>
      <c r="R140" s="92"/>
      <c r="S140" s="92"/>
      <c r="T140" s="335"/>
      <c r="U140" s="335"/>
      <c r="V140" s="335"/>
      <c r="W140" s="335"/>
      <c r="X140" s="335"/>
      <c r="Y140" s="335"/>
      <c r="Z140" s="335"/>
      <c r="AA140" s="335"/>
      <c r="AB140" s="335"/>
      <c r="AC140" s="92"/>
      <c r="AD140" s="92"/>
      <c r="AE140" s="92"/>
      <c r="AF140" s="92"/>
      <c r="AG140" s="92"/>
      <c r="AH140" s="92"/>
      <c r="AI140" s="92"/>
      <c r="AJ140" s="335"/>
      <c r="AK140" s="335"/>
      <c r="AL140" s="335"/>
      <c r="AM140" s="335"/>
      <c r="AN140" s="335"/>
      <c r="AO140" s="335"/>
      <c r="AP140" s="335"/>
      <c r="AQ140" s="335"/>
      <c r="AR140" s="352"/>
    </row>
    <row r="141" spans="2:44" s="684" customFormat="1" ht="16.149999999999999" customHeight="1">
      <c r="B141" s="680"/>
      <c r="C141" s="682"/>
      <c r="D141" s="681" t="s">
        <v>480</v>
      </c>
      <c r="E141" s="681"/>
      <c r="F141" s="682"/>
      <c r="G141" s="682"/>
      <c r="H141" s="682"/>
      <c r="I141" s="695">
        <f t="shared" ref="I141:AR141" si="24">I134+I139</f>
        <v>0</v>
      </c>
      <c r="J141" s="695">
        <f t="shared" si="24"/>
        <v>82000240.142349929</v>
      </c>
      <c r="K141" s="695">
        <f t="shared" si="24"/>
        <v>40413350.652349927</v>
      </c>
      <c r="L141" s="814">
        <f t="shared" si="24"/>
        <v>14628084.449999994</v>
      </c>
      <c r="M141" s="808">
        <f t="shared" si="24"/>
        <v>9296641.164400002</v>
      </c>
      <c r="N141" s="695">
        <f t="shared" si="24"/>
        <v>2420221.9581000004</v>
      </c>
      <c r="O141" s="695">
        <f t="shared" si="24"/>
        <v>34481069.245500036</v>
      </c>
      <c r="P141" s="695">
        <f t="shared" si="24"/>
        <v>33225157.792942647</v>
      </c>
      <c r="Q141" s="695">
        <f t="shared" si="24"/>
        <v>82732385.580942631</v>
      </c>
      <c r="R141" s="695">
        <f t="shared" si="24"/>
        <v>0</v>
      </c>
      <c r="S141" s="695">
        <f t="shared" si="24"/>
        <v>82732385.580942631</v>
      </c>
      <c r="T141" s="685">
        <f t="shared" si="24"/>
        <v>530720712.56353879</v>
      </c>
      <c r="U141" s="685">
        <f t="shared" si="24"/>
        <v>91643.182044424233</v>
      </c>
      <c r="V141" s="685">
        <f t="shared" si="24"/>
        <v>6587.1489999999994</v>
      </c>
      <c r="W141" s="685">
        <f t="shared" ref="W141:X141" si="25">W134+W139</f>
        <v>0</v>
      </c>
      <c r="X141" s="685">
        <f t="shared" si="25"/>
        <v>0</v>
      </c>
      <c r="Y141" s="685">
        <f t="shared" si="24"/>
        <v>6775297605.8137608</v>
      </c>
      <c r="Z141" s="685">
        <f t="shared" si="24"/>
        <v>75826.482000000004</v>
      </c>
      <c r="AA141" s="685">
        <f t="shared" si="24"/>
        <v>0</v>
      </c>
      <c r="AB141" s="685">
        <f t="shared" si="24"/>
        <v>0</v>
      </c>
      <c r="AC141" s="695">
        <f t="shared" si="24"/>
        <v>11464696.046800004</v>
      </c>
      <c r="AD141" s="695">
        <f t="shared" si="24"/>
        <v>3147441.3147000019</v>
      </c>
      <c r="AE141" s="695">
        <f t="shared" si="24"/>
        <v>36829174.351600006</v>
      </c>
      <c r="AF141" s="695">
        <f t="shared" si="24"/>
        <v>39022729.450647123</v>
      </c>
      <c r="AG141" s="695">
        <f t="shared" si="24"/>
        <v>94233376.338747099</v>
      </c>
      <c r="AH141" s="695">
        <f t="shared" si="24"/>
        <v>0</v>
      </c>
      <c r="AI141" s="695">
        <f t="shared" si="24"/>
        <v>94233376.338747099</v>
      </c>
      <c r="AJ141" s="685">
        <f t="shared" si="24"/>
        <v>563898620.40311325</v>
      </c>
      <c r="AK141" s="685">
        <f t="shared" si="24"/>
        <v>109798.23797586047</v>
      </c>
      <c r="AL141" s="685">
        <f t="shared" si="24"/>
        <v>7258.6870000000026</v>
      </c>
      <c r="AM141" s="685">
        <f t="shared" ref="AM141:AN141" si="26">AM134+AM139</f>
        <v>0</v>
      </c>
      <c r="AN141" s="685">
        <f t="shared" si="26"/>
        <v>0</v>
      </c>
      <c r="AO141" s="685">
        <f t="shared" si="24"/>
        <v>7363433934.0812368</v>
      </c>
      <c r="AP141" s="685">
        <f t="shared" ref="AP141:AQ141" si="27">AP134+AP139</f>
        <v>92936.821999999986</v>
      </c>
      <c r="AQ141" s="685">
        <f t="shared" si="27"/>
        <v>0</v>
      </c>
      <c r="AR141" s="686">
        <f t="shared" si="24"/>
        <v>0</v>
      </c>
    </row>
    <row r="142" spans="2:44" s="19" customFormat="1" ht="18" customHeight="1">
      <c r="B142" s="351"/>
      <c r="C142" s="93"/>
      <c r="D142" s="91"/>
      <c r="E142" s="91"/>
      <c r="F142" s="93"/>
      <c r="G142" s="93"/>
      <c r="H142" s="93"/>
      <c r="I142" s="91"/>
      <c r="J142" s="91"/>
      <c r="K142" s="91"/>
      <c r="L142" s="819"/>
      <c r="M142" s="807"/>
      <c r="N142" s="92"/>
      <c r="O142" s="92"/>
      <c r="P142" s="92"/>
      <c r="Q142" s="92"/>
      <c r="R142" s="92"/>
      <c r="S142" s="92"/>
      <c r="T142" s="335"/>
      <c r="U142" s="335"/>
      <c r="V142" s="335"/>
      <c r="W142" s="335"/>
      <c r="X142" s="335"/>
      <c r="Y142" s="335"/>
      <c r="Z142" s="335"/>
      <c r="AA142" s="335"/>
      <c r="AB142" s="335"/>
      <c r="AC142" s="92"/>
      <c r="AD142" s="92"/>
      <c r="AE142" s="92"/>
      <c r="AF142" s="92"/>
      <c r="AG142" s="92"/>
      <c r="AH142" s="92"/>
      <c r="AI142" s="92"/>
      <c r="AJ142" s="335"/>
      <c r="AK142" s="335"/>
      <c r="AL142" s="335"/>
      <c r="AM142" s="335"/>
      <c r="AN142" s="335"/>
      <c r="AO142" s="335"/>
      <c r="AP142" s="335"/>
      <c r="AQ142" s="335"/>
      <c r="AR142" s="352"/>
    </row>
    <row r="143" spans="2:44" ht="13.15">
      <c r="B143" s="353"/>
      <c r="C143" s="220"/>
      <c r="D143" s="219"/>
      <c r="E143" s="219"/>
      <c r="F143" s="93"/>
      <c r="G143" s="220"/>
      <c r="H143" s="220"/>
      <c r="I143" s="219"/>
      <c r="J143" s="219"/>
      <c r="K143" s="219"/>
      <c r="L143" s="820"/>
      <c r="M143" s="809"/>
      <c r="N143" s="221"/>
      <c r="O143" s="221"/>
      <c r="P143" s="221"/>
      <c r="Q143" s="92"/>
      <c r="R143" s="92"/>
      <c r="S143" s="92"/>
      <c r="T143" s="336"/>
      <c r="U143" s="336"/>
      <c r="V143" s="336"/>
      <c r="W143" s="336"/>
      <c r="X143" s="336"/>
      <c r="Y143" s="336"/>
      <c r="Z143" s="336"/>
      <c r="AA143" s="336"/>
      <c r="AB143" s="336"/>
      <c r="AC143" s="221"/>
      <c r="AD143" s="221"/>
      <c r="AE143" s="221"/>
      <c r="AF143" s="221"/>
      <c r="AG143" s="92"/>
      <c r="AH143" s="92"/>
      <c r="AI143" s="92"/>
      <c r="AJ143" s="336"/>
      <c r="AK143" s="336"/>
      <c r="AL143" s="336"/>
      <c r="AM143" s="336"/>
      <c r="AN143" s="336"/>
      <c r="AO143" s="336"/>
      <c r="AP143" s="336"/>
      <c r="AQ143" s="336"/>
      <c r="AR143" s="354"/>
    </row>
    <row r="144" spans="2:44" s="12" customFormat="1" ht="13.15">
      <c r="B144" s="349"/>
      <c r="C144" s="881"/>
      <c r="D144" s="320" t="s">
        <v>481</v>
      </c>
      <c r="E144" s="320"/>
      <c r="F144" s="321"/>
      <c r="G144" s="322"/>
      <c r="H144" s="323"/>
      <c r="I144" s="324"/>
      <c r="J144" s="324"/>
      <c r="K144" s="324"/>
      <c r="L144" s="816"/>
      <c r="M144" s="804"/>
      <c r="N144" s="321"/>
      <c r="O144" s="321"/>
      <c r="P144" s="321"/>
      <c r="Q144" s="321"/>
      <c r="R144" s="321"/>
      <c r="S144" s="321"/>
      <c r="T144" s="334"/>
      <c r="U144" s="334"/>
      <c r="V144" s="334"/>
      <c r="W144" s="334"/>
      <c r="X144" s="334"/>
      <c r="Y144" s="334"/>
      <c r="Z144" s="334"/>
      <c r="AA144" s="334"/>
      <c r="AB144" s="334"/>
      <c r="AC144" s="321"/>
      <c r="AD144" s="321"/>
      <c r="AE144" s="321"/>
      <c r="AF144" s="321"/>
      <c r="AG144" s="321"/>
      <c r="AH144" s="321"/>
      <c r="AI144" s="321"/>
      <c r="AJ144" s="334"/>
      <c r="AK144" s="334"/>
      <c r="AL144" s="334"/>
      <c r="AM144" s="334"/>
      <c r="AN144" s="334"/>
      <c r="AO144" s="334"/>
      <c r="AP144" s="334"/>
      <c r="AQ144" s="334"/>
      <c r="AR144" s="350"/>
    </row>
    <row r="145" spans="2:44" ht="15.75">
      <c r="B145" s="353"/>
      <c r="C145" s="220"/>
      <c r="D145" s="222" t="s">
        <v>482</v>
      </c>
      <c r="E145" s="444"/>
      <c r="F145" s="443"/>
      <c r="G145" s="443"/>
      <c r="H145" s="443"/>
      <c r="I145" s="442"/>
      <c r="J145" s="442"/>
      <c r="K145" s="442"/>
      <c r="L145" s="821"/>
      <c r="M145" s="806"/>
      <c r="N145" s="434"/>
      <c r="O145" s="434"/>
      <c r="P145" s="434"/>
      <c r="Q145" s="316">
        <v>24479433.350680012</v>
      </c>
      <c r="R145" s="316"/>
      <c r="S145" s="315">
        <f>Q145-R145</f>
        <v>24479433.350680012</v>
      </c>
      <c r="T145" s="432"/>
      <c r="U145" s="432"/>
      <c r="V145" s="432"/>
      <c r="W145" s="432"/>
      <c r="X145" s="432"/>
      <c r="Y145" s="432"/>
      <c r="Z145" s="432"/>
      <c r="AA145" s="432"/>
      <c r="AB145" s="432"/>
      <c r="AC145" s="433"/>
      <c r="AD145" s="433"/>
      <c r="AE145" s="433"/>
      <c r="AF145" s="433"/>
      <c r="AG145" s="316">
        <v>20982371.443440009</v>
      </c>
      <c r="AH145" s="316">
        <v>0</v>
      </c>
      <c r="AI145" s="315">
        <f>AG145-AH145</f>
        <v>20982371.443440009</v>
      </c>
      <c r="AJ145" s="432"/>
      <c r="AK145" s="432"/>
      <c r="AL145" s="432"/>
      <c r="AM145" s="432"/>
      <c r="AN145" s="432"/>
      <c r="AO145" s="432"/>
      <c r="AP145" s="432"/>
      <c r="AQ145" s="432"/>
      <c r="AR145" s="435"/>
    </row>
    <row r="146" spans="2:44" ht="14.25">
      <c r="B146" s="353"/>
      <c r="C146" s="220"/>
      <c r="D146" s="222" t="s">
        <v>483</v>
      </c>
      <c r="E146" s="444"/>
      <c r="F146" s="443"/>
      <c r="G146" s="443"/>
      <c r="H146" s="443"/>
      <c r="I146" s="442"/>
      <c r="J146" s="442"/>
      <c r="K146" s="442"/>
      <c r="L146" s="821"/>
      <c r="M146" s="806"/>
      <c r="N146" s="434"/>
      <c r="O146" s="434"/>
      <c r="P146" s="434"/>
      <c r="Q146" s="316">
        <f>+K134</f>
        <v>40413350.652349927</v>
      </c>
      <c r="R146" s="316">
        <f>+Q146</f>
        <v>40413350.652349927</v>
      </c>
      <c r="S146" s="315">
        <f>Q146-R146</f>
        <v>0</v>
      </c>
      <c r="T146" s="432"/>
      <c r="U146" s="432"/>
      <c r="V146" s="432"/>
      <c r="W146" s="432"/>
      <c r="X146" s="432"/>
      <c r="Y146" s="432"/>
      <c r="Z146" s="432"/>
      <c r="AA146" s="432"/>
      <c r="AB146" s="432"/>
      <c r="AC146" s="433"/>
      <c r="AD146" s="433"/>
      <c r="AE146" s="433"/>
      <c r="AF146" s="433"/>
      <c r="AG146" s="316">
        <v>0</v>
      </c>
      <c r="AH146" s="316">
        <v>0</v>
      </c>
      <c r="AI146" s="315">
        <f>AG146-AH146</f>
        <v>0</v>
      </c>
      <c r="AJ146" s="432"/>
      <c r="AK146" s="432"/>
      <c r="AL146" s="432"/>
      <c r="AM146" s="432"/>
      <c r="AN146" s="432"/>
      <c r="AO146" s="432"/>
      <c r="AP146" s="432"/>
      <c r="AQ146" s="432"/>
      <c r="AR146" s="435"/>
    </row>
    <row r="147" spans="2:44" s="19" customFormat="1" ht="18" customHeight="1">
      <c r="B147" s="346"/>
      <c r="C147" s="883"/>
      <c r="D147" s="317" t="s">
        <v>484</v>
      </c>
      <c r="E147" s="442"/>
      <c r="F147" s="443"/>
      <c r="G147" s="443"/>
      <c r="H147" s="443"/>
      <c r="I147" s="434"/>
      <c r="J147" s="434"/>
      <c r="K147" s="434"/>
      <c r="L147" s="821"/>
      <c r="M147" s="806"/>
      <c r="N147" s="434"/>
      <c r="O147" s="434"/>
      <c r="P147" s="434"/>
      <c r="Q147" s="318">
        <f>SUM(Q145:Q146)</f>
        <v>64892784.003029943</v>
      </c>
      <c r="R147" s="318">
        <f>SUM(R145:R146)</f>
        <v>40413350.652349927</v>
      </c>
      <c r="S147" s="318">
        <f>SUM(S145:S146)</f>
        <v>24479433.350680012</v>
      </c>
      <c r="T147" s="432"/>
      <c r="U147" s="432"/>
      <c r="V147" s="432"/>
      <c r="W147" s="432"/>
      <c r="X147" s="432"/>
      <c r="Y147" s="432"/>
      <c r="Z147" s="432"/>
      <c r="AA147" s="432"/>
      <c r="AB147" s="432"/>
      <c r="AC147" s="434"/>
      <c r="AD147" s="434"/>
      <c r="AE147" s="434"/>
      <c r="AF147" s="434"/>
      <c r="AG147" s="318">
        <f>SUM(AG145:AG146)</f>
        <v>20982371.443440009</v>
      </c>
      <c r="AH147" s="318">
        <f>SUM(AH145:AH146)</f>
        <v>0</v>
      </c>
      <c r="AI147" s="318">
        <f>SUM(AI145:AI146)</f>
        <v>20982371.443440009</v>
      </c>
      <c r="AJ147" s="432"/>
      <c r="AK147" s="432"/>
      <c r="AL147" s="432"/>
      <c r="AM147" s="432"/>
      <c r="AN147" s="432"/>
      <c r="AO147" s="432"/>
      <c r="AP147" s="432"/>
      <c r="AQ147" s="432"/>
      <c r="AR147" s="435"/>
    </row>
    <row r="148" spans="2:44" s="12" customFormat="1" ht="14.25">
      <c r="B148" s="347"/>
      <c r="C148" s="217"/>
      <c r="D148" s="319"/>
      <c r="E148" s="319"/>
      <c r="F148" s="217"/>
      <c r="G148" s="217"/>
      <c r="H148" s="217"/>
      <c r="I148" s="187"/>
      <c r="J148" s="187"/>
      <c r="K148" s="187"/>
      <c r="L148" s="815"/>
      <c r="M148" s="803"/>
      <c r="N148" s="187"/>
      <c r="O148" s="187"/>
      <c r="P148" s="187"/>
      <c r="Q148" s="187"/>
      <c r="R148" s="187"/>
      <c r="S148" s="187"/>
      <c r="T148" s="333"/>
      <c r="U148" s="333"/>
      <c r="V148" s="333"/>
      <c r="W148" s="333"/>
      <c r="X148" s="333"/>
      <c r="Y148" s="333"/>
      <c r="Z148" s="333"/>
      <c r="AA148" s="333"/>
      <c r="AB148" s="333"/>
      <c r="AC148" s="187"/>
      <c r="AD148" s="187"/>
      <c r="AE148" s="187"/>
      <c r="AF148" s="187"/>
      <c r="AG148" s="187"/>
      <c r="AH148" s="187"/>
      <c r="AI148" s="187"/>
      <c r="AJ148" s="333"/>
      <c r="AK148" s="333"/>
      <c r="AL148" s="333"/>
      <c r="AM148" s="333"/>
      <c r="AN148" s="333"/>
      <c r="AO148" s="333"/>
      <c r="AP148" s="333"/>
      <c r="AQ148" s="333"/>
      <c r="AR148" s="348"/>
    </row>
    <row r="149" spans="2:44" s="684" customFormat="1" ht="13.5" thickBot="1">
      <c r="B149" s="687"/>
      <c r="C149" s="690"/>
      <c r="D149" s="688" t="s">
        <v>161</v>
      </c>
      <c r="E149" s="689"/>
      <c r="F149" s="690"/>
      <c r="G149" s="690"/>
      <c r="H149" s="690"/>
      <c r="I149" s="696">
        <f t="shared" ref="I149:AR149" si="28">I134+I139+I147</f>
        <v>0</v>
      </c>
      <c r="J149" s="696">
        <f t="shared" si="28"/>
        <v>82000240.142349929</v>
      </c>
      <c r="K149" s="696">
        <f t="shared" si="28"/>
        <v>40413350.652349927</v>
      </c>
      <c r="L149" s="822">
        <f t="shared" si="28"/>
        <v>14628084.449999994</v>
      </c>
      <c r="M149" s="810">
        <f t="shared" si="28"/>
        <v>9296641.164400002</v>
      </c>
      <c r="N149" s="696">
        <f t="shared" si="28"/>
        <v>2420221.9581000004</v>
      </c>
      <c r="O149" s="696">
        <f t="shared" si="28"/>
        <v>34481069.245500036</v>
      </c>
      <c r="P149" s="696">
        <f t="shared" si="28"/>
        <v>33225157.792942647</v>
      </c>
      <c r="Q149" s="696">
        <f t="shared" si="28"/>
        <v>147625169.58397257</v>
      </c>
      <c r="R149" s="696">
        <f t="shared" si="28"/>
        <v>40413350.652349927</v>
      </c>
      <c r="S149" s="696">
        <f t="shared" si="28"/>
        <v>107211818.93162264</v>
      </c>
      <c r="T149" s="691">
        <f t="shared" si="28"/>
        <v>530720712.56353879</v>
      </c>
      <c r="U149" s="691">
        <f t="shared" si="28"/>
        <v>91643.182044424233</v>
      </c>
      <c r="V149" s="691">
        <f t="shared" si="28"/>
        <v>6587.1489999999994</v>
      </c>
      <c r="W149" s="691">
        <f t="shared" ref="W149:X149" si="29">W134+W139+W147</f>
        <v>0</v>
      </c>
      <c r="X149" s="691">
        <f t="shared" si="29"/>
        <v>0</v>
      </c>
      <c r="Y149" s="691">
        <f t="shared" si="28"/>
        <v>6775297605.8137608</v>
      </c>
      <c r="Z149" s="691">
        <f t="shared" si="28"/>
        <v>75826.482000000004</v>
      </c>
      <c r="AA149" s="691">
        <f t="shared" si="28"/>
        <v>0</v>
      </c>
      <c r="AB149" s="691">
        <f t="shared" si="28"/>
        <v>0</v>
      </c>
      <c r="AC149" s="696">
        <f t="shared" si="28"/>
        <v>11464696.046800004</v>
      </c>
      <c r="AD149" s="696">
        <f t="shared" si="28"/>
        <v>3147441.3147000019</v>
      </c>
      <c r="AE149" s="696">
        <f t="shared" si="28"/>
        <v>36829174.351600006</v>
      </c>
      <c r="AF149" s="696">
        <f t="shared" si="28"/>
        <v>39022729.450647123</v>
      </c>
      <c r="AG149" s="696">
        <f t="shared" si="28"/>
        <v>115215747.7821871</v>
      </c>
      <c r="AH149" s="696">
        <f t="shared" si="28"/>
        <v>0</v>
      </c>
      <c r="AI149" s="696">
        <f t="shared" si="28"/>
        <v>115215747.7821871</v>
      </c>
      <c r="AJ149" s="691">
        <f t="shared" si="28"/>
        <v>563898620.40311325</v>
      </c>
      <c r="AK149" s="691">
        <f t="shared" si="28"/>
        <v>109798.23797586047</v>
      </c>
      <c r="AL149" s="691">
        <f t="shared" si="28"/>
        <v>7258.6870000000026</v>
      </c>
      <c r="AM149" s="691">
        <f t="shared" ref="AM149:AN149" si="30">AM134+AM139+AM147</f>
        <v>0</v>
      </c>
      <c r="AN149" s="691">
        <f t="shared" si="30"/>
        <v>0</v>
      </c>
      <c r="AO149" s="691">
        <f t="shared" si="28"/>
        <v>7363433934.0812368</v>
      </c>
      <c r="AP149" s="691">
        <f t="shared" ref="AP149:AQ149" si="31">AP134+AP139+AP147</f>
        <v>92936.821999999986</v>
      </c>
      <c r="AQ149" s="691">
        <f t="shared" si="31"/>
        <v>0</v>
      </c>
      <c r="AR149" s="692">
        <f t="shared" si="28"/>
        <v>0</v>
      </c>
    </row>
    <row r="150" spans="2:44" s="12" customFormat="1" ht="13.5" thickBot="1">
      <c r="B150" s="19"/>
      <c r="C150" s="106"/>
      <c r="D150" s="188"/>
      <c r="E150" s="188"/>
      <c r="F150" s="106"/>
      <c r="G150" s="106"/>
      <c r="H150" s="106"/>
      <c r="I150" s="188"/>
      <c r="J150" s="188"/>
      <c r="K150" s="188"/>
      <c r="L150" s="18"/>
      <c r="M150" s="18"/>
      <c r="N150" s="18"/>
      <c r="O150" s="18"/>
      <c r="P150" s="18"/>
      <c r="Q150" s="18"/>
      <c r="R150" s="18"/>
      <c r="S150" s="18"/>
      <c r="T150" s="330"/>
      <c r="U150" s="330"/>
      <c r="V150" s="330"/>
      <c r="W150" s="330"/>
      <c r="X150" s="330"/>
      <c r="Y150" s="330"/>
      <c r="Z150" s="330"/>
      <c r="AA150" s="330"/>
      <c r="AB150" s="330"/>
      <c r="AC150" s="18"/>
      <c r="AD150" s="18"/>
      <c r="AE150" s="18"/>
      <c r="AF150" s="18"/>
      <c r="AG150" s="18"/>
      <c r="AH150" s="18"/>
      <c r="AI150" s="18"/>
      <c r="AJ150" s="330"/>
      <c r="AK150" s="330"/>
      <c r="AL150" s="330"/>
      <c r="AM150" s="330"/>
      <c r="AN150" s="330"/>
      <c r="AO150" s="330"/>
      <c r="AP150" s="330"/>
      <c r="AQ150" s="330"/>
      <c r="AR150" s="330"/>
    </row>
    <row r="151" spans="2:44">
      <c r="B151" s="355"/>
      <c r="C151" s="357"/>
      <c r="D151" s="356"/>
      <c r="E151" s="356"/>
      <c r="F151" s="357"/>
      <c r="G151" s="358"/>
      <c r="H151" s="358"/>
      <c r="I151" s="356"/>
      <c r="J151" s="356"/>
      <c r="K151" s="356"/>
      <c r="L151" s="359"/>
      <c r="M151" s="359"/>
      <c r="N151" s="359"/>
      <c r="O151" s="359"/>
      <c r="P151" s="359"/>
      <c r="Q151" s="359"/>
      <c r="R151" s="359"/>
      <c r="S151" s="359"/>
      <c r="T151" s="360"/>
      <c r="U151" s="360"/>
      <c r="V151" s="360"/>
      <c r="W151" s="360"/>
      <c r="X151" s="360"/>
      <c r="Y151" s="360"/>
      <c r="Z151" s="360"/>
      <c r="AA151" s="360"/>
      <c r="AB151" s="360"/>
      <c r="AC151" s="359"/>
      <c r="AD151" s="359"/>
      <c r="AE151" s="359"/>
      <c r="AF151" s="359"/>
      <c r="AG151" s="359"/>
      <c r="AH151" s="359"/>
      <c r="AI151" s="359"/>
      <c r="AJ151" s="360"/>
      <c r="AK151" s="360"/>
      <c r="AL151" s="360"/>
      <c r="AM151" s="360"/>
      <c r="AN151" s="360"/>
      <c r="AO151" s="360"/>
      <c r="AP151" s="360"/>
      <c r="AQ151" s="360"/>
      <c r="AR151" s="361"/>
    </row>
    <row r="152" spans="2:44" s="12" customFormat="1" ht="15">
      <c r="B152" s="349"/>
      <c r="C152" s="881"/>
      <c r="D152" s="320" t="s">
        <v>485</v>
      </c>
      <c r="E152" s="320"/>
      <c r="F152" s="321"/>
      <c r="G152" s="323"/>
      <c r="H152" s="323"/>
      <c r="I152" s="324"/>
      <c r="J152" s="324"/>
      <c r="K152" s="324"/>
      <c r="L152" s="321"/>
      <c r="M152" s="321"/>
      <c r="N152" s="321"/>
      <c r="O152" s="321"/>
      <c r="P152" s="321"/>
      <c r="Q152" s="321"/>
      <c r="R152" s="321"/>
      <c r="S152" s="321"/>
      <c r="T152" s="334"/>
      <c r="U152" s="334"/>
      <c r="V152" s="334"/>
      <c r="W152" s="334"/>
      <c r="X152" s="334"/>
      <c r="Y152" s="334"/>
      <c r="Z152" s="334"/>
      <c r="AA152" s="334"/>
      <c r="AB152" s="334"/>
      <c r="AC152" s="321"/>
      <c r="AD152" s="321"/>
      <c r="AE152" s="321"/>
      <c r="AF152" s="321"/>
      <c r="AG152" s="321"/>
      <c r="AH152" s="321"/>
      <c r="AI152" s="321"/>
      <c r="AJ152" s="334"/>
      <c r="AK152" s="334"/>
      <c r="AL152" s="334"/>
      <c r="AM152" s="334"/>
      <c r="AN152" s="334"/>
      <c r="AO152" s="334"/>
      <c r="AP152" s="334"/>
      <c r="AQ152" s="334"/>
      <c r="AR152" s="350"/>
    </row>
    <row r="153" spans="2:44" s="12" customFormat="1">
      <c r="B153" s="344">
        <v>3264</v>
      </c>
      <c r="C153" s="260"/>
      <c r="D153" s="262" t="s">
        <v>486</v>
      </c>
      <c r="E153" s="262"/>
      <c r="F153" s="260"/>
      <c r="G153" s="260"/>
      <c r="H153" s="260"/>
      <c r="I153" s="262"/>
      <c r="J153" s="262"/>
      <c r="K153" s="262"/>
      <c r="L153" s="263"/>
      <c r="M153" s="263"/>
      <c r="N153" s="263"/>
      <c r="O153" s="263"/>
      <c r="P153" s="263"/>
      <c r="Q153" s="315">
        <f t="shared" ref="Q153:Q158" si="32">SUM(M153:P153)</f>
        <v>0</v>
      </c>
      <c r="R153" s="263"/>
      <c r="S153" s="315">
        <f t="shared" ref="S153:S158" si="33">Q153</f>
        <v>0</v>
      </c>
      <c r="T153" s="331"/>
      <c r="U153" s="331"/>
      <c r="V153" s="331"/>
      <c r="W153" s="331"/>
      <c r="X153" s="331"/>
      <c r="Y153" s="331"/>
      <c r="Z153" s="331"/>
      <c r="AA153" s="331"/>
      <c r="AB153" s="331"/>
      <c r="AC153" s="263"/>
      <c r="AD153" s="263"/>
      <c r="AE153" s="263"/>
      <c r="AF153" s="263"/>
      <c r="AG153" s="313">
        <f t="shared" ref="AG153:AG158" si="34">SUM(AC153:AF153)</f>
        <v>0</v>
      </c>
      <c r="AH153" s="340"/>
      <c r="AI153" s="315">
        <f t="shared" ref="AI153:AI158" si="35">AG153</f>
        <v>0</v>
      </c>
      <c r="AJ153" s="331"/>
      <c r="AK153" s="331"/>
      <c r="AL153" s="331"/>
      <c r="AM153" s="331"/>
      <c r="AN153" s="331"/>
      <c r="AO153" s="331"/>
      <c r="AP153" s="331"/>
      <c r="AQ153" s="331"/>
      <c r="AR153" s="343"/>
    </row>
    <row r="154" spans="2:44" s="12" customFormat="1">
      <c r="B154" s="344">
        <v>3308</v>
      </c>
      <c r="C154" s="260"/>
      <c r="D154" s="262" t="s">
        <v>487</v>
      </c>
      <c r="E154" s="262"/>
      <c r="F154" s="260"/>
      <c r="G154" s="260"/>
      <c r="H154" s="260"/>
      <c r="I154" s="262"/>
      <c r="J154" s="262"/>
      <c r="K154" s="262"/>
      <c r="L154" s="263"/>
      <c r="M154" s="263"/>
      <c r="N154" s="263"/>
      <c r="O154" s="263"/>
      <c r="P154" s="263"/>
      <c r="Q154" s="315">
        <f t="shared" si="32"/>
        <v>0</v>
      </c>
      <c r="R154" s="263"/>
      <c r="S154" s="315">
        <f t="shared" si="33"/>
        <v>0</v>
      </c>
      <c r="T154" s="331"/>
      <c r="U154" s="331"/>
      <c r="V154" s="331"/>
      <c r="W154" s="331"/>
      <c r="X154" s="331"/>
      <c r="Y154" s="331"/>
      <c r="Z154" s="331"/>
      <c r="AA154" s="331"/>
      <c r="AB154" s="331"/>
      <c r="AC154" s="263"/>
      <c r="AD154" s="263"/>
      <c r="AE154" s="263"/>
      <c r="AF154" s="263"/>
      <c r="AG154" s="313">
        <f t="shared" si="34"/>
        <v>0</v>
      </c>
      <c r="AH154" s="340"/>
      <c r="AI154" s="315">
        <f t="shared" si="35"/>
        <v>0</v>
      </c>
      <c r="AJ154" s="331"/>
      <c r="AK154" s="331"/>
      <c r="AL154" s="331"/>
      <c r="AM154" s="331"/>
      <c r="AN154" s="331"/>
      <c r="AO154" s="331"/>
      <c r="AP154" s="331"/>
      <c r="AQ154" s="331"/>
      <c r="AR154" s="343"/>
    </row>
    <row r="155" spans="2:44" s="12" customFormat="1">
      <c r="B155" s="344">
        <v>3312</v>
      </c>
      <c r="C155" s="260"/>
      <c r="D155" s="262" t="s">
        <v>488</v>
      </c>
      <c r="E155" s="262"/>
      <c r="F155" s="260"/>
      <c r="G155" s="260"/>
      <c r="H155" s="260"/>
      <c r="I155" s="262"/>
      <c r="J155" s="262"/>
      <c r="K155" s="262"/>
      <c r="L155" s="263"/>
      <c r="M155" s="263"/>
      <c r="N155" s="263"/>
      <c r="O155" s="263"/>
      <c r="P155" s="263"/>
      <c r="Q155" s="315">
        <f t="shared" si="32"/>
        <v>0</v>
      </c>
      <c r="R155" s="263"/>
      <c r="S155" s="315">
        <f t="shared" si="33"/>
        <v>0</v>
      </c>
      <c r="T155" s="331"/>
      <c r="U155" s="331"/>
      <c r="V155" s="331"/>
      <c r="W155" s="331"/>
      <c r="X155" s="331"/>
      <c r="Y155" s="331"/>
      <c r="Z155" s="331"/>
      <c r="AA155" s="331"/>
      <c r="AB155" s="331"/>
      <c r="AC155" s="263"/>
      <c r="AD155" s="263"/>
      <c r="AE155" s="263"/>
      <c r="AF155" s="263"/>
      <c r="AG155" s="313">
        <f t="shared" si="34"/>
        <v>0</v>
      </c>
      <c r="AH155" s="340"/>
      <c r="AI155" s="315">
        <f t="shared" si="35"/>
        <v>0</v>
      </c>
      <c r="AJ155" s="331"/>
      <c r="AK155" s="331"/>
      <c r="AL155" s="331"/>
      <c r="AM155" s="331"/>
      <c r="AN155" s="331"/>
      <c r="AO155" s="331"/>
      <c r="AP155" s="331"/>
      <c r="AQ155" s="331"/>
      <c r="AR155" s="343"/>
    </row>
    <row r="156" spans="2:44" s="12" customFormat="1">
      <c r="B156" s="344">
        <v>3325</v>
      </c>
      <c r="C156" s="260"/>
      <c r="D156" s="262" t="s">
        <v>489</v>
      </c>
      <c r="E156" s="262"/>
      <c r="F156" s="260"/>
      <c r="G156" s="260"/>
      <c r="H156" s="260"/>
      <c r="I156" s="262"/>
      <c r="J156" s="262"/>
      <c r="K156" s="262"/>
      <c r="L156" s="263"/>
      <c r="M156" s="263"/>
      <c r="N156" s="263"/>
      <c r="O156" s="263"/>
      <c r="P156" s="263"/>
      <c r="Q156" s="315">
        <f t="shared" si="32"/>
        <v>0</v>
      </c>
      <c r="R156" s="263"/>
      <c r="S156" s="315">
        <f t="shared" si="33"/>
        <v>0</v>
      </c>
      <c r="T156" s="331"/>
      <c r="U156" s="331"/>
      <c r="V156" s="331"/>
      <c r="W156" s="331"/>
      <c r="X156" s="331"/>
      <c r="Y156" s="331"/>
      <c r="Z156" s="331"/>
      <c r="AA156" s="331"/>
      <c r="AB156" s="331"/>
      <c r="AC156" s="263"/>
      <c r="AD156" s="263"/>
      <c r="AE156" s="263"/>
      <c r="AF156" s="263"/>
      <c r="AG156" s="313">
        <f t="shared" si="34"/>
        <v>0</v>
      </c>
      <c r="AH156" s="340"/>
      <c r="AI156" s="315">
        <f t="shared" si="35"/>
        <v>0</v>
      </c>
      <c r="AJ156" s="331"/>
      <c r="AK156" s="331"/>
      <c r="AL156" s="331"/>
      <c r="AM156" s="331"/>
      <c r="AN156" s="331"/>
      <c r="AO156" s="331"/>
      <c r="AP156" s="331"/>
      <c r="AQ156" s="331"/>
      <c r="AR156" s="343"/>
    </row>
    <row r="157" spans="2:44" s="12" customFormat="1">
      <c r="B157" s="344" t="s">
        <v>490</v>
      </c>
      <c r="C157" s="260"/>
      <c r="D157" s="262" t="s">
        <v>491</v>
      </c>
      <c r="E157" s="262"/>
      <c r="F157" s="260"/>
      <c r="G157" s="260"/>
      <c r="H157" s="260"/>
      <c r="I157" s="262"/>
      <c r="J157" s="262"/>
      <c r="K157" s="262"/>
      <c r="L157" s="263"/>
      <c r="M157" s="263"/>
      <c r="N157" s="263"/>
      <c r="O157" s="263"/>
      <c r="P157" s="263"/>
      <c r="Q157" s="315">
        <f t="shared" si="32"/>
        <v>0</v>
      </c>
      <c r="R157" s="263"/>
      <c r="S157" s="315">
        <f t="shared" si="33"/>
        <v>0</v>
      </c>
      <c r="T157" s="331"/>
      <c r="U157" s="331"/>
      <c r="V157" s="331"/>
      <c r="W157" s="331"/>
      <c r="X157" s="331"/>
      <c r="Y157" s="331"/>
      <c r="Z157" s="331"/>
      <c r="AA157" s="331"/>
      <c r="AB157" s="331"/>
      <c r="AC157" s="263"/>
      <c r="AD157" s="263"/>
      <c r="AE157" s="263"/>
      <c r="AF157" s="263"/>
      <c r="AG157" s="313">
        <f t="shared" si="34"/>
        <v>0</v>
      </c>
      <c r="AH157" s="340"/>
      <c r="AI157" s="315">
        <f t="shared" si="35"/>
        <v>0</v>
      </c>
      <c r="AJ157" s="331"/>
      <c r="AK157" s="331"/>
      <c r="AL157" s="331"/>
      <c r="AM157" s="331"/>
      <c r="AN157" s="331"/>
      <c r="AO157" s="331"/>
      <c r="AP157" s="331"/>
      <c r="AQ157" s="331"/>
      <c r="AR157" s="343"/>
    </row>
    <row r="158" spans="2:44" s="12" customFormat="1">
      <c r="B158" s="344"/>
      <c r="C158" s="260"/>
      <c r="D158" s="262"/>
      <c r="E158" s="262"/>
      <c r="F158" s="260"/>
      <c r="G158" s="260"/>
      <c r="H158" s="260"/>
      <c r="I158" s="262"/>
      <c r="J158" s="262"/>
      <c r="K158" s="262"/>
      <c r="L158" s="263"/>
      <c r="M158" s="263"/>
      <c r="N158" s="263"/>
      <c r="O158" s="263"/>
      <c r="P158" s="263"/>
      <c r="Q158" s="315">
        <f t="shared" si="32"/>
        <v>0</v>
      </c>
      <c r="R158" s="263"/>
      <c r="S158" s="315">
        <f t="shared" si="33"/>
        <v>0</v>
      </c>
      <c r="T158" s="331"/>
      <c r="U158" s="331"/>
      <c r="V158" s="331"/>
      <c r="W158" s="331"/>
      <c r="X158" s="331"/>
      <c r="Y158" s="331"/>
      <c r="Z158" s="331"/>
      <c r="AA158" s="331"/>
      <c r="AB158" s="331"/>
      <c r="AC158" s="263"/>
      <c r="AD158" s="263"/>
      <c r="AE158" s="263"/>
      <c r="AF158" s="263"/>
      <c r="AG158" s="313">
        <f t="shared" si="34"/>
        <v>0</v>
      </c>
      <c r="AH158" s="340"/>
      <c r="AI158" s="315">
        <f t="shared" si="35"/>
        <v>0</v>
      </c>
      <c r="AJ158" s="331"/>
      <c r="AK158" s="331"/>
      <c r="AL158" s="331"/>
      <c r="AM158" s="331"/>
      <c r="AN158" s="331"/>
      <c r="AO158" s="331"/>
      <c r="AP158" s="331"/>
      <c r="AQ158" s="331"/>
      <c r="AR158" s="343"/>
    </row>
    <row r="159" spans="2:44" s="12" customFormat="1" ht="13.5" thickBot="1">
      <c r="B159" s="362"/>
      <c r="C159" s="364"/>
      <c r="D159" s="363" t="s">
        <v>492</v>
      </c>
      <c r="E159" s="363"/>
      <c r="F159" s="364"/>
      <c r="G159" s="364"/>
      <c r="H159" s="364"/>
      <c r="I159" s="365">
        <f t="shared" ref="I159:AR159" si="36">SUM(I153:I158)</f>
        <v>0</v>
      </c>
      <c r="J159" s="365">
        <f t="shared" si="36"/>
        <v>0</v>
      </c>
      <c r="K159" s="365">
        <f t="shared" si="36"/>
        <v>0</v>
      </c>
      <c r="L159" s="365">
        <f t="shared" si="36"/>
        <v>0</v>
      </c>
      <c r="M159" s="365">
        <f t="shared" si="36"/>
        <v>0</v>
      </c>
      <c r="N159" s="365">
        <f t="shared" si="36"/>
        <v>0</v>
      </c>
      <c r="O159" s="365">
        <f t="shared" si="36"/>
        <v>0</v>
      </c>
      <c r="P159" s="365">
        <f t="shared" si="36"/>
        <v>0</v>
      </c>
      <c r="Q159" s="365">
        <f t="shared" si="36"/>
        <v>0</v>
      </c>
      <c r="R159" s="365">
        <f t="shared" si="36"/>
        <v>0</v>
      </c>
      <c r="S159" s="365">
        <f t="shared" si="36"/>
        <v>0</v>
      </c>
      <c r="T159" s="366">
        <f t="shared" si="36"/>
        <v>0</v>
      </c>
      <c r="U159" s="366">
        <f t="shared" si="36"/>
        <v>0</v>
      </c>
      <c r="V159" s="366">
        <f t="shared" si="36"/>
        <v>0</v>
      </c>
      <c r="W159" s="366">
        <f t="shared" ref="W159:X159" si="37">SUM(W153:W158)</f>
        <v>0</v>
      </c>
      <c r="X159" s="366">
        <f t="shared" si="37"/>
        <v>0</v>
      </c>
      <c r="Y159" s="366">
        <f t="shared" si="36"/>
        <v>0</v>
      </c>
      <c r="Z159" s="366">
        <f t="shared" si="36"/>
        <v>0</v>
      </c>
      <c r="AA159" s="366">
        <f t="shared" si="36"/>
        <v>0</v>
      </c>
      <c r="AB159" s="366">
        <f t="shared" si="36"/>
        <v>0</v>
      </c>
      <c r="AC159" s="365">
        <f t="shared" si="36"/>
        <v>0</v>
      </c>
      <c r="AD159" s="365">
        <f t="shared" si="36"/>
        <v>0</v>
      </c>
      <c r="AE159" s="365">
        <f t="shared" si="36"/>
        <v>0</v>
      </c>
      <c r="AF159" s="365">
        <f t="shared" si="36"/>
        <v>0</v>
      </c>
      <c r="AG159" s="365">
        <f t="shared" si="36"/>
        <v>0</v>
      </c>
      <c r="AH159" s="365">
        <f t="shared" si="36"/>
        <v>0</v>
      </c>
      <c r="AI159" s="365">
        <f t="shared" si="36"/>
        <v>0</v>
      </c>
      <c r="AJ159" s="366">
        <f t="shared" si="36"/>
        <v>0</v>
      </c>
      <c r="AK159" s="366">
        <f t="shared" si="36"/>
        <v>0</v>
      </c>
      <c r="AL159" s="366">
        <f t="shared" si="36"/>
        <v>0</v>
      </c>
      <c r="AM159" s="366">
        <f t="shared" ref="AM159:AN159" si="38">SUM(AM153:AM158)</f>
        <v>0</v>
      </c>
      <c r="AN159" s="366">
        <f t="shared" si="38"/>
        <v>0</v>
      </c>
      <c r="AO159" s="366">
        <f t="shared" si="36"/>
        <v>0</v>
      </c>
      <c r="AP159" s="366">
        <f t="shared" ref="AP159:AQ159" si="39">SUM(AP153:AP158)</f>
        <v>0</v>
      </c>
      <c r="AQ159" s="366">
        <f t="shared" si="39"/>
        <v>0</v>
      </c>
      <c r="AR159" s="367">
        <f t="shared" si="36"/>
        <v>0</v>
      </c>
    </row>
    <row r="160" spans="2:44" s="12" customFormat="1" ht="13.5" thickBot="1">
      <c r="B160" s="19"/>
      <c r="C160" s="106"/>
      <c r="D160" s="13"/>
      <c r="E160" s="13"/>
      <c r="F160" s="106"/>
      <c r="G160" s="106"/>
      <c r="H160" s="106"/>
      <c r="I160" s="188"/>
      <c r="J160" s="188"/>
      <c r="K160" s="188"/>
      <c r="L160" s="18"/>
      <c r="M160" s="18"/>
      <c r="N160" s="18"/>
      <c r="O160" s="18"/>
      <c r="P160" s="18"/>
      <c r="Q160" s="18"/>
      <c r="R160" s="18"/>
      <c r="S160" s="18"/>
      <c r="T160" s="330"/>
      <c r="U160" s="330"/>
      <c r="V160" s="330"/>
      <c r="W160" s="330"/>
      <c r="X160" s="330"/>
      <c r="Y160" s="330"/>
      <c r="Z160" s="330"/>
      <c r="AA160" s="330"/>
      <c r="AB160" s="330"/>
      <c r="AC160" s="18"/>
      <c r="AD160" s="18"/>
      <c r="AE160" s="18"/>
      <c r="AF160" s="18"/>
      <c r="AG160" s="18"/>
      <c r="AH160" s="18"/>
      <c r="AI160" s="18"/>
      <c r="AJ160" s="330"/>
      <c r="AK160" s="330"/>
      <c r="AL160" s="330"/>
      <c r="AM160" s="330"/>
      <c r="AN160" s="330"/>
      <c r="AO160" s="330"/>
      <c r="AP160" s="330"/>
      <c r="AQ160" s="330"/>
      <c r="AR160" s="330"/>
    </row>
    <row r="161" spans="2:44" s="12" customFormat="1" ht="13.15">
      <c r="B161" s="368"/>
      <c r="C161" s="884"/>
      <c r="D161" s="369" t="s">
        <v>493</v>
      </c>
      <c r="E161" s="369"/>
      <c r="F161" s="370"/>
      <c r="G161" s="371"/>
      <c r="H161" s="371"/>
      <c r="I161" s="372"/>
      <c r="J161" s="372"/>
      <c r="K161" s="372"/>
      <c r="L161" s="370"/>
      <c r="M161" s="370"/>
      <c r="N161" s="370"/>
      <c r="O161" s="370"/>
      <c r="P161" s="370"/>
      <c r="Q161" s="370"/>
      <c r="R161" s="370"/>
      <c r="S161" s="370"/>
      <c r="T161" s="373"/>
      <c r="U161" s="373"/>
      <c r="V161" s="373"/>
      <c r="W161" s="373"/>
      <c r="X161" s="373"/>
      <c r="Y161" s="373"/>
      <c r="Z161" s="373"/>
      <c r="AA161" s="373"/>
      <c r="AB161" s="373"/>
      <c r="AC161" s="370"/>
      <c r="AD161" s="370"/>
      <c r="AE161" s="370"/>
      <c r="AF161" s="370"/>
      <c r="AG161" s="370"/>
      <c r="AH161" s="370"/>
      <c r="AI161" s="370"/>
      <c r="AJ161" s="373"/>
      <c r="AK161" s="373"/>
      <c r="AL161" s="373"/>
      <c r="AM161" s="373"/>
      <c r="AN161" s="373"/>
      <c r="AO161" s="373"/>
      <c r="AP161" s="373"/>
      <c r="AQ161" s="373"/>
      <c r="AR161" s="374"/>
    </row>
    <row r="162" spans="2:44" s="12" customFormat="1" ht="14.25">
      <c r="B162" s="375"/>
      <c r="C162" s="885">
        <v>3259</v>
      </c>
      <c r="D162" s="339" t="s">
        <v>494</v>
      </c>
      <c r="E162" s="262"/>
      <c r="F162" s="260"/>
      <c r="G162" s="260"/>
      <c r="H162" s="260"/>
      <c r="I162" s="262"/>
      <c r="J162" s="262"/>
      <c r="K162" s="262"/>
      <c r="L162" s="263">
        <v>1218425.8900000001</v>
      </c>
      <c r="M162" s="263"/>
      <c r="N162" s="263"/>
      <c r="O162" s="263"/>
      <c r="P162" s="263"/>
      <c r="Q162" s="315">
        <f>SUM(M162:P162)</f>
        <v>0</v>
      </c>
      <c r="R162" s="263"/>
      <c r="S162" s="315">
        <f>Q162</f>
        <v>0</v>
      </c>
      <c r="T162" s="331"/>
      <c r="U162" s="331"/>
      <c r="V162" s="331"/>
      <c r="W162" s="331"/>
      <c r="X162" s="331"/>
      <c r="Y162" s="331"/>
      <c r="Z162" s="331"/>
      <c r="AA162" s="331"/>
      <c r="AB162" s="331"/>
      <c r="AC162" s="263"/>
      <c r="AD162" s="263"/>
      <c r="AE162" s="263"/>
      <c r="AF162" s="263"/>
      <c r="AG162" s="313">
        <f>SUM(AC162:AF162)</f>
        <v>0</v>
      </c>
      <c r="AH162" s="340"/>
      <c r="AI162" s="315">
        <f>AG162</f>
        <v>0</v>
      </c>
      <c r="AJ162" s="331"/>
      <c r="AK162" s="331"/>
      <c r="AL162" s="331"/>
      <c r="AM162" s="331"/>
      <c r="AN162" s="331"/>
      <c r="AO162" s="331"/>
      <c r="AP162" s="331"/>
      <c r="AQ162" s="331"/>
      <c r="AR162" s="343"/>
    </row>
    <row r="163" spans="2:44" s="12" customFormat="1" ht="14.25">
      <c r="B163" s="375"/>
      <c r="C163" s="886"/>
      <c r="D163" s="339" t="s">
        <v>495</v>
      </c>
      <c r="E163" s="262"/>
      <c r="F163" s="260"/>
      <c r="G163" s="260"/>
      <c r="H163" s="260"/>
      <c r="I163" s="262"/>
      <c r="J163" s="263">
        <v>10729079</v>
      </c>
      <c r="K163" s="262"/>
      <c r="L163" s="263">
        <v>1248154</v>
      </c>
      <c r="M163" s="263"/>
      <c r="N163" s="263"/>
      <c r="O163" s="263"/>
      <c r="P163" s="263"/>
      <c r="Q163" s="315">
        <v>25832330</v>
      </c>
      <c r="R163" s="263"/>
      <c r="S163" s="315">
        <f>Q163</f>
        <v>25832330</v>
      </c>
      <c r="T163" s="678">
        <v>2955161</v>
      </c>
      <c r="U163" s="678">
        <v>428</v>
      </c>
      <c r="V163" s="678">
        <v>127.17100000000001</v>
      </c>
      <c r="W163" s="331"/>
      <c r="X163" s="331"/>
      <c r="Y163" s="331"/>
      <c r="Z163" s="331"/>
      <c r="AA163" s="331"/>
      <c r="AB163" s="331"/>
      <c r="AC163" s="263"/>
      <c r="AD163" s="263"/>
      <c r="AE163" s="263"/>
      <c r="AF163" s="263"/>
      <c r="AG163" s="313">
        <v>27043980</v>
      </c>
      <c r="AH163" s="340"/>
      <c r="AI163" s="315">
        <f>AG163</f>
        <v>27043980</v>
      </c>
      <c r="AJ163" s="678">
        <v>2593606</v>
      </c>
      <c r="AK163" s="678">
        <v>377</v>
      </c>
      <c r="AL163" s="678">
        <v>108.79</v>
      </c>
      <c r="AM163" s="331"/>
      <c r="AN163" s="331"/>
      <c r="AO163" s="331"/>
      <c r="AP163" s="331"/>
      <c r="AQ163" s="331"/>
      <c r="AR163" s="343"/>
    </row>
    <row r="164" spans="2:44" s="12" customFormat="1" ht="13.15" thickBot="1">
      <c r="B164" s="376"/>
      <c r="C164" s="378"/>
      <c r="D164" s="377"/>
      <c r="E164" s="377"/>
      <c r="F164" s="378"/>
      <c r="G164" s="378"/>
      <c r="H164" s="378"/>
      <c r="I164" s="377"/>
      <c r="J164" s="377"/>
      <c r="K164" s="377"/>
      <c r="L164" s="379"/>
      <c r="M164" s="379"/>
      <c r="N164" s="379"/>
      <c r="O164" s="379"/>
      <c r="P164" s="379"/>
      <c r="Q164" s="380">
        <f>SUM(M164:P164)</f>
        <v>0</v>
      </c>
      <c r="R164" s="379"/>
      <c r="S164" s="315">
        <f>Q164</f>
        <v>0</v>
      </c>
      <c r="T164" s="381"/>
      <c r="U164" s="381"/>
      <c r="V164" s="381"/>
      <c r="W164" s="381"/>
      <c r="X164" s="381"/>
      <c r="Y164" s="381"/>
      <c r="Z164" s="381"/>
      <c r="AA164" s="381"/>
      <c r="AB164" s="381"/>
      <c r="AC164" s="379"/>
      <c r="AD164" s="379"/>
      <c r="AE164" s="379"/>
      <c r="AF164" s="379"/>
      <c r="AG164" s="313">
        <f>SUM(AC164:AF164)</f>
        <v>0</v>
      </c>
      <c r="AH164" s="340"/>
      <c r="AI164" s="315">
        <f>AG164</f>
        <v>0</v>
      </c>
      <c r="AJ164" s="381"/>
      <c r="AK164" s="381"/>
      <c r="AL164" s="381"/>
      <c r="AM164" s="381"/>
      <c r="AN164" s="381"/>
      <c r="AO164" s="381"/>
      <c r="AP164" s="381"/>
      <c r="AQ164" s="381"/>
      <c r="AR164" s="382"/>
    </row>
    <row r="165" spans="2:44" s="12" customFormat="1">
      <c r="B165" s="223"/>
      <c r="C165" s="39"/>
      <c r="D165" s="218"/>
      <c r="E165" s="218"/>
      <c r="F165" s="39"/>
      <c r="G165" s="39"/>
      <c r="H165" s="39"/>
      <c r="I165" s="218"/>
      <c r="J165" s="218"/>
      <c r="K165" s="218"/>
      <c r="L165" s="17"/>
      <c r="M165" s="17"/>
      <c r="N165" s="17"/>
      <c r="O165" s="17"/>
      <c r="P165" s="17"/>
      <c r="Q165" s="17"/>
      <c r="R165" s="17"/>
      <c r="S165" s="17"/>
      <c r="T165" s="337"/>
      <c r="U165" s="337"/>
      <c r="V165" s="337"/>
      <c r="W165" s="337"/>
      <c r="X165" s="337"/>
      <c r="Y165" s="337"/>
      <c r="Z165" s="337"/>
      <c r="AA165" s="337"/>
      <c r="AB165" s="337"/>
      <c r="AC165" s="17"/>
      <c r="AD165" s="17"/>
      <c r="AE165" s="17"/>
      <c r="AF165" s="17"/>
      <c r="AG165" s="17"/>
      <c r="AH165" s="17"/>
      <c r="AI165" s="17"/>
      <c r="AJ165" s="337"/>
      <c r="AK165" s="337"/>
      <c r="AL165" s="337"/>
      <c r="AM165" s="337"/>
      <c r="AN165" s="337"/>
      <c r="AO165" s="337"/>
      <c r="AP165" s="337"/>
      <c r="AQ165" s="337"/>
      <c r="AR165" s="337"/>
    </row>
    <row r="166" spans="2:44">
      <c r="S166" s="12"/>
      <c r="AI166" s="12"/>
    </row>
    <row r="167" spans="2:44">
      <c r="B167" s="8" t="s">
        <v>496</v>
      </c>
      <c r="F167" s="8"/>
      <c r="G167" s="8"/>
      <c r="H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2:44">
      <c r="B168" s="8" t="s">
        <v>497</v>
      </c>
      <c r="F168" s="8"/>
      <c r="G168" s="8"/>
      <c r="H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2:44">
      <c r="B169" s="8" t="s">
        <v>498</v>
      </c>
      <c r="F169" s="8"/>
      <c r="G169" s="8"/>
      <c r="H169" s="8"/>
      <c r="I169" s="786"/>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2:44" s="12" customFormat="1">
      <c r="B170" s="8" t="s">
        <v>499</v>
      </c>
      <c r="C170" s="39"/>
    </row>
    <row r="171" spans="2:44" s="12" customFormat="1">
      <c r="B171" s="12" t="s">
        <v>500</v>
      </c>
      <c r="C171" s="39"/>
      <c r="K171" s="887"/>
    </row>
    <row r="172" spans="2:44">
      <c r="B172" s="785" t="s">
        <v>501</v>
      </c>
      <c r="F172" s="8"/>
      <c r="G172" s="8"/>
      <c r="H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2:44">
      <c r="B173" s="8" t="s">
        <v>502</v>
      </c>
      <c r="F173" s="8"/>
      <c r="G173" s="8"/>
      <c r="H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2:44">
      <c r="B174" s="8" t="s">
        <v>503</v>
      </c>
    </row>
  </sheetData>
  <mergeCells count="2">
    <mergeCell ref="M5:AB5"/>
    <mergeCell ref="AC5:AR5"/>
  </mergeCells>
  <phoneticPr fontId="202" type="noConversion"/>
  <dataValidations count="1">
    <dataValidation type="list" allowBlank="1" showInputMessage="1" showErrorMessage="1" sqref="F142 F134:F140 F149 F152 F159:F161 F164:F165" xr:uid="{3CE9EA39-A1E0-49DB-964A-36AE111955E6}">
      <formula1>Program_Type</formula1>
    </dataValidation>
  </dataValidations>
  <pageMargins left="0.7" right="0.7" top="0.75" bottom="0.75" header="0.3" footer="0.3"/>
  <pageSetup paperSize="17" scale="44" fitToWidth="2" fitToHeight="3" orientation="landscape" r:id="rId1"/>
  <colBreaks count="1" manualBreakCount="1">
    <brk id="19" max="171"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324C20B-C08C-4836-BEA5-B30022DE4D4E}">
          <x14:formula1>
            <xm:f>README!$K$8:$K$10</xm:f>
          </x14:formula1>
          <xm:sqref>F131:F133 F112</xm:sqref>
        </x14:dataValidation>
        <x14:dataValidation type="list" allowBlank="1" showInputMessage="1" showErrorMessage="1" xr:uid="{104C0120-B8F4-4BCA-B4BA-6D48554AC962}">
          <x14:formula1>
            <xm:f>README!$J$8:$J$9</xm:f>
          </x14:formula1>
          <xm:sqref>E131:E133 E7:E112</xm:sqref>
        </x14:dataValidation>
        <x14:dataValidation type="list" allowBlank="1" showInputMessage="1" showErrorMessage="1" xr:uid="{553EAB0C-4DFA-411B-8C47-DF98150E9D20}">
          <x14:formula1>
            <xm:f>README!$L$8:$L$17</xm:f>
          </x14:formula1>
          <xm:sqref>G131:G133 G112</xm:sqref>
        </x14:dataValidation>
        <x14:dataValidation type="list" allowBlank="1" showInputMessage="1" showErrorMessage="1" xr:uid="{3C9ED69C-6A71-4B4E-BBC9-A0659BFD5DFB}">
          <x14:formula1>
            <xm:f>README!$M$8:$M$11</xm:f>
          </x14:formula1>
          <xm:sqref>H131:H133 H112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35A2-832C-4C2C-A559-C60B4587085E}">
  <dimension ref="A1:AR71"/>
  <sheetViews>
    <sheetView tabSelected="1" topLeftCell="A61" zoomScale="55" zoomScaleNormal="55" workbookViewId="0">
      <selection activeCell="D43" sqref="D43"/>
    </sheetView>
  </sheetViews>
  <sheetFormatPr defaultColWidth="7.75" defaultRowHeight="14.25"/>
  <cols>
    <col min="1" max="1" width="51.25" style="732" bestFit="1" customWidth="1"/>
    <col min="2" max="2" width="22.75" style="732" customWidth="1"/>
    <col min="3" max="3" width="14.25" style="732" customWidth="1"/>
    <col min="4" max="4" width="70.75" style="732" customWidth="1"/>
    <col min="5" max="5" width="9.5" style="733" customWidth="1"/>
    <col min="6" max="6" width="10.75" style="734" customWidth="1"/>
    <col min="7" max="7" width="11" style="734" customWidth="1"/>
    <col min="8" max="9" width="7.75" style="734"/>
    <col min="10" max="10" width="13.75" style="735" bestFit="1" customWidth="1"/>
    <col min="11" max="12" width="13.75" style="735" customWidth="1"/>
    <col min="13" max="13" width="15.5" style="736" customWidth="1"/>
    <col min="14" max="14" width="15.5" style="737" customWidth="1"/>
    <col min="15" max="15" width="19.25" style="737" customWidth="1"/>
    <col min="16" max="16384" width="7.75" style="738"/>
  </cols>
  <sheetData>
    <row r="1" spans="1:44" s="8" customFormat="1" ht="15">
      <c r="A1" s="729" t="s">
        <v>85</v>
      </c>
      <c r="B1" s="408" t="str">
        <f>PA_NAME</f>
        <v>San Diego Gas &amp; Electric Co</v>
      </c>
      <c r="E1" s="12"/>
      <c r="F1" s="39"/>
      <c r="G1" s="9"/>
      <c r="H1" s="9"/>
      <c r="I1" s="12"/>
      <c r="J1" s="12"/>
      <c r="K1" s="12"/>
      <c r="L1" s="15"/>
      <c r="M1" s="15"/>
      <c r="N1" s="15"/>
      <c r="O1" s="15"/>
      <c r="P1" s="15"/>
      <c r="Q1" s="17"/>
      <c r="R1" s="17"/>
      <c r="S1" s="17"/>
      <c r="T1" s="327"/>
      <c r="U1" s="327"/>
      <c r="V1" s="327"/>
      <c r="W1" s="327"/>
      <c r="X1" s="327"/>
      <c r="Y1" s="327"/>
      <c r="Z1" s="327"/>
      <c r="AA1" s="327"/>
      <c r="AB1" s="327"/>
      <c r="AC1" s="15"/>
      <c r="AD1" s="15"/>
      <c r="AE1" s="15"/>
      <c r="AF1" s="15"/>
      <c r="AG1" s="17"/>
      <c r="AH1" s="17"/>
      <c r="AI1" s="17"/>
      <c r="AJ1" s="327"/>
      <c r="AK1" s="327"/>
      <c r="AL1" s="327"/>
      <c r="AM1" s="327"/>
      <c r="AN1" s="327"/>
      <c r="AO1" s="327"/>
      <c r="AP1" s="327"/>
      <c r="AQ1" s="327"/>
      <c r="AR1" s="327"/>
    </row>
    <row r="2" spans="1:44" s="8" customFormat="1" ht="15.4">
      <c r="A2" s="729" t="s">
        <v>86</v>
      </c>
      <c r="B2" s="408" t="str">
        <f>RPT_YEAR</f>
        <v>2022-2023</v>
      </c>
      <c r="D2" s="730"/>
      <c r="E2" s="12"/>
      <c r="F2" s="116"/>
      <c r="G2" s="9"/>
      <c r="H2" s="9"/>
      <c r="I2" s="12"/>
      <c r="J2" s="12"/>
      <c r="K2" s="12"/>
      <c r="L2" s="117"/>
      <c r="M2" s="15"/>
      <c r="N2" s="15"/>
      <c r="O2" s="15"/>
      <c r="P2" s="15"/>
      <c r="Q2" s="17"/>
      <c r="R2" s="17"/>
      <c r="S2" s="17"/>
      <c r="T2" s="327"/>
      <c r="U2" s="327"/>
      <c r="V2" s="327"/>
      <c r="W2" s="327"/>
      <c r="X2" s="327"/>
      <c r="Y2" s="327"/>
      <c r="Z2" s="327"/>
      <c r="AA2" s="327"/>
      <c r="AB2" s="327"/>
      <c r="AC2" s="15"/>
      <c r="AD2" s="15"/>
      <c r="AE2" s="15"/>
      <c r="AF2" s="15"/>
      <c r="AG2" s="17"/>
      <c r="AH2" s="17"/>
      <c r="AI2" s="17"/>
      <c r="AJ2" s="327"/>
      <c r="AK2" s="327"/>
      <c r="AL2" s="327"/>
      <c r="AM2" s="327"/>
      <c r="AN2" s="327"/>
      <c r="AO2" s="327"/>
      <c r="AP2" s="327"/>
      <c r="AQ2" s="327"/>
      <c r="AR2" s="327"/>
    </row>
    <row r="3" spans="1:44" s="8" customFormat="1" ht="15.4">
      <c r="A3" s="14" t="s">
        <v>504</v>
      </c>
      <c r="C3" s="14"/>
      <c r="D3" s="730"/>
      <c r="F3" s="39"/>
      <c r="G3" s="9"/>
      <c r="H3" s="9"/>
      <c r="L3" s="118"/>
      <c r="M3" s="118"/>
      <c r="N3" s="118"/>
      <c r="O3" s="118"/>
      <c r="P3" s="118"/>
      <c r="Q3" s="41"/>
      <c r="R3" s="41"/>
      <c r="S3" s="13"/>
      <c r="T3" s="329"/>
      <c r="U3" s="329"/>
      <c r="V3" s="329"/>
      <c r="W3" s="329"/>
      <c r="X3" s="329"/>
      <c r="Y3" s="329"/>
      <c r="Z3" s="329"/>
      <c r="AA3" s="329"/>
      <c r="AB3" s="329"/>
      <c r="AC3" s="118"/>
      <c r="AD3" s="118"/>
      <c r="AE3" s="118"/>
      <c r="AF3" s="118"/>
      <c r="AG3" s="41"/>
      <c r="AH3" s="41"/>
      <c r="AI3" s="13"/>
      <c r="AJ3" s="329"/>
      <c r="AK3" s="329"/>
      <c r="AL3" s="329"/>
      <c r="AM3" s="329"/>
      <c r="AN3" s="329"/>
      <c r="AO3" s="329"/>
      <c r="AP3" s="329"/>
      <c r="AQ3" s="329"/>
      <c r="AR3" s="329"/>
    </row>
    <row r="4" spans="1:44" s="8" customFormat="1" ht="15.4">
      <c r="A4" s="14"/>
      <c r="C4" s="14"/>
      <c r="D4" s="730"/>
      <c r="F4" s="39"/>
      <c r="G4" s="9"/>
      <c r="H4" s="9"/>
      <c r="L4" s="118"/>
      <c r="M4" s="118"/>
      <c r="N4" s="118"/>
      <c r="O4" s="118"/>
      <c r="P4" s="118"/>
      <c r="Q4" s="41"/>
      <c r="R4" s="41"/>
      <c r="S4" s="13"/>
      <c r="T4" s="329"/>
      <c r="U4" s="329"/>
      <c r="V4" s="329"/>
      <c r="W4" s="329"/>
      <c r="X4" s="329"/>
      <c r="Y4" s="329"/>
      <c r="Z4" s="329"/>
      <c r="AA4" s="329"/>
      <c r="AB4" s="329"/>
      <c r="AC4" s="118"/>
      <c r="AD4" s="118"/>
      <c r="AE4" s="118"/>
      <c r="AF4" s="118"/>
      <c r="AG4" s="41"/>
      <c r="AH4" s="41"/>
      <c r="AI4" s="13"/>
      <c r="AJ4" s="329"/>
      <c r="AK4" s="329"/>
      <c r="AL4" s="329"/>
      <c r="AM4" s="329"/>
      <c r="AN4" s="329"/>
      <c r="AO4" s="329"/>
      <c r="AP4" s="329"/>
      <c r="AQ4" s="329"/>
      <c r="AR4" s="329"/>
    </row>
    <row r="5" spans="1:44" s="8" customFormat="1" ht="15.4">
      <c r="A5" s="14"/>
      <c r="C5" s="14"/>
      <c r="D5" s="730"/>
      <c r="F5" s="39"/>
      <c r="G5" s="9"/>
      <c r="H5" s="9"/>
      <c r="L5" s="118"/>
      <c r="M5" s="118"/>
      <c r="N5" s="118"/>
      <c r="O5" s="118"/>
      <c r="P5" s="118"/>
      <c r="Q5" s="41"/>
      <c r="R5" s="41"/>
      <c r="S5" s="13"/>
      <c r="T5" s="329"/>
      <c r="U5" s="329"/>
      <c r="V5" s="329"/>
      <c r="W5" s="329"/>
      <c r="X5" s="329"/>
      <c r="Y5" s="329"/>
      <c r="Z5" s="329"/>
      <c r="AA5" s="329"/>
      <c r="AB5" s="329"/>
      <c r="AC5" s="118"/>
      <c r="AD5" s="118"/>
      <c r="AE5" s="118"/>
      <c r="AF5" s="118"/>
      <c r="AG5" s="41"/>
      <c r="AH5" s="41"/>
      <c r="AI5" s="13"/>
      <c r="AJ5" s="329"/>
      <c r="AK5" s="329"/>
      <c r="AL5" s="329"/>
      <c r="AM5" s="329"/>
      <c r="AN5" s="329"/>
      <c r="AO5" s="329"/>
      <c r="AP5" s="329"/>
      <c r="AQ5" s="329"/>
      <c r="AR5" s="329"/>
    </row>
    <row r="6" spans="1:44" s="8" customFormat="1" ht="15.4">
      <c r="A6" s="14"/>
      <c r="C6" s="14"/>
      <c r="D6" s="730"/>
      <c r="F6" s="39"/>
      <c r="G6" s="9"/>
      <c r="H6" s="9"/>
      <c r="L6" s="118"/>
      <c r="M6" s="118"/>
      <c r="N6" s="118"/>
      <c r="O6" s="118"/>
      <c r="P6" s="118"/>
      <c r="Q6" s="41"/>
      <c r="R6" s="41"/>
      <c r="S6" s="13"/>
      <c r="T6" s="329"/>
      <c r="U6" s="329"/>
      <c r="V6" s="329"/>
      <c r="W6" s="329"/>
      <c r="X6" s="329"/>
      <c r="Y6" s="329"/>
      <c r="Z6" s="329"/>
      <c r="AA6" s="329"/>
      <c r="AB6" s="329"/>
      <c r="AC6" s="118"/>
      <c r="AD6" s="118"/>
      <c r="AE6" s="118"/>
      <c r="AF6" s="118"/>
      <c r="AG6" s="41"/>
      <c r="AH6" s="41"/>
      <c r="AI6" s="13"/>
      <c r="AJ6" s="329"/>
      <c r="AK6" s="329"/>
      <c r="AL6" s="329"/>
      <c r="AM6" s="329"/>
      <c r="AN6" s="329"/>
      <c r="AO6" s="329"/>
      <c r="AP6" s="329"/>
      <c r="AQ6" s="329"/>
      <c r="AR6" s="329"/>
    </row>
    <row r="7" spans="1:44" s="8" customFormat="1" ht="15.4">
      <c r="A7" s="237" t="s">
        <v>505</v>
      </c>
      <c r="B7" s="731"/>
      <c r="C7" s="731"/>
      <c r="D7" s="730"/>
      <c r="E7" s="12"/>
      <c r="F7" s="39"/>
      <c r="G7" s="9"/>
      <c r="H7" s="9"/>
      <c r="I7" s="12"/>
      <c r="J7" s="12"/>
      <c r="K7" s="12"/>
      <c r="L7" s="117"/>
      <c r="M7" s="117"/>
      <c r="N7" s="117"/>
      <c r="O7" s="117"/>
      <c r="P7" s="117"/>
      <c r="Q7" s="17"/>
      <c r="R7" s="17"/>
      <c r="S7" s="17"/>
      <c r="T7" s="328"/>
      <c r="U7" s="328"/>
      <c r="V7" s="328"/>
      <c r="W7" s="328"/>
      <c r="X7" s="328"/>
      <c r="Y7" s="328"/>
      <c r="Z7" s="328"/>
      <c r="AA7" s="328"/>
      <c r="AB7" s="328"/>
      <c r="AC7" s="117"/>
      <c r="AD7" s="117"/>
      <c r="AE7" s="117"/>
      <c r="AF7" s="117"/>
      <c r="AG7" s="17"/>
      <c r="AH7" s="17"/>
      <c r="AI7" s="17"/>
      <c r="AJ7" s="328"/>
      <c r="AK7" s="328"/>
      <c r="AL7" s="328"/>
      <c r="AM7" s="328"/>
      <c r="AN7" s="328"/>
      <c r="AO7" s="328"/>
      <c r="AP7" s="328"/>
      <c r="AQ7" s="328"/>
      <c r="AR7" s="328"/>
    </row>
    <row r="8" spans="1:44">
      <c r="D8" s="730"/>
    </row>
    <row r="9" spans="1:44">
      <c r="A9" s="739"/>
      <c r="D9" s="730"/>
    </row>
    <row r="10" spans="1:44">
      <c r="A10" s="730" t="s">
        <v>77</v>
      </c>
      <c r="D10" s="730" t="s">
        <v>84</v>
      </c>
      <c r="O10" s="740"/>
      <c r="P10" s="741"/>
      <c r="Q10" s="741"/>
    </row>
    <row r="11" spans="1:44" s="747" customFormat="1" ht="234" customHeight="1">
      <c r="A11" s="742" t="s">
        <v>506</v>
      </c>
      <c r="B11" s="742" t="s">
        <v>507</v>
      </c>
      <c r="C11" s="742" t="s">
        <v>508</v>
      </c>
      <c r="D11" s="742" t="s">
        <v>509</v>
      </c>
      <c r="E11" s="743" t="s">
        <v>510</v>
      </c>
      <c r="F11" s="744" t="s">
        <v>511</v>
      </c>
      <c r="G11" s="744" t="s">
        <v>512</v>
      </c>
      <c r="H11" s="744" t="s">
        <v>513</v>
      </c>
      <c r="I11" s="744" t="s">
        <v>514</v>
      </c>
      <c r="J11" s="745" t="s">
        <v>515</v>
      </c>
      <c r="K11" s="745" t="s">
        <v>165</v>
      </c>
      <c r="L11" s="745" t="s">
        <v>167</v>
      </c>
      <c r="M11" s="746" t="s">
        <v>516</v>
      </c>
      <c r="N11" s="742" t="s">
        <v>517</v>
      </c>
      <c r="O11" s="742" t="s">
        <v>518</v>
      </c>
    </row>
    <row r="12" spans="1:44" ht="48.75" customHeight="1">
      <c r="A12" s="726" t="s">
        <v>519</v>
      </c>
      <c r="B12" s="723" t="s">
        <v>520</v>
      </c>
      <c r="C12" s="723" t="s">
        <v>521</v>
      </c>
      <c r="D12" s="723" t="s">
        <v>522</v>
      </c>
      <c r="E12" s="767"/>
      <c r="F12" s="725">
        <v>0</v>
      </c>
      <c r="G12" s="725">
        <v>0</v>
      </c>
      <c r="H12" s="907" t="s">
        <v>523</v>
      </c>
      <c r="I12" s="907" t="s">
        <v>523</v>
      </c>
      <c r="J12" s="751">
        <f>VLOOKUP(LEFT($D12,SEARCH("-",D12)-2),'4 Program Budget'!$C$7:$AG$130,MATCH("2021 Authorized Budget",'4 Program Budget'!$C$6:$AG$6,0),FALSE)</f>
        <v>626761.42200000002</v>
      </c>
      <c r="K12" s="751">
        <f>VLOOKUP(LEFT($D12,SEARCH("-",D12)-2),'4 Program Budget'!$C$7:$AG$130,MATCH("2022 PA Spending Budget Request",'4 Program Budget'!$C$6:$AG$6,0),FALSE)</f>
        <v>0</v>
      </c>
      <c r="L12" s="751">
        <f>VLOOKUP(LEFT($D12,SEARCH("-",D12)-2),'4 Program Budget'!$C$7:$AG$130,MATCH("2023 PA Spending Budget Request",'4 Program Budget'!$C$6:$AG$6,0),FALSE)</f>
        <v>0</v>
      </c>
      <c r="M12" s="752">
        <v>2013</v>
      </c>
      <c r="N12" s="773" t="s">
        <v>524</v>
      </c>
      <c r="O12" s="773" t="s">
        <v>524</v>
      </c>
    </row>
    <row r="13" spans="1:44" ht="48.75" customHeight="1">
      <c r="A13" s="726" t="s">
        <v>525</v>
      </c>
      <c r="B13" s="723" t="s">
        <v>520</v>
      </c>
      <c r="C13" s="723" t="s">
        <v>526</v>
      </c>
      <c r="D13" s="723" t="s">
        <v>527</v>
      </c>
      <c r="E13" s="767"/>
      <c r="F13" s="725">
        <v>0</v>
      </c>
      <c r="G13" s="725">
        <v>0</v>
      </c>
      <c r="H13" s="907" t="s">
        <v>523</v>
      </c>
      <c r="I13" s="907" t="s">
        <v>523</v>
      </c>
      <c r="J13" s="751">
        <f>VLOOKUP(LEFT($D13,SEARCH("-",D13)-2),'4 Program Budget'!$C$7:$AG$130,MATCH("2021 Authorized Budget",'4 Program Budget'!$C$6:$AG$6,0),FALSE)</f>
        <v>371675.3224</v>
      </c>
      <c r="K13" s="751">
        <f>VLOOKUP(LEFT($D13,SEARCH("-",D13)-2),'4 Program Budget'!$C$7:$AG$130,MATCH("2022 PA Spending Budget Request",'4 Program Budget'!$C$6:$AG$6,0),FALSE)</f>
        <v>0</v>
      </c>
      <c r="L13" s="751">
        <f>VLOOKUP(LEFT($D13,SEARCH("-",D13)-2),'4 Program Budget'!$C$7:$AG$130,MATCH("2023 PA Spending Budget Request",'4 Program Budget'!$C$6:$AG$6,0),FALSE)</f>
        <v>0</v>
      </c>
      <c r="M13" s="752">
        <v>2010</v>
      </c>
      <c r="N13" s="773" t="s">
        <v>524</v>
      </c>
      <c r="O13" s="773" t="s">
        <v>524</v>
      </c>
    </row>
    <row r="14" spans="1:44" ht="48.75" customHeight="1" thickBot="1">
      <c r="A14" s="728" t="s">
        <v>525</v>
      </c>
      <c r="B14" s="723" t="s">
        <v>520</v>
      </c>
      <c r="C14" s="723" t="s">
        <v>528</v>
      </c>
      <c r="D14" s="723" t="s">
        <v>529</v>
      </c>
      <c r="E14" s="767"/>
      <c r="F14" s="725">
        <v>0</v>
      </c>
      <c r="G14" s="725">
        <v>0</v>
      </c>
      <c r="H14" s="907" t="s">
        <v>523</v>
      </c>
      <c r="I14" s="907" t="s">
        <v>523</v>
      </c>
      <c r="J14" s="751">
        <f>VLOOKUP(LEFT($D14,SEARCH("-",D14)-2),'4 Program Budget'!$C$7:$AG$130,MATCH("2021 Authorized Budget",'4 Program Budget'!$C$6:$AG$6,0),FALSE)</f>
        <v>92489.432000000001</v>
      </c>
      <c r="K14" s="751">
        <f>VLOOKUP(LEFT($D14,SEARCH("-",D14)-2),'4 Program Budget'!$C$7:$AG$130,MATCH("2022 PA Spending Budget Request",'4 Program Budget'!$C$6:$AG$6,0),FALSE)</f>
        <v>0</v>
      </c>
      <c r="L14" s="751">
        <f>VLOOKUP(LEFT($D14,SEARCH("-",D14)-2),'4 Program Budget'!$C$7:$AG$130,MATCH("2023 PA Spending Budget Request",'4 Program Budget'!$C$6:$AG$6,0),FALSE)</f>
        <v>0</v>
      </c>
      <c r="M14" s="752">
        <v>2010</v>
      </c>
      <c r="N14" s="773" t="s">
        <v>524</v>
      </c>
      <c r="O14" s="773" t="s">
        <v>524</v>
      </c>
    </row>
    <row r="15" spans="1:44" ht="48.75" customHeight="1" thickBot="1">
      <c r="A15" s="728" t="s">
        <v>525</v>
      </c>
      <c r="B15" s="723" t="s">
        <v>520</v>
      </c>
      <c r="C15" s="723" t="s">
        <v>528</v>
      </c>
      <c r="D15" s="723" t="s">
        <v>530</v>
      </c>
      <c r="E15" s="767"/>
      <c r="F15" s="725">
        <v>0</v>
      </c>
      <c r="G15" s="725">
        <v>0</v>
      </c>
      <c r="H15" s="907" t="s">
        <v>523</v>
      </c>
      <c r="I15" s="907" t="s">
        <v>523</v>
      </c>
      <c r="J15" s="751">
        <f>VLOOKUP(LEFT($D15,SEARCH("-",D15)-2),'4 Program Budget'!$C$7:$AG$130,MATCH("2021 Authorized Budget",'4 Program Budget'!$C$6:$AG$6,0),FALSE)</f>
        <v>128850.51640000001</v>
      </c>
      <c r="K15" s="751">
        <f>VLOOKUP(LEFT($D15,SEARCH("-",D15)-2),'4 Program Budget'!$C$7:$AG$130,MATCH("2022 PA Spending Budget Request",'4 Program Budget'!$C$6:$AG$6,0),FALSE)</f>
        <v>0</v>
      </c>
      <c r="L15" s="751">
        <f>VLOOKUP(LEFT($D15,SEARCH("-",D15)-2),'4 Program Budget'!$C$7:$AG$130,MATCH("2023 PA Spending Budget Request",'4 Program Budget'!$C$6:$AG$6,0),FALSE)</f>
        <v>0</v>
      </c>
      <c r="M15" s="752">
        <v>2010</v>
      </c>
      <c r="N15" s="773" t="s">
        <v>524</v>
      </c>
      <c r="O15" s="773" t="s">
        <v>524</v>
      </c>
    </row>
    <row r="16" spans="1:44" ht="48.75" customHeight="1" thickBot="1">
      <c r="A16" s="722" t="s">
        <v>519</v>
      </c>
      <c r="B16" s="723" t="s">
        <v>520</v>
      </c>
      <c r="C16" s="723" t="s">
        <v>521</v>
      </c>
      <c r="D16" s="723" t="s">
        <v>531</v>
      </c>
      <c r="E16" s="767"/>
      <c r="F16" s="725">
        <v>0</v>
      </c>
      <c r="G16" s="725">
        <v>0</v>
      </c>
      <c r="H16" s="907" t="s">
        <v>523</v>
      </c>
      <c r="I16" s="907" t="s">
        <v>523</v>
      </c>
      <c r="J16" s="751">
        <f>VLOOKUP(LEFT($D16,SEARCH("-",D16)-2),'4 Program Budget'!$C$7:$AG$130,MATCH("2021 Authorized Budget",'4 Program Budget'!$C$6:$AG$6,0),FALSE)</f>
        <v>1518172.4561000001</v>
      </c>
      <c r="K16" s="751">
        <f>VLOOKUP(LEFT($D16,SEARCH("-",D16)-2),'4 Program Budget'!$C$7:$AG$130,MATCH("2022 PA Spending Budget Request",'4 Program Budget'!$C$6:$AG$6,0),FALSE)</f>
        <v>0</v>
      </c>
      <c r="L16" s="751">
        <f>VLOOKUP(LEFT($D16,SEARCH("-",D16)-2),'4 Program Budget'!$C$7:$AG$130,MATCH("2023 PA Spending Budget Request",'4 Program Budget'!$C$6:$AG$6,0),FALSE)</f>
        <v>0</v>
      </c>
      <c r="M16" s="752">
        <v>2009</v>
      </c>
      <c r="N16" s="773" t="s">
        <v>524</v>
      </c>
      <c r="O16" s="773" t="s">
        <v>524</v>
      </c>
    </row>
    <row r="17" spans="1:15" ht="48.75" customHeight="1">
      <c r="A17" s="722" t="s">
        <v>519</v>
      </c>
      <c r="B17" s="723" t="s">
        <v>520</v>
      </c>
      <c r="C17" s="723" t="s">
        <v>521</v>
      </c>
      <c r="D17" s="723" t="s">
        <v>532</v>
      </c>
      <c r="E17" s="724" t="str">
        <f>IFERROR((I17/J17)-1,"N/A")</f>
        <v>N/A</v>
      </c>
      <c r="F17" s="725">
        <v>0</v>
      </c>
      <c r="G17" s="725">
        <v>0</v>
      </c>
      <c r="H17" s="907" t="s">
        <v>523</v>
      </c>
      <c r="I17" s="907" t="s">
        <v>523</v>
      </c>
      <c r="J17" s="751">
        <f>VLOOKUP(LEFT($D17,SEARCH("-",D17)-2),'4 Program Budget'!$B$7:$AG$130,MATCH("2021 Authorized Budget",'4 Program Budget'!$B$6:$AG$6,0),FALSE)</f>
        <v>106768.2555</v>
      </c>
      <c r="K17" s="751">
        <f>VLOOKUP(LEFT($D17,SEARCH("-",D17)-2),'4 Program Budget'!$B$7:$AG$130,MATCH("2022 PA Spending Budget Request",'4 Program Budget'!$B$6:$AG$6,0),FALSE)</f>
        <v>78875.680000000008</v>
      </c>
      <c r="L17" s="751">
        <f>VLOOKUP(LEFT($D17,SEARCH("-",D17)-2),'4 Program Budget'!$B$7:$AG$130,MATCH("2023 PA Spending Budget Request",'4 Program Budget'!$B$6:$AG$6,0),FALSE)</f>
        <v>0</v>
      </c>
      <c r="M17" s="775">
        <v>2009</v>
      </c>
      <c r="N17" s="773" t="s">
        <v>533</v>
      </c>
      <c r="O17" s="773" t="s">
        <v>533</v>
      </c>
    </row>
    <row r="18" spans="1:15" ht="48.75" customHeight="1">
      <c r="A18" s="726" t="s">
        <v>519</v>
      </c>
      <c r="B18" s="723" t="s">
        <v>520</v>
      </c>
      <c r="C18" s="723" t="s">
        <v>528</v>
      </c>
      <c r="D18" s="723" t="s">
        <v>534</v>
      </c>
      <c r="E18" s="767"/>
      <c r="F18" s="725">
        <v>0.85</v>
      </c>
      <c r="G18" s="725">
        <v>0</v>
      </c>
      <c r="H18" s="907" t="s">
        <v>523</v>
      </c>
      <c r="I18" s="907" t="s">
        <v>523</v>
      </c>
      <c r="J18" s="751">
        <f>VLOOKUP(LEFT($D18,SEARCH("-",D18)-2),'4 Program Budget'!$B$7:$AG$130,MATCH("2021 Authorized Budget",'4 Program Budget'!$B$6:$AG$6,0),FALSE)</f>
        <v>1971872.8441999997</v>
      </c>
      <c r="K18" s="751">
        <f>VLOOKUP(LEFT($D18,SEARCH("-",D18)-2),'4 Program Budget'!$B$7:$AG$130,MATCH("2022 PA Spending Budget Request",'4 Program Budget'!$B$6:$AG$6,0),FALSE)</f>
        <v>882538.10329999996</v>
      </c>
      <c r="L18" s="751">
        <f>VLOOKUP(LEFT($D18,SEARCH("-",D18)-2),'4 Program Budget'!$B$7:$AG$130,MATCH("2023 PA Spending Budget Request",'4 Program Budget'!$B$6:$AG$6,0),FALSE)</f>
        <v>0</v>
      </c>
      <c r="M18" s="775">
        <v>2009</v>
      </c>
      <c r="N18" s="773" t="s">
        <v>533</v>
      </c>
      <c r="O18" s="773" t="s">
        <v>533</v>
      </c>
    </row>
    <row r="19" spans="1:15" ht="48.75" customHeight="1">
      <c r="A19" s="726" t="s">
        <v>519</v>
      </c>
      <c r="B19" s="723" t="s">
        <v>520</v>
      </c>
      <c r="C19" s="723" t="s">
        <v>528</v>
      </c>
      <c r="D19" s="723" t="s">
        <v>535</v>
      </c>
      <c r="E19" s="767"/>
      <c r="F19" s="725">
        <v>0.63</v>
      </c>
      <c r="G19" s="725">
        <v>0.06</v>
      </c>
      <c r="H19" s="907" t="s">
        <v>523</v>
      </c>
      <c r="I19" s="907" t="s">
        <v>523</v>
      </c>
      <c r="J19" s="751">
        <f>VLOOKUP(LEFT($D19,SEARCH("-",D19)-2),'4 Program Budget'!$B$7:$AG$130,MATCH("2021 Authorized Budget",'4 Program Budget'!$B$6:$AG$6,0),FALSE)</f>
        <v>695836.20030000003</v>
      </c>
      <c r="K19" s="751">
        <f>VLOOKUP(LEFT($D19,SEARCH("-",D19)-2),'4 Program Budget'!$B$7:$AG$130,MATCH("2022 PA Spending Budget Request",'4 Program Budget'!$B$6:$AG$6,0),FALSE)</f>
        <v>248542.17</v>
      </c>
      <c r="L19" s="751">
        <f>VLOOKUP(LEFT($D19,SEARCH("-",D19)-2),'4 Program Budget'!$B$7:$AG$130,MATCH("2023 PA Spending Budget Request",'4 Program Budget'!$B$6:$AG$6,0),FALSE)</f>
        <v>0</v>
      </c>
      <c r="M19" s="775">
        <v>2009</v>
      </c>
      <c r="N19" s="773" t="s">
        <v>533</v>
      </c>
      <c r="O19" s="773" t="s">
        <v>533</v>
      </c>
    </row>
    <row r="20" spans="1:15" ht="48.75" customHeight="1">
      <c r="A20" s="726" t="s">
        <v>519</v>
      </c>
      <c r="B20" s="723" t="s">
        <v>520</v>
      </c>
      <c r="C20" s="723" t="s">
        <v>528</v>
      </c>
      <c r="D20" s="723" t="s">
        <v>536</v>
      </c>
      <c r="E20" s="767"/>
      <c r="F20" s="725">
        <v>0.31</v>
      </c>
      <c r="G20" s="725">
        <v>0.04</v>
      </c>
      <c r="H20" s="907" t="s">
        <v>523</v>
      </c>
      <c r="I20" s="907" t="s">
        <v>523</v>
      </c>
      <c r="J20" s="751">
        <f>VLOOKUP(LEFT($D20,SEARCH("-",D20)-2),'4 Program Budget'!$B$7:$AG$130,MATCH("2021 Authorized Budget",'4 Program Budget'!$B$6:$AG$6,0),FALSE)</f>
        <v>2243209.8177</v>
      </c>
      <c r="K20" s="751">
        <f>VLOOKUP(LEFT($D20,SEARCH("-",D20)-2),'4 Program Budget'!$B$7:$AG$130,MATCH("2022 PA Spending Budget Request",'4 Program Budget'!$B$6:$AG$6,0),FALSE)</f>
        <v>741870.92079999996</v>
      </c>
      <c r="L20" s="751">
        <f>VLOOKUP(LEFT($D20,SEARCH("-",D20)-2),'4 Program Budget'!$B$7:$AG$130,MATCH("2023 PA Spending Budget Request",'4 Program Budget'!$B$6:$AG$6,0),FALSE)</f>
        <v>0</v>
      </c>
      <c r="M20" s="775">
        <v>2009</v>
      </c>
      <c r="N20" s="773">
        <v>44918</v>
      </c>
      <c r="O20" s="773">
        <v>44918</v>
      </c>
    </row>
    <row r="21" spans="1:15" ht="48.75" customHeight="1">
      <c r="A21" s="726" t="s">
        <v>519</v>
      </c>
      <c r="B21" s="723" t="s">
        <v>520</v>
      </c>
      <c r="C21" s="723" t="s">
        <v>521</v>
      </c>
      <c r="D21" s="723" t="s">
        <v>537</v>
      </c>
      <c r="E21" s="767"/>
      <c r="F21" s="725">
        <v>0</v>
      </c>
      <c r="G21" s="725">
        <v>0</v>
      </c>
      <c r="H21" s="907" t="s">
        <v>523</v>
      </c>
      <c r="I21" s="907" t="s">
        <v>523</v>
      </c>
      <c r="J21" s="751">
        <f>VLOOKUP(LEFT($D21,SEARCH("-",D21)-2),'4 Program Budget'!$B$7:$AG$130,MATCH("2021 Authorized Budget",'4 Program Budget'!$B$6:$AG$6,0),FALSE)</f>
        <v>407912.61049999995</v>
      </c>
      <c r="K21" s="751">
        <f>VLOOKUP(LEFT($D21,SEARCH("-",D21)-2),'4 Program Budget'!$B$7:$AG$130,MATCH("2022 PA Spending Budget Request",'4 Program Budget'!$B$6:$AG$6,0),FALSE)</f>
        <v>324494.76</v>
      </c>
      <c r="L21" s="751">
        <f>VLOOKUP(LEFT($D21,SEARCH("-",D21)-2),'4 Program Budget'!$B$7:$AG$130,MATCH("2023 PA Spending Budget Request",'4 Program Budget'!$B$6:$AG$6,0),FALSE)</f>
        <v>0</v>
      </c>
      <c r="M21" s="775">
        <v>2009</v>
      </c>
      <c r="N21" s="773" t="s">
        <v>538</v>
      </c>
      <c r="O21" s="773" t="s">
        <v>538</v>
      </c>
    </row>
    <row r="22" spans="1:15" ht="48.75" customHeight="1">
      <c r="A22" s="726" t="s">
        <v>519</v>
      </c>
      <c r="B22" s="723" t="s">
        <v>520</v>
      </c>
      <c r="C22" s="723" t="s">
        <v>528</v>
      </c>
      <c r="D22" s="723" t="s">
        <v>539</v>
      </c>
      <c r="E22" s="767"/>
      <c r="F22" s="725">
        <v>0.95</v>
      </c>
      <c r="G22" s="725">
        <v>0</v>
      </c>
      <c r="H22" s="907" t="s">
        <v>523</v>
      </c>
      <c r="I22" s="907" t="s">
        <v>523</v>
      </c>
      <c r="J22" s="751">
        <f>VLOOKUP(LEFT($D22,SEARCH("-",D22)-2),'4 Program Budget'!$B$7:$AG$130,MATCH("2021 Authorized Budget",'4 Program Budget'!$B$6:$AG$6,0),FALSE)</f>
        <v>1182822.5981000001</v>
      </c>
      <c r="K22" s="751">
        <f>VLOOKUP(LEFT($D22,SEARCH("-",D22)-2),'4 Program Budget'!$B$7:$AG$130,MATCH("2022 PA Spending Budget Request",'4 Program Budget'!$B$6:$AG$6,0),FALSE)</f>
        <v>1100013.6199999999</v>
      </c>
      <c r="L22" s="751">
        <f>VLOOKUP(LEFT($D22,SEARCH("-",D22)-2),'4 Program Budget'!$B$7:$AG$130,MATCH("2023 PA Spending Budget Request",'4 Program Budget'!$B$6:$AG$6,0),FALSE)</f>
        <v>0</v>
      </c>
      <c r="M22" s="775">
        <v>2009</v>
      </c>
      <c r="N22" s="773" t="s">
        <v>538</v>
      </c>
      <c r="O22" s="773" t="s">
        <v>538</v>
      </c>
    </row>
    <row r="23" spans="1:15" ht="48.75" customHeight="1">
      <c r="A23" s="726" t="s">
        <v>519</v>
      </c>
      <c r="B23" s="723" t="s">
        <v>520</v>
      </c>
      <c r="C23" s="723" t="s">
        <v>528</v>
      </c>
      <c r="D23" s="723" t="s">
        <v>540</v>
      </c>
      <c r="E23" s="767"/>
      <c r="F23" s="725">
        <v>0.66</v>
      </c>
      <c r="G23" s="725">
        <v>0.03</v>
      </c>
      <c r="H23" s="907" t="s">
        <v>523</v>
      </c>
      <c r="I23" s="907" t="s">
        <v>523</v>
      </c>
      <c r="J23" s="751">
        <f>VLOOKUP(LEFT($D23,SEARCH("-",D23)-2),'4 Program Budget'!$B$7:$AG$130,MATCH("2021 Authorized Budget",'4 Program Budget'!$B$6:$AG$6,0),FALSE)</f>
        <v>256823.68910000002</v>
      </c>
      <c r="K23" s="751">
        <f>VLOOKUP(LEFT($D23,SEARCH("-",D23)-2),'4 Program Budget'!$B$7:$AG$130,MATCH("2022 PA Spending Budget Request",'4 Program Budget'!$B$6:$AG$6,0),FALSE)</f>
        <v>202667.39</v>
      </c>
      <c r="L23" s="751">
        <f>VLOOKUP(LEFT($D23,SEARCH("-",D23)-2),'4 Program Budget'!$B$7:$AG$130,MATCH("2023 PA Spending Budget Request",'4 Program Budget'!$B$6:$AG$6,0),FALSE)</f>
        <v>0</v>
      </c>
      <c r="M23" s="775">
        <v>2009</v>
      </c>
      <c r="N23" s="773" t="s">
        <v>538</v>
      </c>
      <c r="O23" s="773" t="s">
        <v>538</v>
      </c>
    </row>
    <row r="24" spans="1:15" ht="48.75" customHeight="1">
      <c r="A24" s="726" t="s">
        <v>519</v>
      </c>
      <c r="B24" s="723" t="s">
        <v>520</v>
      </c>
      <c r="C24" s="723" t="s">
        <v>521</v>
      </c>
      <c r="D24" s="723" t="s">
        <v>541</v>
      </c>
      <c r="E24" s="767"/>
      <c r="F24" s="725">
        <v>0</v>
      </c>
      <c r="G24" s="725">
        <v>0</v>
      </c>
      <c r="H24" s="907" t="s">
        <v>523</v>
      </c>
      <c r="I24" s="907" t="s">
        <v>523</v>
      </c>
      <c r="J24" s="751">
        <f>VLOOKUP(LEFT($D24,SEARCH("-",D24)-2),'4 Program Budget'!$B$7:$AG$130,MATCH("2021 Authorized Budget",'4 Program Budget'!$B$6:$AG$6,0),FALSE)</f>
        <v>164729.38150000002</v>
      </c>
      <c r="K24" s="751">
        <f>VLOOKUP(LEFT($D24,SEARCH("-",D24)-2),'4 Program Budget'!$B$7:$AG$130,MATCH("2022 PA Spending Budget Request",'4 Program Budget'!$B$6:$AG$6,0),FALSE)</f>
        <v>109831.44</v>
      </c>
      <c r="L24" s="751">
        <f>VLOOKUP(LEFT($D24,SEARCH("-",D24)-2),'4 Program Budget'!$B$7:$AG$130,MATCH("2023 PA Spending Budget Request",'4 Program Budget'!$B$6:$AG$6,0),FALSE)</f>
        <v>0</v>
      </c>
      <c r="M24" s="775">
        <v>2009</v>
      </c>
      <c r="N24" s="773" t="s">
        <v>538</v>
      </c>
      <c r="O24" s="773" t="s">
        <v>538</v>
      </c>
    </row>
    <row r="25" spans="1:15" ht="48.75" customHeight="1">
      <c r="A25" s="726" t="s">
        <v>519</v>
      </c>
      <c r="B25" s="723" t="s">
        <v>520</v>
      </c>
      <c r="C25" s="723" t="s">
        <v>528</v>
      </c>
      <c r="D25" s="723" t="s">
        <v>542</v>
      </c>
      <c r="E25" s="767"/>
      <c r="F25" s="725">
        <v>0.13</v>
      </c>
      <c r="G25" s="725">
        <v>0.08</v>
      </c>
      <c r="H25" s="907" t="s">
        <v>523</v>
      </c>
      <c r="I25" s="907" t="s">
        <v>523</v>
      </c>
      <c r="J25" s="751">
        <f>VLOOKUP(LEFT($D25,SEARCH("-",D25)-2),'4 Program Budget'!$B$7:$AG$130,MATCH("2021 Authorized Budget",'4 Program Budget'!$B$6:$AG$6,0),FALSE)</f>
        <v>135220.83189999999</v>
      </c>
      <c r="K25" s="751">
        <f>VLOOKUP(LEFT($D25,SEARCH("-",D25)-2),'4 Program Budget'!$B$7:$AG$130,MATCH("2022 PA Spending Budget Request",'4 Program Budget'!$B$6:$AG$6,0),FALSE)</f>
        <v>125638.38</v>
      </c>
      <c r="L25" s="751">
        <f>VLOOKUP(LEFT($D25,SEARCH("-",D25)-2),'4 Program Budget'!$B$7:$AG$130,MATCH("2023 PA Spending Budget Request",'4 Program Budget'!$B$6:$AG$6,0),FALSE)</f>
        <v>0</v>
      </c>
      <c r="M25" s="775">
        <v>2009</v>
      </c>
      <c r="N25" s="773" t="s">
        <v>538</v>
      </c>
      <c r="O25" s="773" t="s">
        <v>538</v>
      </c>
    </row>
    <row r="26" spans="1:15" ht="48.75" customHeight="1">
      <c r="A26" s="726" t="s">
        <v>519</v>
      </c>
      <c r="B26" s="723" t="s">
        <v>520</v>
      </c>
      <c r="C26" s="723" t="s">
        <v>528</v>
      </c>
      <c r="D26" s="723" t="s">
        <v>543</v>
      </c>
      <c r="E26" s="767"/>
      <c r="F26" s="725">
        <v>0.21</v>
      </c>
      <c r="G26" s="725">
        <v>0</v>
      </c>
      <c r="H26" s="907" t="s">
        <v>523</v>
      </c>
      <c r="I26" s="907" t="s">
        <v>523</v>
      </c>
      <c r="J26" s="751">
        <f>VLOOKUP(LEFT($D26,SEARCH("-",D26)-2),'4 Program Budget'!$B$7:$AG$130,MATCH("2021 Authorized Budget",'4 Program Budget'!$B$6:$AG$6,0),FALSE)</f>
        <v>155900.70390000002</v>
      </c>
      <c r="K26" s="751">
        <f>VLOOKUP(LEFT($D26,SEARCH("-",D26)-2),'4 Program Budget'!$B$7:$AG$130,MATCH("2022 PA Spending Budget Request",'4 Program Budget'!$B$6:$AG$6,0),FALSE)</f>
        <v>142703.07</v>
      </c>
      <c r="L26" s="751">
        <f>VLOOKUP(LEFT($D26,SEARCH("-",D26)-2),'4 Program Budget'!$B$7:$AG$130,MATCH("2023 PA Spending Budget Request",'4 Program Budget'!$B$6:$AG$6,0),FALSE)</f>
        <v>0</v>
      </c>
      <c r="M26" s="775">
        <v>2009</v>
      </c>
      <c r="N26" s="773" t="s">
        <v>538</v>
      </c>
      <c r="O26" s="773" t="s">
        <v>538</v>
      </c>
    </row>
    <row r="27" spans="1:15" ht="48.75" customHeight="1">
      <c r="A27" s="726" t="s">
        <v>519</v>
      </c>
      <c r="B27" s="723" t="s">
        <v>520</v>
      </c>
      <c r="C27" s="723" t="s">
        <v>521</v>
      </c>
      <c r="D27" s="723" t="s">
        <v>544</v>
      </c>
      <c r="E27" s="767"/>
      <c r="F27" s="727">
        <v>0.11</v>
      </c>
      <c r="G27" s="725">
        <v>0</v>
      </c>
      <c r="H27" s="907" t="s">
        <v>523</v>
      </c>
      <c r="I27" s="907" t="s">
        <v>523</v>
      </c>
      <c r="J27" s="751">
        <f>VLOOKUP(LEFT($D27,SEARCH("-",D27)-2),'4 Program Budget'!$B$7:$AG$130,MATCH("2021 Authorized Budget",'4 Program Budget'!$B$6:$AG$6,0),FALSE)</f>
        <v>831799.85620000004</v>
      </c>
      <c r="K27" s="751">
        <f>VLOOKUP(LEFT($D27,SEARCH("-",D27)-2),'4 Program Budget'!$B$7:$AG$130,MATCH("2022 PA Spending Budget Request",'4 Program Budget'!$B$6:$AG$6,0),FALSE)</f>
        <v>883557.82</v>
      </c>
      <c r="L27" s="751">
        <f>VLOOKUP(LEFT($D27,SEARCH("-",D27)-2),'4 Program Budget'!$B$7:$AG$130,MATCH("2023 PA Spending Budget Request",'4 Program Budget'!$B$6:$AG$6,0),FALSE)</f>
        <v>0</v>
      </c>
      <c r="M27" s="775">
        <v>2017</v>
      </c>
      <c r="N27" s="773" t="s">
        <v>538</v>
      </c>
      <c r="O27" s="773" t="s">
        <v>538</v>
      </c>
    </row>
    <row r="28" spans="1:15" ht="48.75" customHeight="1">
      <c r="A28" s="726" t="s">
        <v>519</v>
      </c>
      <c r="B28" s="723" t="s">
        <v>520</v>
      </c>
      <c r="C28" s="723" t="s">
        <v>528</v>
      </c>
      <c r="D28" s="723" t="s">
        <v>545</v>
      </c>
      <c r="E28" s="767"/>
      <c r="F28" s="725">
        <v>0.25</v>
      </c>
      <c r="G28" s="725">
        <v>0</v>
      </c>
      <c r="H28" s="907" t="s">
        <v>523</v>
      </c>
      <c r="I28" s="907" t="s">
        <v>523</v>
      </c>
      <c r="J28" s="751">
        <f>VLOOKUP(LEFT($D28,SEARCH("-",D28)-2),'4 Program Budget'!$B$7:$AG$130,MATCH("2021 Authorized Budget",'4 Program Budget'!$B$6:$AG$6,0),FALSE)</f>
        <v>911418.68859999999</v>
      </c>
      <c r="K28" s="751">
        <f>VLOOKUP(LEFT($D28,SEARCH("-",D28)-2),'4 Program Budget'!$B$7:$AG$130,MATCH("2022 PA Spending Budget Request",'4 Program Budget'!$B$6:$AG$6,0),FALSE)</f>
        <v>1009822.53</v>
      </c>
      <c r="L28" s="751">
        <f>VLOOKUP(LEFT($D28,SEARCH("-",D28)-2),'4 Program Budget'!$B$7:$AG$130,MATCH("2023 PA Spending Budget Request",'4 Program Budget'!$B$6:$AG$6,0),FALSE)</f>
        <v>0</v>
      </c>
      <c r="M28" s="752">
        <v>2017</v>
      </c>
      <c r="N28" s="773" t="s">
        <v>538</v>
      </c>
      <c r="O28" s="773" t="s">
        <v>538</v>
      </c>
    </row>
    <row r="29" spans="1:15" ht="48.75" customHeight="1">
      <c r="A29" s="726" t="s">
        <v>519</v>
      </c>
      <c r="B29" s="723" t="s">
        <v>520</v>
      </c>
      <c r="C29" s="723" t="s">
        <v>521</v>
      </c>
      <c r="D29" s="723" t="s">
        <v>546</v>
      </c>
      <c r="E29" s="767"/>
      <c r="F29" s="725">
        <v>1.31</v>
      </c>
      <c r="G29" s="725">
        <v>1.5</v>
      </c>
      <c r="H29" s="907" t="s">
        <v>523</v>
      </c>
      <c r="I29" s="907" t="s">
        <v>523</v>
      </c>
      <c r="J29" s="751">
        <f>VLOOKUP(LEFT($D29,SEARCH("-",D29)-2),'4 Program Budget'!$B$7:$AG$130,MATCH("2021 Authorized Budget",'4 Program Budget'!$B$6:$AG$6,0),FALSE)</f>
        <v>3647758.2270999998</v>
      </c>
      <c r="K29" s="751">
        <f>VLOOKUP(LEFT($D29,SEARCH("-",D29)-2),'4 Program Budget'!$B$7:$AG$130,MATCH("2022 PA Spending Budget Request",'4 Program Budget'!$B$6:$AG$6,0),FALSE)</f>
        <v>3626610.7680000002</v>
      </c>
      <c r="L29" s="751">
        <f>VLOOKUP(LEFT($D29,SEARCH("-",D29)-2),'4 Program Budget'!$B$7:$AG$130,MATCH("2023 PA Spending Budget Request",'4 Program Budget'!$B$6:$AG$6,0),FALSE)</f>
        <v>0</v>
      </c>
      <c r="M29" s="752">
        <v>2013</v>
      </c>
      <c r="N29" s="773" t="s">
        <v>533</v>
      </c>
      <c r="O29" s="773" t="s">
        <v>533</v>
      </c>
    </row>
    <row r="30" spans="1:15" ht="48.75" customHeight="1">
      <c r="A30" s="726" t="s">
        <v>525</v>
      </c>
      <c r="B30" s="723" t="s">
        <v>520</v>
      </c>
      <c r="C30" s="723" t="s">
        <v>528</v>
      </c>
      <c r="D30" s="723" t="s">
        <v>547</v>
      </c>
      <c r="E30" s="767"/>
      <c r="F30" s="725">
        <v>0</v>
      </c>
      <c r="G30" s="725">
        <v>0</v>
      </c>
      <c r="H30" s="907" t="s">
        <v>523</v>
      </c>
      <c r="I30" s="907" t="s">
        <v>523</v>
      </c>
      <c r="J30" s="751">
        <f>VLOOKUP(LEFT($D30,SEARCH("-",D30)-2),'4 Program Budget'!$B$7:$AG$130,MATCH("2021 Authorized Budget",'4 Program Budget'!$B$6:$AG$6,0),FALSE)</f>
        <v>146799.598</v>
      </c>
      <c r="K30" s="751">
        <f>VLOOKUP(LEFT($D30,SEARCH("-",D30)-2),'4 Program Budget'!$B$7:$AG$130,MATCH("2022 PA Spending Budget Request",'4 Program Budget'!$B$6:$AG$6,0),FALSE)</f>
        <v>104205.78</v>
      </c>
      <c r="L30" s="751">
        <f>VLOOKUP(LEFT($D30,SEARCH("-",D30)-2),'4 Program Budget'!$B$7:$AG$130,MATCH("2023 PA Spending Budget Request",'4 Program Budget'!$B$6:$AG$6,0),FALSE)</f>
        <v>0</v>
      </c>
      <c r="M30" s="752">
        <v>2006</v>
      </c>
      <c r="N30" s="773" t="s">
        <v>533</v>
      </c>
      <c r="O30" s="773" t="s">
        <v>533</v>
      </c>
    </row>
    <row r="31" spans="1:15" ht="48.75" customHeight="1">
      <c r="A31" s="726" t="s">
        <v>525</v>
      </c>
      <c r="B31" s="723" t="s">
        <v>520</v>
      </c>
      <c r="C31" s="723" t="s">
        <v>528</v>
      </c>
      <c r="D31" s="723" t="s">
        <v>548</v>
      </c>
      <c r="E31" s="767"/>
      <c r="F31" s="725">
        <v>0</v>
      </c>
      <c r="G31" s="725">
        <v>0</v>
      </c>
      <c r="H31" s="907" t="s">
        <v>523</v>
      </c>
      <c r="I31" s="907" t="s">
        <v>523</v>
      </c>
      <c r="J31" s="751">
        <f>VLOOKUP(LEFT($D31,SEARCH("-",D31)-2),'4 Program Budget'!$B$7:$AG$130,MATCH("2021 Authorized Budget",'4 Program Budget'!$B$6:$AG$6,0),FALSE)</f>
        <v>242877.41959999999</v>
      </c>
      <c r="K31" s="751">
        <f>VLOOKUP(LEFT($D31,SEARCH("-",D31)-2),'4 Program Budget'!$B$7:$AG$130,MATCH("2022 PA Spending Budget Request",'4 Program Budget'!$B$6:$AG$6,0),FALSE)</f>
        <v>255703.04000000001</v>
      </c>
      <c r="L31" s="751">
        <f>VLOOKUP(LEFT($D31,SEARCH("-",D31)-2),'4 Program Budget'!$B$7:$AG$130,MATCH("2023 PA Spending Budget Request",'4 Program Budget'!$B$6:$AG$6,0),FALSE)</f>
        <v>0</v>
      </c>
      <c r="M31" s="752">
        <v>2006</v>
      </c>
      <c r="N31" s="773" t="s">
        <v>533</v>
      </c>
      <c r="O31" s="773" t="s">
        <v>533</v>
      </c>
    </row>
    <row r="32" spans="1:15" ht="48.75" customHeight="1">
      <c r="A32" s="737"/>
      <c r="B32" s="738"/>
      <c r="C32" s="738"/>
      <c r="D32" s="738"/>
      <c r="E32" s="754"/>
      <c r="F32" s="755"/>
      <c r="G32" s="755"/>
      <c r="H32" s="755"/>
      <c r="I32" s="755"/>
      <c r="J32" s="756"/>
      <c r="K32" s="756"/>
      <c r="L32" s="756"/>
      <c r="N32" s="757"/>
      <c r="O32" s="757"/>
    </row>
    <row r="33" spans="1:17">
      <c r="A33" s="730" t="s">
        <v>79</v>
      </c>
      <c r="D33" s="730"/>
      <c r="O33" s="740"/>
      <c r="P33" s="741"/>
      <c r="Q33" s="741"/>
    </row>
    <row r="34" spans="1:17" s="747" customFormat="1" ht="234" customHeight="1">
      <c r="A34" s="742" t="s">
        <v>506</v>
      </c>
      <c r="B34" s="742" t="s">
        <v>507</v>
      </c>
      <c r="C34" s="742" t="s">
        <v>508</v>
      </c>
      <c r="D34" s="742" t="s">
        <v>549</v>
      </c>
      <c r="E34" s="743" t="s">
        <v>510</v>
      </c>
      <c r="F34" s="744" t="s">
        <v>511</v>
      </c>
      <c r="G34" s="744" t="s">
        <v>512</v>
      </c>
      <c r="H34" s="744" t="s">
        <v>513</v>
      </c>
      <c r="I34" s="744" t="s">
        <v>514</v>
      </c>
      <c r="J34" s="745" t="s">
        <v>515</v>
      </c>
      <c r="K34" s="745" t="s">
        <v>165</v>
      </c>
      <c r="L34" s="745" t="s">
        <v>167</v>
      </c>
      <c r="M34" s="746" t="s">
        <v>516</v>
      </c>
      <c r="N34" s="742" t="s">
        <v>517</v>
      </c>
      <c r="O34" s="742" t="s">
        <v>518</v>
      </c>
    </row>
    <row r="35" spans="1:17" ht="48.75" customHeight="1">
      <c r="A35" s="908" t="s">
        <v>550</v>
      </c>
      <c r="B35" s="748"/>
      <c r="C35" s="748"/>
      <c r="D35" s="748"/>
      <c r="E35" s="749"/>
      <c r="F35" s="750"/>
      <c r="G35" s="750"/>
      <c r="H35" s="750"/>
      <c r="I35" s="750"/>
      <c r="J35" s="751"/>
      <c r="K35" s="751"/>
      <c r="L35" s="751"/>
      <c r="M35" s="752"/>
      <c r="N35" s="753"/>
      <c r="O35" s="753"/>
    </row>
    <row r="36" spans="1:17" ht="48.75" customHeight="1">
      <c r="A36" s="737"/>
      <c r="B36" s="738"/>
      <c r="C36" s="738"/>
      <c r="D36" s="738"/>
      <c r="E36" s="754"/>
      <c r="F36" s="755"/>
      <c r="G36" s="755"/>
      <c r="H36" s="755"/>
      <c r="I36" s="755"/>
      <c r="J36" s="756"/>
      <c r="K36" s="756"/>
      <c r="L36" s="756"/>
      <c r="N36" s="757"/>
      <c r="O36" s="757"/>
    </row>
    <row r="37" spans="1:17" ht="37.5" customHeight="1">
      <c r="A37" s="737"/>
      <c r="B37" s="738"/>
      <c r="C37" s="738"/>
      <c r="D37" s="738"/>
      <c r="E37" s="754"/>
      <c r="F37" s="755"/>
      <c r="G37" s="755"/>
      <c r="H37" s="755"/>
      <c r="I37" s="755"/>
      <c r="J37" s="756"/>
      <c r="K37" s="756"/>
      <c r="L37" s="756"/>
      <c r="N37" s="757"/>
      <c r="O37" s="757"/>
    </row>
    <row r="38" spans="1:17">
      <c r="A38" s="730" t="s">
        <v>81</v>
      </c>
      <c r="D38" s="738"/>
      <c r="E38" s="758"/>
    </row>
    <row r="39" spans="1:17" s="747" customFormat="1" ht="369" customHeight="1" thickBot="1">
      <c r="A39" s="742" t="s">
        <v>551</v>
      </c>
      <c r="B39" s="742" t="s">
        <v>552</v>
      </c>
      <c r="C39" s="742" t="s">
        <v>528</v>
      </c>
      <c r="D39" s="742" t="s">
        <v>553</v>
      </c>
      <c r="E39" s="743" t="s">
        <v>510</v>
      </c>
      <c r="F39" s="744" t="s">
        <v>511</v>
      </c>
      <c r="G39" s="744" t="s">
        <v>512</v>
      </c>
      <c r="H39" s="744" t="s">
        <v>513</v>
      </c>
      <c r="I39" s="744" t="s">
        <v>514</v>
      </c>
      <c r="J39" s="745" t="s">
        <v>515</v>
      </c>
      <c r="K39" s="745" t="s">
        <v>165</v>
      </c>
      <c r="L39" s="745" t="s">
        <v>167</v>
      </c>
      <c r="M39" s="746" t="s">
        <v>554</v>
      </c>
      <c r="N39" s="742" t="s">
        <v>517</v>
      </c>
      <c r="O39" s="742" t="s">
        <v>555</v>
      </c>
    </row>
    <row r="40" spans="1:17" ht="57.75" customHeight="1">
      <c r="A40" s="768" t="s">
        <v>556</v>
      </c>
      <c r="B40" s="769" t="s">
        <v>520</v>
      </c>
      <c r="C40" s="769" t="s">
        <v>528</v>
      </c>
      <c r="D40" s="723" t="s">
        <v>557</v>
      </c>
      <c r="E40" s="770">
        <f>1-(K40/J40)</f>
        <v>0.55243660568891761</v>
      </c>
      <c r="F40" s="725">
        <v>0.85</v>
      </c>
      <c r="G40" s="725">
        <v>0</v>
      </c>
      <c r="H40" s="759" t="s">
        <v>523</v>
      </c>
      <c r="I40" s="759" t="s">
        <v>523</v>
      </c>
      <c r="J40" s="751">
        <f>VLOOKUP(LEFT($D40,SEARCH("-",D40)-2),'4 Program Budget'!$B$7:$AG$130,MATCH("2021 Authorized Budget",'4 Program Budget'!$B$6:$AG$6,0),FALSE)</f>
        <v>1971872.8441999997</v>
      </c>
      <c r="K40" s="751">
        <f>VLOOKUP(LEFT($D40,SEARCH("-",D40)-2),'4 Program Budget'!$B$7:$AG$130,MATCH("2022 PA Spending Budget Request",'4 Program Budget'!$B$6:$AG$6,0),FALSE)</f>
        <v>882538.10329999996</v>
      </c>
      <c r="L40" s="751">
        <f>VLOOKUP(LEFT($D40,SEARCH("-",D40)-2),'4 Program Budget'!$B$7:$AG$130,MATCH("2023 PA Spending Budget Request",'4 Program Budget'!$B$6:$AG$6,0),FALSE)</f>
        <v>0</v>
      </c>
      <c r="M40" s="775">
        <v>2009</v>
      </c>
      <c r="N40" s="773" t="s">
        <v>533</v>
      </c>
      <c r="O40" s="773" t="s">
        <v>533</v>
      </c>
    </row>
    <row r="41" spans="1:17" ht="57.75" customHeight="1">
      <c r="A41" s="771" t="s">
        <v>558</v>
      </c>
      <c r="B41" s="769" t="s">
        <v>520</v>
      </c>
      <c r="C41" s="769" t="s">
        <v>528</v>
      </c>
      <c r="D41" s="723" t="s">
        <v>559</v>
      </c>
      <c r="E41" s="770">
        <f t="shared" ref="E41:E47" si="0">1-(K41/J41)</f>
        <v>0.56262970394541378</v>
      </c>
      <c r="F41" s="727">
        <v>1.1599999999999999</v>
      </c>
      <c r="G41" s="727">
        <v>0</v>
      </c>
      <c r="H41" s="759" t="s">
        <v>523</v>
      </c>
      <c r="I41" s="759" t="s">
        <v>523</v>
      </c>
      <c r="J41" s="751">
        <f>VLOOKUP(LEFT($D41,SEARCH("-",D41)-2),'4 Program Budget'!$B$7:$AG$130,MATCH("2021 Authorized Budget",'4 Program Budget'!$B$6:$AG$6,0),FALSE)</f>
        <v>2417258.5325000002</v>
      </c>
      <c r="K41" s="751">
        <f>VLOOKUP(LEFT($D41,SEARCH("-",D41)-2),'4 Program Budget'!$B$7:$AG$130,MATCH("2022 PA Spending Budget Request",'4 Program Budget'!$B$6:$AG$6,0),FALSE)</f>
        <v>1057237.0799999998</v>
      </c>
      <c r="L41" s="751">
        <f>VLOOKUP(LEFT($D41,SEARCH("-",D41)-2),'4 Program Budget'!$B$7:$AG$130,MATCH("2023 PA Spending Budget Request",'4 Program Budget'!$B$6:$AG$6,0),FALSE)</f>
        <v>710267.15480000002</v>
      </c>
      <c r="M41" s="752">
        <v>1996</v>
      </c>
      <c r="N41" s="773" t="s">
        <v>560</v>
      </c>
      <c r="O41" s="773" t="s">
        <v>561</v>
      </c>
    </row>
    <row r="42" spans="1:17" ht="57.75" customHeight="1">
      <c r="A42" s="771" t="s">
        <v>556</v>
      </c>
      <c r="B42" s="769" t="s">
        <v>520</v>
      </c>
      <c r="C42" s="769" t="s">
        <v>528</v>
      </c>
      <c r="D42" s="723" t="s">
        <v>562</v>
      </c>
      <c r="E42" s="770">
        <f t="shared" si="0"/>
        <v>0.64281511957434156</v>
      </c>
      <c r="F42" s="725">
        <v>0.63</v>
      </c>
      <c r="G42" s="725">
        <v>0.06</v>
      </c>
      <c r="H42" s="759" t="s">
        <v>523</v>
      </c>
      <c r="I42" s="759" t="s">
        <v>523</v>
      </c>
      <c r="J42" s="751">
        <f>VLOOKUP(LEFT($D42,SEARCH("-",D42)-2),'4 Program Budget'!$B$7:$AG$130,MATCH("2021 Authorized Budget",'4 Program Budget'!$B$6:$AG$6,0),FALSE)</f>
        <v>695836.20030000003</v>
      </c>
      <c r="K42" s="751">
        <f>VLOOKUP(LEFT($D42,SEARCH("-",D42)-2),'4 Program Budget'!$B$7:$AG$130,MATCH("2022 PA Spending Budget Request",'4 Program Budget'!$B$6:$AG$6,0),FALSE)</f>
        <v>248542.17</v>
      </c>
      <c r="L42" s="751">
        <f>VLOOKUP(LEFT($D42,SEARCH("-",D42)-2),'4 Program Budget'!$B$7:$AG$130,MATCH("2023 PA Spending Budget Request",'4 Program Budget'!$B$6:$AG$6,0),FALSE)</f>
        <v>0</v>
      </c>
      <c r="M42" s="775">
        <v>2009</v>
      </c>
      <c r="N42" s="773" t="s">
        <v>533</v>
      </c>
      <c r="O42" s="773" t="s">
        <v>533</v>
      </c>
    </row>
    <row r="43" spans="1:17" ht="57.75" customHeight="1">
      <c r="A43" s="771" t="s">
        <v>556</v>
      </c>
      <c r="B43" s="769" t="s">
        <v>520</v>
      </c>
      <c r="C43" s="769" t="s">
        <v>528</v>
      </c>
      <c r="D43" s="723" t="s">
        <v>563</v>
      </c>
      <c r="E43" s="770">
        <f t="shared" si="0"/>
        <v>0.6692815291078511</v>
      </c>
      <c r="F43" s="725">
        <v>0.31</v>
      </c>
      <c r="G43" s="725">
        <v>0.04</v>
      </c>
      <c r="H43" s="759" t="s">
        <v>523</v>
      </c>
      <c r="I43" s="759" t="s">
        <v>523</v>
      </c>
      <c r="J43" s="751">
        <f>VLOOKUP(LEFT($D43,SEARCH("-",D43)-2),'4 Program Budget'!$B$7:$AG$130,MATCH("2021 Authorized Budget",'4 Program Budget'!$B$6:$AG$6,0),FALSE)</f>
        <v>2243209.8177</v>
      </c>
      <c r="K43" s="751">
        <f>VLOOKUP(LEFT($D43,SEARCH("-",D43)-2),'4 Program Budget'!$B$7:$AG$130,MATCH("2022 PA Spending Budget Request",'4 Program Budget'!$B$6:$AG$6,0),FALSE)</f>
        <v>741870.92079999996</v>
      </c>
      <c r="L43" s="751">
        <f>VLOOKUP(LEFT($D43,SEARCH("-",D43)-2),'4 Program Budget'!$B$7:$AG$130,MATCH("2023 PA Spending Budget Request",'4 Program Budget'!$B$6:$AG$6,0),FALSE)</f>
        <v>0</v>
      </c>
      <c r="M43" s="775">
        <v>2009</v>
      </c>
      <c r="N43" s="773">
        <v>44918</v>
      </c>
      <c r="O43" s="773">
        <v>44918</v>
      </c>
    </row>
    <row r="44" spans="1:17" ht="57.75" customHeight="1">
      <c r="A44" s="771" t="s">
        <v>564</v>
      </c>
      <c r="B44" s="769" t="s">
        <v>520</v>
      </c>
      <c r="C44" s="769" t="s">
        <v>528</v>
      </c>
      <c r="D44" s="723" t="s">
        <v>565</v>
      </c>
      <c r="E44" s="770">
        <f t="shared" si="0"/>
        <v>0.7064947653306759</v>
      </c>
      <c r="F44" s="727">
        <v>0</v>
      </c>
      <c r="G44" s="727">
        <v>0</v>
      </c>
      <c r="H44" s="759" t="s">
        <v>523</v>
      </c>
      <c r="I44" s="759" t="s">
        <v>523</v>
      </c>
      <c r="J44" s="751">
        <f>VLOOKUP(LEFT($D44,SEARCH("-",D44)-2),'4 Program Budget'!$B$7:$AG$130,MATCH("2021 Authorized Budget",'4 Program Budget'!$B$6:$AG$6,0),FALSE)</f>
        <v>450075.23</v>
      </c>
      <c r="K44" s="751">
        <f>VLOOKUP(LEFT($D44,SEARCH("-",D44)-2),'4 Program Budget'!$B$7:$AG$130,MATCH("2022 PA Spending Budget Request",'4 Program Budget'!$B$6:$AG$6,0),FALSE)</f>
        <v>132099.43599999999</v>
      </c>
      <c r="L44" s="751">
        <f>VLOOKUP(LEFT($D44,SEARCH("-",D44)-2),'4 Program Budget'!$B$7:$AG$130,MATCH("2023 PA Spending Budget Request",'4 Program Budget'!$B$6:$AG$6,0),FALSE)</f>
        <v>108911.23999999999</v>
      </c>
      <c r="M44" s="775">
        <v>2009</v>
      </c>
      <c r="N44" s="773" t="s">
        <v>523</v>
      </c>
      <c r="O44" s="773" t="s">
        <v>523</v>
      </c>
    </row>
    <row r="45" spans="1:17" ht="57.75" customHeight="1">
      <c r="A45" s="771" t="s">
        <v>564</v>
      </c>
      <c r="B45" s="769" t="s">
        <v>520</v>
      </c>
      <c r="C45" s="769" t="s">
        <v>528</v>
      </c>
      <c r="D45" s="723" t="s">
        <v>566</v>
      </c>
      <c r="E45" s="770">
        <f t="shared" si="0"/>
        <v>0.42049850069058226</v>
      </c>
      <c r="F45" s="727">
        <v>0</v>
      </c>
      <c r="G45" s="727">
        <v>0</v>
      </c>
      <c r="H45" s="759" t="s">
        <v>523</v>
      </c>
      <c r="I45" s="759" t="s">
        <v>523</v>
      </c>
      <c r="J45" s="751">
        <f>VLOOKUP(LEFT($D45,SEARCH("-",D45)-2),'4 Program Budget'!$B$7:$AG$130,MATCH("2021 Authorized Budget",'4 Program Budget'!$B$6:$AG$6,0),FALSE)</f>
        <v>245647.22639999999</v>
      </c>
      <c r="K45" s="751">
        <f>VLOOKUP(LEFT($D45,SEARCH("-",D45)-2),'4 Program Budget'!$B$7:$AG$130,MATCH("2022 PA Spending Budget Request",'4 Program Budget'!$B$6:$AG$6,0),FALSE)</f>
        <v>142352.93599999999</v>
      </c>
      <c r="L45" s="751">
        <f>VLOOKUP(LEFT($D45,SEARCH("-",D45)-2),'4 Program Budget'!$B$7:$AG$130,MATCH("2023 PA Spending Budget Request",'4 Program Budget'!$B$6:$AG$6,0),FALSE)</f>
        <v>129636.69</v>
      </c>
      <c r="M45" s="775">
        <v>2009</v>
      </c>
      <c r="N45" s="773" t="s">
        <v>523</v>
      </c>
      <c r="O45" s="773" t="s">
        <v>523</v>
      </c>
    </row>
    <row r="46" spans="1:17" ht="57.75" customHeight="1">
      <c r="A46" s="771" t="s">
        <v>567</v>
      </c>
      <c r="B46" s="769" t="s">
        <v>520</v>
      </c>
      <c r="C46" s="769" t="s">
        <v>521</v>
      </c>
      <c r="D46" s="723" t="s">
        <v>568</v>
      </c>
      <c r="E46" s="770">
        <f t="shared" si="0"/>
        <v>0.46898071656006179</v>
      </c>
      <c r="F46" s="727">
        <v>0.38</v>
      </c>
      <c r="G46" s="727">
        <v>0</v>
      </c>
      <c r="H46" s="759" t="s">
        <v>523</v>
      </c>
      <c r="I46" s="759" t="s">
        <v>523</v>
      </c>
      <c r="J46" s="751">
        <f>VLOOKUP(LEFT($D46,SEARCH("-",D46)-2),'4 Program Budget'!$B$7:$AG$130,MATCH("2021 Authorized Budget",'4 Program Budget'!$B$6:$AG$6,0),FALSE)</f>
        <v>897608.26935000008</v>
      </c>
      <c r="K46" s="751">
        <f>VLOOKUP(LEFT($D46,SEARCH("-",D46)-2),'4 Program Budget'!$B$7:$AG$130,MATCH("2022 PA Spending Budget Request",'4 Program Budget'!$B$6:$AG$6,0),FALSE)</f>
        <v>476647.30000000005</v>
      </c>
      <c r="L46" s="751">
        <f>VLOOKUP(LEFT($D46,SEARCH("-",D46)-2),'4 Program Budget'!$B$7:$AG$130,MATCH("2023 PA Spending Budget Request",'4 Program Budget'!$B$6:$AG$6,0),FALSE)</f>
        <v>461141.42199999996</v>
      </c>
      <c r="M46" s="752">
        <v>2015</v>
      </c>
      <c r="N46" s="773" t="s">
        <v>561</v>
      </c>
      <c r="O46" s="773" t="s">
        <v>561</v>
      </c>
    </row>
    <row r="47" spans="1:17" ht="57.75" customHeight="1" thickBot="1">
      <c r="A47" s="772" t="s">
        <v>569</v>
      </c>
      <c r="B47" s="769" t="s">
        <v>520</v>
      </c>
      <c r="C47" s="769" t="s">
        <v>521</v>
      </c>
      <c r="D47" s="723" t="s">
        <v>570</v>
      </c>
      <c r="E47" s="770">
        <f t="shared" si="0"/>
        <v>0.79090167236148234</v>
      </c>
      <c r="F47" s="727" t="s">
        <v>523</v>
      </c>
      <c r="G47" s="727" t="s">
        <v>523</v>
      </c>
      <c r="H47" s="759" t="s">
        <v>523</v>
      </c>
      <c r="I47" s="759" t="s">
        <v>523</v>
      </c>
      <c r="J47" s="751">
        <f>VLOOKUP(LEFT($D47,SEARCH("-",D47)-2),'4 Program Budget'!$B$7:$AG$130,MATCH("2021 Authorized Budget",'4 Program Budget'!$B$6:$AG$6,0),FALSE)</f>
        <v>1793414.6305</v>
      </c>
      <c r="K47" s="751">
        <f>VLOOKUP(LEFT($D47,SEARCH("-",D47)-2),'4 Program Budget'!$B$7:$AG$130,MATCH("2022 PA Spending Budget Request",'4 Program Budget'!$B$6:$AG$6,0),FALSE)</f>
        <v>375000</v>
      </c>
      <c r="L47" s="751">
        <f>VLOOKUP(LEFT($D47,SEARCH("-",D47)-2),'4 Program Budget'!$B$7:$AG$130,MATCH("2023 PA Spending Budget Request",'4 Program Budget'!$B$6:$AG$6,0),FALSE)</f>
        <v>1500000</v>
      </c>
      <c r="M47" s="752" t="s">
        <v>523</v>
      </c>
      <c r="N47" s="773" t="s">
        <v>523</v>
      </c>
      <c r="O47" s="773" t="s">
        <v>523</v>
      </c>
    </row>
    <row r="48" spans="1:17" ht="31.5">
      <c r="A48" s="771" t="s">
        <v>564</v>
      </c>
      <c r="B48" s="769" t="s">
        <v>520</v>
      </c>
      <c r="C48" s="769" t="s">
        <v>528</v>
      </c>
      <c r="D48" s="723" t="s">
        <v>571</v>
      </c>
      <c r="E48" s="770">
        <f>1-(L48/K48)</f>
        <v>0.7704936362528082</v>
      </c>
      <c r="F48" s="727">
        <v>0</v>
      </c>
      <c r="G48" s="727">
        <v>0</v>
      </c>
      <c r="H48" s="759" t="s">
        <v>523</v>
      </c>
      <c r="I48" s="759" t="s">
        <v>523</v>
      </c>
      <c r="J48" s="849">
        <f>VLOOKUP(LEFT($D48,SEARCH("-",D48)-2),'4 Program Budget'!$B$7:$AG$130,MATCH("2021 Authorized Budget",'4 Program Budget'!$B$6:$AG$6,0),FALSE)</f>
        <v>718528.48960000009</v>
      </c>
      <c r="K48" s="849">
        <f>VLOOKUP(LEFT($D48,SEARCH("-",D48)-2),'4 Program Budget'!$B$7:$AG$130,MATCH("2022 PA Spending Budget Request",'4 Program Budget'!$B$6:$AG$6,0),FALSE)</f>
        <v>849784.38599999994</v>
      </c>
      <c r="L48" s="849">
        <f>VLOOKUP(LEFT($D48,SEARCH("-",D48)-2),'4 Program Budget'!$B$7:$AG$130,MATCH("2023 PA Spending Budget Request",'4 Program Budget'!$B$6:$AG$6,0),FALSE)</f>
        <v>195030.92440000002</v>
      </c>
      <c r="M48" s="775">
        <v>2009</v>
      </c>
      <c r="N48" s="773" t="s">
        <v>523</v>
      </c>
      <c r="O48" s="773" t="s">
        <v>523</v>
      </c>
    </row>
    <row r="49" spans="1:15">
      <c r="A49" s="730" t="s">
        <v>84</v>
      </c>
      <c r="D49" s="738"/>
      <c r="E49" s="758"/>
    </row>
    <row r="50" spans="1:15" s="747" customFormat="1" ht="369" customHeight="1">
      <c r="A50" s="742" t="s">
        <v>551</v>
      </c>
      <c r="B50" s="742" t="s">
        <v>552</v>
      </c>
      <c r="C50" s="742" t="s">
        <v>528</v>
      </c>
      <c r="D50" s="742" t="s">
        <v>84</v>
      </c>
      <c r="E50" s="743" t="s">
        <v>510</v>
      </c>
      <c r="F50" s="744" t="s">
        <v>511</v>
      </c>
      <c r="G50" s="744" t="s">
        <v>512</v>
      </c>
      <c r="H50" s="744" t="s">
        <v>513</v>
      </c>
      <c r="I50" s="744" t="s">
        <v>514</v>
      </c>
      <c r="J50" s="745" t="s">
        <v>515</v>
      </c>
      <c r="K50" s="745" t="s">
        <v>165</v>
      </c>
      <c r="L50" s="745" t="s">
        <v>167</v>
      </c>
      <c r="M50" s="746" t="s">
        <v>554</v>
      </c>
      <c r="N50" s="742" t="s">
        <v>517</v>
      </c>
      <c r="O50" s="742" t="s">
        <v>555</v>
      </c>
    </row>
    <row r="51" spans="1:15" ht="31.5">
      <c r="A51" s="774" t="s">
        <v>572</v>
      </c>
      <c r="B51" s="769" t="s">
        <v>573</v>
      </c>
      <c r="C51" s="769" t="s">
        <v>528</v>
      </c>
      <c r="D51" s="723" t="s">
        <v>574</v>
      </c>
      <c r="E51" s="770">
        <f t="shared" ref="E51:E56" si="1">1-(K51/J51)</f>
        <v>-0.42859350957175923</v>
      </c>
      <c r="F51" s="727" t="s">
        <v>523</v>
      </c>
      <c r="G51" s="727">
        <v>0</v>
      </c>
      <c r="H51" s="759" t="s">
        <v>523</v>
      </c>
      <c r="I51" s="759" t="s">
        <v>523</v>
      </c>
      <c r="J51" s="849">
        <f>VLOOKUP(LEFT($D51,SEARCH("-",D51)-2),'4 Program Budget'!$B$7:$AG$130,MATCH("2021 Authorized Budget",'4 Program Budget'!$B$6:$AG$6,0),FALSE)</f>
        <v>778406.76340000005</v>
      </c>
      <c r="K51" s="849">
        <f>VLOOKUP(LEFT($D51,SEARCH("-",D51)-2),'4 Program Budget'!$B$7:$AG$130,MATCH("2022 PA Spending Budget Request",'4 Program Budget'!$B$6:$AG$6,0),FALSE)</f>
        <v>1112026.8500000001</v>
      </c>
      <c r="L51" s="849">
        <f>VLOOKUP(LEFT($D51,SEARCH("-",D51)-2),'4 Program Budget'!$B$7:$AG$130,MATCH("2023 PA Spending Budget Request",'4 Program Budget'!$B$6:$AG$6,0),FALSE)</f>
        <v>1093888.8772</v>
      </c>
      <c r="M51" s="775">
        <v>2021</v>
      </c>
      <c r="N51" s="773" t="s">
        <v>523</v>
      </c>
      <c r="O51" s="773" t="s">
        <v>523</v>
      </c>
    </row>
    <row r="52" spans="1:15" ht="31.5">
      <c r="A52" s="774" t="s">
        <v>575</v>
      </c>
      <c r="B52" s="769" t="s">
        <v>573</v>
      </c>
      <c r="C52" s="769" t="s">
        <v>528</v>
      </c>
      <c r="D52" s="723" t="s">
        <v>576</v>
      </c>
      <c r="E52" s="770">
        <f t="shared" si="1"/>
        <v>-1.0324124850357066</v>
      </c>
      <c r="F52" s="727" t="s">
        <v>523</v>
      </c>
      <c r="G52" s="727" t="s">
        <v>523</v>
      </c>
      <c r="H52" s="759" t="s">
        <v>523</v>
      </c>
      <c r="I52" s="759" t="s">
        <v>523</v>
      </c>
      <c r="J52" s="849">
        <f>VLOOKUP(LEFT($D52,SEARCH("-",D52)-2),'4 Program Budget'!$B$7:$AG$130,MATCH("2021 Authorized Budget",'4 Program Budget'!$B$6:$AG$6,0),FALSE)</f>
        <v>1012100.91</v>
      </c>
      <c r="K52" s="849">
        <f>VLOOKUP(LEFT($D52,SEARCH("-",D52)-2),'4 Program Budget'!$B$7:$AG$130,MATCH("2022 PA Spending Budget Request",'4 Program Budget'!$B$6:$AG$6,0),FALSE)</f>
        <v>2057006.5256000001</v>
      </c>
      <c r="L52" s="849">
        <f>VLOOKUP(LEFT($D52,SEARCH("-",D52)-2),'4 Program Budget'!$B$7:$AG$130,MATCH("2023 PA Spending Budget Request",'4 Program Budget'!$B$6:$AG$6,0),FALSE)</f>
        <v>2130524.5719999997</v>
      </c>
      <c r="M52" s="775">
        <v>2021</v>
      </c>
      <c r="N52" s="773" t="s">
        <v>523</v>
      </c>
      <c r="O52" s="773" t="s">
        <v>523</v>
      </c>
    </row>
    <row r="53" spans="1:15" ht="31.5">
      <c r="A53" s="774" t="s">
        <v>575</v>
      </c>
      <c r="B53" s="769" t="s">
        <v>573</v>
      </c>
      <c r="C53" s="769" t="s">
        <v>528</v>
      </c>
      <c r="D53" s="723" t="s">
        <v>577</v>
      </c>
      <c r="E53" s="770">
        <f t="shared" si="1"/>
        <v>-0.54099829466529803</v>
      </c>
      <c r="F53" s="727" t="s">
        <v>523</v>
      </c>
      <c r="G53" s="727" t="s">
        <v>523</v>
      </c>
      <c r="H53" s="759" t="s">
        <v>523</v>
      </c>
      <c r="I53" s="759" t="s">
        <v>523</v>
      </c>
      <c r="J53" s="849">
        <f>VLOOKUP(LEFT($D53,SEARCH("-",D53)-2),'4 Program Budget'!$B$7:$AG$130,MATCH("2021 Authorized Budget",'4 Program Budget'!$B$6:$AG$6,0),FALSE)</f>
        <v>886465.1017</v>
      </c>
      <c r="K53" s="849">
        <f>VLOOKUP(LEFT($D53,SEARCH("-",D53)-2),'4 Program Budget'!$B$7:$AG$130,MATCH("2022 PA Spending Budget Request",'4 Program Budget'!$B$6:$AG$6,0),FALSE)</f>
        <v>1366041.21</v>
      </c>
      <c r="L53" s="849">
        <f>VLOOKUP(LEFT($D53,SEARCH("-",D53)-2),'4 Program Budget'!$B$7:$AG$130,MATCH("2023 PA Spending Budget Request",'4 Program Budget'!$B$6:$AG$6,0),FALSE)</f>
        <v>1481970.014</v>
      </c>
      <c r="M53" s="775">
        <v>2021</v>
      </c>
      <c r="N53" s="773" t="s">
        <v>523</v>
      </c>
      <c r="O53" s="773" t="s">
        <v>523</v>
      </c>
    </row>
    <row r="54" spans="1:15" ht="63">
      <c r="A54" s="774" t="s">
        <v>578</v>
      </c>
      <c r="B54" s="769" t="s">
        <v>520</v>
      </c>
      <c r="C54" s="769" t="s">
        <v>528</v>
      </c>
      <c r="D54" s="723" t="s">
        <v>579</v>
      </c>
      <c r="E54" s="770">
        <f t="shared" si="1"/>
        <v>-0.40795298404403102</v>
      </c>
      <c r="F54" s="727" t="s">
        <v>523</v>
      </c>
      <c r="G54" s="727" t="s">
        <v>523</v>
      </c>
      <c r="H54" s="759" t="s">
        <v>523</v>
      </c>
      <c r="I54" s="759" t="s">
        <v>523</v>
      </c>
      <c r="J54" s="849">
        <f>VLOOKUP(LEFT($D54,SEARCH("-",D54)-2),'4 Program Budget'!$B$7:$AG$130,MATCH("2021 Authorized Budget",'4 Program Budget'!$B$6:$AG$6,0),FALSE)</f>
        <v>510522.44510000001</v>
      </c>
      <c r="K54" s="849">
        <f>VLOOKUP(LEFT($D54,SEARCH("-",D54)-2),'4 Program Budget'!$B$7:$AG$130,MATCH("2022 PA Spending Budget Request",'4 Program Budget'!$B$6:$AG$6,0),FALSE)</f>
        <v>718791.6</v>
      </c>
      <c r="L54" s="849">
        <f>VLOOKUP(LEFT($D54,SEARCH("-",D54)-2),'4 Program Budget'!$B$7:$AG$130,MATCH("2023 PA Spending Budget Request",'4 Program Budget'!$B$6:$AG$6,0),FALSE)</f>
        <v>874353.63359999994</v>
      </c>
      <c r="M54" s="775"/>
      <c r="N54" s="773" t="s">
        <v>523</v>
      </c>
      <c r="O54" s="773" t="s">
        <v>523</v>
      </c>
    </row>
    <row r="55" spans="1:15" ht="31.5">
      <c r="A55" s="774" t="s">
        <v>575</v>
      </c>
      <c r="B55" s="769" t="s">
        <v>573</v>
      </c>
      <c r="C55" s="769" t="s">
        <v>521</v>
      </c>
      <c r="D55" s="723" t="s">
        <v>580</v>
      </c>
      <c r="E55" s="770">
        <f t="shared" si="1"/>
        <v>-2.7443222678887045</v>
      </c>
      <c r="F55" s="727" t="s">
        <v>523</v>
      </c>
      <c r="G55" s="727" t="s">
        <v>523</v>
      </c>
      <c r="H55" s="759" t="s">
        <v>523</v>
      </c>
      <c r="I55" s="759" t="s">
        <v>523</v>
      </c>
      <c r="J55" s="849">
        <f>VLOOKUP(LEFT($D55,SEARCH("-",D55)-2),'4 Program Budget'!$B$7:$AG$130,MATCH("2021 Authorized Budget",'4 Program Budget'!$B$6:$AG$6,0),FALSE)</f>
        <v>764849.35620000004</v>
      </c>
      <c r="K55" s="849">
        <f>VLOOKUP(LEFT($D55,SEARCH("-",D55)-2),'4 Program Budget'!$B$7:$AG$130,MATCH("2022 PA Spending Budget Request",'4 Program Budget'!$B$6:$AG$6,0),FALSE)</f>
        <v>2863842.4759999998</v>
      </c>
      <c r="L55" s="849">
        <f>VLOOKUP(LEFT($D55,SEARCH("-",D55)-2),'4 Program Budget'!$B$7:$AG$130,MATCH("2023 PA Spending Budget Request",'4 Program Budget'!$B$6:$AG$6,0),FALSE)</f>
        <v>1490796.9808</v>
      </c>
      <c r="M55" s="775">
        <v>2021</v>
      </c>
      <c r="N55" s="773" t="s">
        <v>523</v>
      </c>
      <c r="O55" s="773" t="s">
        <v>523</v>
      </c>
    </row>
    <row r="56" spans="1:15" ht="31.5">
      <c r="A56" s="774" t="s">
        <v>575</v>
      </c>
      <c r="B56" s="769" t="s">
        <v>573</v>
      </c>
      <c r="C56" s="769" t="s">
        <v>521</v>
      </c>
      <c r="D56" s="723" t="s">
        <v>581</v>
      </c>
      <c r="E56" s="770">
        <f t="shared" si="1"/>
        <v>-3.4512033921567431</v>
      </c>
      <c r="F56" s="727" t="s">
        <v>523</v>
      </c>
      <c r="G56" s="727" t="s">
        <v>523</v>
      </c>
      <c r="H56" s="759" t="s">
        <v>523</v>
      </c>
      <c r="I56" s="759" t="s">
        <v>523</v>
      </c>
      <c r="J56" s="849">
        <f>VLOOKUP(LEFT($D56,SEARCH("-",D56)-2),'4 Program Budget'!$B$7:$AG$130,MATCH("2021 Authorized Budget",'4 Program Budget'!$B$6:$AG$6,0),FALSE)</f>
        <v>1235329.0959000001</v>
      </c>
      <c r="K56" s="849">
        <f>VLOOKUP(LEFT($D56,SEARCH("-",D56)-2),'4 Program Budget'!$B$7:$AG$130,MATCH("2022 PA Spending Budget Request",'4 Program Budget'!$B$6:$AG$6,0),FALSE)</f>
        <v>5498701.0621000025</v>
      </c>
      <c r="L56" s="849">
        <f>VLOOKUP(LEFT($D56,SEARCH("-",D56)-2),'4 Program Budget'!$B$7:$AG$130,MATCH("2023 PA Spending Budget Request",'4 Program Budget'!$B$6:$AG$6,0),FALSE)</f>
        <v>5498701.0621000063</v>
      </c>
      <c r="M56" s="775">
        <v>2021</v>
      </c>
      <c r="N56" s="773" t="s">
        <v>523</v>
      </c>
      <c r="O56" s="773" t="s">
        <v>523</v>
      </c>
    </row>
    <row r="57" spans="1:15" ht="63">
      <c r="A57" s="774" t="s">
        <v>582</v>
      </c>
      <c r="B57" s="769" t="s">
        <v>520</v>
      </c>
      <c r="C57" s="769" t="s">
        <v>528</v>
      </c>
      <c r="D57" s="723" t="s">
        <v>583</v>
      </c>
      <c r="E57" s="770">
        <f t="shared" ref="E57:E59" si="2">1-(L57/K57)</f>
        <v>-0.55718179374112742</v>
      </c>
      <c r="F57" s="727" t="s">
        <v>523</v>
      </c>
      <c r="G57" s="727">
        <v>0</v>
      </c>
      <c r="H57" s="759" t="s">
        <v>523</v>
      </c>
      <c r="I57" s="759" t="s">
        <v>523</v>
      </c>
      <c r="J57" s="849">
        <f>VLOOKUP(LEFT($D57,SEARCH("-",D57)-2),'4 Program Budget'!$B$7:$AG$130,MATCH("2021 Authorized Budget",'4 Program Budget'!$B$6:$AG$6,0),FALSE)</f>
        <v>50406.660799999998</v>
      </c>
      <c r="K57" s="849">
        <f>VLOOKUP(LEFT($D57,SEARCH("-",D57)-2),'4 Program Budget'!$B$7:$AG$130,MATCH("2022 PA Spending Budget Request",'4 Program Budget'!$B$6:$AG$6,0),FALSE)</f>
        <v>39799.5</v>
      </c>
      <c r="L57" s="849">
        <f>VLOOKUP(LEFT($D57,SEARCH("-",D57)-2),'4 Program Budget'!$B$7:$AG$130,MATCH("2023 PA Spending Budget Request",'4 Program Budget'!$B$6:$AG$6,0),FALSE)</f>
        <v>61975.056799999998</v>
      </c>
      <c r="M57" s="775">
        <v>2021</v>
      </c>
      <c r="N57" s="765" t="s">
        <v>523</v>
      </c>
      <c r="O57" s="765" t="s">
        <v>523</v>
      </c>
    </row>
    <row r="58" spans="1:15" ht="63">
      <c r="A58" s="774" t="s">
        <v>584</v>
      </c>
      <c r="B58" s="769" t="s">
        <v>520</v>
      </c>
      <c r="C58" s="769" t="s">
        <v>528</v>
      </c>
      <c r="D58" s="723" t="s">
        <v>585</v>
      </c>
      <c r="E58" s="770">
        <f t="shared" si="2"/>
        <v>-0.56000555355291071</v>
      </c>
      <c r="F58" s="727" t="s">
        <v>523</v>
      </c>
      <c r="G58" s="727">
        <v>0</v>
      </c>
      <c r="H58" s="759" t="s">
        <v>523</v>
      </c>
      <c r="I58" s="759" t="s">
        <v>523</v>
      </c>
      <c r="J58" s="849">
        <f>VLOOKUP(LEFT($D58,SEARCH("-",D58)-2),'4 Program Budget'!$B$7:$AG$130,MATCH("2021 Authorized Budget",'4 Program Budget'!$B$6:$AG$6,0),FALSE)</f>
        <v>48984.777800000003</v>
      </c>
      <c r="K58" s="849">
        <f>VLOOKUP(LEFT($D58,SEARCH("-",D58)-2),'4 Program Budget'!$B$7:$AG$130,MATCH("2022 PA Spending Budget Request",'4 Program Budget'!$B$6:$AG$6,0),FALSE)</f>
        <v>39614.28</v>
      </c>
      <c r="L58" s="849">
        <f>VLOOKUP(LEFT($D58,SEARCH("-",D58)-2),'4 Program Budget'!$B$7:$AG$130,MATCH("2023 PA Spending Budget Request",'4 Program Budget'!$B$6:$AG$6,0),FALSE)</f>
        <v>61798.496800000001</v>
      </c>
      <c r="M58" s="775">
        <v>2021</v>
      </c>
      <c r="N58" s="765" t="s">
        <v>523</v>
      </c>
      <c r="O58" s="765" t="s">
        <v>523</v>
      </c>
    </row>
    <row r="59" spans="1:15" ht="31.5">
      <c r="A59" s="774" t="s">
        <v>586</v>
      </c>
      <c r="B59" s="769" t="s">
        <v>573</v>
      </c>
      <c r="C59" s="769" t="s">
        <v>521</v>
      </c>
      <c r="D59" s="723" t="s">
        <v>587</v>
      </c>
      <c r="E59" s="770">
        <f t="shared" si="2"/>
        <v>-3</v>
      </c>
      <c r="F59" s="727" t="s">
        <v>523</v>
      </c>
      <c r="G59" s="727" t="s">
        <v>523</v>
      </c>
      <c r="H59" s="759" t="s">
        <v>523</v>
      </c>
      <c r="I59" s="759" t="s">
        <v>523</v>
      </c>
      <c r="J59" s="849">
        <f>VLOOKUP(LEFT($D59,SEARCH("-",D59)-2),'4 Program Budget'!$B$7:$AG$130,MATCH("2021 Authorized Budget",'4 Program Budget'!$B$6:$AG$6,0),FALSE)</f>
        <v>1793414.6305</v>
      </c>
      <c r="K59" s="849">
        <f>VLOOKUP(LEFT($D59,SEARCH("-",D59)-2),'4 Program Budget'!$B$7:$AG$130,MATCH("2022 PA Spending Budget Request",'4 Program Budget'!$B$6:$AG$6,0),FALSE)</f>
        <v>375000</v>
      </c>
      <c r="L59" s="849">
        <f>VLOOKUP(LEFT($D59,SEARCH("-",D59)-2),'4 Program Budget'!$B$7:$AG$130,MATCH("2023 PA Spending Budget Request",'4 Program Budget'!$B$6:$AG$6,0),FALSE)</f>
        <v>1500000</v>
      </c>
      <c r="M59" s="775">
        <v>2022</v>
      </c>
      <c r="N59" s="765" t="s">
        <v>523</v>
      </c>
      <c r="O59" s="765" t="s">
        <v>523</v>
      </c>
    </row>
    <row r="61" spans="1:15">
      <c r="A61" s="730" t="s">
        <v>82</v>
      </c>
    </row>
    <row r="63" spans="1:15" ht="281.64999999999998" customHeight="1">
      <c r="A63" s="742" t="s">
        <v>551</v>
      </c>
      <c r="B63" s="742" t="s">
        <v>552</v>
      </c>
      <c r="C63" s="742" t="s">
        <v>528</v>
      </c>
      <c r="D63" s="760" t="s">
        <v>82</v>
      </c>
      <c r="E63" s="761"/>
      <c r="F63" s="762"/>
      <c r="G63" s="762"/>
      <c r="H63" s="744" t="s">
        <v>513</v>
      </c>
      <c r="I63" s="744" t="s">
        <v>514</v>
      </c>
      <c r="J63" s="745" t="s">
        <v>515</v>
      </c>
      <c r="K63" s="745" t="s">
        <v>165</v>
      </c>
      <c r="L63" s="745" t="s">
        <v>167</v>
      </c>
      <c r="M63" s="763" t="s">
        <v>588</v>
      </c>
      <c r="N63" s="764" t="s">
        <v>589</v>
      </c>
      <c r="O63" s="764" t="s">
        <v>590</v>
      </c>
    </row>
    <row r="64" spans="1:15" ht="15.75">
      <c r="A64" s="769" t="s">
        <v>591</v>
      </c>
      <c r="B64" s="769" t="s">
        <v>573</v>
      </c>
      <c r="C64" s="769" t="s">
        <v>521</v>
      </c>
      <c r="D64" s="723" t="s">
        <v>592</v>
      </c>
      <c r="E64" s="776"/>
      <c r="F64" s="776"/>
      <c r="G64" s="776"/>
      <c r="H64" s="759" t="s">
        <v>523</v>
      </c>
      <c r="I64" s="759" t="s">
        <v>523</v>
      </c>
      <c r="J64" s="751">
        <f>VLOOKUP(LEFT($D64,SEARCH("-",D64)-2),'4 Program Budget'!$B$7:$AG$130,MATCH("2021 Authorized Budget",'4 Program Budget'!$B$6:$AG$6,0),FALSE)</f>
        <v>1793414.6305</v>
      </c>
      <c r="K64" s="751">
        <f>VLOOKUP(LEFT($D64,SEARCH("-",D64)-2),'4 Program Budget'!$B$7:$AG$130,MATCH("2022 PA Spending Budget Request",'4 Program Budget'!$B$6:$AG$6,0),FALSE)</f>
        <v>375000</v>
      </c>
      <c r="L64" s="751">
        <f>VLOOKUP(LEFT($D64,SEARCH("-",D64)-2),'4 Program Budget'!$B$7:$AG$130,MATCH("2023 PA Spending Budget Request",'4 Program Budget'!$B$6:$AG$6,0),FALSE)</f>
        <v>1500000</v>
      </c>
      <c r="M64" s="775">
        <v>2022</v>
      </c>
      <c r="N64" s="765" t="s">
        <v>523</v>
      </c>
      <c r="O64" s="765" t="s">
        <v>523</v>
      </c>
    </row>
    <row r="65" spans="1:15" ht="15.75">
      <c r="A65" s="769" t="s">
        <v>591</v>
      </c>
      <c r="B65" s="769" t="s">
        <v>573</v>
      </c>
      <c r="C65" s="769" t="s">
        <v>521</v>
      </c>
      <c r="D65" s="723" t="s">
        <v>593</v>
      </c>
      <c r="E65" s="776"/>
      <c r="F65" s="776"/>
      <c r="G65" s="776"/>
      <c r="H65" s="759" t="s">
        <v>523</v>
      </c>
      <c r="I65" s="759" t="s">
        <v>523</v>
      </c>
      <c r="J65" s="751">
        <f>VLOOKUP(LEFT($D65,SEARCH("-",D65)-2),'4 Program Budget'!$B$7:$AG$130,MATCH("2021 Authorized Budget",'4 Program Budget'!$B$6:$AG$6,0),FALSE)</f>
        <v>0</v>
      </c>
      <c r="K65" s="751">
        <f>VLOOKUP(LEFT($D65,SEARCH("-",D65)-2),'4 Program Budget'!$B$7:$AG$130,MATCH("2022 PA Spending Budget Request",'4 Program Budget'!$B$6:$AG$6,0),FALSE)</f>
        <v>759000</v>
      </c>
      <c r="L65" s="751">
        <f>VLOOKUP(LEFT($D65,SEARCH("-",D65)-2),'4 Program Budget'!$B$7:$AG$130,MATCH("2023 PA Spending Budget Request",'4 Program Budget'!$B$6:$AG$6,0),FALSE)</f>
        <v>2300000</v>
      </c>
      <c r="M65" s="775">
        <v>2022</v>
      </c>
      <c r="N65" s="765" t="s">
        <v>523</v>
      </c>
      <c r="O65" s="765" t="s">
        <v>523</v>
      </c>
    </row>
    <row r="66" spans="1:15" ht="15.75">
      <c r="A66" s="769" t="s">
        <v>591</v>
      </c>
      <c r="B66" s="769" t="s">
        <v>573</v>
      </c>
      <c r="C66" s="769" t="s">
        <v>521</v>
      </c>
      <c r="D66" s="723" t="s">
        <v>594</v>
      </c>
      <c r="E66" s="776"/>
      <c r="F66" s="776"/>
      <c r="G66" s="776"/>
      <c r="H66" s="759" t="s">
        <v>523</v>
      </c>
      <c r="I66" s="759" t="s">
        <v>523</v>
      </c>
      <c r="J66" s="751">
        <f>VLOOKUP(LEFT($D66,SEARCH("-",D66)-2),'4 Program Budget'!$B$7:$AG$130,MATCH("2021 Authorized Budget",'4 Program Budget'!$B$6:$AG$6,0),FALSE)</f>
        <v>0</v>
      </c>
      <c r="K66" s="751">
        <f>VLOOKUP(LEFT($D66,SEARCH("-",D66)-2),'4 Program Budget'!$B$7:$AG$130,MATCH("2022 PA Spending Budget Request",'4 Program Budget'!$B$6:$AG$6,0),FALSE)</f>
        <v>400000</v>
      </c>
      <c r="L66" s="751">
        <f>VLOOKUP(LEFT($D66,SEARCH("-",D66)-2),'4 Program Budget'!$B$7:$AG$130,MATCH("2023 PA Spending Budget Request",'4 Program Budget'!$B$6:$AG$6,0),FALSE)</f>
        <v>1600000</v>
      </c>
      <c r="M66" s="775">
        <v>2022</v>
      </c>
      <c r="N66" s="765" t="s">
        <v>523</v>
      </c>
      <c r="O66" s="765" t="s">
        <v>523</v>
      </c>
    </row>
    <row r="67" spans="1:15" ht="15.75">
      <c r="A67" s="769" t="s">
        <v>591</v>
      </c>
      <c r="B67" s="769" t="s">
        <v>573</v>
      </c>
      <c r="C67" s="769" t="s">
        <v>521</v>
      </c>
      <c r="D67" s="723" t="s">
        <v>595</v>
      </c>
      <c r="E67" s="776"/>
      <c r="F67" s="776"/>
      <c r="G67" s="776"/>
      <c r="H67" s="759" t="s">
        <v>523</v>
      </c>
      <c r="I67" s="759" t="s">
        <v>523</v>
      </c>
      <c r="J67" s="751">
        <f>VLOOKUP(LEFT($D67,SEARCH("-",D67)-2),'4 Program Budget'!$B$7:$AG$130,MATCH("2021 Authorized Budget",'4 Program Budget'!$B$6:$AG$6,0),FALSE)</f>
        <v>0</v>
      </c>
      <c r="K67" s="751">
        <f>VLOOKUP(LEFT($D67,SEARCH("-",D67)-2),'4 Program Budget'!$B$7:$AG$130,MATCH("2022 PA Spending Budget Request",'4 Program Budget'!$B$6:$AG$6,0),FALSE)</f>
        <v>0</v>
      </c>
      <c r="L67" s="751">
        <f>VLOOKUP(LEFT($D67,SEARCH("-",D67)-2),'4 Program Budget'!$B$7:$AG$130,MATCH("2023 PA Spending Budget Request",'4 Program Budget'!$B$6:$AG$6,0),FALSE)</f>
        <v>2750000</v>
      </c>
      <c r="M67" s="775">
        <v>2023</v>
      </c>
      <c r="N67" s="765" t="s">
        <v>523</v>
      </c>
      <c r="O67" s="765" t="s">
        <v>523</v>
      </c>
    </row>
    <row r="68" spans="1:15" ht="15.75">
      <c r="A68" s="769" t="s">
        <v>591</v>
      </c>
      <c r="B68" s="769" t="s">
        <v>573</v>
      </c>
      <c r="C68" s="769" t="s">
        <v>521</v>
      </c>
      <c r="D68" s="723" t="s">
        <v>596</v>
      </c>
      <c r="E68" s="776"/>
      <c r="F68" s="776"/>
      <c r="G68" s="776"/>
      <c r="H68" s="759" t="s">
        <v>523</v>
      </c>
      <c r="I68" s="759" t="s">
        <v>523</v>
      </c>
      <c r="J68" s="751">
        <f>VLOOKUP(LEFT($D68,SEARCH("-",D68)-2),'4 Program Budget'!$B$7:$AG$130,MATCH("2021 Authorized Budget",'4 Program Budget'!$B$6:$AG$6,0),FALSE)</f>
        <v>0</v>
      </c>
      <c r="K68" s="751">
        <f>VLOOKUP(LEFT($D68,SEARCH("-",D68)-2),'4 Program Budget'!$B$7:$AG$130,MATCH("2022 PA Spending Budget Request",'4 Program Budget'!$B$6:$AG$6,0),FALSE)</f>
        <v>0</v>
      </c>
      <c r="L68" s="751">
        <f>VLOOKUP(LEFT($D68,SEARCH("-",D68)-2),'4 Program Budget'!$B$7:$AG$130,MATCH("2023 PA Spending Budget Request",'4 Program Budget'!$B$6:$AG$6,0),FALSE)</f>
        <v>2453998.96</v>
      </c>
      <c r="M68" s="775">
        <v>2023</v>
      </c>
      <c r="N68" s="765" t="s">
        <v>523</v>
      </c>
      <c r="O68" s="765" t="s">
        <v>523</v>
      </c>
    </row>
    <row r="69" spans="1:15" ht="15.75">
      <c r="A69" s="769" t="s">
        <v>591</v>
      </c>
      <c r="B69" s="769" t="s">
        <v>573</v>
      </c>
      <c r="C69" s="769" t="s">
        <v>521</v>
      </c>
      <c r="D69" s="723" t="s">
        <v>597</v>
      </c>
      <c r="E69" s="776"/>
      <c r="F69" s="776"/>
      <c r="G69" s="776"/>
      <c r="H69" s="759" t="s">
        <v>523</v>
      </c>
      <c r="I69" s="759" t="s">
        <v>523</v>
      </c>
      <c r="J69" s="751">
        <f>VLOOKUP(LEFT($D69,SEARCH("-",D69)-2),'4 Program Budget'!$B$7:$AG$130,MATCH("2021 Authorized Budget",'4 Program Budget'!$B$6:$AG$6,0),FALSE)</f>
        <v>0</v>
      </c>
      <c r="K69" s="751">
        <f>VLOOKUP(LEFT($D69,SEARCH("-",D69)-2),'4 Program Budget'!$B$7:$AG$130,MATCH("2022 PA Spending Budget Request",'4 Program Budget'!$B$6:$AG$6,0),FALSE)</f>
        <v>0</v>
      </c>
      <c r="L69" s="751">
        <f>VLOOKUP(LEFT($D69,SEARCH("-",D69)-2),'4 Program Budget'!$B$7:$AG$130,MATCH("2023 PA Spending Budget Request",'4 Program Budget'!$B$6:$AG$6,0),FALSE)</f>
        <v>1271804.155</v>
      </c>
      <c r="M69" s="775">
        <v>2023</v>
      </c>
      <c r="N69" s="765" t="s">
        <v>523</v>
      </c>
      <c r="O69" s="765" t="s">
        <v>523</v>
      </c>
    </row>
    <row r="70" spans="1:15" ht="15.75">
      <c r="A70" s="769" t="s">
        <v>591</v>
      </c>
      <c r="B70" s="769" t="s">
        <v>573</v>
      </c>
      <c r="C70" s="769" t="s">
        <v>528</v>
      </c>
      <c r="D70" s="723" t="s">
        <v>598</v>
      </c>
      <c r="E70" s="776"/>
      <c r="F70" s="776"/>
      <c r="G70" s="776"/>
      <c r="H70" s="759" t="s">
        <v>523</v>
      </c>
      <c r="I70" s="759" t="s">
        <v>523</v>
      </c>
      <c r="J70" s="751">
        <f>VLOOKUP(LEFT($D70,SEARCH("-",D70)-2),'4 Program Budget'!$B$7:$AG$130,MATCH("2021 Authorized Budget",'4 Program Budget'!$B$6:$AG$6,0),FALSE)</f>
        <v>0</v>
      </c>
      <c r="K70" s="849">
        <f>VLOOKUP(LEFT($D70,SEARCH("-",D70)-2),'4 Program Budget'!$B$7:$AG$130,MATCH("2022 PA Spending Budget Request",'4 Program Budget'!$B$6:$AG$6,0),FALSE)</f>
        <v>0</v>
      </c>
      <c r="L70" s="849">
        <f>VLOOKUP(LEFT($D70,SEARCH("-",D70)-2),'4 Program Budget'!$B$7:$AG$130,MATCH("2023 PA Spending Budget Request",'4 Program Budget'!$B$6:$AG$6,0),FALSE)</f>
        <v>963240</v>
      </c>
      <c r="M70" s="775">
        <v>2023</v>
      </c>
      <c r="N70" s="765" t="s">
        <v>523</v>
      </c>
      <c r="O70" s="765" t="s">
        <v>523</v>
      </c>
    </row>
    <row r="71" spans="1:15" ht="15.75">
      <c r="A71" s="769" t="s">
        <v>591</v>
      </c>
      <c r="B71" s="769" t="s">
        <v>573</v>
      </c>
      <c r="C71" s="769" t="s">
        <v>521</v>
      </c>
      <c r="D71" s="723" t="s">
        <v>599</v>
      </c>
      <c r="E71" s="776"/>
      <c r="F71" s="776"/>
      <c r="G71" s="776"/>
      <c r="H71" s="759" t="s">
        <v>523</v>
      </c>
      <c r="I71" s="759" t="s">
        <v>523</v>
      </c>
      <c r="J71" s="751">
        <f>VLOOKUP(LEFT($D71,SEARCH("-",D71)-2),'4 Program Budget'!$B$7:$AG$130,MATCH("2021 Authorized Budget",'4 Program Budget'!$B$6:$AG$6,0),FALSE)</f>
        <v>0</v>
      </c>
      <c r="K71" s="849">
        <f>VLOOKUP(LEFT($D71,SEARCH("-",D71)-2),'4 Program Budget'!$B$7:$AG$130,MATCH("2022 PA Spending Budget Request",'4 Program Budget'!$B$6:$AG$6,0),FALSE)</f>
        <v>0</v>
      </c>
      <c r="L71" s="849">
        <f>VLOOKUP(LEFT($D71,SEARCH("-",D71)-2),'4 Program Budget'!$B$7:$AG$130,MATCH("2023 PA Spending Budget Request",'4 Program Budget'!$B$6:$AG$6,0),FALSE)</f>
        <v>668183.04319999996</v>
      </c>
      <c r="M71" s="775">
        <v>2023</v>
      </c>
      <c r="N71" s="765" t="s">
        <v>523</v>
      </c>
      <c r="O71" s="765" t="s">
        <v>523</v>
      </c>
    </row>
  </sheetData>
  <pageMargins left="0.7" right="0.7" top="0.75" bottom="0.75" header="0.3" footer="0.3"/>
  <pageSetup fitToHeight="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pageSetUpPr fitToPage="1"/>
  </sheetPr>
  <dimension ref="A1:E29"/>
  <sheetViews>
    <sheetView zoomScaleNormal="100" zoomScaleSheetLayoutView="100" workbookViewId="0"/>
  </sheetViews>
  <sheetFormatPr defaultColWidth="8.75" defaultRowHeight="14.25"/>
  <cols>
    <col min="1" max="1" width="14.125" style="43" bestFit="1" customWidth="1"/>
    <col min="2" max="2" width="46.625" style="43" bestFit="1" customWidth="1"/>
    <col min="3" max="3" width="21" style="43" customWidth="1"/>
    <col min="4" max="4" width="21.125" style="43" customWidth="1"/>
    <col min="5" max="5" width="13.125" style="43" customWidth="1"/>
    <col min="6" max="16384" width="8.75" style="43"/>
  </cols>
  <sheetData>
    <row r="1" spans="1:5" ht="15.4">
      <c r="A1" s="20" t="s">
        <v>85</v>
      </c>
      <c r="B1" s="408" t="str">
        <f>PA_NAME</f>
        <v>San Diego Gas &amp; Electric Co</v>
      </c>
      <c r="C1" s="119"/>
    </row>
    <row r="2" spans="1:5" ht="15.4">
      <c r="A2" s="20" t="s">
        <v>86</v>
      </c>
      <c r="B2" s="408" t="str">
        <f>RPT_YEAR</f>
        <v>2022-2023</v>
      </c>
    </row>
    <row r="3" spans="1:5" ht="15.4">
      <c r="A3" s="326"/>
    </row>
    <row r="4" spans="1:5" ht="15.4">
      <c r="A4" s="967" t="s">
        <v>600</v>
      </c>
      <c r="B4" s="967"/>
      <c r="C4" s="967"/>
      <c r="D4" s="967"/>
      <c r="E4" s="44"/>
    </row>
    <row r="5" spans="1:5" ht="14.65" thickBot="1"/>
    <row r="6" spans="1:5" ht="16.350000000000001" customHeight="1" thickBot="1">
      <c r="B6" s="120" t="s">
        <v>601</v>
      </c>
      <c r="C6" s="968" t="s">
        <v>602</v>
      </c>
      <c r="D6" s="968" t="s">
        <v>195</v>
      </c>
      <c r="E6" s="603"/>
    </row>
    <row r="7" spans="1:5" ht="15.75" thickBot="1">
      <c r="B7" s="580" t="s">
        <v>603</v>
      </c>
      <c r="C7" s="969"/>
      <c r="D7" s="969"/>
      <c r="E7" s="45" t="s">
        <v>604</v>
      </c>
    </row>
    <row r="8" spans="1:5" ht="15.75" thickBot="1">
      <c r="B8" s="581" t="s">
        <v>605</v>
      </c>
      <c r="C8" s="718">
        <f t="shared" ref="C8:C25" si="0">+E8*0.9</f>
        <v>7129809.6209999984</v>
      </c>
      <c r="D8" s="718">
        <f t="shared" ref="D8:D25" si="1">+E8-C8</f>
        <v>792201.0689999992</v>
      </c>
      <c r="E8" s="861">
        <v>7922010.6899999976</v>
      </c>
    </row>
    <row r="9" spans="1:5" ht="15.75" thickBot="1">
      <c r="B9" s="581" t="s">
        <v>606</v>
      </c>
      <c r="C9" s="718">
        <f t="shared" si="0"/>
        <v>4303946.7385609774</v>
      </c>
      <c r="D9" s="718">
        <f t="shared" si="1"/>
        <v>478216.30428455304</v>
      </c>
      <c r="E9" s="861">
        <v>4782163.0428455304</v>
      </c>
    </row>
    <row r="10" spans="1:5" ht="15.75" thickBot="1">
      <c r="B10" s="581" t="s">
        <v>607</v>
      </c>
      <c r="C10" s="718" t="s">
        <v>523</v>
      </c>
      <c r="D10" s="718" t="s">
        <v>523</v>
      </c>
      <c r="E10" s="796" t="s">
        <v>523</v>
      </c>
    </row>
    <row r="11" spans="1:5" ht="15.75" thickBot="1">
      <c r="B11" s="581" t="s">
        <v>608</v>
      </c>
      <c r="C11" s="718" t="s">
        <v>523</v>
      </c>
      <c r="D11" s="718" t="s">
        <v>523</v>
      </c>
      <c r="E11" s="796" t="s">
        <v>523</v>
      </c>
    </row>
    <row r="12" spans="1:5" ht="15.75" thickBot="1">
      <c r="B12" s="581" t="s">
        <v>609</v>
      </c>
      <c r="C12" s="718">
        <f t="shared" si="0"/>
        <v>2822885.6939999997</v>
      </c>
      <c r="D12" s="718">
        <f t="shared" si="1"/>
        <v>313653.96600000001</v>
      </c>
      <c r="E12" s="861">
        <v>3136539.6599999997</v>
      </c>
    </row>
    <row r="13" spans="1:5" ht="15.75" thickBot="1">
      <c r="B13" s="581" t="s">
        <v>610</v>
      </c>
      <c r="C13" s="718">
        <f t="shared" si="0"/>
        <v>725113.8000000004</v>
      </c>
      <c r="D13" s="718">
        <f t="shared" si="1"/>
        <v>80568.20000000007</v>
      </c>
      <c r="E13" s="861">
        <v>805682.00000000047</v>
      </c>
    </row>
    <row r="14" spans="1:5" ht="15.75" thickBot="1">
      <c r="B14" s="581" t="s">
        <v>611</v>
      </c>
      <c r="C14" s="718" t="s">
        <v>523</v>
      </c>
      <c r="D14" s="718" t="s">
        <v>523</v>
      </c>
      <c r="E14" s="796" t="s">
        <v>523</v>
      </c>
    </row>
    <row r="15" spans="1:5" ht="15.75" thickBot="1">
      <c r="B15" s="581" t="s">
        <v>612</v>
      </c>
      <c r="C15" s="718" t="s">
        <v>523</v>
      </c>
      <c r="D15" s="718" t="s">
        <v>523</v>
      </c>
      <c r="E15" s="796" t="s">
        <v>523</v>
      </c>
    </row>
    <row r="16" spans="1:5" ht="15.75" thickBot="1">
      <c r="B16" s="581" t="s">
        <v>613</v>
      </c>
      <c r="C16" s="718">
        <f t="shared" si="0"/>
        <v>2911385.628</v>
      </c>
      <c r="D16" s="718">
        <f t="shared" si="1"/>
        <v>323487.2919999999</v>
      </c>
      <c r="E16" s="861">
        <v>3234872.92</v>
      </c>
    </row>
    <row r="17" spans="2:5" ht="15.75" thickBot="1">
      <c r="B17" s="581" t="s">
        <v>614</v>
      </c>
      <c r="C17" s="718">
        <f t="shared" si="0"/>
        <v>2553196.9679999999</v>
      </c>
      <c r="D17" s="718">
        <f t="shared" si="1"/>
        <v>283688.55199999968</v>
      </c>
      <c r="E17" s="861">
        <v>2836885.5199999996</v>
      </c>
    </row>
    <row r="18" spans="2:5" ht="15.75" thickBot="1">
      <c r="B18" s="581" t="s">
        <v>615</v>
      </c>
      <c r="C18" s="718" t="s">
        <v>523</v>
      </c>
      <c r="D18" s="718" t="s">
        <v>523</v>
      </c>
      <c r="E18" s="796" t="s">
        <v>523</v>
      </c>
    </row>
    <row r="19" spans="2:5" ht="15.75" thickBot="1">
      <c r="B19" s="581" t="s">
        <v>616</v>
      </c>
      <c r="C19" s="718" t="s">
        <v>523</v>
      </c>
      <c r="D19" s="718" t="s">
        <v>523</v>
      </c>
      <c r="E19" s="796" t="s">
        <v>523</v>
      </c>
    </row>
    <row r="20" spans="2:5" ht="15.75" thickBot="1">
      <c r="B20" s="581" t="s">
        <v>617</v>
      </c>
      <c r="C20" s="718">
        <f t="shared" si="0"/>
        <v>2719111.28895</v>
      </c>
      <c r="D20" s="718">
        <f t="shared" si="1"/>
        <v>302123.47654999979</v>
      </c>
      <c r="E20" s="861">
        <v>3021234.7654999997</v>
      </c>
    </row>
    <row r="21" spans="2:5" ht="15.75" thickBot="1">
      <c r="B21" s="581" t="s">
        <v>618</v>
      </c>
      <c r="C21" s="718">
        <f t="shared" si="0"/>
        <v>2245252.3290000004</v>
      </c>
      <c r="D21" s="718">
        <f t="shared" si="1"/>
        <v>249472.48100000015</v>
      </c>
      <c r="E21" s="861">
        <v>2494724.8100000005</v>
      </c>
    </row>
    <row r="22" spans="2:5" ht="15.75" thickBot="1">
      <c r="B22" s="581" t="s">
        <v>619</v>
      </c>
      <c r="C22" s="718" t="s">
        <v>523</v>
      </c>
      <c r="D22" s="718" t="s">
        <v>523</v>
      </c>
      <c r="E22" s="796" t="s">
        <v>523</v>
      </c>
    </row>
    <row r="23" spans="2:5" ht="15.75" thickBot="1">
      <c r="B23" s="581" t="s">
        <v>620</v>
      </c>
      <c r="C23" s="718" t="s">
        <v>523</v>
      </c>
      <c r="D23" s="718" t="s">
        <v>523</v>
      </c>
      <c r="E23" s="796" t="s">
        <v>523</v>
      </c>
    </row>
    <row r="24" spans="2:5" ht="15.75" thickBot="1">
      <c r="B24" s="581" t="s">
        <v>621</v>
      </c>
      <c r="C24" s="718">
        <f t="shared" si="0"/>
        <v>0</v>
      </c>
      <c r="D24" s="718">
        <f t="shared" si="1"/>
        <v>0</v>
      </c>
      <c r="E24" s="719">
        <v>0</v>
      </c>
    </row>
    <row r="25" spans="2:5" ht="15.75" thickBot="1">
      <c r="B25" s="581" t="s">
        <v>622</v>
      </c>
      <c r="C25" s="718">
        <f t="shared" si="0"/>
        <v>0</v>
      </c>
      <c r="D25" s="718">
        <f t="shared" si="1"/>
        <v>0</v>
      </c>
      <c r="E25" s="719">
        <v>0</v>
      </c>
    </row>
    <row r="26" spans="2:5" ht="15.75" thickBot="1">
      <c r="B26" s="581" t="s">
        <v>623</v>
      </c>
      <c r="C26" s="718" t="s">
        <v>523</v>
      </c>
      <c r="D26" s="718" t="s">
        <v>523</v>
      </c>
      <c r="E26" s="796" t="s">
        <v>523</v>
      </c>
    </row>
    <row r="27" spans="2:5" ht="15.75" thickBot="1">
      <c r="B27" s="581" t="s">
        <v>624</v>
      </c>
      <c r="C27" s="718" t="s">
        <v>523</v>
      </c>
      <c r="D27" s="718" t="s">
        <v>523</v>
      </c>
      <c r="E27" s="796" t="s">
        <v>523</v>
      </c>
    </row>
    <row r="29" spans="2:5">
      <c r="B29" s="893" t="s">
        <v>625</v>
      </c>
    </row>
  </sheetData>
  <mergeCells count="3">
    <mergeCell ref="A4:D4"/>
    <mergeCell ref="C6:C7"/>
    <mergeCell ref="D6:D7"/>
  </mergeCells>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B063-2942-4E20-B345-2C1AF74006C8}">
  <sheetPr>
    <pageSetUpPr fitToPage="1"/>
  </sheetPr>
  <dimension ref="A1:AI50"/>
  <sheetViews>
    <sheetView topLeftCell="L1" zoomScale="70" zoomScaleNormal="70" workbookViewId="0">
      <selection activeCell="AB25" sqref="AB25"/>
    </sheetView>
  </sheetViews>
  <sheetFormatPr defaultColWidth="11.25" defaultRowHeight="15.75"/>
  <cols>
    <col min="1" max="1" width="11.25" style="56" customWidth="1"/>
    <col min="2" max="2" width="43.125" style="70" customWidth="1"/>
    <col min="3" max="3" width="11.25" style="56"/>
    <col min="4" max="7" width="18.25" style="56" customWidth="1"/>
    <col min="8" max="8" width="15.75" style="56" customWidth="1"/>
    <col min="9" max="9" width="12.75" style="56" customWidth="1"/>
    <col min="10" max="13" width="15.25" style="56" customWidth="1"/>
    <col min="14" max="14" width="15.75" customWidth="1"/>
    <col min="15" max="15" width="16.5" customWidth="1"/>
    <col min="16" max="16" width="16" customWidth="1"/>
    <col min="17" max="17" width="16.5" customWidth="1"/>
    <col min="18" max="19" width="15.625" customWidth="1"/>
    <col min="20" max="20" width="12.75" customWidth="1"/>
    <col min="21" max="21" width="10" customWidth="1"/>
    <col min="22" max="22" width="17.625" customWidth="1"/>
    <col min="23" max="23" width="19.25" customWidth="1"/>
    <col min="24" max="24" width="15.625" customWidth="1"/>
    <col min="25" max="25" width="13.75" customWidth="1"/>
    <col min="26" max="26" width="10.75" customWidth="1"/>
    <col min="27" max="27" width="16" bestFit="1" customWidth="1"/>
    <col min="28" max="28" width="16.5" bestFit="1" customWidth="1"/>
    <col min="29" max="29" width="15.625" bestFit="1" customWidth="1"/>
    <col min="30" max="30" width="14.75" bestFit="1" customWidth="1"/>
    <col min="31" max="31" width="17" bestFit="1" customWidth="1"/>
    <col min="32" max="32" width="16.5" bestFit="1" customWidth="1"/>
    <col min="33" max="34" width="16" bestFit="1" customWidth="1"/>
    <col min="35" max="35" width="10.25" style="56" customWidth="1"/>
    <col min="36" max="16384" width="11.25" style="56"/>
  </cols>
  <sheetData>
    <row r="1" spans="1:35" s="54" customFormat="1" ht="32.25" customHeight="1">
      <c r="A1" s="558" t="s">
        <v>85</v>
      </c>
      <c r="B1" s="408" t="str">
        <f>PA_NAME</f>
        <v>San Diego Gas &amp; Electric Co</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row>
    <row r="2" spans="1:35" s="55" customFormat="1" ht="16.5" customHeight="1">
      <c r="A2" s="558" t="s">
        <v>86</v>
      </c>
      <c r="B2" s="408" t="str">
        <f>RPT_YEAR</f>
        <v>2022-2023</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5" ht="30.6" customHeight="1">
      <c r="A3" s="574" t="s">
        <v>626</v>
      </c>
      <c r="B3" s="574"/>
      <c r="C3" s="574"/>
      <c r="D3" s="574"/>
      <c r="E3" s="559"/>
      <c r="F3" s="559"/>
      <c r="G3" s="559"/>
      <c r="H3" s="559"/>
      <c r="I3" s="559"/>
      <c r="J3" s="559"/>
      <c r="K3" s="982" t="s">
        <v>627</v>
      </c>
      <c r="L3" s="982"/>
      <c r="M3" s="982"/>
      <c r="N3" s="982"/>
    </row>
    <row r="4" spans="1:35" ht="16.149999999999999" thickBot="1">
      <c r="A4" s="559"/>
      <c r="B4" s="559"/>
      <c r="C4" s="559"/>
      <c r="D4" s="557"/>
      <c r="E4" s="557"/>
      <c r="F4" s="557"/>
      <c r="G4" s="557"/>
      <c r="H4" s="556"/>
      <c r="I4" s="556" t="s">
        <v>628</v>
      </c>
      <c r="J4" s="555" t="s">
        <v>629</v>
      </c>
      <c r="K4" s="555" t="s">
        <v>630</v>
      </c>
      <c r="L4" s="555" t="s">
        <v>631</v>
      </c>
      <c r="M4" s="555" t="s">
        <v>632</v>
      </c>
      <c r="AH4" s="56"/>
    </row>
    <row r="5" spans="1:35" ht="106.9" customHeight="1" thickBot="1">
      <c r="A5" s="559"/>
      <c r="B5" s="983" t="s">
        <v>633</v>
      </c>
      <c r="C5" s="985" t="s">
        <v>634</v>
      </c>
      <c r="D5" s="987" t="s">
        <v>635</v>
      </c>
      <c r="E5" s="987" t="s">
        <v>636</v>
      </c>
      <c r="F5" s="987" t="s">
        <v>637</v>
      </c>
      <c r="G5" s="987" t="s">
        <v>638</v>
      </c>
      <c r="H5" s="987" t="s">
        <v>639</v>
      </c>
      <c r="I5" s="990" t="s">
        <v>640</v>
      </c>
      <c r="J5" s="995" t="s">
        <v>641</v>
      </c>
      <c r="K5" s="996"/>
      <c r="L5" s="996"/>
      <c r="M5" s="997"/>
      <c r="N5" s="979" t="s">
        <v>642</v>
      </c>
      <c r="O5" s="980"/>
      <c r="P5" s="980"/>
      <c r="Q5" s="981"/>
      <c r="R5" s="979" t="s">
        <v>643</v>
      </c>
      <c r="S5" s="980"/>
      <c r="T5" s="980"/>
      <c r="U5" s="981"/>
      <c r="V5" s="577" t="s">
        <v>644</v>
      </c>
      <c r="W5" s="979" t="s">
        <v>645</v>
      </c>
      <c r="X5" s="980"/>
      <c r="Y5" s="980"/>
      <c r="Z5" s="981"/>
      <c r="AA5" s="979" t="s">
        <v>646</v>
      </c>
      <c r="AB5" s="980"/>
      <c r="AC5" s="980"/>
      <c r="AD5" s="981"/>
      <c r="AE5" s="979" t="s">
        <v>647</v>
      </c>
      <c r="AF5" s="980"/>
      <c r="AG5" s="980"/>
      <c r="AH5" s="981"/>
    </row>
    <row r="6" spans="1:35" s="57" customFormat="1" ht="35.65" customHeight="1" thickBot="1">
      <c r="A6" s="559"/>
      <c r="B6" s="984"/>
      <c r="C6" s="986"/>
      <c r="D6" s="988"/>
      <c r="E6" s="988"/>
      <c r="F6" s="988"/>
      <c r="G6" s="988"/>
      <c r="H6" s="988"/>
      <c r="I6" s="991"/>
      <c r="J6" s="508" t="s">
        <v>648</v>
      </c>
      <c r="K6" s="507" t="s">
        <v>649</v>
      </c>
      <c r="L6" s="507" t="s">
        <v>650</v>
      </c>
      <c r="M6" s="506" t="s">
        <v>651</v>
      </c>
      <c r="N6" s="554" t="s">
        <v>648</v>
      </c>
      <c r="O6" s="507" t="s">
        <v>649</v>
      </c>
      <c r="P6" s="507" t="s">
        <v>650</v>
      </c>
      <c r="Q6" s="553" t="s">
        <v>651</v>
      </c>
      <c r="R6" s="554" t="s">
        <v>648</v>
      </c>
      <c r="S6" s="507" t="s">
        <v>649</v>
      </c>
      <c r="T6" s="507" t="s">
        <v>650</v>
      </c>
      <c r="U6" s="553" t="s">
        <v>651</v>
      </c>
      <c r="V6" s="552" t="s">
        <v>652</v>
      </c>
      <c r="W6" s="554" t="s">
        <v>648</v>
      </c>
      <c r="X6" s="507" t="s">
        <v>649</v>
      </c>
      <c r="Y6" s="507" t="s">
        <v>650</v>
      </c>
      <c r="Z6" s="553" t="s">
        <v>651</v>
      </c>
      <c r="AA6" s="554" t="s">
        <v>648</v>
      </c>
      <c r="AB6" s="507" t="s">
        <v>649</v>
      </c>
      <c r="AC6" s="507" t="s">
        <v>650</v>
      </c>
      <c r="AD6" s="553" t="s">
        <v>651</v>
      </c>
      <c r="AE6" s="552" t="s">
        <v>648</v>
      </c>
      <c r="AF6" s="551" t="s">
        <v>649</v>
      </c>
      <c r="AG6" s="551" t="s">
        <v>650</v>
      </c>
      <c r="AH6" s="550" t="s">
        <v>651</v>
      </c>
    </row>
    <row r="7" spans="1:35" s="58" customFormat="1" ht="31.5">
      <c r="A7" s="559"/>
      <c r="B7" s="59" t="s">
        <v>653</v>
      </c>
      <c r="C7" s="998" t="s">
        <v>648</v>
      </c>
      <c r="D7" s="611">
        <v>0</v>
      </c>
      <c r="E7" s="612">
        <v>389260</v>
      </c>
      <c r="F7" s="612">
        <v>1756054</v>
      </c>
      <c r="G7" s="612">
        <v>1891288</v>
      </c>
      <c r="H7" s="613">
        <v>44409</v>
      </c>
      <c r="I7" s="614">
        <v>0.8</v>
      </c>
      <c r="J7" s="615">
        <v>0.45599999999999996</v>
      </c>
      <c r="K7" s="615">
        <v>0.1396</v>
      </c>
      <c r="L7" s="615">
        <v>0.32080000000000003</v>
      </c>
      <c r="M7" s="615">
        <v>8.359999999999998E-2</v>
      </c>
      <c r="N7" s="616">
        <v>0</v>
      </c>
      <c r="O7" s="617">
        <v>0</v>
      </c>
      <c r="P7" s="617">
        <v>0</v>
      </c>
      <c r="Q7" s="618">
        <v>0</v>
      </c>
      <c r="R7" s="616">
        <v>0</v>
      </c>
      <c r="S7" s="617">
        <v>0</v>
      </c>
      <c r="T7" s="617">
        <v>0</v>
      </c>
      <c r="U7" s="618">
        <v>0</v>
      </c>
      <c r="V7" s="619">
        <v>26700</v>
      </c>
      <c r="W7" s="619">
        <v>1015</v>
      </c>
      <c r="X7" s="619">
        <v>0</v>
      </c>
      <c r="Y7" s="619">
        <v>0</v>
      </c>
      <c r="Z7" s="619">
        <v>0</v>
      </c>
      <c r="AA7" s="619">
        <v>204158.98250000001</v>
      </c>
      <c r="AB7" s="620">
        <v>3250.35</v>
      </c>
      <c r="AC7" s="620">
        <v>10312</v>
      </c>
      <c r="AD7" s="621">
        <v>14500</v>
      </c>
      <c r="AE7" s="619">
        <v>212627.511</v>
      </c>
      <c r="AF7" s="620">
        <v>3535.8568</v>
      </c>
      <c r="AG7" s="620">
        <v>10312</v>
      </c>
      <c r="AH7" s="621">
        <v>17500</v>
      </c>
    </row>
    <row r="8" spans="1:35" s="58" customFormat="1">
      <c r="A8" s="559"/>
      <c r="B8" s="61" t="s">
        <v>654</v>
      </c>
      <c r="C8" s="999"/>
      <c r="D8" s="974">
        <v>1000000</v>
      </c>
      <c r="E8" s="787">
        <v>657000</v>
      </c>
      <c r="F8" s="623">
        <v>3236740.1493472499</v>
      </c>
      <c r="G8" s="623">
        <v>6759536.023035761</v>
      </c>
      <c r="H8" s="624">
        <v>44378</v>
      </c>
      <c r="I8" s="625">
        <v>1</v>
      </c>
      <c r="J8" s="615">
        <v>0.44400000000000001</v>
      </c>
      <c r="K8" s="615">
        <v>0.155</v>
      </c>
      <c r="L8" s="615">
        <v>0.40100000000000002</v>
      </c>
      <c r="M8" s="615">
        <v>0</v>
      </c>
      <c r="N8" s="974">
        <v>0</v>
      </c>
      <c r="O8" s="970">
        <v>0</v>
      </c>
      <c r="P8" s="970">
        <v>0</v>
      </c>
      <c r="Q8" s="972">
        <v>0</v>
      </c>
      <c r="R8" s="974">
        <v>0</v>
      </c>
      <c r="S8" s="970">
        <v>0</v>
      </c>
      <c r="T8" s="970">
        <v>0</v>
      </c>
      <c r="U8" s="972">
        <v>0</v>
      </c>
      <c r="V8" s="626">
        <v>0</v>
      </c>
      <c r="W8" s="626">
        <v>0</v>
      </c>
      <c r="X8" s="626">
        <v>0</v>
      </c>
      <c r="Y8" s="626">
        <v>0</v>
      </c>
      <c r="Z8" s="626">
        <v>0</v>
      </c>
      <c r="AA8" s="626">
        <v>414585.7414</v>
      </c>
      <c r="AB8" s="627">
        <v>3224.34</v>
      </c>
      <c r="AC8" s="627">
        <v>23758</v>
      </c>
      <c r="AD8" s="628">
        <v>0</v>
      </c>
      <c r="AE8" s="626">
        <v>725585.43530000001</v>
      </c>
      <c r="AF8" s="627">
        <v>5032.4336000000003</v>
      </c>
      <c r="AG8" s="627">
        <v>23758</v>
      </c>
      <c r="AH8" s="628">
        <v>0</v>
      </c>
    </row>
    <row r="9" spans="1:35" s="58" customFormat="1">
      <c r="A9" s="559"/>
      <c r="B9" s="61" t="s">
        <v>655</v>
      </c>
      <c r="C9" s="999"/>
      <c r="D9" s="975"/>
      <c r="E9" s="788">
        <v>596500</v>
      </c>
      <c r="F9" s="623">
        <v>1895840.0211999998</v>
      </c>
      <c r="G9" s="623">
        <v>2545540.9145490993</v>
      </c>
      <c r="H9" s="624">
        <v>44378</v>
      </c>
      <c r="I9" s="625">
        <v>0.8</v>
      </c>
      <c r="J9" s="615">
        <v>0.45599999999999996</v>
      </c>
      <c r="K9" s="615">
        <v>0.1396</v>
      </c>
      <c r="L9" s="615">
        <v>0.32080000000000003</v>
      </c>
      <c r="M9" s="615">
        <v>8.359999999999998E-2</v>
      </c>
      <c r="N9" s="975"/>
      <c r="O9" s="971"/>
      <c r="P9" s="971"/>
      <c r="Q9" s="973"/>
      <c r="R9" s="975"/>
      <c r="S9" s="971"/>
      <c r="T9" s="971"/>
      <c r="U9" s="973"/>
      <c r="V9" s="626">
        <v>0</v>
      </c>
      <c r="W9" s="626">
        <v>0</v>
      </c>
      <c r="X9" s="626">
        <v>0</v>
      </c>
      <c r="Y9" s="626">
        <v>0</v>
      </c>
      <c r="Z9" s="626">
        <v>0</v>
      </c>
      <c r="AA9" s="626">
        <v>378930.21120000002</v>
      </c>
      <c r="AB9" s="627">
        <v>2439.0899999999997</v>
      </c>
      <c r="AC9" s="627">
        <v>11132</v>
      </c>
      <c r="AD9" s="628">
        <v>42500</v>
      </c>
      <c r="AE9" s="626">
        <v>493180.25689999998</v>
      </c>
      <c r="AF9" s="627">
        <v>2847.8535999999999</v>
      </c>
      <c r="AG9" s="627">
        <v>11132</v>
      </c>
      <c r="AH9" s="628">
        <v>48000</v>
      </c>
    </row>
    <row r="10" spans="1:35" s="58" customFormat="1">
      <c r="A10" s="559"/>
      <c r="B10" s="61" t="s">
        <v>656</v>
      </c>
      <c r="C10" s="999"/>
      <c r="D10" s="1002">
        <v>1666667</v>
      </c>
      <c r="E10" s="787">
        <v>0</v>
      </c>
      <c r="F10" s="622">
        <v>348879.24525600998</v>
      </c>
      <c r="G10" s="623">
        <v>3409050.9362834706</v>
      </c>
      <c r="H10" s="624">
        <v>44166</v>
      </c>
      <c r="I10" s="625">
        <v>1</v>
      </c>
      <c r="J10" s="615">
        <v>0.44400000000000001</v>
      </c>
      <c r="K10" s="615">
        <v>0.155</v>
      </c>
      <c r="L10" s="615">
        <v>0.40100000000000002</v>
      </c>
      <c r="M10" s="615">
        <v>0</v>
      </c>
      <c r="N10" s="974">
        <v>0</v>
      </c>
      <c r="O10" s="970">
        <v>0</v>
      </c>
      <c r="P10" s="970">
        <v>0</v>
      </c>
      <c r="Q10" s="972">
        <v>0</v>
      </c>
      <c r="R10" s="974">
        <v>0</v>
      </c>
      <c r="S10" s="970">
        <v>0</v>
      </c>
      <c r="T10" s="970">
        <v>0</v>
      </c>
      <c r="U10" s="972">
        <v>0</v>
      </c>
      <c r="V10" s="626">
        <v>0</v>
      </c>
      <c r="W10" s="626">
        <v>28059</v>
      </c>
      <c r="X10" s="626">
        <v>0</v>
      </c>
      <c r="Y10" s="626">
        <v>0</v>
      </c>
      <c r="Z10" s="626">
        <v>0</v>
      </c>
      <c r="AA10" s="626">
        <v>258877.79454</v>
      </c>
      <c r="AB10" s="627">
        <v>3549.3539999999998</v>
      </c>
      <c r="AC10" s="627">
        <v>2560</v>
      </c>
      <c r="AD10" s="628">
        <v>0</v>
      </c>
      <c r="AE10" s="626">
        <v>549023.18718999997</v>
      </c>
      <c r="AF10" s="627">
        <v>3266.9636</v>
      </c>
      <c r="AG10" s="627">
        <v>2560</v>
      </c>
      <c r="AH10" s="628">
        <v>0</v>
      </c>
    </row>
    <row r="11" spans="1:35" s="58" customFormat="1">
      <c r="A11" s="559"/>
      <c r="B11" s="61" t="s">
        <v>657</v>
      </c>
      <c r="C11" s="999"/>
      <c r="D11" s="1003"/>
      <c r="E11" s="787">
        <v>0</v>
      </c>
      <c r="F11" s="789">
        <v>983491.50640107261</v>
      </c>
      <c r="G11" s="623">
        <v>8746903.3187967408</v>
      </c>
      <c r="H11" s="624">
        <v>44166</v>
      </c>
      <c r="I11" s="625">
        <v>0.8</v>
      </c>
      <c r="J11" s="615">
        <v>0.45599999999999996</v>
      </c>
      <c r="K11" s="615">
        <v>0.1396</v>
      </c>
      <c r="L11" s="615">
        <v>0.32080000000000003</v>
      </c>
      <c r="M11" s="615">
        <v>8.359999999999998E-2</v>
      </c>
      <c r="N11" s="975"/>
      <c r="O11" s="971"/>
      <c r="P11" s="971"/>
      <c r="Q11" s="973"/>
      <c r="R11" s="975"/>
      <c r="S11" s="971"/>
      <c r="T11" s="971"/>
      <c r="U11" s="973"/>
      <c r="V11" s="626">
        <v>0</v>
      </c>
      <c r="W11" s="626">
        <v>27266</v>
      </c>
      <c r="X11" s="626">
        <v>0</v>
      </c>
      <c r="Y11" s="626">
        <v>0</v>
      </c>
      <c r="Z11" s="626">
        <v>0</v>
      </c>
      <c r="AA11" s="626">
        <v>309521.22806000005</v>
      </c>
      <c r="AB11" s="627">
        <v>3712.6139999999996</v>
      </c>
      <c r="AC11" s="627">
        <v>4488</v>
      </c>
      <c r="AD11" s="628">
        <v>10000</v>
      </c>
      <c r="AE11" s="626">
        <v>1026672.51697</v>
      </c>
      <c r="AF11" s="627">
        <v>5240.0435999999991</v>
      </c>
      <c r="AG11" s="627">
        <v>5776</v>
      </c>
      <c r="AH11" s="628">
        <v>12500</v>
      </c>
    </row>
    <row r="12" spans="1:35" s="58" customFormat="1">
      <c r="A12" s="559"/>
      <c r="B12" s="61" t="s">
        <v>658</v>
      </c>
      <c r="C12" s="1000"/>
      <c r="D12" s="622">
        <v>3714408</v>
      </c>
      <c r="E12" s="612">
        <v>3847799</v>
      </c>
      <c r="F12" s="646">
        <v>1827419.39</v>
      </c>
      <c r="G12" s="622">
        <v>1827419.39</v>
      </c>
      <c r="H12" s="624">
        <v>43831</v>
      </c>
      <c r="I12" s="625">
        <v>0.8</v>
      </c>
      <c r="J12" s="976">
        <v>0.45599999999999996</v>
      </c>
      <c r="K12" s="976">
        <v>0.1396</v>
      </c>
      <c r="L12" s="976">
        <v>0.32080000000000003</v>
      </c>
      <c r="M12" s="976">
        <v>8.359999999999998E-2</v>
      </c>
      <c r="N12" s="626">
        <v>896909</v>
      </c>
      <c r="O12" s="627">
        <v>255108</v>
      </c>
      <c r="P12" s="627">
        <v>628938</v>
      </c>
      <c r="Q12" s="628">
        <v>287769</v>
      </c>
      <c r="R12" s="626">
        <v>2132520</v>
      </c>
      <c r="S12" s="627">
        <v>23474</v>
      </c>
      <c r="T12" s="627">
        <v>0</v>
      </c>
      <c r="U12" s="628">
        <v>0</v>
      </c>
      <c r="V12" s="626">
        <v>1452681</v>
      </c>
      <c r="W12" s="626">
        <v>1052057</v>
      </c>
      <c r="X12" s="626">
        <v>21625.086874040553</v>
      </c>
      <c r="Y12" s="626">
        <v>0</v>
      </c>
      <c r="Z12" s="626">
        <v>0</v>
      </c>
      <c r="AA12" s="626">
        <v>541052.96459999995</v>
      </c>
      <c r="AB12" s="627">
        <v>39799.5</v>
      </c>
      <c r="AC12" s="627">
        <v>54324</v>
      </c>
      <c r="AD12" s="628">
        <v>2000</v>
      </c>
      <c r="AE12" s="626">
        <v>544228.29570000002</v>
      </c>
      <c r="AF12" s="627">
        <v>61975.056799999998</v>
      </c>
      <c r="AG12" s="627">
        <v>54324</v>
      </c>
      <c r="AH12" s="628">
        <v>2300</v>
      </c>
    </row>
    <row r="13" spans="1:35" s="58" customFormat="1">
      <c r="A13" s="559"/>
      <c r="B13" s="61" t="s">
        <v>659</v>
      </c>
      <c r="C13" s="1000"/>
      <c r="D13" s="622">
        <v>5998421</v>
      </c>
      <c r="E13" s="623">
        <v>5795123</v>
      </c>
      <c r="F13" s="646">
        <v>5998421.4199999999</v>
      </c>
      <c r="G13" s="622">
        <v>5998421.4199999999</v>
      </c>
      <c r="H13" s="624">
        <v>43831</v>
      </c>
      <c r="I13" s="625">
        <v>0.8</v>
      </c>
      <c r="J13" s="977">
        <v>0.45599999999999996</v>
      </c>
      <c r="K13" s="977">
        <v>0.1396</v>
      </c>
      <c r="L13" s="977">
        <v>0.32080000000000003</v>
      </c>
      <c r="M13" s="977">
        <v>8.359999999999998E-2</v>
      </c>
      <c r="N13" s="626">
        <v>3535596</v>
      </c>
      <c r="O13" s="627">
        <v>1014221</v>
      </c>
      <c r="P13" s="627">
        <v>2518355</v>
      </c>
      <c r="Q13" s="628">
        <v>501468</v>
      </c>
      <c r="R13" s="626">
        <v>1109067</v>
      </c>
      <c r="S13" s="627">
        <v>35211</v>
      </c>
      <c r="T13" s="627">
        <v>0</v>
      </c>
      <c r="U13" s="628">
        <v>0</v>
      </c>
      <c r="V13" s="626">
        <v>2855322</v>
      </c>
      <c r="W13" s="626">
        <v>1089047</v>
      </c>
      <c r="X13" s="626">
        <v>28918.24823517555</v>
      </c>
      <c r="Y13" s="626">
        <v>0</v>
      </c>
      <c r="Z13" s="626">
        <v>0</v>
      </c>
      <c r="AA13" s="626">
        <v>1656823.09</v>
      </c>
      <c r="AB13" s="627">
        <v>49232.74</v>
      </c>
      <c r="AC13" s="627">
        <v>106043</v>
      </c>
      <c r="AD13" s="628">
        <v>2000</v>
      </c>
      <c r="AE13" s="626">
        <v>2504911.3459999999</v>
      </c>
      <c r="AF13" s="627">
        <v>72305.065600000002</v>
      </c>
      <c r="AG13" s="627">
        <v>106043</v>
      </c>
      <c r="AH13" s="628">
        <v>2300</v>
      </c>
    </row>
    <row r="14" spans="1:35" s="58" customFormat="1">
      <c r="A14" s="559"/>
      <c r="B14" s="61" t="s">
        <v>660</v>
      </c>
      <c r="C14" s="1000"/>
      <c r="D14" s="622">
        <v>3442171</v>
      </c>
      <c r="E14" s="623">
        <v>3512080</v>
      </c>
      <c r="F14" s="646">
        <v>5329159.5599999996</v>
      </c>
      <c r="G14" s="622">
        <v>5329159.5599999996</v>
      </c>
      <c r="H14" s="624">
        <v>43831</v>
      </c>
      <c r="I14" s="625">
        <v>0.8</v>
      </c>
      <c r="J14" s="978">
        <v>0.45599999999999996</v>
      </c>
      <c r="K14" s="978">
        <v>0.1396</v>
      </c>
      <c r="L14" s="978">
        <v>0.32080000000000003</v>
      </c>
      <c r="M14" s="978">
        <v>8.359999999999998E-2</v>
      </c>
      <c r="N14" s="626">
        <v>1992822</v>
      </c>
      <c r="O14" s="627">
        <v>567109</v>
      </c>
      <c r="P14" s="627">
        <v>1398747</v>
      </c>
      <c r="Q14" s="628">
        <v>310524</v>
      </c>
      <c r="R14" s="626">
        <v>189864</v>
      </c>
      <c r="S14" s="627">
        <v>20540</v>
      </c>
      <c r="T14" s="627">
        <v>0</v>
      </c>
      <c r="U14" s="628">
        <v>0</v>
      </c>
      <c r="V14" s="626">
        <v>3272165</v>
      </c>
      <c r="W14" s="626">
        <v>120533</v>
      </c>
      <c r="X14" s="626">
        <v>21083.353109753702</v>
      </c>
      <c r="Y14" s="626">
        <v>0</v>
      </c>
      <c r="Z14" s="626">
        <v>0</v>
      </c>
      <c r="AA14" s="626">
        <v>597326.57909999997</v>
      </c>
      <c r="AB14" s="627">
        <v>39614.28</v>
      </c>
      <c r="AC14" s="627">
        <v>65371</v>
      </c>
      <c r="AD14" s="628">
        <v>2000</v>
      </c>
      <c r="AE14" s="626">
        <v>596202.69220000005</v>
      </c>
      <c r="AF14" s="627">
        <v>61798.496800000001</v>
      </c>
      <c r="AG14" s="627">
        <v>65371</v>
      </c>
      <c r="AH14" s="628">
        <v>2300</v>
      </c>
    </row>
    <row r="15" spans="1:35" s="58" customFormat="1" ht="31.5">
      <c r="A15" s="559"/>
      <c r="B15" s="61" t="s">
        <v>661</v>
      </c>
      <c r="C15" s="1000"/>
      <c r="D15" s="622">
        <v>0</v>
      </c>
      <c r="E15" s="623">
        <v>120000</v>
      </c>
      <c r="F15" s="612">
        <v>1490351.43</v>
      </c>
      <c r="G15" s="623">
        <v>4230308.92</v>
      </c>
      <c r="H15" s="624">
        <v>44317</v>
      </c>
      <c r="I15" s="625">
        <v>0.8</v>
      </c>
      <c r="J15" s="615">
        <v>0.45599999999999996</v>
      </c>
      <c r="K15" s="615">
        <v>0.1396</v>
      </c>
      <c r="L15" s="615">
        <v>0.32080000000000003</v>
      </c>
      <c r="M15" s="615">
        <v>8.359999999999998E-2</v>
      </c>
      <c r="N15" s="626">
        <v>0</v>
      </c>
      <c r="O15" s="627">
        <v>0</v>
      </c>
      <c r="P15" s="627">
        <v>0</v>
      </c>
      <c r="Q15" s="628">
        <v>0</v>
      </c>
      <c r="R15" s="626">
        <v>0</v>
      </c>
      <c r="S15" s="627">
        <v>0</v>
      </c>
      <c r="T15" s="627">
        <v>0</v>
      </c>
      <c r="U15" s="628">
        <v>0</v>
      </c>
      <c r="V15" s="626">
        <v>0</v>
      </c>
      <c r="W15" s="626">
        <v>0</v>
      </c>
      <c r="X15" s="626">
        <v>0</v>
      </c>
      <c r="Y15" s="626">
        <v>0</v>
      </c>
      <c r="Z15" s="626">
        <v>0</v>
      </c>
      <c r="AA15" s="626">
        <v>405358.34700000001</v>
      </c>
      <c r="AB15" s="627">
        <v>3106.76</v>
      </c>
      <c r="AC15" s="627">
        <v>8751</v>
      </c>
      <c r="AD15" s="628">
        <v>14500</v>
      </c>
      <c r="AE15" s="626">
        <v>748491.17209999997</v>
      </c>
      <c r="AF15" s="627">
        <v>3444.5571999999997</v>
      </c>
      <c r="AG15" s="627">
        <v>8751</v>
      </c>
      <c r="AH15" s="628">
        <v>17500</v>
      </c>
    </row>
    <row r="16" spans="1:35" s="58" customFormat="1" ht="16.149999999999999" thickBot="1">
      <c r="A16" s="559"/>
      <c r="B16" s="62" t="s">
        <v>662</v>
      </c>
      <c r="C16" s="1001"/>
      <c r="D16" s="629">
        <v>0</v>
      </c>
      <c r="E16" s="612">
        <v>85000</v>
      </c>
      <c r="F16" s="630">
        <v>1000000</v>
      </c>
      <c r="G16" s="631">
        <v>1000000</v>
      </c>
      <c r="H16" s="632">
        <v>44409</v>
      </c>
      <c r="I16" s="633">
        <v>0.8</v>
      </c>
      <c r="J16" s="634">
        <v>0.45599999999999996</v>
      </c>
      <c r="K16" s="634">
        <v>0.1396</v>
      </c>
      <c r="L16" s="634">
        <v>0.32080000000000003</v>
      </c>
      <c r="M16" s="791">
        <v>8.359999999999998E-2</v>
      </c>
      <c r="N16" s="635">
        <v>0</v>
      </c>
      <c r="O16" s="636">
        <v>0</v>
      </c>
      <c r="P16" s="636">
        <v>0</v>
      </c>
      <c r="Q16" s="637">
        <v>0</v>
      </c>
      <c r="R16" s="635">
        <v>0</v>
      </c>
      <c r="S16" s="636">
        <v>0</v>
      </c>
      <c r="T16" s="636">
        <v>0</v>
      </c>
      <c r="U16" s="637">
        <v>0</v>
      </c>
      <c r="V16" s="635">
        <v>21500</v>
      </c>
      <c r="W16" s="635">
        <v>4005</v>
      </c>
      <c r="X16" s="635">
        <v>0</v>
      </c>
      <c r="Y16" s="635">
        <v>0</v>
      </c>
      <c r="Z16" s="635">
        <v>0</v>
      </c>
      <c r="AA16" s="635">
        <v>167641.7879</v>
      </c>
      <c r="AB16" s="636">
        <v>2900.68</v>
      </c>
      <c r="AC16" s="636">
        <v>5872</v>
      </c>
      <c r="AD16" s="637">
        <v>14500</v>
      </c>
      <c r="AE16" s="635">
        <v>170745.49840000001</v>
      </c>
      <c r="AF16" s="636">
        <v>3143.3468000000003</v>
      </c>
      <c r="AG16" s="636">
        <v>5872</v>
      </c>
      <c r="AH16" s="637">
        <v>17500</v>
      </c>
    </row>
    <row r="17" spans="1:34" s="58" customFormat="1">
      <c r="A17" s="559"/>
      <c r="B17" s="59" t="s">
        <v>663</v>
      </c>
      <c r="C17" s="998" t="s">
        <v>650</v>
      </c>
      <c r="D17" s="611">
        <v>0</v>
      </c>
      <c r="E17" s="638">
        <v>0</v>
      </c>
      <c r="F17" s="639">
        <v>1988742</v>
      </c>
      <c r="G17" s="612">
        <v>6135311</v>
      </c>
      <c r="H17" s="613">
        <v>44652</v>
      </c>
      <c r="I17" s="790">
        <v>0.8</v>
      </c>
      <c r="J17" s="615">
        <v>0.45599999999999996</v>
      </c>
      <c r="K17" s="615">
        <v>0.1396</v>
      </c>
      <c r="L17" s="615">
        <v>0.32080000000000003</v>
      </c>
      <c r="M17" s="615">
        <v>8.359999999999998E-2</v>
      </c>
      <c r="N17" s="619">
        <v>0</v>
      </c>
      <c r="O17" s="620">
        <v>0</v>
      </c>
      <c r="P17" s="620">
        <v>0</v>
      </c>
      <c r="Q17" s="621">
        <v>0</v>
      </c>
      <c r="R17" s="619">
        <v>0</v>
      </c>
      <c r="S17" s="620">
        <v>0</v>
      </c>
      <c r="T17" s="620">
        <v>0</v>
      </c>
      <c r="U17" s="621">
        <v>0</v>
      </c>
      <c r="V17" s="619">
        <v>0</v>
      </c>
      <c r="W17" s="619">
        <v>0</v>
      </c>
      <c r="X17" s="619">
        <v>0</v>
      </c>
      <c r="Y17" s="619">
        <v>0</v>
      </c>
      <c r="Z17" s="619">
        <v>0</v>
      </c>
      <c r="AA17" s="619">
        <v>325525.72230000002</v>
      </c>
      <c r="AB17" s="620">
        <v>3974.4</v>
      </c>
      <c r="AC17" s="620">
        <v>36113</v>
      </c>
      <c r="AD17" s="621">
        <v>15000</v>
      </c>
      <c r="AE17" s="619">
        <v>402588.05129999999</v>
      </c>
      <c r="AF17" s="620">
        <v>5911.1072000000004</v>
      </c>
      <c r="AG17" s="620">
        <v>36113</v>
      </c>
      <c r="AH17" s="621">
        <v>18000</v>
      </c>
    </row>
    <row r="18" spans="1:34" s="58" customFormat="1">
      <c r="A18" s="559"/>
      <c r="B18" s="61" t="s">
        <v>664</v>
      </c>
      <c r="C18" s="1000"/>
      <c r="D18" s="622">
        <v>0</v>
      </c>
      <c r="E18" s="623">
        <v>7487999.9999503121</v>
      </c>
      <c r="F18" s="623">
        <v>13737599.9998812</v>
      </c>
      <c r="G18" s="623">
        <v>14042879.999944411</v>
      </c>
      <c r="H18" s="624">
        <v>44075</v>
      </c>
      <c r="I18" s="625">
        <v>1</v>
      </c>
      <c r="J18" s="615">
        <v>0.44400000000000001</v>
      </c>
      <c r="K18" s="615">
        <v>0.155</v>
      </c>
      <c r="L18" s="615">
        <v>0.40100000000000002</v>
      </c>
      <c r="M18" s="615">
        <v>0</v>
      </c>
      <c r="N18" s="626">
        <v>0</v>
      </c>
      <c r="O18" s="627">
        <v>0</v>
      </c>
      <c r="P18" s="627">
        <v>0</v>
      </c>
      <c r="Q18" s="628">
        <v>0</v>
      </c>
      <c r="R18" s="626">
        <v>0</v>
      </c>
      <c r="S18" s="627">
        <v>0</v>
      </c>
      <c r="T18" s="627">
        <v>0</v>
      </c>
      <c r="U18" s="628">
        <v>0</v>
      </c>
      <c r="V18" s="626">
        <v>0</v>
      </c>
      <c r="W18" s="626">
        <v>0</v>
      </c>
      <c r="X18" s="626">
        <v>0</v>
      </c>
      <c r="Y18" s="626">
        <v>0</v>
      </c>
      <c r="Z18" s="626">
        <v>0</v>
      </c>
      <c r="AA18" s="626">
        <v>381996.4584</v>
      </c>
      <c r="AB18" s="627">
        <v>16795.41</v>
      </c>
      <c r="AC18" s="627">
        <v>291508</v>
      </c>
      <c r="AD18" s="628">
        <v>0</v>
      </c>
      <c r="AE18" s="626">
        <v>411088.51409999997</v>
      </c>
      <c r="AF18" s="627">
        <v>16092.575999999999</v>
      </c>
      <c r="AG18" s="627">
        <v>291508</v>
      </c>
      <c r="AH18" s="628">
        <v>0</v>
      </c>
    </row>
    <row r="19" spans="1:34" s="58" customFormat="1">
      <c r="A19" s="559"/>
      <c r="B19" s="61" t="s">
        <v>665</v>
      </c>
      <c r="C19" s="1000"/>
      <c r="D19" s="622">
        <v>0</v>
      </c>
      <c r="E19" s="623">
        <v>0</v>
      </c>
      <c r="F19" s="623">
        <v>14857972.300000001</v>
      </c>
      <c r="G19" s="623">
        <v>18889143.82</v>
      </c>
      <c r="H19" s="624">
        <v>44409</v>
      </c>
      <c r="I19" s="625">
        <v>1</v>
      </c>
      <c r="J19" s="615">
        <v>0.44400000000000001</v>
      </c>
      <c r="K19" s="615">
        <v>0.155</v>
      </c>
      <c r="L19" s="615">
        <v>0.40100000000000002</v>
      </c>
      <c r="M19" s="615">
        <v>0</v>
      </c>
      <c r="N19" s="626">
        <v>0</v>
      </c>
      <c r="O19" s="627">
        <v>0</v>
      </c>
      <c r="P19" s="627">
        <v>0</v>
      </c>
      <c r="Q19" s="628">
        <v>0</v>
      </c>
      <c r="R19" s="626">
        <v>0</v>
      </c>
      <c r="S19" s="627">
        <v>0</v>
      </c>
      <c r="T19" s="627">
        <v>0</v>
      </c>
      <c r="U19" s="628">
        <v>0</v>
      </c>
      <c r="V19" s="626">
        <v>0</v>
      </c>
      <c r="W19" s="626">
        <v>0</v>
      </c>
      <c r="X19" s="626">
        <v>0</v>
      </c>
      <c r="Y19" s="626">
        <v>0</v>
      </c>
      <c r="Z19" s="626">
        <v>0</v>
      </c>
      <c r="AA19" s="626">
        <v>346396.39409999998</v>
      </c>
      <c r="AB19" s="627">
        <v>168646.682</v>
      </c>
      <c r="AC19" s="627">
        <v>337247.93734</v>
      </c>
      <c r="AD19" s="628">
        <v>0</v>
      </c>
      <c r="AE19" s="626">
        <v>391569.45899999997</v>
      </c>
      <c r="AF19" s="627">
        <v>239052.77860000002</v>
      </c>
      <c r="AG19" s="627">
        <v>337247.93734</v>
      </c>
      <c r="AH19" s="628">
        <v>0</v>
      </c>
    </row>
    <row r="20" spans="1:34" s="58" customFormat="1" ht="16.149999999999999" thickBot="1">
      <c r="A20" s="559"/>
      <c r="B20" s="62" t="s">
        <v>666</v>
      </c>
      <c r="C20" s="1001"/>
      <c r="D20" s="629">
        <v>0</v>
      </c>
      <c r="E20" s="630">
        <v>0</v>
      </c>
      <c r="F20" s="630">
        <v>1988742</v>
      </c>
      <c r="G20" s="630">
        <v>6135311</v>
      </c>
      <c r="H20" s="632">
        <v>44593</v>
      </c>
      <c r="I20" s="633">
        <v>0.8</v>
      </c>
      <c r="J20" s="634">
        <v>0.45599999999999996</v>
      </c>
      <c r="K20" s="634">
        <v>0.1396</v>
      </c>
      <c r="L20" s="634">
        <v>0.32080000000000003</v>
      </c>
      <c r="M20" s="791">
        <v>8.359999999999998E-2</v>
      </c>
      <c r="N20" s="635">
        <v>0</v>
      </c>
      <c r="O20" s="636">
        <v>0</v>
      </c>
      <c r="P20" s="636">
        <v>0</v>
      </c>
      <c r="Q20" s="637">
        <v>0</v>
      </c>
      <c r="R20" s="635">
        <v>0</v>
      </c>
      <c r="S20" s="636">
        <v>0</v>
      </c>
      <c r="T20" s="636">
        <v>0</v>
      </c>
      <c r="U20" s="637">
        <v>0</v>
      </c>
      <c r="V20" s="635">
        <v>0</v>
      </c>
      <c r="W20" s="635">
        <v>0</v>
      </c>
      <c r="X20" s="635">
        <v>0</v>
      </c>
      <c r="Y20" s="635">
        <v>0</v>
      </c>
      <c r="Z20" s="635">
        <v>0</v>
      </c>
      <c r="AA20" s="635">
        <v>336778.16960000002</v>
      </c>
      <c r="AB20" s="636">
        <v>3976.17</v>
      </c>
      <c r="AC20" s="636">
        <v>36114</v>
      </c>
      <c r="AD20" s="637">
        <v>15000</v>
      </c>
      <c r="AE20" s="635">
        <v>414236.58470000001</v>
      </c>
      <c r="AF20" s="636">
        <v>5911.1072000000004</v>
      </c>
      <c r="AG20" s="636">
        <v>36114</v>
      </c>
      <c r="AH20" s="637">
        <v>18000</v>
      </c>
    </row>
    <row r="21" spans="1:34" s="58" customFormat="1">
      <c r="A21" s="559"/>
      <c r="B21" s="59" t="s">
        <v>667</v>
      </c>
      <c r="C21" s="998" t="s">
        <v>651</v>
      </c>
      <c r="D21" s="611">
        <v>0</v>
      </c>
      <c r="E21" s="638">
        <v>144325</v>
      </c>
      <c r="F21" s="612">
        <v>2053992</v>
      </c>
      <c r="G21" s="612">
        <v>4339776.0000000009</v>
      </c>
      <c r="H21" s="613">
        <v>44348</v>
      </c>
      <c r="I21" s="640">
        <v>0</v>
      </c>
      <c r="J21" s="615">
        <v>0.504</v>
      </c>
      <c r="K21" s="615">
        <v>7.8E-2</v>
      </c>
      <c r="L21" s="615">
        <v>0</v>
      </c>
      <c r="M21" s="615">
        <v>0.41799999999999998</v>
      </c>
      <c r="N21" s="619">
        <v>0</v>
      </c>
      <c r="O21" s="620">
        <v>0</v>
      </c>
      <c r="P21" s="620">
        <v>0</v>
      </c>
      <c r="Q21" s="621">
        <v>0</v>
      </c>
      <c r="R21" s="619">
        <v>0</v>
      </c>
      <c r="S21" s="620">
        <v>0</v>
      </c>
      <c r="T21" s="620">
        <v>0</v>
      </c>
      <c r="U21" s="621">
        <v>0</v>
      </c>
      <c r="V21" s="619">
        <v>0</v>
      </c>
      <c r="W21" s="619">
        <v>0</v>
      </c>
      <c r="X21" s="619">
        <v>0</v>
      </c>
      <c r="Y21" s="619">
        <v>0</v>
      </c>
      <c r="Z21" s="619">
        <v>0</v>
      </c>
      <c r="AA21" s="619">
        <v>341833.39409999998</v>
      </c>
      <c r="AB21" s="620">
        <v>15811.558000000001</v>
      </c>
      <c r="AC21" s="620">
        <v>0</v>
      </c>
      <c r="AD21" s="621">
        <v>310738</v>
      </c>
      <c r="AE21" s="619">
        <v>387006.45899999997</v>
      </c>
      <c r="AF21" s="620">
        <v>20641.501700000001</v>
      </c>
      <c r="AG21" s="620">
        <v>0</v>
      </c>
      <c r="AH21" s="621">
        <v>320933</v>
      </c>
    </row>
    <row r="22" spans="1:34" s="58" customFormat="1">
      <c r="A22" s="559"/>
      <c r="B22" s="61" t="s">
        <v>668</v>
      </c>
      <c r="C22" s="1000"/>
      <c r="D22" s="622">
        <v>0</v>
      </c>
      <c r="E22" s="623">
        <v>9862775.5620900001</v>
      </c>
      <c r="F22" s="623">
        <v>15333260.084340001</v>
      </c>
      <c r="G22" s="623">
        <v>18343224.52217</v>
      </c>
      <c r="H22" s="624">
        <v>44166</v>
      </c>
      <c r="I22" s="625">
        <v>0.4</v>
      </c>
      <c r="J22" s="615">
        <v>0.48</v>
      </c>
      <c r="K22" s="615">
        <v>0.10880000000000001</v>
      </c>
      <c r="L22" s="615">
        <v>0.16040000000000001</v>
      </c>
      <c r="M22" s="615">
        <v>0.25079999999999997</v>
      </c>
      <c r="N22" s="626">
        <v>0</v>
      </c>
      <c r="O22" s="627">
        <v>0</v>
      </c>
      <c r="P22" s="627">
        <v>0</v>
      </c>
      <c r="Q22" s="628">
        <v>0</v>
      </c>
      <c r="R22" s="626">
        <v>0</v>
      </c>
      <c r="S22" s="627">
        <v>0</v>
      </c>
      <c r="T22" s="627">
        <v>0</v>
      </c>
      <c r="U22" s="628">
        <v>0</v>
      </c>
      <c r="V22" s="626">
        <v>1426644</v>
      </c>
      <c r="W22" s="626">
        <v>0</v>
      </c>
      <c r="X22" s="626">
        <v>0</v>
      </c>
      <c r="Y22" s="626">
        <v>0</v>
      </c>
      <c r="Z22" s="626">
        <v>0</v>
      </c>
      <c r="AA22" s="626">
        <v>569189.18449999997</v>
      </c>
      <c r="AB22" s="627">
        <v>10218.1</v>
      </c>
      <c r="AC22" s="627">
        <v>45019</v>
      </c>
      <c r="AD22" s="628">
        <v>349768</v>
      </c>
      <c r="AE22" s="626">
        <v>638207.16689999995</v>
      </c>
      <c r="AF22" s="627">
        <v>11476.7708</v>
      </c>
      <c r="AG22" s="627">
        <v>45019</v>
      </c>
      <c r="AH22" s="628">
        <v>361868</v>
      </c>
    </row>
    <row r="23" spans="1:34" s="58" customFormat="1" ht="16.149999999999999" thickBot="1">
      <c r="A23" s="559"/>
      <c r="B23" s="62" t="s">
        <v>669</v>
      </c>
      <c r="C23" s="1001"/>
      <c r="D23" s="629">
        <v>0</v>
      </c>
      <c r="E23" s="630">
        <v>7324277.3200000022</v>
      </c>
      <c r="F23" s="641">
        <v>14690332.619999999</v>
      </c>
      <c r="G23" s="641">
        <v>17252452.062349994</v>
      </c>
      <c r="H23" s="624">
        <v>44166</v>
      </c>
      <c r="I23" s="633">
        <v>0.4</v>
      </c>
      <c r="J23" s="634">
        <v>0.48</v>
      </c>
      <c r="K23" s="634">
        <v>0.10880000000000001</v>
      </c>
      <c r="L23" s="634">
        <v>0.16040000000000001</v>
      </c>
      <c r="M23" s="791">
        <v>0.25079999999999997</v>
      </c>
      <c r="N23" s="635">
        <v>0</v>
      </c>
      <c r="O23" s="636">
        <v>0</v>
      </c>
      <c r="P23" s="636">
        <v>0</v>
      </c>
      <c r="Q23" s="637">
        <v>0</v>
      </c>
      <c r="R23" s="635">
        <v>0</v>
      </c>
      <c r="S23" s="636">
        <v>0</v>
      </c>
      <c r="T23" s="636">
        <v>0</v>
      </c>
      <c r="U23" s="637">
        <v>0</v>
      </c>
      <c r="V23" s="635">
        <v>468574</v>
      </c>
      <c r="W23" s="635">
        <v>0</v>
      </c>
      <c r="X23" s="635">
        <v>0</v>
      </c>
      <c r="Y23" s="635">
        <v>0</v>
      </c>
      <c r="Z23" s="635">
        <v>895.83</v>
      </c>
      <c r="AA23" s="635">
        <v>500619.9816</v>
      </c>
      <c r="AB23" s="636">
        <v>8183.2860000000001</v>
      </c>
      <c r="AC23" s="636">
        <v>43131</v>
      </c>
      <c r="AD23" s="637">
        <v>329239</v>
      </c>
      <c r="AE23" s="635">
        <v>563974.36419999995</v>
      </c>
      <c r="AF23" s="636">
        <v>9797.2171999999991</v>
      </c>
      <c r="AG23" s="636">
        <v>43131</v>
      </c>
      <c r="AH23" s="637">
        <v>341941.66</v>
      </c>
    </row>
    <row r="24" spans="1:34" s="58" customFormat="1">
      <c r="A24" s="559"/>
      <c r="B24" s="59" t="s">
        <v>670</v>
      </c>
      <c r="C24" s="998" t="s">
        <v>649</v>
      </c>
      <c r="D24" s="642">
        <v>0</v>
      </c>
      <c r="E24" s="643">
        <v>0</v>
      </c>
      <c r="F24" s="620">
        <v>0</v>
      </c>
      <c r="G24" s="620">
        <v>6900000</v>
      </c>
      <c r="H24" s="644">
        <v>44774</v>
      </c>
      <c r="I24" s="640">
        <v>0.8</v>
      </c>
      <c r="J24" s="615">
        <v>0.45599999999999996</v>
      </c>
      <c r="K24" s="615">
        <v>0.1396</v>
      </c>
      <c r="L24" s="615">
        <v>0.32080000000000003</v>
      </c>
      <c r="M24" s="615">
        <v>8.359999999999998E-2</v>
      </c>
      <c r="N24" s="619">
        <v>0</v>
      </c>
      <c r="O24" s="620">
        <v>0</v>
      </c>
      <c r="P24" s="620">
        <v>0</v>
      </c>
      <c r="Q24" s="621">
        <v>0</v>
      </c>
      <c r="R24" s="619">
        <v>0</v>
      </c>
      <c r="S24" s="620">
        <v>0</v>
      </c>
      <c r="T24" s="620">
        <v>0</v>
      </c>
      <c r="U24" s="621">
        <v>0</v>
      </c>
      <c r="V24" s="619">
        <v>0</v>
      </c>
      <c r="W24" s="619">
        <v>0</v>
      </c>
      <c r="X24" s="619">
        <v>0</v>
      </c>
      <c r="Y24" s="619">
        <v>0</v>
      </c>
      <c r="Z24" s="619">
        <v>0</v>
      </c>
      <c r="AA24" s="619">
        <v>0</v>
      </c>
      <c r="AB24" s="620">
        <v>0</v>
      </c>
      <c r="AC24" s="620">
        <v>0</v>
      </c>
      <c r="AD24" s="621">
        <v>0</v>
      </c>
      <c r="AE24" s="619">
        <v>288365.3187</v>
      </c>
      <c r="AF24" s="620">
        <v>668183.04319999996</v>
      </c>
      <c r="AG24" s="620">
        <v>0</v>
      </c>
      <c r="AH24" s="621">
        <v>20000</v>
      </c>
    </row>
    <row r="25" spans="1:34" s="58" customFormat="1">
      <c r="A25" s="559"/>
      <c r="B25" s="61" t="s">
        <v>671</v>
      </c>
      <c r="C25" s="1000"/>
      <c r="D25" s="645">
        <v>0</v>
      </c>
      <c r="E25" s="646">
        <v>0</v>
      </c>
      <c r="F25" s="627">
        <v>14735004</v>
      </c>
      <c r="G25" s="627">
        <v>15261637</v>
      </c>
      <c r="H25" s="624">
        <v>44531</v>
      </c>
      <c r="I25" s="625">
        <v>0.8</v>
      </c>
      <c r="J25" s="615">
        <v>0.45599999999999996</v>
      </c>
      <c r="K25" s="615">
        <v>0.1396</v>
      </c>
      <c r="L25" s="615">
        <v>0.32080000000000003</v>
      </c>
      <c r="M25" s="615">
        <v>8.359999999999998E-2</v>
      </c>
      <c r="N25" s="626">
        <v>0</v>
      </c>
      <c r="O25" s="627">
        <v>0</v>
      </c>
      <c r="P25" s="627">
        <v>0</v>
      </c>
      <c r="Q25" s="628">
        <v>0</v>
      </c>
      <c r="R25" s="626">
        <v>0</v>
      </c>
      <c r="S25" s="627">
        <v>0</v>
      </c>
      <c r="T25" s="627">
        <v>0</v>
      </c>
      <c r="U25" s="628">
        <v>0</v>
      </c>
      <c r="V25" s="626">
        <v>0</v>
      </c>
      <c r="W25" s="626">
        <v>0</v>
      </c>
      <c r="X25" s="626">
        <v>0</v>
      </c>
      <c r="Y25" s="626">
        <v>0</v>
      </c>
      <c r="Z25" s="626">
        <v>0</v>
      </c>
      <c r="AA25" s="626">
        <v>421560.74</v>
      </c>
      <c r="AB25" s="627">
        <v>1366041.21</v>
      </c>
      <c r="AC25" s="627">
        <v>86524</v>
      </c>
      <c r="AD25" s="628">
        <v>20000</v>
      </c>
      <c r="AE25" s="626">
        <v>465031.45899999997</v>
      </c>
      <c r="AF25" s="627">
        <v>1481970.014</v>
      </c>
      <c r="AG25" s="627">
        <v>86524</v>
      </c>
      <c r="AH25" s="628">
        <v>23000</v>
      </c>
    </row>
    <row r="26" spans="1:34" s="58" customFormat="1" ht="16.149999999999999" thickBot="1">
      <c r="A26" s="559"/>
      <c r="B26" s="62" t="s">
        <v>672</v>
      </c>
      <c r="C26" s="1001"/>
      <c r="D26" s="647">
        <v>0</v>
      </c>
      <c r="E26" s="631">
        <v>10195515.890000001</v>
      </c>
      <c r="F26" s="636">
        <v>13097045</v>
      </c>
      <c r="G26" s="636">
        <v>13681748</v>
      </c>
      <c r="H26" s="632">
        <v>44105</v>
      </c>
      <c r="I26" s="633">
        <v>0.8</v>
      </c>
      <c r="J26" s="615">
        <v>0.45599999999999996</v>
      </c>
      <c r="K26" s="615">
        <v>0.1396</v>
      </c>
      <c r="L26" s="615">
        <v>0.32080000000000003</v>
      </c>
      <c r="M26" s="615">
        <v>8.359999999999998E-2</v>
      </c>
      <c r="N26" s="635">
        <v>0</v>
      </c>
      <c r="O26" s="636">
        <v>0</v>
      </c>
      <c r="P26" s="636">
        <v>0</v>
      </c>
      <c r="Q26" s="637">
        <v>0</v>
      </c>
      <c r="R26" s="635">
        <v>0</v>
      </c>
      <c r="S26" s="636">
        <v>0</v>
      </c>
      <c r="T26" s="636">
        <v>0</v>
      </c>
      <c r="U26" s="637">
        <v>0</v>
      </c>
      <c r="V26" s="635">
        <v>1745040.9999999998</v>
      </c>
      <c r="W26" s="635">
        <v>0</v>
      </c>
      <c r="X26" s="635">
        <v>179795.92169781134</v>
      </c>
      <c r="Y26" s="635">
        <v>0</v>
      </c>
      <c r="Z26" s="635">
        <v>0</v>
      </c>
      <c r="AA26" s="635">
        <v>483078.04070000001</v>
      </c>
      <c r="AB26" s="636">
        <v>1112026.8500000001</v>
      </c>
      <c r="AC26" s="636">
        <v>76906</v>
      </c>
      <c r="AD26" s="637">
        <v>20000</v>
      </c>
      <c r="AE26" s="635">
        <v>507300.87890000001</v>
      </c>
      <c r="AF26" s="636">
        <v>1093888.8772</v>
      </c>
      <c r="AG26" s="636">
        <v>76906</v>
      </c>
      <c r="AH26" s="637">
        <v>23000</v>
      </c>
    </row>
    <row r="27" spans="1:34" s="64" customFormat="1" ht="16.149999999999999" thickBot="1">
      <c r="A27" s="559"/>
      <c r="B27" s="63" t="s">
        <v>673</v>
      </c>
      <c r="C27" s="561"/>
      <c r="D27" s="560">
        <f>SUM(D7:D26)</f>
        <v>15821667</v>
      </c>
      <c r="E27" s="568">
        <f t="shared" ref="E27:G27" si="0">SUM(E7:E26)</f>
        <v>50017655.772040315</v>
      </c>
      <c r="F27" s="569">
        <f t="shared" si="0"/>
        <v>116349046.72642554</v>
      </c>
      <c r="G27" s="569">
        <f t="shared" si="0"/>
        <v>162719111.88712949</v>
      </c>
      <c r="H27" s="562"/>
      <c r="I27" s="563"/>
      <c r="J27" s="564"/>
      <c r="K27" s="565"/>
      <c r="L27" s="566"/>
      <c r="M27" s="567"/>
      <c r="N27" s="560">
        <f t="shared" ref="N27:AH27" si="1">SUM(N7:N26)</f>
        <v>6425327</v>
      </c>
      <c r="O27" s="568">
        <f t="shared" si="1"/>
        <v>1836438</v>
      </c>
      <c r="P27" s="568">
        <f t="shared" si="1"/>
        <v>4546040</v>
      </c>
      <c r="Q27" s="570">
        <f t="shared" si="1"/>
        <v>1099761</v>
      </c>
      <c r="R27" s="560">
        <f t="shared" si="1"/>
        <v>3431451</v>
      </c>
      <c r="S27" s="568">
        <f t="shared" si="1"/>
        <v>79225</v>
      </c>
      <c r="T27" s="568">
        <f t="shared" si="1"/>
        <v>0</v>
      </c>
      <c r="U27" s="570">
        <f t="shared" si="1"/>
        <v>0</v>
      </c>
      <c r="V27" s="560">
        <f t="shared" si="1"/>
        <v>11268627</v>
      </c>
      <c r="W27" s="560">
        <f t="shared" si="1"/>
        <v>2321982</v>
      </c>
      <c r="X27" s="560">
        <f t="shared" si="1"/>
        <v>251422.60991678113</v>
      </c>
      <c r="Y27" s="560">
        <f t="shared" si="1"/>
        <v>0</v>
      </c>
      <c r="Z27" s="560">
        <f t="shared" si="1"/>
        <v>895.83</v>
      </c>
      <c r="AA27" s="560">
        <f t="shared" si="1"/>
        <v>8641254.8115999997</v>
      </c>
      <c r="AB27" s="568">
        <f t="shared" si="1"/>
        <v>2856503.3739999998</v>
      </c>
      <c r="AC27" s="568">
        <f t="shared" si="1"/>
        <v>1245173.9373399999</v>
      </c>
      <c r="AD27" s="570">
        <f t="shared" si="1"/>
        <v>1161745</v>
      </c>
      <c r="AE27" s="560">
        <f t="shared" si="1"/>
        <v>12041036.167560004</v>
      </c>
      <c r="AF27" s="568">
        <f t="shared" si="1"/>
        <v>3775514.6675</v>
      </c>
      <c r="AG27" s="568">
        <f t="shared" si="1"/>
        <v>1246461.9373399999</v>
      </c>
      <c r="AH27" s="570">
        <f t="shared" si="1"/>
        <v>1246642.6599999999</v>
      </c>
    </row>
    <row r="28" spans="1:34" s="58" customFormat="1" ht="30.75">
      <c r="A28" s="559"/>
      <c r="B28" s="60"/>
      <c r="C28" s="65"/>
      <c r="D28" s="793"/>
      <c r="E28" s="793"/>
      <c r="F28" s="793"/>
      <c r="G28" s="793"/>
      <c r="H28" s="65"/>
      <c r="N28" s="792"/>
      <c r="O28" s="792"/>
      <c r="P28" s="792"/>
      <c r="Q28" s="792"/>
      <c r="R28" s="792"/>
      <c r="S28" s="792"/>
      <c r="T28" s="792"/>
      <c r="U28" s="792"/>
      <c r="V28" s="792"/>
      <c r="W28" s="792"/>
      <c r="X28" s="792"/>
      <c r="Y28" s="792"/>
      <c r="Z28" s="792"/>
      <c r="AA28" s="792"/>
      <c r="AB28" s="792"/>
      <c r="AC28" s="792"/>
      <c r="AD28" s="792"/>
      <c r="AE28" s="792"/>
      <c r="AF28" s="792"/>
      <c r="AG28" s="792"/>
      <c r="AH28" s="792"/>
    </row>
    <row r="29" spans="1:34" s="68" customFormat="1">
      <c r="A29" s="559"/>
      <c r="B29" s="66" t="s">
        <v>674</v>
      </c>
      <c r="C29" s="67"/>
      <c r="D29" s="67"/>
      <c r="E29" s="67"/>
      <c r="F29" s="67"/>
      <c r="G29" s="67"/>
      <c r="H29" s="67"/>
      <c r="I29" s="67"/>
      <c r="N29" s="483"/>
      <c r="O29" s="483"/>
      <c r="P29" s="483"/>
      <c r="Q29" s="483"/>
      <c r="R29" s="483"/>
      <c r="S29" s="483"/>
      <c r="T29" s="483"/>
      <c r="U29" s="483"/>
      <c r="V29" s="483"/>
      <c r="W29" s="483"/>
      <c r="X29" s="483"/>
      <c r="Y29" s="483"/>
      <c r="Z29" s="483"/>
      <c r="AA29" s="483"/>
      <c r="AB29" s="483"/>
      <c r="AC29" s="483"/>
      <c r="AD29" s="483"/>
      <c r="AE29" s="483"/>
      <c r="AF29" s="483"/>
      <c r="AG29" s="483"/>
      <c r="AH29" s="483"/>
    </row>
    <row r="30" spans="1:34" s="68" customFormat="1">
      <c r="A30" s="559"/>
      <c r="B30" s="66" t="s">
        <v>675</v>
      </c>
      <c r="C30" s="67"/>
      <c r="D30" s="67"/>
      <c r="E30" s="67"/>
      <c r="F30" s="67"/>
      <c r="G30" s="67"/>
      <c r="H30" s="67"/>
      <c r="I30" s="67"/>
      <c r="N30" s="483"/>
      <c r="O30" s="483"/>
      <c r="P30" s="483"/>
      <c r="Q30" s="483"/>
      <c r="R30" s="483"/>
      <c r="S30" s="483"/>
      <c r="T30" s="483"/>
      <c r="U30" s="483"/>
      <c r="V30" s="483"/>
      <c r="W30" s="483"/>
      <c r="X30" s="483"/>
      <c r="Y30" s="483"/>
      <c r="Z30" s="483"/>
      <c r="AA30" s="483"/>
      <c r="AB30" s="483"/>
      <c r="AC30" s="483"/>
      <c r="AD30" s="483"/>
      <c r="AE30" s="483"/>
      <c r="AF30" s="483"/>
      <c r="AG30" s="483"/>
      <c r="AH30" s="483"/>
    </row>
    <row r="31" spans="1:34" s="68" customFormat="1">
      <c r="A31" s="559"/>
      <c r="B31" s="66" t="s">
        <v>676</v>
      </c>
      <c r="C31" s="67"/>
      <c r="D31" s="67"/>
      <c r="E31" s="67"/>
      <c r="F31" s="67"/>
      <c r="G31" s="67"/>
      <c r="H31" s="67"/>
      <c r="I31" s="67"/>
      <c r="N31" s="483"/>
      <c r="O31" s="483"/>
      <c r="P31" s="483"/>
      <c r="Q31" s="483"/>
      <c r="R31" s="483"/>
      <c r="S31" s="483"/>
      <c r="T31" s="483"/>
      <c r="U31" s="483"/>
      <c r="V31" s="483"/>
      <c r="W31" s="483"/>
      <c r="X31" s="483"/>
      <c r="Y31" s="483"/>
      <c r="Z31" s="483"/>
      <c r="AA31" s="483"/>
      <c r="AB31" s="483"/>
      <c r="AC31" s="483"/>
      <c r="AD31" s="483"/>
      <c r="AE31" s="483"/>
      <c r="AF31" s="483"/>
      <c r="AG31" s="483"/>
      <c r="AH31" s="483"/>
    </row>
    <row r="32" spans="1:34" s="68" customFormat="1">
      <c r="A32" s="559"/>
      <c r="B32" s="66" t="s">
        <v>677</v>
      </c>
      <c r="C32" s="67"/>
      <c r="D32" s="67"/>
      <c r="E32" s="67"/>
      <c r="F32" s="67"/>
      <c r="G32" s="67"/>
      <c r="H32" s="67"/>
      <c r="I32" s="67"/>
      <c r="N32" s="483"/>
      <c r="O32" s="483"/>
      <c r="P32" s="483"/>
      <c r="Q32" s="483"/>
      <c r="R32" s="483"/>
      <c r="S32" s="483"/>
      <c r="T32" s="483"/>
      <c r="U32" s="483"/>
      <c r="V32" s="483"/>
      <c r="W32" s="483"/>
      <c r="X32" s="483"/>
      <c r="Y32" s="483"/>
      <c r="Z32" s="483"/>
      <c r="AA32" s="483"/>
      <c r="AB32" s="483"/>
      <c r="AC32" s="483"/>
      <c r="AD32" s="483"/>
      <c r="AE32" s="483"/>
      <c r="AF32" s="483"/>
      <c r="AG32" s="483"/>
      <c r="AH32" s="483"/>
    </row>
    <row r="33" spans="1:34" s="58" customFormat="1">
      <c r="A33" s="559"/>
      <c r="B33" s="69"/>
      <c r="C33" s="69"/>
      <c r="D33" s="69"/>
      <c r="E33" s="69"/>
      <c r="F33" s="69"/>
      <c r="G33" s="69"/>
      <c r="H33" s="69"/>
      <c r="I33" s="69"/>
      <c r="N33" s="144"/>
      <c r="O33" s="144"/>
      <c r="P33" s="144"/>
      <c r="Q33" s="144"/>
      <c r="R33" s="144"/>
      <c r="S33" s="144"/>
      <c r="T33" s="144"/>
      <c r="U33" s="144"/>
      <c r="V33" s="144"/>
      <c r="W33" s="144"/>
      <c r="X33" s="144"/>
      <c r="Y33" s="144"/>
      <c r="Z33" s="144"/>
      <c r="AA33" s="144"/>
      <c r="AB33" s="144"/>
      <c r="AC33" s="144"/>
      <c r="AD33" s="144"/>
      <c r="AE33" s="144"/>
      <c r="AF33" s="144"/>
      <c r="AG33" s="144"/>
      <c r="AH33" s="144"/>
    </row>
    <row r="34" spans="1:34" s="68" customFormat="1" ht="36" customHeight="1">
      <c r="A34" s="559"/>
      <c r="B34" s="989" t="s">
        <v>678</v>
      </c>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549"/>
      <c r="AF34" s="549"/>
      <c r="AG34" s="549"/>
      <c r="AH34" s="549"/>
    </row>
    <row r="35" spans="1:34" ht="16.149999999999999" thickBot="1">
      <c r="A35" s="559"/>
    </row>
    <row r="36" spans="1:34" ht="16.149999999999999" thickBot="1">
      <c r="C36" s="992" t="s">
        <v>679</v>
      </c>
      <c r="D36" s="993"/>
      <c r="E36" s="993"/>
      <c r="F36" s="993"/>
      <c r="G36" s="993"/>
      <c r="H36" s="993"/>
      <c r="I36" s="994"/>
    </row>
    <row r="37" spans="1:34" ht="47.25">
      <c r="C37" s="71" t="s">
        <v>680</v>
      </c>
      <c r="D37" s="72" t="s">
        <v>681</v>
      </c>
      <c r="E37" s="72" t="s">
        <v>682</v>
      </c>
      <c r="F37" s="72"/>
      <c r="G37" s="72"/>
      <c r="H37" s="72" t="s">
        <v>683</v>
      </c>
      <c r="I37" s="73" t="s">
        <v>684</v>
      </c>
    </row>
    <row r="38" spans="1:34">
      <c r="C38" s="74" t="s">
        <v>648</v>
      </c>
      <c r="D38" s="183">
        <v>0.8</v>
      </c>
      <c r="E38" s="183">
        <v>0.2</v>
      </c>
      <c r="F38" s="183"/>
      <c r="G38" s="183"/>
      <c r="H38" s="505">
        <v>0.44400000000000001</v>
      </c>
      <c r="I38" s="504">
        <v>0.504</v>
      </c>
    </row>
    <row r="39" spans="1:34">
      <c r="C39" s="74" t="s">
        <v>649</v>
      </c>
      <c r="D39" s="183">
        <v>0.9</v>
      </c>
      <c r="E39" s="183">
        <v>0.1</v>
      </c>
      <c r="F39" s="183"/>
      <c r="G39" s="183"/>
      <c r="H39" s="505">
        <v>0.155</v>
      </c>
      <c r="I39" s="504">
        <v>7.8E-2</v>
      </c>
    </row>
    <row r="40" spans="1:34">
      <c r="C40" s="74" t="s">
        <v>650</v>
      </c>
      <c r="D40" s="183">
        <v>1</v>
      </c>
      <c r="E40" s="183">
        <v>0</v>
      </c>
      <c r="F40" s="183"/>
      <c r="G40" s="183"/>
      <c r="H40" s="505">
        <v>0.40100000000000002</v>
      </c>
      <c r="I40" s="504">
        <v>0</v>
      </c>
    </row>
    <row r="41" spans="1:34" ht="16.149999999999999" thickBot="1">
      <c r="C41" s="75" t="s">
        <v>685</v>
      </c>
      <c r="D41" s="76">
        <v>0</v>
      </c>
      <c r="E41" s="76">
        <v>1</v>
      </c>
      <c r="F41" s="76"/>
      <c r="G41" s="76"/>
      <c r="H41" s="77">
        <v>0</v>
      </c>
      <c r="I41" s="78">
        <v>0.41799999999999998</v>
      </c>
    </row>
    <row r="43" spans="1:34">
      <c r="C43" s="56" t="s">
        <v>686</v>
      </c>
    </row>
    <row r="44" spans="1:34">
      <c r="C44" s="56" t="s">
        <v>687</v>
      </c>
    </row>
    <row r="45" spans="1:34">
      <c r="C45" s="56" t="s">
        <v>688</v>
      </c>
    </row>
    <row r="46" spans="1:34">
      <c r="C46" s="56" t="s">
        <v>689</v>
      </c>
    </row>
    <row r="47" spans="1:34">
      <c r="C47" s="56" t="s">
        <v>690</v>
      </c>
    </row>
    <row r="48" spans="1:34">
      <c r="C48" s="56" t="s">
        <v>691</v>
      </c>
    </row>
    <row r="49" spans="3:3">
      <c r="C49" s="56" t="s">
        <v>692</v>
      </c>
    </row>
    <row r="50" spans="3:3">
      <c r="C50" s="56" t="s">
        <v>693</v>
      </c>
    </row>
  </sheetData>
  <mergeCells count="43">
    <mergeCell ref="B34:AD34"/>
    <mergeCell ref="I5:I6"/>
    <mergeCell ref="C36:I36"/>
    <mergeCell ref="J5:M5"/>
    <mergeCell ref="N5:Q5"/>
    <mergeCell ref="R5:U5"/>
    <mergeCell ref="AA5:AD5"/>
    <mergeCell ref="W5:Z5"/>
    <mergeCell ref="C7:C16"/>
    <mergeCell ref="C17:C20"/>
    <mergeCell ref="C21:C23"/>
    <mergeCell ref="C24:C26"/>
    <mergeCell ref="D8:D9"/>
    <mergeCell ref="D10:D11"/>
    <mergeCell ref="N8:N9"/>
    <mergeCell ref="J12:J14"/>
    <mergeCell ref="AE5:AH5"/>
    <mergeCell ref="K3:N3"/>
    <mergeCell ref="B5:B6"/>
    <mergeCell ref="C5:C6"/>
    <mergeCell ref="D5:D6"/>
    <mergeCell ref="E5:E6"/>
    <mergeCell ref="F5:F6"/>
    <mergeCell ref="G5:G6"/>
    <mergeCell ref="H5:H6"/>
    <mergeCell ref="K12:K14"/>
    <mergeCell ref="L12:L14"/>
    <mergeCell ref="M12:M14"/>
    <mergeCell ref="R8:R9"/>
    <mergeCell ref="O8:O9"/>
    <mergeCell ref="P8:P9"/>
    <mergeCell ref="Q8:Q9"/>
    <mergeCell ref="N10:N11"/>
    <mergeCell ref="O10:O11"/>
    <mergeCell ref="P10:P11"/>
    <mergeCell ref="Q10:Q11"/>
    <mergeCell ref="S8:S9"/>
    <mergeCell ref="T8:T9"/>
    <mergeCell ref="U8:U9"/>
    <mergeCell ref="R10:R11"/>
    <mergeCell ref="S10:S11"/>
    <mergeCell ref="T10:T11"/>
    <mergeCell ref="U10:U11"/>
  </mergeCells>
  <pageMargins left="0.7" right="0.7" top="0.75" bottom="0.75" header="0.3" footer="0.3"/>
  <pageSetup paperSize="17"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0941-D433-4294-9828-E6A6C78018D2}">
  <sheetPr>
    <pageSetUpPr fitToPage="1"/>
  </sheetPr>
  <dimension ref="A1:U106"/>
  <sheetViews>
    <sheetView showGridLines="0" zoomScaleNormal="100" workbookViewId="0">
      <pane xSplit="2" ySplit="5" topLeftCell="C6" activePane="bottomRight" state="frozen"/>
      <selection pane="topRight" activeCell="B1" sqref="B1"/>
      <selection pane="bottomLeft" activeCell="B1" sqref="B1"/>
      <selection pane="bottomRight"/>
    </sheetView>
  </sheetViews>
  <sheetFormatPr defaultColWidth="8.125" defaultRowHeight="15.75"/>
  <cols>
    <col min="1" max="1" width="13.125" style="189" customWidth="1"/>
    <col min="2" max="2" width="49.75" style="189" customWidth="1"/>
    <col min="3" max="3" width="25.75" style="189" customWidth="1"/>
    <col min="4" max="4" width="15.125" style="190" bestFit="1" customWidth="1"/>
    <col min="5" max="5" width="11.25" style="189" customWidth="1"/>
    <col min="6" max="8" width="14.125" style="189" customWidth="1"/>
    <col min="9" max="9" width="25.75" style="189" customWidth="1"/>
    <col min="10" max="10" width="15.5" style="190" bestFit="1" customWidth="1"/>
    <col min="11" max="13" width="11.25" style="189" customWidth="1"/>
    <col min="14" max="14" width="14.125" style="189" customWidth="1"/>
    <col min="15" max="15" width="2.25" style="189" customWidth="1"/>
    <col min="16" max="16" width="94.75" style="191" customWidth="1"/>
    <col min="17" max="17" width="12.75" style="189" customWidth="1"/>
    <col min="18" max="18" width="19.75" style="192" bestFit="1" customWidth="1"/>
    <col min="19" max="19" width="11.25" style="189" customWidth="1"/>
    <col min="20" max="20" width="21.25" style="189" bestFit="1" customWidth="1"/>
    <col min="21" max="21" width="11.5" style="189" bestFit="1" customWidth="1"/>
    <col min="22" max="16384" width="8.125" style="189"/>
  </cols>
  <sheetData>
    <row r="1" spans="1:21">
      <c r="A1" s="20" t="s">
        <v>85</v>
      </c>
      <c r="B1" s="408" t="str">
        <f>PA_NAME</f>
        <v>San Diego Gas &amp; Electric Co</v>
      </c>
    </row>
    <row r="2" spans="1:21">
      <c r="A2" s="20" t="s">
        <v>86</v>
      </c>
      <c r="B2" s="408" t="str">
        <f>RPT_YEAR</f>
        <v>2022-2023</v>
      </c>
    </row>
    <row r="3" spans="1:21" ht="16.149999999999999" thickBot="1">
      <c r="A3" s="574" t="s">
        <v>694</v>
      </c>
      <c r="B3" s="574"/>
      <c r="C3" s="574"/>
      <c r="D3" s="574"/>
    </row>
    <row r="4" spans="1:21" ht="15" customHeight="1" thickTop="1">
      <c r="C4" s="193"/>
      <c r="D4" s="1004" t="s">
        <v>695</v>
      </c>
      <c r="E4" s="1005"/>
      <c r="F4" s="1005"/>
      <c r="G4" s="1005"/>
      <c r="H4" s="1005"/>
      <c r="I4" s="193"/>
      <c r="J4" s="1004" t="s">
        <v>695</v>
      </c>
      <c r="K4" s="1005"/>
      <c r="L4" s="1005"/>
      <c r="M4" s="1005"/>
      <c r="N4" s="1005"/>
      <c r="O4" s="194"/>
      <c r="P4" s="195"/>
      <c r="Q4" s="194"/>
      <c r="R4" s="196"/>
      <c r="S4" s="197"/>
    </row>
    <row r="5" spans="1:21" ht="31.5" customHeight="1" thickBot="1">
      <c r="A5" s="545" t="s">
        <v>696</v>
      </c>
      <c r="B5" s="198" t="s">
        <v>697</v>
      </c>
      <c r="C5" s="199" t="s">
        <v>698</v>
      </c>
      <c r="D5" s="391" t="s">
        <v>699</v>
      </c>
      <c r="E5" s="391" t="s">
        <v>700</v>
      </c>
      <c r="F5" s="392" t="s">
        <v>701</v>
      </c>
      <c r="G5" s="392" t="s">
        <v>702</v>
      </c>
      <c r="H5" s="392" t="s">
        <v>703</v>
      </c>
      <c r="I5" s="199" t="s">
        <v>704</v>
      </c>
      <c r="J5" s="391" t="s">
        <v>699</v>
      </c>
      <c r="K5" s="391" t="s">
        <v>700</v>
      </c>
      <c r="L5" s="391" t="s">
        <v>701</v>
      </c>
      <c r="M5" s="392" t="s">
        <v>702</v>
      </c>
      <c r="N5" s="392" t="s">
        <v>703</v>
      </c>
      <c r="P5" s="200" t="s">
        <v>705</v>
      </c>
    </row>
    <row r="6" spans="1:21" ht="31.5" customHeight="1" thickTop="1" thickBot="1">
      <c r="B6" s="445" t="s">
        <v>706</v>
      </c>
      <c r="C6" s="446"/>
      <c r="D6" s="447"/>
      <c r="E6" s="447"/>
      <c r="F6" s="448"/>
      <c r="G6" s="448"/>
      <c r="H6" s="448"/>
      <c r="I6" s="446"/>
      <c r="J6" s="447"/>
      <c r="K6" s="447"/>
      <c r="L6" s="447"/>
      <c r="M6" s="447"/>
      <c r="N6" s="448"/>
      <c r="P6" s="200"/>
    </row>
    <row r="7" spans="1:21" ht="16.5" customHeight="1" thickTop="1" thickBot="1">
      <c r="B7" s="201" t="s">
        <v>17</v>
      </c>
      <c r="C7" s="909">
        <f>SUMIFS('4 Program Budget'!Q:Q,'4 Program Budget'!$G:$G,$B7,'4 Program Budget'!$H:$H,README!$M$8)</f>
        <v>12392052.350299999</v>
      </c>
      <c r="D7" s="850">
        <f>SUMIFS('4 Program Budget'!T:T,'4 Program Budget'!$G:$G,$B7,'4 Program Budget'!$H:$H,README!$M$8)</f>
        <v>48797858.707790002</v>
      </c>
      <c r="E7" s="850">
        <f>SUMIFS('4 Program Budget'!U:U,'4 Program Budget'!$G:$G,$B7,'4 Program Budget'!$H:$H,README!$M$8)</f>
        <v>9483.795901200001</v>
      </c>
      <c r="F7" s="850">
        <f>SUMIFS('4 Program Budget'!V:V,'4 Program Budget'!$G:$G,$B7,'4 Program Budget'!$H:$H,README!$M$8)</f>
        <v>1656.671</v>
      </c>
      <c r="G7" s="850">
        <f>SUMIFS('4 Program Budget'!W:W,'4 Program Budget'!$G:$G,$B7,'4 Program Budget'!$H:$H,README!$M$8)</f>
        <v>0</v>
      </c>
      <c r="H7" s="850">
        <f>SUMIFS('4 Program Budget'!X:X,'4 Program Budget'!$G:$G,$B7,'4 Program Budget'!$H:$H,README!$M$8)</f>
        <v>0</v>
      </c>
      <c r="I7" s="909">
        <f>SUMIFS('4 Program Budget'!AG:AG,'4 Program Budget'!$G:$G,$B7,'4 Program Budget'!$H:$H,README!$M$8)</f>
        <v>13352500.085199999</v>
      </c>
      <c r="J7" s="850">
        <f>SUMIFS('4 Program Budget'!AJ:AJ,'4 Program Budget'!$G:$G,$B7,'4 Program Budget'!$H:$H,README!$M$8)</f>
        <v>47898006.097375996</v>
      </c>
      <c r="K7" s="850">
        <f>SUMIFS('4 Program Budget'!AK:AK,'4 Program Budget'!$G:$G,$B7,'4 Program Budget'!$H:$H,README!$M$8)</f>
        <v>13707.003510400002</v>
      </c>
      <c r="L7" s="850">
        <f>SUMIFS('4 Program Budget'!AL:AL,'4 Program Budget'!$G:$G,$B7,'4 Program Budget'!$H:$H,README!$M$8)</f>
        <v>1493.8310000000001</v>
      </c>
      <c r="M7" s="850">
        <f>SUMIFS('4 Program Budget'!AM:AM,'4 Program Budget'!$G:$G,$B7,'4 Program Budget'!$H:$H,README!$M$8)</f>
        <v>0</v>
      </c>
      <c r="N7" s="850">
        <f>SUMIFS('4 Program Budget'!AN:AN,'4 Program Budget'!$G:$G,$B7,'4 Program Budget'!$H:$H,README!$M$8)</f>
        <v>0</v>
      </c>
      <c r="P7" s="202" t="s">
        <v>707</v>
      </c>
    </row>
    <row r="8" spans="1:21" ht="16.5" thickTop="1" thickBot="1">
      <c r="B8" s="201" t="s">
        <v>22</v>
      </c>
      <c r="C8" s="909">
        <f>SUMIFS('4 Program Budget'!Q:Q,'4 Program Budget'!$G:$G,$B8,'4 Program Budget'!$H:$H,README!$M$8)</f>
        <v>34842728.645471789</v>
      </c>
      <c r="D8" s="850">
        <f>SUMIFS('4 Program Budget'!T:T,'4 Program Budget'!$G:$G,$B8,'4 Program Budget'!$H:$H,README!$M$8)</f>
        <v>46586859.674842618</v>
      </c>
      <c r="E8" s="850">
        <f>SUMIFS('4 Program Budget'!U:U,'4 Program Budget'!$G:$G,$B8,'4 Program Budget'!$H:$H,README!$M$8)</f>
        <v>6797.2779453948278</v>
      </c>
      <c r="F8" s="850">
        <f>SUMIFS('4 Program Budget'!V:V,'4 Program Budget'!$G:$G,$B8,'4 Program Budget'!$H:$H,README!$M$8)</f>
        <v>1443.8319999999999</v>
      </c>
      <c r="G8" s="850">
        <f>SUMIFS('4 Program Budget'!W:W,'4 Program Budget'!$G:$G,$B8,'4 Program Budget'!$H:$H,README!$M$8)</f>
        <v>0</v>
      </c>
      <c r="H8" s="850">
        <f>SUMIFS('4 Program Budget'!X:X,'4 Program Budget'!$G:$G,$B8,'4 Program Budget'!$H:$H,README!$M$8)</f>
        <v>0</v>
      </c>
      <c r="I8" s="909">
        <f>SUMIFS('4 Program Budget'!AG:AG,'4 Program Budget'!$G:$G,$B8,'4 Program Budget'!$H:$H,README!$M$8)</f>
        <v>38515890.647112355</v>
      </c>
      <c r="J8" s="850">
        <f>SUMIFS('4 Program Budget'!AJ:AJ,'4 Program Budget'!$G:$G,$B8,'4 Program Budget'!$H:$H,README!$M$8)</f>
        <v>51059530.700591691</v>
      </c>
      <c r="K8" s="850">
        <f>SUMIFS('4 Program Budget'!AK:AK,'4 Program Budget'!$G:$G,$B8,'4 Program Budget'!$H:$H,README!$M$8)</f>
        <v>7767.2646354956869</v>
      </c>
      <c r="L8" s="850">
        <f>SUMIFS('4 Program Budget'!AL:AL,'4 Program Budget'!$G:$G,$B8,'4 Program Budget'!$H:$H,README!$M$8)</f>
        <v>1330.0360000000001</v>
      </c>
      <c r="M8" s="850">
        <f>SUMIFS('4 Program Budget'!AM:AM,'4 Program Budget'!$G:$G,$B8,'4 Program Budget'!$H:$H,README!$M$8)</f>
        <v>0</v>
      </c>
      <c r="N8" s="850">
        <f>SUMIFS('4 Program Budget'!AN:AN,'4 Program Budget'!$G:$G,$B8,'4 Program Budget'!$H:$H,README!$M$8)</f>
        <v>0</v>
      </c>
      <c r="P8" s="202" t="s">
        <v>708</v>
      </c>
      <c r="R8" s="203"/>
      <c r="S8" s="204"/>
      <c r="T8" s="204"/>
      <c r="U8" s="204"/>
    </row>
    <row r="9" spans="1:21" ht="16.5" thickTop="1" thickBot="1">
      <c r="B9" s="201" t="s">
        <v>25</v>
      </c>
      <c r="C9" s="909">
        <f>SUMIFS('4 Program Budget'!Q:Q,'4 Program Budget'!$G:$G,$B9,'4 Program Budget'!$H:$H,README!$M$8)</f>
        <v>2312503.54</v>
      </c>
      <c r="D9" s="850">
        <f>SUMIFS('4 Program Budget'!T:T,'4 Program Budget'!$G:$G,$B9,'4 Program Budget'!$H:$H,README!$M$8)</f>
        <v>4674732.0586085999</v>
      </c>
      <c r="E9" s="850">
        <f>SUMIFS('4 Program Budget'!U:U,'4 Program Budget'!$G:$G,$B9,'4 Program Budget'!$H:$H,README!$M$8)</f>
        <v>631.99097100000006</v>
      </c>
      <c r="F9" s="850">
        <f>SUMIFS('4 Program Budget'!V:V,'4 Program Budget'!$G:$G,$B9,'4 Program Budget'!$H:$H,README!$M$8)</f>
        <v>232.81200000000001</v>
      </c>
      <c r="G9" s="850">
        <f>SUMIFS('4 Program Budget'!W:W,'4 Program Budget'!$G:$G,$B9,'4 Program Budget'!$H:$H,README!$M$8)</f>
        <v>0</v>
      </c>
      <c r="H9" s="850">
        <f>SUMIFS('4 Program Budget'!X:X,'4 Program Budget'!$G:$G,$B9,'4 Program Budget'!$H:$H,README!$M$8)</f>
        <v>0</v>
      </c>
      <c r="I9" s="909">
        <f>SUMIFS('4 Program Budget'!AG:AG,'4 Program Budget'!$G:$G,$B9,'4 Program Budget'!$H:$H,README!$M$8)</f>
        <v>4447482.2326000007</v>
      </c>
      <c r="J9" s="850">
        <f>SUMIFS('4 Program Budget'!AJ:AJ,'4 Program Budget'!$G:$G,$B9,'4 Program Budget'!$H:$H,README!$M$8)</f>
        <v>5158870.0052211005</v>
      </c>
      <c r="K9" s="850">
        <f>SUMIFS('4 Program Budget'!AK:AK,'4 Program Budget'!$G:$G,$B9,'4 Program Budget'!$H:$H,README!$M$8)</f>
        <v>422.30940720000001</v>
      </c>
      <c r="L9" s="850">
        <f>SUMIFS('4 Program Budget'!AL:AL,'4 Program Budget'!$G:$G,$B9,'4 Program Budget'!$H:$H,README!$M$8)</f>
        <v>182.05399999999997</v>
      </c>
      <c r="M9" s="850">
        <f>SUMIFS('4 Program Budget'!AM:AM,'4 Program Budget'!$G:$G,$B9,'4 Program Budget'!$H:$H,README!$M$8)</f>
        <v>0</v>
      </c>
      <c r="N9" s="850">
        <f>SUMIFS('4 Program Budget'!AN:AN,'4 Program Budget'!$G:$G,$B9,'4 Program Budget'!$H:$H,README!$M$8)</f>
        <v>0</v>
      </c>
      <c r="P9" s="202"/>
      <c r="R9" s="203"/>
      <c r="S9" s="204"/>
      <c r="T9" s="204"/>
      <c r="U9" s="204"/>
    </row>
    <row r="10" spans="1:21" ht="16.5" thickTop="1" thickBot="1">
      <c r="B10" s="910" t="s">
        <v>27</v>
      </c>
      <c r="C10" s="909">
        <f>SUMIFS('4 Program Budget'!Q:Q,'4 Program Budget'!$G:$G,$B10,'4 Program Budget'!$H:$H,README!$M$8)</f>
        <v>1742431.85</v>
      </c>
      <c r="D10" s="850">
        <f>SUMIFS('4 Program Budget'!T:T,'4 Program Budget'!$G:$G,$B10,'4 Program Budget'!$H:$H,README!$M$8)</f>
        <v>2896432.6314676004</v>
      </c>
      <c r="E10" s="850">
        <f>SUMIFS('4 Program Budget'!U:U,'4 Program Budget'!$G:$G,$B10,'4 Program Budget'!$H:$H,README!$M$8)</f>
        <v>302.44711739999997</v>
      </c>
      <c r="F10" s="850">
        <f>SUMIFS('4 Program Budget'!V:V,'4 Program Budget'!$G:$G,$B10,'4 Program Budget'!$H:$H,README!$M$8)</f>
        <v>91.61</v>
      </c>
      <c r="G10" s="850">
        <f>SUMIFS('4 Program Budget'!W:W,'4 Program Budget'!$G:$G,$B10,'4 Program Budget'!$H:$H,README!$M$8)</f>
        <v>0</v>
      </c>
      <c r="H10" s="850">
        <f>SUMIFS('4 Program Budget'!X:X,'4 Program Budget'!$G:$G,$B10,'4 Program Budget'!$H:$H,README!$M$8)</f>
        <v>0</v>
      </c>
      <c r="I10" s="909">
        <f>SUMIFS('4 Program Budget'!AG:AG,'4 Program Budget'!$G:$G,$B10,'4 Program Budget'!$H:$H,README!$M$8)</f>
        <v>1973330.7864000001</v>
      </c>
      <c r="J10" s="850">
        <f>SUMIFS('4 Program Budget'!AJ:AJ,'4 Program Budget'!$G:$G,$B10,'4 Program Budget'!$H:$H,README!$M$8)</f>
        <v>3760340</v>
      </c>
      <c r="K10" s="850">
        <f>SUMIFS('4 Program Budget'!AK:AK,'4 Program Budget'!$G:$G,$B10,'4 Program Budget'!$H:$H,README!$M$8)</f>
        <v>19.170000000000002</v>
      </c>
      <c r="L10" s="850">
        <f>SUMIFS('4 Program Budget'!AL:AL,'4 Program Budget'!$G:$G,$B10,'4 Program Budget'!$H:$H,README!$M$8)</f>
        <v>353.34500000000003</v>
      </c>
      <c r="M10" s="850">
        <f>SUMIFS('4 Program Budget'!AM:AM,'4 Program Budget'!$G:$G,$B10,'4 Program Budget'!$H:$H,README!$M$8)</f>
        <v>0</v>
      </c>
      <c r="N10" s="850">
        <f>SUMIFS('4 Program Budget'!AN:AN,'4 Program Budget'!$G:$G,$B10,'4 Program Budget'!$H:$H,README!$M$8)</f>
        <v>0</v>
      </c>
      <c r="P10" s="202"/>
      <c r="R10" s="203"/>
      <c r="S10" s="204"/>
      <c r="T10" s="204"/>
      <c r="U10" s="204"/>
    </row>
    <row r="11" spans="1:21" ht="16.5" thickTop="1" thickBot="1">
      <c r="B11" s="201" t="s">
        <v>29</v>
      </c>
      <c r="C11" s="909">
        <f>SUMIFS('4 Program Budget'!Q:Q,'4 Program Budget'!$G:$G,$B11,'4 Program Budget'!$H:$H,README!$M$8)</f>
        <v>0</v>
      </c>
      <c r="D11" s="850">
        <f>SUMIFS('4 Program Budget'!T:T,'4 Program Budget'!$G:$G,$B11,'4 Program Budget'!$H:$H,README!$M$8)</f>
        <v>0</v>
      </c>
      <c r="E11" s="850">
        <f>SUMIFS('4 Program Budget'!U:U,'4 Program Budget'!$G:$G,$B11,'4 Program Budget'!$H:$H,README!$M$8)</f>
        <v>0</v>
      </c>
      <c r="F11" s="850">
        <f>SUMIFS('4 Program Budget'!V:V,'4 Program Budget'!$G:$G,$B11,'4 Program Budget'!$H:$H,README!$M$8)</f>
        <v>0</v>
      </c>
      <c r="G11" s="850">
        <f>SUMIFS('4 Program Budget'!W:W,'4 Program Budget'!$G:$G,$B11,'4 Program Budget'!$H:$H,README!$M$8)</f>
        <v>0</v>
      </c>
      <c r="H11" s="850">
        <f>SUMIFS('4 Program Budget'!X:X,'4 Program Budget'!$G:$G,$B11,'4 Program Budget'!$H:$H,README!$M$8)</f>
        <v>0</v>
      </c>
      <c r="I11" s="909">
        <f>SUMIFS('4 Program Budget'!AG:AG,'4 Program Budget'!$G:$G,$B11,'4 Program Budget'!$H:$H,README!$M$8)</f>
        <v>0</v>
      </c>
      <c r="J11" s="850">
        <f>SUMIFS('4 Program Budget'!AJ:AJ,'4 Program Budget'!$G:$G,$B11,'4 Program Budget'!$H:$H,README!$M$8)</f>
        <v>0</v>
      </c>
      <c r="K11" s="850">
        <f>SUMIFS('4 Program Budget'!AK:AK,'4 Program Budget'!$G:$G,$B11,'4 Program Budget'!$H:$H,README!$M$8)</f>
        <v>0</v>
      </c>
      <c r="L11" s="850">
        <f>SUMIFS('4 Program Budget'!AL:AL,'4 Program Budget'!$G:$G,$B11,'4 Program Budget'!$H:$H,README!$M$8)</f>
        <v>0</v>
      </c>
      <c r="M11" s="850">
        <f>SUMIFS('4 Program Budget'!AM:AM,'4 Program Budget'!$G:$G,$B11,'4 Program Budget'!$H:$H,README!$M$8)</f>
        <v>0</v>
      </c>
      <c r="N11" s="850">
        <f>SUMIFS('4 Program Budget'!AN:AN,'4 Program Budget'!$G:$G,$B11,'4 Program Budget'!$H:$H,README!$M$8)</f>
        <v>0</v>
      </c>
      <c r="P11" s="202"/>
      <c r="R11" s="203"/>
      <c r="S11" s="204"/>
      <c r="T11" s="204"/>
      <c r="U11" s="204"/>
    </row>
    <row r="12" spans="1:21" ht="16.5" thickTop="1" thickBot="1">
      <c r="B12" s="201" t="s">
        <v>30</v>
      </c>
      <c r="C12" s="909">
        <f>SUMIFS('4 Program Budget'!Q:Q,'4 Program Budget'!$G:$G,$B12,'4 Program Budget'!$H:$H,README!$M$8)</f>
        <v>11149500.049908001</v>
      </c>
      <c r="D12" s="850">
        <f>SUMIFS('4 Program Budget'!T:T,'4 Program Budget'!$G:$G,$B12,'4 Program Budget'!$H:$H,README!$M$8)</f>
        <v>12084309.305465067</v>
      </c>
      <c r="E12" s="850">
        <f>SUMIFS('4 Program Budget'!U:U,'4 Program Budget'!$G:$G,$B12,'4 Program Budget'!$H:$H,README!$M$8)</f>
        <v>1305.0956283549986</v>
      </c>
      <c r="F12" s="850">
        <f>SUMIFS('4 Program Budget'!V:V,'4 Program Budget'!$G:$G,$B12,'4 Program Budget'!$H:$H,README!$M$8)</f>
        <v>210.50299999999999</v>
      </c>
      <c r="G12" s="850">
        <f>SUMIFS('4 Program Budget'!W:W,'4 Program Budget'!$G:$G,$B12,'4 Program Budget'!$H:$H,README!$M$8)</f>
        <v>0</v>
      </c>
      <c r="H12" s="850">
        <f>SUMIFS('4 Program Budget'!X:X,'4 Program Budget'!$G:$G,$B12,'4 Program Budget'!$H:$H,README!$M$8)</f>
        <v>0</v>
      </c>
      <c r="I12" s="909">
        <f>SUMIFS('4 Program Budget'!AG:AG,'4 Program Budget'!$G:$G,$B12,'4 Program Budget'!$H:$H,README!$M$8)</f>
        <v>12649776.861936547</v>
      </c>
      <c r="J12" s="850">
        <f>SUMIFS('4 Program Budget'!AJ:AJ,'4 Program Budget'!$G:$G,$B12,'4 Program Budget'!$H:$H,README!$M$8)</f>
        <v>13093888.534080807</v>
      </c>
      <c r="K12" s="850">
        <f>SUMIFS('4 Program Budget'!AK:AK,'4 Program Budget'!$G:$G,$B12,'4 Program Budget'!$H:$H,README!$M$8)</f>
        <v>1675.3767466096588</v>
      </c>
      <c r="L12" s="850">
        <f>SUMIFS('4 Program Budget'!AL:AL,'4 Program Budget'!$G:$G,$B12,'4 Program Budget'!$H:$H,README!$M$8)</f>
        <v>267.79599999999999</v>
      </c>
      <c r="M12" s="850">
        <f>SUMIFS('4 Program Budget'!AM:AM,'4 Program Budget'!$G:$G,$B12,'4 Program Budget'!$H:$H,README!$M$8)</f>
        <v>0</v>
      </c>
      <c r="N12" s="850">
        <f>SUMIFS('4 Program Budget'!AN:AN,'4 Program Budget'!$G:$G,$B12,'4 Program Budget'!$H:$H,README!$M$8)</f>
        <v>0</v>
      </c>
      <c r="P12" s="202"/>
      <c r="R12" s="203"/>
      <c r="S12" s="204"/>
      <c r="T12" s="204"/>
      <c r="U12" s="204"/>
    </row>
    <row r="13" spans="1:21" ht="16.5" thickTop="1" thickBot="1">
      <c r="A13" s="189">
        <v>1</v>
      </c>
      <c r="B13" s="201" t="s">
        <v>32</v>
      </c>
      <c r="C13" s="909">
        <f>SUMIFS('4 Program Budget'!Q:Q,'4 Program Budget'!$G:$G,$B13,'4 Program Budget'!$H:$H,README!$M$8)</f>
        <v>0</v>
      </c>
      <c r="D13" s="850">
        <f>SUMIFS('4 Program Budget'!T:T,'4 Program Budget'!$G:$G,$B13,'4 Program Budget'!$H:$H,README!$M$8)</f>
        <v>0</v>
      </c>
      <c r="E13" s="850">
        <f>SUMIFS('4 Program Budget'!U:U,'4 Program Budget'!$G:$G,$B13,'4 Program Budget'!$H:$H,README!$M$8)</f>
        <v>0</v>
      </c>
      <c r="F13" s="850">
        <f>SUMIFS('4 Program Budget'!V:V,'4 Program Budget'!$G:$G,$B13,'4 Program Budget'!$H:$H,README!$M$8)</f>
        <v>0</v>
      </c>
      <c r="G13" s="850">
        <f>SUMIFS('4 Program Budget'!W:W,'4 Program Budget'!$G:$G,$B13,'4 Program Budget'!$H:$H,README!$M$8)</f>
        <v>0</v>
      </c>
      <c r="H13" s="850">
        <f>SUMIFS('4 Program Budget'!X:X,'4 Program Budget'!$G:$G,$B13,'4 Program Budget'!$H:$H,README!$M$8)</f>
        <v>0</v>
      </c>
      <c r="I13" s="909">
        <f>SUMIFS('4 Program Budget'!AG:AG,'4 Program Budget'!$G:$G,$B13,'4 Program Budget'!$H:$H,README!$M$8)</f>
        <v>0</v>
      </c>
      <c r="J13" s="850">
        <f>SUMIFS('4 Program Budget'!AJ:AJ,'4 Program Budget'!$G:$G,$B13,'4 Program Budget'!$H:$H,README!$M$8)</f>
        <v>0</v>
      </c>
      <c r="K13" s="850">
        <f>SUMIFS('4 Program Budget'!AK:AK,'4 Program Budget'!$G:$G,$B13,'4 Program Budget'!$H:$H,README!$M$8)</f>
        <v>0</v>
      </c>
      <c r="L13" s="850">
        <f>SUMIFS('4 Program Budget'!AL:AL,'4 Program Budget'!$G:$G,$B13,'4 Program Budget'!$H:$H,README!$M$8)</f>
        <v>0</v>
      </c>
      <c r="M13" s="850">
        <f>SUMIFS('4 Program Budget'!AM:AM,'4 Program Budget'!$G:$G,$B13,'4 Program Budget'!$H:$H,README!$M$8)</f>
        <v>0</v>
      </c>
      <c r="N13" s="850">
        <f>SUMIFS('4 Program Budget'!AN:AN,'4 Program Budget'!$G:$G,$B13,'4 Program Budget'!$H:$H,README!$M$8)</f>
        <v>0</v>
      </c>
      <c r="P13" s="202"/>
      <c r="R13" s="203"/>
      <c r="S13" s="204"/>
      <c r="T13" s="204"/>
      <c r="U13" s="204"/>
    </row>
    <row r="14" spans="1:21" ht="16.5" thickTop="1" thickBot="1">
      <c r="A14" s="189">
        <v>2</v>
      </c>
      <c r="B14" s="201" t="s">
        <v>34</v>
      </c>
      <c r="C14" s="909">
        <f>SUMIFS('4 Program Budget'!Q:Q,'4 Program Budget'!$G:$G,$B14,'4 Program Budget'!$H:$H,README!$M$8)</f>
        <v>0</v>
      </c>
      <c r="D14" s="850">
        <f>SUMIFS('4 Program Budget'!T:T,'4 Program Budget'!$G:$G,$B14,'4 Program Budget'!$H:$H,README!$M$8)</f>
        <v>0</v>
      </c>
      <c r="E14" s="850">
        <f>SUMIFS('4 Program Budget'!U:U,'4 Program Budget'!$G:$G,$B14,'4 Program Budget'!$H:$H,README!$M$8)</f>
        <v>0</v>
      </c>
      <c r="F14" s="850">
        <f>SUMIFS('4 Program Budget'!V:V,'4 Program Budget'!$G:$G,$B14,'4 Program Budget'!$H:$H,README!$M$8)</f>
        <v>0</v>
      </c>
      <c r="G14" s="850">
        <f>SUMIFS('4 Program Budget'!W:W,'4 Program Budget'!$G:$G,$B14,'4 Program Budget'!$H:$H,README!$M$8)</f>
        <v>0</v>
      </c>
      <c r="H14" s="850">
        <f>SUMIFS('4 Program Budget'!X:X,'4 Program Budget'!$G:$G,$B14,'4 Program Budget'!$H:$H,README!$M$8)</f>
        <v>0</v>
      </c>
      <c r="I14" s="909">
        <f>SUMIFS('4 Program Budget'!AG:AG,'4 Program Budget'!$G:$G,$B14,'4 Program Budget'!$H:$H,README!$M$8)</f>
        <v>0</v>
      </c>
      <c r="J14" s="850">
        <f>SUMIFS('4 Program Budget'!AJ:AJ,'4 Program Budget'!$G:$G,$B14,'4 Program Budget'!$H:$H,README!$M$8)</f>
        <v>0</v>
      </c>
      <c r="K14" s="850">
        <f>SUMIFS('4 Program Budget'!AK:AK,'4 Program Budget'!$G:$G,$B14,'4 Program Budget'!$H:$H,README!$M$8)</f>
        <v>0</v>
      </c>
      <c r="L14" s="850">
        <f>SUMIFS('4 Program Budget'!AL:AL,'4 Program Budget'!$G:$G,$B14,'4 Program Budget'!$H:$H,README!$M$8)</f>
        <v>0</v>
      </c>
      <c r="M14" s="850">
        <f>SUMIFS('4 Program Budget'!AM:AM,'4 Program Budget'!$G:$G,$B14,'4 Program Budget'!$H:$H,README!$M$8)</f>
        <v>0</v>
      </c>
      <c r="N14" s="850">
        <f>SUMIFS('4 Program Budget'!AN:AN,'4 Program Budget'!$G:$G,$B14,'4 Program Budget'!$H:$H,README!$M$8)</f>
        <v>0</v>
      </c>
      <c r="P14" s="202"/>
      <c r="R14" s="203"/>
      <c r="S14" s="204"/>
      <c r="T14" s="204"/>
      <c r="U14" s="204"/>
    </row>
    <row r="15" spans="1:21" ht="16.5" thickTop="1" thickBot="1">
      <c r="A15" s="189">
        <v>3</v>
      </c>
      <c r="B15" s="201" t="s">
        <v>36</v>
      </c>
      <c r="C15" s="909">
        <f>SUMIFS('4 Program Budget'!Q:Q,'4 Program Budget'!$G:$G,$B15,'4 Program Budget'!$H:$H,README!$M$8)</f>
        <v>0</v>
      </c>
      <c r="D15" s="850">
        <f>SUMIFS('4 Program Budget'!T:T,'4 Program Budget'!$G:$G,$B15,'4 Program Budget'!$H:$H,README!$M$8)</f>
        <v>0</v>
      </c>
      <c r="E15" s="850">
        <f>SUMIFS('4 Program Budget'!U:U,'4 Program Budget'!$G:$G,$B15,'4 Program Budget'!$H:$H,README!$M$8)</f>
        <v>0</v>
      </c>
      <c r="F15" s="850">
        <f>SUMIFS('4 Program Budget'!V:V,'4 Program Budget'!$G:$G,$B15,'4 Program Budget'!$H:$H,README!$M$8)</f>
        <v>0</v>
      </c>
      <c r="G15" s="850">
        <f>SUMIFS('4 Program Budget'!W:W,'4 Program Budget'!$G:$G,$B15,'4 Program Budget'!$H:$H,README!$M$8)</f>
        <v>0</v>
      </c>
      <c r="H15" s="850">
        <f>SUMIFS('4 Program Budget'!X:X,'4 Program Budget'!$G:$G,$B15,'4 Program Budget'!$H:$H,README!$M$8)</f>
        <v>0</v>
      </c>
      <c r="I15" s="909">
        <f>SUMIFS('4 Program Budget'!AG:AG,'4 Program Budget'!$G:$G,$B15,'4 Program Budget'!$H:$H,README!$M$8)</f>
        <v>0</v>
      </c>
      <c r="J15" s="850">
        <f>SUMIFS('4 Program Budget'!AJ:AJ,'4 Program Budget'!$G:$G,$B15,'4 Program Budget'!$H:$H,README!$M$8)</f>
        <v>0</v>
      </c>
      <c r="K15" s="850">
        <f>SUMIFS('4 Program Budget'!AK:AK,'4 Program Budget'!$G:$G,$B15,'4 Program Budget'!$H:$H,README!$M$8)</f>
        <v>0</v>
      </c>
      <c r="L15" s="850">
        <f>SUMIFS('4 Program Budget'!AL:AL,'4 Program Budget'!$G:$G,$B15,'4 Program Budget'!$H:$H,README!$M$8)</f>
        <v>0</v>
      </c>
      <c r="M15" s="850">
        <f>SUMIFS('4 Program Budget'!AM:AM,'4 Program Budget'!$G:$G,$B15,'4 Program Budget'!$H:$H,README!$M$8)</f>
        <v>0</v>
      </c>
      <c r="N15" s="850">
        <f>SUMIFS('4 Program Budget'!AN:AN,'4 Program Budget'!$G:$G,$B15,'4 Program Budget'!$H:$H,README!$M$8)</f>
        <v>0</v>
      </c>
      <c r="P15" s="202"/>
      <c r="R15" s="203"/>
      <c r="S15" s="204"/>
      <c r="T15" s="204"/>
      <c r="U15" s="204"/>
    </row>
    <row r="16" spans="1:21" ht="16.5" thickTop="1" thickBot="1">
      <c r="A16" s="189">
        <v>4</v>
      </c>
      <c r="B16" s="205" t="s">
        <v>709</v>
      </c>
      <c r="C16" s="396">
        <f>SUM(C7:C15)</f>
        <v>62439216.435679793</v>
      </c>
      <c r="D16" s="851">
        <f t="shared" ref="D16:H16" si="0">SUM(D7:D15)</f>
        <v>115040192.37817389</v>
      </c>
      <c r="E16" s="851">
        <f t="shared" si="0"/>
        <v>18520.607563349826</v>
      </c>
      <c r="F16" s="851">
        <f t="shared" ref="F16:G16" si="1">SUM(F7:F15)</f>
        <v>3635.4279999999999</v>
      </c>
      <c r="G16" s="851">
        <f t="shared" si="1"/>
        <v>0</v>
      </c>
      <c r="H16" s="851">
        <f t="shared" si="0"/>
        <v>0</v>
      </c>
      <c r="I16" s="396">
        <f>SUM(I7:I15)</f>
        <v>70938980.6132489</v>
      </c>
      <c r="J16" s="851">
        <f t="shared" ref="J16:N16" si="2">SUM(J7:J15)</f>
        <v>120970635.33726959</v>
      </c>
      <c r="K16" s="851">
        <f t="shared" si="2"/>
        <v>23591.124299705341</v>
      </c>
      <c r="L16" s="851">
        <f t="shared" ref="L16:M16" si="3">SUM(L7:L15)</f>
        <v>3627.0620000000004</v>
      </c>
      <c r="M16" s="851">
        <f t="shared" si="3"/>
        <v>0</v>
      </c>
      <c r="N16" s="851">
        <f t="shared" si="2"/>
        <v>0</v>
      </c>
      <c r="P16" s="202" t="s">
        <v>710</v>
      </c>
      <c r="R16" s="203"/>
      <c r="S16" s="204"/>
      <c r="T16" s="204"/>
      <c r="U16" s="204"/>
    </row>
    <row r="17" spans="1:21" ht="16.5" thickTop="1" thickBot="1">
      <c r="B17" s="226" t="s">
        <v>711</v>
      </c>
      <c r="C17" s="852">
        <v>103560407.57695563</v>
      </c>
      <c r="D17" s="911"/>
      <c r="E17" s="912"/>
      <c r="F17" s="913"/>
      <c r="G17" s="913"/>
      <c r="H17" s="913"/>
      <c r="I17" s="852">
        <v>127125463.37974972</v>
      </c>
      <c r="J17" s="911"/>
      <c r="K17" s="912"/>
      <c r="L17" s="912"/>
      <c r="M17" s="912"/>
      <c r="N17" s="913"/>
      <c r="P17" s="914" t="s">
        <v>712</v>
      </c>
      <c r="R17" s="203"/>
      <c r="S17" s="204"/>
      <c r="T17" s="206"/>
      <c r="U17" s="204"/>
    </row>
    <row r="18" spans="1:21" ht="16.5" thickTop="1" thickBot="1">
      <c r="B18" s="226" t="s">
        <v>713</v>
      </c>
      <c r="C18" s="860">
        <v>1.3850851457032436</v>
      </c>
      <c r="D18" s="911"/>
      <c r="E18" s="912"/>
      <c r="F18" s="913"/>
      <c r="G18" s="913"/>
      <c r="H18" s="913"/>
      <c r="I18" s="860">
        <v>1.3503248458444523</v>
      </c>
      <c r="J18" s="911"/>
      <c r="K18" s="912"/>
      <c r="L18" s="912"/>
      <c r="M18" s="912"/>
      <c r="N18" s="913"/>
      <c r="P18" s="1009" t="s">
        <v>714</v>
      </c>
      <c r="R18" s="203"/>
      <c r="S18" s="204"/>
      <c r="T18" s="206"/>
      <c r="U18" s="204"/>
    </row>
    <row r="19" spans="1:21" ht="16.5" thickTop="1" thickBot="1">
      <c r="B19" s="226" t="s">
        <v>715</v>
      </c>
      <c r="C19" s="860">
        <v>1.7028672142918264</v>
      </c>
      <c r="D19" s="911"/>
      <c r="E19" s="912"/>
      <c r="F19" s="913"/>
      <c r="G19" s="913"/>
      <c r="H19" s="913"/>
      <c r="I19" s="860">
        <v>1.8413694032436585</v>
      </c>
      <c r="J19" s="911"/>
      <c r="K19" s="912"/>
      <c r="L19" s="912"/>
      <c r="M19" s="912"/>
      <c r="N19" s="913"/>
      <c r="P19" s="1010"/>
      <c r="R19" s="203"/>
      <c r="S19" s="204"/>
      <c r="T19" s="206"/>
      <c r="U19" s="204"/>
    </row>
    <row r="20" spans="1:21" ht="31.5" customHeight="1" thickTop="1" thickBot="1">
      <c r="B20" s="445" t="s">
        <v>716</v>
      </c>
      <c r="C20" s="446"/>
      <c r="D20" s="915"/>
      <c r="E20" s="915"/>
      <c r="F20" s="448"/>
      <c r="G20" s="448"/>
      <c r="H20" s="448"/>
      <c r="I20" s="446"/>
      <c r="J20" s="915"/>
      <c r="K20" s="915"/>
      <c r="L20" s="915"/>
      <c r="M20" s="915"/>
      <c r="N20" s="448"/>
      <c r="P20" s="393"/>
      <c r="R20" s="394"/>
    </row>
    <row r="21" spans="1:21" ht="16.5" customHeight="1" thickTop="1" thickBot="1">
      <c r="B21" s="201" t="s">
        <v>17</v>
      </c>
      <c r="C21" s="270">
        <f>SUMIFS('4 Program Budget'!Q:Q,'4 Program Budget'!$G:$G,$B21,'4 Program Budget'!$H:$H,README!$M$9)</f>
        <v>1416125.5026614459</v>
      </c>
      <c r="D21" s="850">
        <f>SUMIFS('4 Program Budget'!T:T,'4 Program Budget'!$G:$G,$B21,'4 Program Budget'!$H:$H,README!$M$9)</f>
        <v>1271466.4339170298</v>
      </c>
      <c r="E21" s="850">
        <f>SUMIFS('4 Program Budget'!U:U,'4 Program Budget'!$G:$G,$B21,'4 Program Budget'!$H:$H,README!$M$9)</f>
        <v>11.800464164399997</v>
      </c>
      <c r="F21" s="850">
        <f>SUMIFS('4 Program Budget'!V:V,'4 Program Budget'!$G:$G,$B21,'4 Program Budget'!$H:$H,README!$M$9)</f>
        <v>4.1319999999999997</v>
      </c>
      <c r="G21" s="850">
        <f>SUMIFS('4 Program Budget'!W:W,'4 Program Budget'!$G:$G,$B21,'4 Program Budget'!$H:$H,README!$M$9)</f>
        <v>0</v>
      </c>
      <c r="H21" s="850">
        <f>SUMIFS('4 Program Budget'!X:X,'4 Program Budget'!$G:$G,$B21,'4 Program Budget'!$H:$H,README!$M$9)</f>
        <v>0</v>
      </c>
      <c r="I21" s="270">
        <f>SUMIFS('4 Program Budget'!AG:AG,'4 Program Budget'!$G:$G,$B21,'4 Program Budget'!$H:$H,README!$M$9)</f>
        <v>3457625.9416921819</v>
      </c>
      <c r="J21" s="850">
        <f>SUMIFS('4 Program Budget'!AJ:AJ,'4 Program Budget'!$G:$G,$B21,'4 Program Budget'!$H:$H,README!$M$9)</f>
        <v>3695755.6277129194</v>
      </c>
      <c r="K21" s="850">
        <f>SUMIFS('4 Program Budget'!AK:AK,'4 Program Budget'!$G:$G,$B21,'4 Program Budget'!$H:$H,README!$M$9)</f>
        <v>148.35396387931456</v>
      </c>
      <c r="L21" s="850">
        <f>SUMIFS('4 Program Budget'!AL:AL,'4 Program Budget'!$G:$G,$B21,'4 Program Budget'!$H:$H,README!$M$9)</f>
        <v>76.701999999999998</v>
      </c>
      <c r="M21" s="850">
        <f>SUMIFS('4 Program Budget'!AM:AM,'4 Program Budget'!$G:$G,$B21,'4 Program Budget'!$H:$H,README!$M$9)</f>
        <v>0</v>
      </c>
      <c r="N21" s="850">
        <f>SUMIFS('4 Program Budget'!AN:AN,'4 Program Budget'!$G:$G,$B21,'4 Program Budget'!$H:$H,README!$M$9)</f>
        <v>0</v>
      </c>
      <c r="P21" s="202" t="s">
        <v>707</v>
      </c>
    </row>
    <row r="22" spans="1:21" ht="16.5" thickTop="1" thickBot="1">
      <c r="B22" s="201" t="s">
        <v>22</v>
      </c>
      <c r="C22" s="270">
        <f>SUMIFS('4 Program Budget'!Q:Q,'4 Program Budget'!$G:$G,$B22,'4 Program Budget'!$H:$H,README!$M$9)</f>
        <v>2806557.7206502468</v>
      </c>
      <c r="D22" s="850">
        <f>SUMIFS('4 Program Budget'!T:T,'4 Program Budget'!$G:$G,$B22,'4 Program Budget'!$H:$H,README!$M$9)</f>
        <v>87588.396233534004</v>
      </c>
      <c r="E22" s="850">
        <f>SUMIFS('4 Program Budget'!U:U,'4 Program Budget'!$G:$G,$B22,'4 Program Budget'!$H:$H,README!$M$9)</f>
        <v>19.365584353000006</v>
      </c>
      <c r="F22" s="850">
        <f>SUMIFS('4 Program Budget'!V:V,'4 Program Budget'!$G:$G,$B22,'4 Program Budget'!$H:$H,README!$M$9)</f>
        <v>2.7880000000000003</v>
      </c>
      <c r="G22" s="850">
        <f>SUMIFS('4 Program Budget'!W:W,'4 Program Budget'!$G:$G,$B22,'4 Program Budget'!$H:$H,README!$M$9)</f>
        <v>0</v>
      </c>
      <c r="H22" s="850">
        <f>SUMIFS('4 Program Budget'!X:X,'4 Program Budget'!$G:$G,$B22,'4 Program Budget'!$H:$H,README!$M$9)</f>
        <v>0</v>
      </c>
      <c r="I22" s="270">
        <f>SUMIFS('4 Program Budget'!AG:AG,'4 Program Budget'!$G:$G,$B22,'4 Program Budget'!$H:$H,README!$M$9)</f>
        <v>2881774.4545564395</v>
      </c>
      <c r="J22" s="850">
        <f>SUMIFS('4 Program Budget'!AJ:AJ,'4 Program Budget'!$G:$G,$B22,'4 Program Budget'!$H:$H,README!$M$9)</f>
        <v>1165804.2097399808</v>
      </c>
      <c r="K22" s="850">
        <f>SUMIFS('4 Program Budget'!AK:AK,'4 Program Budget'!$G:$G,$B22,'4 Program Budget'!$H:$H,README!$M$9)</f>
        <v>256.3228641031867</v>
      </c>
      <c r="L22" s="850">
        <f>SUMIFS('4 Program Budget'!AL:AL,'4 Program Budget'!$G:$G,$B22,'4 Program Budget'!$H:$H,README!$M$9)</f>
        <v>37.65</v>
      </c>
      <c r="M22" s="850">
        <f>SUMIFS('4 Program Budget'!AM:AM,'4 Program Budget'!$G:$G,$B22,'4 Program Budget'!$H:$H,README!$M$9)</f>
        <v>0</v>
      </c>
      <c r="N22" s="850">
        <f>SUMIFS('4 Program Budget'!AN:AN,'4 Program Budget'!$G:$G,$B22,'4 Program Budget'!$H:$H,README!$M$9)</f>
        <v>0</v>
      </c>
      <c r="P22" s="202" t="s">
        <v>708</v>
      </c>
      <c r="R22" s="203"/>
      <c r="S22" s="204"/>
      <c r="T22" s="204"/>
      <c r="U22" s="204"/>
    </row>
    <row r="23" spans="1:21" ht="16.5" thickTop="1" thickBot="1">
      <c r="B23" s="201" t="s">
        <v>25</v>
      </c>
      <c r="C23" s="270">
        <f>SUMIFS('4 Program Budget'!Q:Q,'4 Program Budget'!$G:$G,$B23,'4 Program Budget'!$H:$H,README!$M$9)</f>
        <v>381352.16642640444</v>
      </c>
      <c r="D23" s="850">
        <f>SUMIFS('4 Program Budget'!T:T,'4 Program Budget'!$G:$G,$B23,'4 Program Budget'!$H:$H,README!$M$9)</f>
        <v>51849.124078394998</v>
      </c>
      <c r="E23" s="850">
        <f>SUMIFS('4 Program Budget'!U:U,'4 Program Budget'!$G:$G,$B23,'4 Program Budget'!$H:$H,README!$M$9)</f>
        <v>8.5478787839999981</v>
      </c>
      <c r="F23" s="850">
        <f>SUMIFS('4 Program Budget'!V:V,'4 Program Budget'!$G:$G,$B23,'4 Program Budget'!$H:$H,README!$M$9)</f>
        <v>4.6639999999999997</v>
      </c>
      <c r="G23" s="850">
        <f>SUMIFS('4 Program Budget'!W:W,'4 Program Budget'!$G:$G,$B23,'4 Program Budget'!$H:$H,README!$M$9)</f>
        <v>0</v>
      </c>
      <c r="H23" s="850">
        <f>SUMIFS('4 Program Budget'!X:X,'4 Program Budget'!$G:$G,$B23,'4 Program Budget'!$H:$H,README!$M$9)</f>
        <v>0</v>
      </c>
      <c r="I23" s="270">
        <f>SUMIFS('4 Program Budget'!AG:AG,'4 Program Budget'!$G:$G,$B23,'4 Program Budget'!$H:$H,README!$M$9)</f>
        <v>491363.6519752107</v>
      </c>
      <c r="J23" s="850">
        <f>SUMIFS('4 Program Budget'!AJ:AJ,'4 Program Budget'!$G:$G,$B23,'4 Program Budget'!$H:$H,README!$M$9)</f>
        <v>684002.19775454525</v>
      </c>
      <c r="K23" s="850">
        <f>SUMIFS('4 Program Budget'!AK:AK,'4 Program Budget'!$G:$G,$B23,'4 Program Budget'!$H:$H,README!$M$9)</f>
        <v>113.10113631421153</v>
      </c>
      <c r="L23" s="850">
        <f>SUMIFS('4 Program Budget'!AL:AL,'4 Program Budget'!$G:$G,$B23,'4 Program Budget'!$H:$H,README!$M$9)</f>
        <v>62.227000000000004</v>
      </c>
      <c r="M23" s="850">
        <f>SUMIFS('4 Program Budget'!AM:AM,'4 Program Budget'!$G:$G,$B23,'4 Program Budget'!$H:$H,README!$M$9)</f>
        <v>0</v>
      </c>
      <c r="N23" s="850">
        <f>SUMIFS('4 Program Budget'!AN:AN,'4 Program Budget'!$G:$G,$B23,'4 Program Budget'!$H:$H,README!$M$9)</f>
        <v>0</v>
      </c>
      <c r="P23" s="202"/>
      <c r="R23" s="203"/>
      <c r="S23" s="204"/>
      <c r="T23" s="204"/>
      <c r="U23" s="204"/>
    </row>
    <row r="24" spans="1:21" ht="16.5" thickTop="1" thickBot="1">
      <c r="B24" s="910" t="s">
        <v>27</v>
      </c>
      <c r="C24" s="270">
        <f>SUMIFS('4 Program Budget'!Q:Q,'4 Program Budget'!$G:$G,$B24,'4 Program Budget'!$H:$H,README!$M$9)</f>
        <v>127917.22977369919</v>
      </c>
      <c r="D24" s="850">
        <f>SUMIFS('4 Program Budget'!T:T,'4 Program Budget'!$G:$G,$B24,'4 Program Budget'!$H:$H,README!$M$9)</f>
        <v>12153.799761549999</v>
      </c>
      <c r="E24" s="850">
        <f>SUMIFS('4 Program Budget'!U:U,'4 Program Budget'!$G:$G,$B24,'4 Program Budget'!$H:$H,README!$M$9)</f>
        <v>3.2442936920000003</v>
      </c>
      <c r="F24" s="850">
        <f>SUMIFS('4 Program Budget'!V:V,'4 Program Budget'!$G:$G,$B24,'4 Program Budget'!$H:$H,README!$M$9)</f>
        <v>0.252</v>
      </c>
      <c r="G24" s="850">
        <f>SUMIFS('4 Program Budget'!W:W,'4 Program Budget'!$G:$G,$B24,'4 Program Budget'!$H:$H,README!$M$9)</f>
        <v>0</v>
      </c>
      <c r="H24" s="850">
        <f>SUMIFS('4 Program Budget'!X:X,'4 Program Budget'!$G:$G,$B24,'4 Program Budget'!$H:$H,README!$M$9)</f>
        <v>0</v>
      </c>
      <c r="I24" s="270">
        <f>SUMIFS('4 Program Budget'!AG:AG,'4 Program Budget'!$G:$G,$B24,'4 Program Budget'!$H:$H,README!$M$9)</f>
        <v>140306.47625248533</v>
      </c>
      <c r="J24" s="850">
        <f>SUMIFS('4 Program Budget'!AJ:AJ,'4 Program Budget'!$G:$G,$B24,'4 Program Budget'!$H:$H,README!$M$9)</f>
        <v>162366.3256276894</v>
      </c>
      <c r="K24" s="850">
        <f>SUMIFS('4 Program Budget'!AK:AK,'4 Program Budget'!$G:$G,$B24,'4 Program Budget'!$H:$H,README!$M$9)</f>
        <v>43.007981078303779</v>
      </c>
      <c r="L24" s="850">
        <f>SUMIFS('4 Program Budget'!AL:AL,'4 Program Budget'!$G:$G,$B24,'4 Program Budget'!$H:$H,README!$M$9)</f>
        <v>3.444</v>
      </c>
      <c r="M24" s="850">
        <f>SUMIFS('4 Program Budget'!AM:AM,'4 Program Budget'!$G:$G,$B24,'4 Program Budget'!$H:$H,README!$M$9)</f>
        <v>0</v>
      </c>
      <c r="N24" s="850">
        <f>SUMIFS('4 Program Budget'!AN:AN,'4 Program Budget'!$G:$G,$B24,'4 Program Budget'!$H:$H,README!$M$9)</f>
        <v>0</v>
      </c>
      <c r="P24" s="202"/>
      <c r="R24" s="203"/>
      <c r="S24" s="204"/>
      <c r="T24" s="204"/>
      <c r="U24" s="204"/>
    </row>
    <row r="25" spans="1:21" ht="16.5" thickTop="1" thickBot="1">
      <c r="B25" s="201" t="s">
        <v>29</v>
      </c>
      <c r="C25" s="270">
        <f>SUMIFS('4 Program Budget'!Q:Q,'4 Program Budget'!$G:$G,$B25,'4 Program Budget'!$H:$H,README!$M$9)</f>
        <v>3771892.0803999999</v>
      </c>
      <c r="D25" s="850">
        <f>SUMIFS('4 Program Budget'!T:T,'4 Program Budget'!$G:$G,$B25,'4 Program Budget'!$H:$H,README!$M$9)</f>
        <v>0</v>
      </c>
      <c r="E25" s="850">
        <f>SUMIFS('4 Program Budget'!U:U,'4 Program Budget'!$G:$G,$B25,'4 Program Budget'!$H:$H,README!$M$9)</f>
        <v>0</v>
      </c>
      <c r="F25" s="850">
        <f>SUMIFS('4 Program Budget'!V:V,'4 Program Budget'!$G:$G,$B25,'4 Program Budget'!$H:$H,README!$M$9)</f>
        <v>0</v>
      </c>
      <c r="G25" s="850">
        <f>SUMIFS('4 Program Budget'!W:W,'4 Program Budget'!$G:$G,$B25,'4 Program Budget'!$H:$H,README!$M$9)</f>
        <v>0</v>
      </c>
      <c r="H25" s="850">
        <f>SUMIFS('4 Program Budget'!X:X,'4 Program Budget'!$G:$G,$B25,'4 Program Budget'!$H:$H,README!$M$9)</f>
        <v>0</v>
      </c>
      <c r="I25" s="270">
        <f>SUMIFS('4 Program Budget'!AG:AG,'4 Program Budget'!$G:$G,$B25,'4 Program Budget'!$H:$H,README!$M$9)</f>
        <v>3959592.9551999997</v>
      </c>
      <c r="J25" s="850">
        <f>SUMIFS('4 Program Budget'!AJ:AJ,'4 Program Budget'!$G:$G,$B25,'4 Program Budget'!$H:$H,README!$M$9)</f>
        <v>0</v>
      </c>
      <c r="K25" s="850">
        <f>SUMIFS('4 Program Budget'!AK:AK,'4 Program Budget'!$G:$G,$B25,'4 Program Budget'!$H:$H,README!$M$9)</f>
        <v>0</v>
      </c>
      <c r="L25" s="850">
        <f>SUMIFS('4 Program Budget'!AL:AL,'4 Program Budget'!$G:$G,$B25,'4 Program Budget'!$H:$H,README!$M$9)</f>
        <v>0</v>
      </c>
      <c r="M25" s="850">
        <f>SUMIFS('4 Program Budget'!AM:AM,'4 Program Budget'!$G:$G,$B25,'4 Program Budget'!$H:$H,README!$M$9)</f>
        <v>0</v>
      </c>
      <c r="N25" s="850">
        <f>SUMIFS('4 Program Budget'!AN:AN,'4 Program Budget'!$G:$G,$B25,'4 Program Budget'!$H:$H,README!$M$9)</f>
        <v>0</v>
      </c>
      <c r="P25" s="202"/>
      <c r="R25" s="203"/>
      <c r="S25" s="204"/>
      <c r="T25" s="204"/>
      <c r="U25" s="204"/>
    </row>
    <row r="26" spans="1:21" ht="16.5" thickTop="1" thickBot="1">
      <c r="B26" s="201" t="s">
        <v>30</v>
      </c>
      <c r="C26" s="270">
        <f>SUMIFS('4 Program Budget'!Q:Q,'4 Program Budget'!$G:$G,$B26,'4 Program Budget'!$H:$H,README!$M$9)</f>
        <v>380362.05705103988</v>
      </c>
      <c r="D26" s="850">
        <f>SUMIFS('4 Program Budget'!T:T,'4 Program Budget'!$G:$G,$B26,'4 Program Budget'!$H:$H,README!$M$9)</f>
        <v>15595.830980060002</v>
      </c>
      <c r="E26" s="850">
        <f>SUMIFS('4 Program Budget'!U:U,'4 Program Budget'!$G:$G,$B26,'4 Program Budget'!$H:$H,README!$M$9)</f>
        <v>5.7616392220000003</v>
      </c>
      <c r="F26" s="850">
        <f>SUMIFS('4 Program Budget'!V:V,'4 Program Budget'!$G:$G,$B26,'4 Program Budget'!$H:$H,README!$M$9)</f>
        <v>1.145</v>
      </c>
      <c r="G26" s="850">
        <f>SUMIFS('4 Program Budget'!W:W,'4 Program Budget'!$G:$G,$B26,'4 Program Budget'!$H:$H,README!$M$9)</f>
        <v>0</v>
      </c>
      <c r="H26" s="850">
        <f>SUMIFS('4 Program Budget'!X:X,'4 Program Budget'!$G:$G,$B26,'4 Program Budget'!$H:$H,README!$M$9)</f>
        <v>0</v>
      </c>
      <c r="I26" s="270">
        <f>SUMIFS('4 Program Budget'!AG:AG,'4 Program Budget'!$G:$G,$B26,'4 Program Budget'!$H:$H,README!$M$9)</f>
        <v>177167.78842189742</v>
      </c>
      <c r="J26" s="850">
        <f>SUMIFS('4 Program Budget'!AJ:AJ,'4 Program Budget'!$G:$G,$B26,'4 Program Budget'!$H:$H,README!$M$9)</f>
        <v>206949.54301933563</v>
      </c>
      <c r="K26" s="850">
        <f>SUMIFS('4 Program Budget'!AK:AK,'4 Program Budget'!$G:$G,$B26,'4 Program Budget'!$H:$H,README!$M$9)</f>
        <v>75.060035620597517</v>
      </c>
      <c r="L26" s="850">
        <f>SUMIFS('4 Program Budget'!AL:AL,'4 Program Budget'!$G:$G,$B26,'4 Program Budget'!$H:$H,README!$M$9)</f>
        <v>15.722</v>
      </c>
      <c r="M26" s="850">
        <f>SUMIFS('4 Program Budget'!AM:AM,'4 Program Budget'!$G:$G,$B26,'4 Program Budget'!$H:$H,README!$M$9)</f>
        <v>0</v>
      </c>
      <c r="N26" s="850">
        <f>SUMIFS('4 Program Budget'!AN:AN,'4 Program Budget'!$G:$G,$B26,'4 Program Budget'!$H:$H,README!$M$9)</f>
        <v>0</v>
      </c>
      <c r="P26" s="202"/>
      <c r="R26" s="203"/>
      <c r="S26" s="204"/>
      <c r="T26" s="204"/>
      <c r="U26" s="204"/>
    </row>
    <row r="27" spans="1:21" ht="16.5" thickTop="1" thickBot="1">
      <c r="A27" s="189">
        <v>1</v>
      </c>
      <c r="B27" s="201" t="s">
        <v>32</v>
      </c>
      <c r="C27" s="270">
        <f>SUMIFS('4 Program Budget'!Q:Q,'4 Program Budget'!$G:$G,$B27,'4 Program Budget'!$H:$H,README!$M$9)</f>
        <v>4244454.54</v>
      </c>
      <c r="D27" s="850">
        <f>SUMIFS('4 Program Budget'!T:T,'4 Program Budget'!$G:$G,$B27,'4 Program Budget'!$H:$H,README!$M$9)</f>
        <v>0</v>
      </c>
      <c r="E27" s="850">
        <f>SUMIFS('4 Program Budget'!U:U,'4 Program Budget'!$G:$G,$B27,'4 Program Budget'!$H:$H,README!$M$9)</f>
        <v>0</v>
      </c>
      <c r="F27" s="850">
        <f>SUMIFS('4 Program Budget'!V:V,'4 Program Budget'!$G:$G,$B27,'4 Program Budget'!$H:$H,README!$M$9)</f>
        <v>0</v>
      </c>
      <c r="G27" s="850">
        <f>SUMIFS('4 Program Budget'!W:W,'4 Program Budget'!$G:$G,$B27,'4 Program Budget'!$H:$H,README!$M$9)</f>
        <v>0</v>
      </c>
      <c r="H27" s="850">
        <f>SUMIFS('4 Program Budget'!X:X,'4 Program Budget'!$G:$G,$B27,'4 Program Budget'!$H:$H,README!$M$9)</f>
        <v>0</v>
      </c>
      <c r="I27" s="270">
        <f>SUMIFS('4 Program Budget'!AG:AG,'4 Program Budget'!$G:$G,$B27,'4 Program Budget'!$H:$H,README!$M$9)</f>
        <v>3995857.5255999998</v>
      </c>
      <c r="J27" s="850">
        <f>SUMIFS('4 Program Budget'!AJ:AJ,'4 Program Budget'!$G:$G,$B27,'4 Program Budget'!$H:$H,README!$M$9)</f>
        <v>0</v>
      </c>
      <c r="K27" s="850">
        <f>SUMIFS('4 Program Budget'!AK:AK,'4 Program Budget'!$G:$G,$B27,'4 Program Budget'!$H:$H,README!$M$9)</f>
        <v>0</v>
      </c>
      <c r="L27" s="850">
        <f>SUMIFS('4 Program Budget'!AL:AL,'4 Program Budget'!$G:$G,$B27,'4 Program Budget'!$H:$H,README!$M$9)</f>
        <v>0</v>
      </c>
      <c r="M27" s="850">
        <f>SUMIFS('4 Program Budget'!AM:AM,'4 Program Budget'!$G:$G,$B27,'4 Program Budget'!$H:$H,README!$M$9)</f>
        <v>0</v>
      </c>
      <c r="N27" s="850">
        <f>SUMIFS('4 Program Budget'!AN:AN,'4 Program Budget'!$G:$G,$B27,'4 Program Budget'!$H:$H,README!$M$9)</f>
        <v>0</v>
      </c>
      <c r="P27" s="202"/>
      <c r="R27" s="203"/>
      <c r="S27" s="204"/>
      <c r="T27" s="204"/>
      <c r="U27" s="204"/>
    </row>
    <row r="28" spans="1:21" ht="16.5" thickTop="1" thickBot="1">
      <c r="A28" s="189">
        <v>2</v>
      </c>
      <c r="B28" s="201" t="s">
        <v>34</v>
      </c>
      <c r="C28" s="270">
        <f>SUMIFS('4 Program Budget'!Q:Q,'4 Program Budget'!$G:$G,$B28,'4 Program Budget'!$H:$H,README!$M$9)</f>
        <v>287704.90000000002</v>
      </c>
      <c r="D28" s="850">
        <f>SUMIFS('4 Program Budget'!T:T,'4 Program Budget'!$G:$G,$B28,'4 Program Budget'!$H:$H,README!$M$9)</f>
        <v>0</v>
      </c>
      <c r="E28" s="850">
        <f>SUMIFS('4 Program Budget'!U:U,'4 Program Budget'!$G:$G,$B28,'4 Program Budget'!$H:$H,README!$M$9)</f>
        <v>0</v>
      </c>
      <c r="F28" s="850">
        <f>SUMIFS('4 Program Budget'!V:V,'4 Program Budget'!$G:$G,$B28,'4 Program Budget'!$H:$H,README!$M$9)</f>
        <v>0</v>
      </c>
      <c r="G28" s="850">
        <f>SUMIFS('4 Program Budget'!W:W,'4 Program Budget'!$G:$G,$B28,'4 Program Budget'!$H:$H,README!$M$9)</f>
        <v>0</v>
      </c>
      <c r="H28" s="850">
        <f>SUMIFS('4 Program Budget'!X:X,'4 Program Budget'!$G:$G,$B28,'4 Program Budget'!$H:$H,README!$M$9)</f>
        <v>0</v>
      </c>
      <c r="I28" s="270">
        <f>SUMIFS('4 Program Budget'!AG:AG,'4 Program Budget'!$G:$G,$B28,'4 Program Budget'!$H:$H,README!$M$9)</f>
        <v>396119.34720000002</v>
      </c>
      <c r="J28" s="850">
        <f>SUMIFS('4 Program Budget'!AJ:AJ,'4 Program Budget'!$G:$G,$B28,'4 Program Budget'!$H:$H,README!$M$9)</f>
        <v>0</v>
      </c>
      <c r="K28" s="850">
        <f>SUMIFS('4 Program Budget'!AK:AK,'4 Program Budget'!$G:$G,$B28,'4 Program Budget'!$H:$H,README!$M$9)</f>
        <v>0</v>
      </c>
      <c r="L28" s="850">
        <f>SUMIFS('4 Program Budget'!AL:AL,'4 Program Budget'!$G:$G,$B28,'4 Program Budget'!$H:$H,README!$M$9)</f>
        <v>0</v>
      </c>
      <c r="M28" s="850">
        <f>SUMIFS('4 Program Budget'!AM:AM,'4 Program Budget'!$G:$G,$B28,'4 Program Budget'!$H:$H,README!$M$9)</f>
        <v>0</v>
      </c>
      <c r="N28" s="850">
        <f>SUMIFS('4 Program Budget'!AN:AN,'4 Program Budget'!$G:$G,$B28,'4 Program Budget'!$H:$H,README!$M$9)</f>
        <v>0</v>
      </c>
      <c r="P28" s="202"/>
      <c r="R28" s="203"/>
      <c r="S28" s="204"/>
      <c r="T28" s="204"/>
      <c r="U28" s="204"/>
    </row>
    <row r="29" spans="1:21" ht="16.5" thickTop="1" thickBot="1">
      <c r="A29" s="189">
        <v>3</v>
      </c>
      <c r="B29" s="201" t="s">
        <v>36</v>
      </c>
      <c r="C29" s="270">
        <f>SUMIFS('4 Program Budget'!Q:Q,'4 Program Budget'!$G:$G,$B29,'4 Program Budget'!$H:$H,README!$M$9)</f>
        <v>0</v>
      </c>
      <c r="D29" s="850">
        <f>SUMIFS('4 Program Budget'!T:T,'4 Program Budget'!$G:$G,$B29,'4 Program Budget'!$H:$H,README!$M$9)</f>
        <v>0</v>
      </c>
      <c r="E29" s="850">
        <f>SUMIFS('4 Program Budget'!U:U,'4 Program Budget'!$G:$G,$B29,'4 Program Budget'!$H:$H,README!$M$9)</f>
        <v>0</v>
      </c>
      <c r="F29" s="850">
        <f>SUMIFS('4 Program Budget'!V:V,'4 Program Budget'!$G:$G,$B29,'4 Program Budget'!$H:$H,README!$M$9)</f>
        <v>0</v>
      </c>
      <c r="G29" s="850">
        <f>SUMIFS('4 Program Budget'!W:W,'4 Program Budget'!$G:$G,$B29,'4 Program Budget'!$H:$H,README!$M$9)</f>
        <v>0</v>
      </c>
      <c r="H29" s="850">
        <f>SUMIFS('4 Program Budget'!X:X,'4 Program Budget'!$G:$G,$B29,'4 Program Budget'!$H:$H,README!$M$9)</f>
        <v>0</v>
      </c>
      <c r="I29" s="270">
        <f>SUMIFS('4 Program Budget'!AG:AG,'4 Program Budget'!$G:$G,$B29,'4 Program Budget'!$H:$H,README!$M$9)</f>
        <v>0</v>
      </c>
      <c r="J29" s="850">
        <f>SUMIFS('4 Program Budget'!AJ:AJ,'4 Program Budget'!$G:$G,$B29,'4 Program Budget'!$H:$H,README!$M$9)</f>
        <v>0</v>
      </c>
      <c r="K29" s="850">
        <f>SUMIFS('4 Program Budget'!AK:AK,'4 Program Budget'!$G:$G,$B29,'4 Program Budget'!$H:$H,README!$M$9)</f>
        <v>0</v>
      </c>
      <c r="L29" s="850">
        <f>SUMIFS('4 Program Budget'!AL:AL,'4 Program Budget'!$G:$G,$B29,'4 Program Budget'!$H:$H,README!$M$9)</f>
        <v>0</v>
      </c>
      <c r="M29" s="850">
        <f>SUMIFS('4 Program Budget'!AM:AM,'4 Program Budget'!$G:$G,$B29,'4 Program Budget'!$H:$H,README!$M$9)</f>
        <v>0</v>
      </c>
      <c r="N29" s="850">
        <f>SUMIFS('4 Program Budget'!AN:AN,'4 Program Budget'!$G:$G,$B29,'4 Program Budget'!$H:$H,README!$M$9)</f>
        <v>0</v>
      </c>
      <c r="P29" s="202"/>
      <c r="R29" s="203"/>
      <c r="S29" s="204"/>
      <c r="T29" s="204"/>
      <c r="U29" s="204"/>
    </row>
    <row r="30" spans="1:21" ht="16.5" thickTop="1" thickBot="1">
      <c r="A30" s="189">
        <v>4</v>
      </c>
      <c r="B30" s="205" t="s">
        <v>709</v>
      </c>
      <c r="C30" s="395">
        <f>SUM(C21:C29)</f>
        <v>13416366.196962835</v>
      </c>
      <c r="D30" s="698">
        <f t="shared" ref="D30:H30" si="4">SUM(D21:D29)</f>
        <v>1438653.5849705688</v>
      </c>
      <c r="E30" s="698">
        <f t="shared" si="4"/>
        <v>48.719860215400004</v>
      </c>
      <c r="F30" s="698">
        <f t="shared" ref="F30:G30" si="5">SUM(F21:F29)</f>
        <v>12.981</v>
      </c>
      <c r="G30" s="698">
        <f t="shared" si="5"/>
        <v>0</v>
      </c>
      <c r="H30" s="698">
        <f t="shared" si="4"/>
        <v>0</v>
      </c>
      <c r="I30" s="395">
        <f>SUM(I21:I29)</f>
        <v>15499808.140898215</v>
      </c>
      <c r="J30" s="851">
        <f t="shared" ref="J30:N30" si="6">SUM(J21:J29)</f>
        <v>5914877.9038544698</v>
      </c>
      <c r="K30" s="851">
        <f t="shared" si="6"/>
        <v>635.84598099561413</v>
      </c>
      <c r="L30" s="851">
        <f t="shared" ref="L30:M30" si="7">SUM(L21:L29)</f>
        <v>195.745</v>
      </c>
      <c r="M30" s="851">
        <f t="shared" si="7"/>
        <v>0</v>
      </c>
      <c r="N30" s="851">
        <f t="shared" si="6"/>
        <v>0</v>
      </c>
      <c r="P30" s="650" t="s">
        <v>710</v>
      </c>
      <c r="R30" s="203"/>
      <c r="S30" s="204"/>
      <c r="T30" s="204"/>
      <c r="U30" s="204"/>
    </row>
    <row r="31" spans="1:21" ht="16.5" thickTop="1" thickBot="1">
      <c r="B31" s="226" t="s">
        <v>711</v>
      </c>
      <c r="C31" s="852">
        <v>834453.27688976785</v>
      </c>
      <c r="D31" s="911"/>
      <c r="E31" s="912"/>
      <c r="F31" s="913"/>
      <c r="G31" s="913"/>
      <c r="H31" s="913"/>
      <c r="I31" s="852">
        <v>7292340.6861025309</v>
      </c>
      <c r="J31" s="911"/>
      <c r="K31" s="912"/>
      <c r="L31" s="912"/>
      <c r="M31" s="912"/>
      <c r="N31" s="913"/>
      <c r="P31" s="914" t="s">
        <v>712</v>
      </c>
      <c r="R31" s="203"/>
      <c r="S31" s="204"/>
      <c r="T31" s="206"/>
      <c r="U31" s="204"/>
    </row>
    <row r="32" spans="1:21" ht="16.899999999999999" customHeight="1" thickTop="1" thickBot="1">
      <c r="B32" s="226" t="s">
        <v>717</v>
      </c>
      <c r="C32" s="860">
        <v>7.3237715668137859E-2</v>
      </c>
      <c r="D32" s="911"/>
      <c r="E32" s="912"/>
      <c r="F32" s="913"/>
      <c r="G32" s="913"/>
      <c r="H32" s="913"/>
      <c r="I32" s="860">
        <v>0.39029862269016913</v>
      </c>
      <c r="J32" s="911"/>
      <c r="K32" s="912"/>
      <c r="L32" s="912"/>
      <c r="M32" s="912"/>
      <c r="N32" s="913"/>
      <c r="P32" s="1011" t="s">
        <v>718</v>
      </c>
      <c r="R32" s="203"/>
      <c r="S32" s="204"/>
      <c r="T32" s="206"/>
      <c r="U32" s="204"/>
    </row>
    <row r="33" spans="1:21" ht="16.5" thickTop="1" thickBot="1">
      <c r="B33" s="226" t="s">
        <v>715</v>
      </c>
      <c r="C33" s="860">
        <v>7.4315492026639646E-2</v>
      </c>
      <c r="D33" s="911"/>
      <c r="E33" s="912"/>
      <c r="F33" s="913"/>
      <c r="G33" s="913"/>
      <c r="H33" s="913"/>
      <c r="I33" s="860">
        <v>0.44746534937788091</v>
      </c>
      <c r="J33" s="911"/>
      <c r="K33" s="912"/>
      <c r="L33" s="912"/>
      <c r="M33" s="912"/>
      <c r="N33" s="913"/>
      <c r="P33" s="1010"/>
      <c r="R33" s="203"/>
      <c r="S33" s="204"/>
      <c r="T33" s="206"/>
      <c r="U33" s="204"/>
    </row>
    <row r="34" spans="1:21" ht="31.5" customHeight="1" thickTop="1" thickBot="1">
      <c r="B34" s="445" t="s">
        <v>719</v>
      </c>
      <c r="C34" s="446"/>
      <c r="D34" s="915"/>
      <c r="E34" s="915"/>
      <c r="F34" s="448"/>
      <c r="G34" s="448"/>
      <c r="H34" s="448"/>
      <c r="I34" s="446"/>
      <c r="J34" s="915"/>
      <c r="K34" s="915"/>
      <c r="L34" s="915"/>
      <c r="M34" s="915"/>
      <c r="N34" s="448"/>
      <c r="P34" s="393"/>
      <c r="R34" s="394"/>
    </row>
    <row r="35" spans="1:21" ht="16.5" customHeight="1" thickTop="1" thickBot="1">
      <c r="B35" s="201" t="s">
        <v>17</v>
      </c>
      <c r="C35" s="270">
        <f>SUMIFS('4 Program Budget'!Q:Q,'4 Program Budget'!$G:$G,$B35,'4 Program Budget'!$H:$H,README!$M$10)</f>
        <v>0</v>
      </c>
      <c r="D35" s="850">
        <f>SUMIFS('4 Program Budget'!T:T,'4 Program Budget'!$G:$G,$B35,'4 Program Budget'!$H:$H,README!$M$10)</f>
        <v>0</v>
      </c>
      <c r="E35" s="850">
        <f>SUMIFS('4 Program Budget'!U:U,'4 Program Budget'!$G:$G,$B35,'4 Program Budget'!$H:$H,README!$M$10)</f>
        <v>0</v>
      </c>
      <c r="F35" s="850">
        <f>SUMIFS('4 Program Budget'!V:V,'4 Program Budget'!$G:$G,$B35,'4 Program Budget'!$H:$H,README!$M$10)</f>
        <v>0</v>
      </c>
      <c r="G35" s="850">
        <f>SUMIFS('4 Program Budget'!W:W,'4 Program Budget'!$G:$G,$B35,'4 Program Budget'!$H:$H,README!$M$10)</f>
        <v>0</v>
      </c>
      <c r="H35" s="850">
        <f>SUMIFS('4 Program Budget'!X:X,'4 Program Budget'!$G:$G,$B35,'4 Program Budget'!$H:$H,README!$M$10)</f>
        <v>0</v>
      </c>
      <c r="I35" s="270">
        <f>SUMIFS('4 Program Budget'!AG:AG,'4 Program Budget'!$G:$G,$B35,'4 Program Budget'!$H:$H,README!$M$10)</f>
        <v>0</v>
      </c>
      <c r="J35" s="850">
        <f>SUMIFS('4 Program Budget'!AJ:AJ,'4 Program Budget'!$G:$G,$B35,'4 Program Budget'!$H:$H,README!$M$10)</f>
        <v>0</v>
      </c>
      <c r="K35" s="850">
        <f>SUMIFS('4 Program Budget'!AK:AK,'4 Program Budget'!$G:$G,$B35,'4 Program Budget'!$H:$H,README!$M$10)</f>
        <v>0</v>
      </c>
      <c r="L35" s="850">
        <f>SUMIFS('4 Program Budget'!AL:AL,'4 Program Budget'!$G:$G,$B35,'4 Program Budget'!$H:$H,README!$M$10)</f>
        <v>0</v>
      </c>
      <c r="M35" s="850">
        <f>SUMIFS('4 Program Budget'!AM:AM,'4 Program Budget'!$G:$G,$B35,'4 Program Budget'!$H:$H,README!$M$10)</f>
        <v>0</v>
      </c>
      <c r="N35" s="850">
        <f>SUMIFS('4 Program Budget'!AN:AN,'4 Program Budget'!$G:$G,$B35,'4 Program Budget'!$H:$H,README!$M$10)</f>
        <v>0</v>
      </c>
      <c r="P35" s="202" t="s">
        <v>707</v>
      </c>
    </row>
    <row r="36" spans="1:21" ht="16.5" thickTop="1" thickBot="1">
      <c r="B36" s="201" t="s">
        <v>22</v>
      </c>
      <c r="C36" s="270">
        <f>SUMIFS('4 Program Budget'!Q:Q,'4 Program Budget'!$G:$G,$B36,'4 Program Budget'!$H:$H,README!$M$10)</f>
        <v>0</v>
      </c>
      <c r="D36" s="850">
        <f>SUMIFS('4 Program Budget'!T:T,'4 Program Budget'!$G:$G,$B36,'4 Program Budget'!$H:$H,README!$M$10)</f>
        <v>0</v>
      </c>
      <c r="E36" s="850">
        <f>SUMIFS('4 Program Budget'!U:U,'4 Program Budget'!$G:$G,$B36,'4 Program Budget'!$H:$H,README!$M$10)</f>
        <v>0</v>
      </c>
      <c r="F36" s="850">
        <f>SUMIFS('4 Program Budget'!V:V,'4 Program Budget'!$G:$G,$B36,'4 Program Budget'!$H:$H,README!$M$10)</f>
        <v>0</v>
      </c>
      <c r="G36" s="850">
        <f>SUMIFS('4 Program Budget'!W:W,'4 Program Budget'!$G:$G,$B36,'4 Program Budget'!$H:$H,README!$M$10)</f>
        <v>0</v>
      </c>
      <c r="H36" s="850">
        <f>SUMIFS('4 Program Budget'!X:X,'4 Program Budget'!$G:$G,$B36,'4 Program Budget'!$H:$H,README!$M$10)</f>
        <v>0</v>
      </c>
      <c r="I36" s="270">
        <f>SUMIFS('4 Program Budget'!AG:AG,'4 Program Budget'!$G:$G,$B36,'4 Program Budget'!$H:$H,README!$M$10)</f>
        <v>0</v>
      </c>
      <c r="J36" s="850">
        <f>SUMIFS('4 Program Budget'!AJ:AJ,'4 Program Budget'!$G:$G,$B36,'4 Program Budget'!$H:$H,README!$M$10)</f>
        <v>0</v>
      </c>
      <c r="K36" s="850">
        <f>SUMIFS('4 Program Budget'!AK:AK,'4 Program Budget'!$G:$G,$B36,'4 Program Budget'!$H:$H,README!$M$10)</f>
        <v>0</v>
      </c>
      <c r="L36" s="850">
        <f>SUMIFS('4 Program Budget'!AL:AL,'4 Program Budget'!$G:$G,$B36,'4 Program Budget'!$H:$H,README!$M$10)</f>
        <v>0</v>
      </c>
      <c r="M36" s="850">
        <f>SUMIFS('4 Program Budget'!AM:AM,'4 Program Budget'!$G:$G,$B36,'4 Program Budget'!$H:$H,README!$M$10)</f>
        <v>0</v>
      </c>
      <c r="N36" s="850">
        <f>SUMIFS('4 Program Budget'!AN:AN,'4 Program Budget'!$G:$G,$B36,'4 Program Budget'!$H:$H,README!$M$10)</f>
        <v>0</v>
      </c>
      <c r="P36" s="202" t="s">
        <v>708</v>
      </c>
      <c r="R36" s="203"/>
      <c r="S36" s="204"/>
      <c r="T36" s="204"/>
      <c r="U36" s="204"/>
    </row>
    <row r="37" spans="1:21" ht="16.5" thickTop="1" thickBot="1">
      <c r="B37" s="201" t="s">
        <v>25</v>
      </c>
      <c r="C37" s="270">
        <f>SUMIFS('4 Program Budget'!Q:Q,'4 Program Budget'!$G:$G,$B37,'4 Program Budget'!$H:$H,README!$M$10)</f>
        <v>0</v>
      </c>
      <c r="D37" s="850">
        <f>SUMIFS('4 Program Budget'!T:T,'4 Program Budget'!$G:$G,$B37,'4 Program Budget'!$H:$H,README!$M$10)</f>
        <v>0</v>
      </c>
      <c r="E37" s="850">
        <f>SUMIFS('4 Program Budget'!U:U,'4 Program Budget'!$G:$G,$B37,'4 Program Budget'!$H:$H,README!$M$10)</f>
        <v>0</v>
      </c>
      <c r="F37" s="850">
        <f>SUMIFS('4 Program Budget'!V:V,'4 Program Budget'!$G:$G,$B37,'4 Program Budget'!$H:$H,README!$M$10)</f>
        <v>0</v>
      </c>
      <c r="G37" s="850">
        <f>SUMIFS('4 Program Budget'!W:W,'4 Program Budget'!$G:$G,$B37,'4 Program Budget'!$H:$H,README!$M$10)</f>
        <v>0</v>
      </c>
      <c r="H37" s="850">
        <f>SUMIFS('4 Program Budget'!X:X,'4 Program Budget'!$G:$G,$B37,'4 Program Budget'!$H:$H,README!$M$10)</f>
        <v>0</v>
      </c>
      <c r="I37" s="270">
        <f>SUMIFS('4 Program Budget'!AG:AG,'4 Program Budget'!$G:$G,$B37,'4 Program Budget'!$H:$H,README!$M$10)</f>
        <v>0</v>
      </c>
      <c r="J37" s="850">
        <f>SUMIFS('4 Program Budget'!AJ:AJ,'4 Program Budget'!$G:$G,$B37,'4 Program Budget'!$H:$H,README!$M$10)</f>
        <v>0</v>
      </c>
      <c r="K37" s="850">
        <f>SUMIFS('4 Program Budget'!AK:AK,'4 Program Budget'!$G:$G,$B37,'4 Program Budget'!$H:$H,README!$M$10)</f>
        <v>0</v>
      </c>
      <c r="L37" s="850">
        <f>SUMIFS('4 Program Budget'!AL:AL,'4 Program Budget'!$G:$G,$B37,'4 Program Budget'!$H:$H,README!$M$10)</f>
        <v>0</v>
      </c>
      <c r="M37" s="850">
        <f>SUMIFS('4 Program Budget'!AM:AM,'4 Program Budget'!$G:$G,$B37,'4 Program Budget'!$H:$H,README!$M$10)</f>
        <v>0</v>
      </c>
      <c r="N37" s="850">
        <f>SUMIFS('4 Program Budget'!AN:AN,'4 Program Budget'!$G:$G,$B37,'4 Program Budget'!$H:$H,README!$M$10)</f>
        <v>0</v>
      </c>
      <c r="P37" s="202"/>
      <c r="R37" s="203"/>
      <c r="S37" s="204"/>
      <c r="T37" s="204"/>
      <c r="U37" s="204"/>
    </row>
    <row r="38" spans="1:21" ht="16.5" thickTop="1" thickBot="1">
      <c r="B38" s="910" t="s">
        <v>27</v>
      </c>
      <c r="C38" s="270">
        <f>SUMIFS('4 Program Budget'!Q:Q,'4 Program Budget'!$G:$G,$B38,'4 Program Budget'!$H:$H,README!$M$10)</f>
        <v>0</v>
      </c>
      <c r="D38" s="850">
        <f>SUMIFS('4 Program Budget'!T:T,'4 Program Budget'!$G:$G,$B38,'4 Program Budget'!$H:$H,README!$M$10)</f>
        <v>0</v>
      </c>
      <c r="E38" s="850">
        <f>SUMIFS('4 Program Budget'!U:U,'4 Program Budget'!$G:$G,$B38,'4 Program Budget'!$H:$H,README!$M$10)</f>
        <v>0</v>
      </c>
      <c r="F38" s="850">
        <f>SUMIFS('4 Program Budget'!V:V,'4 Program Budget'!$G:$G,$B38,'4 Program Budget'!$H:$H,README!$M$10)</f>
        <v>0</v>
      </c>
      <c r="G38" s="850">
        <f>SUMIFS('4 Program Budget'!W:W,'4 Program Budget'!$G:$G,$B38,'4 Program Budget'!$H:$H,README!$M$10)</f>
        <v>0</v>
      </c>
      <c r="H38" s="850">
        <f>SUMIFS('4 Program Budget'!X:X,'4 Program Budget'!$G:$G,$B38,'4 Program Budget'!$H:$H,README!$M$10)</f>
        <v>0</v>
      </c>
      <c r="I38" s="270">
        <f>SUMIFS('4 Program Budget'!AG:AG,'4 Program Budget'!$G:$G,$B38,'4 Program Budget'!$H:$H,README!$M$10)</f>
        <v>0</v>
      </c>
      <c r="J38" s="850">
        <f>SUMIFS('4 Program Budget'!AJ:AJ,'4 Program Budget'!$G:$G,$B38,'4 Program Budget'!$H:$H,README!$M$10)</f>
        <v>0</v>
      </c>
      <c r="K38" s="850">
        <f>SUMIFS('4 Program Budget'!AK:AK,'4 Program Budget'!$G:$G,$B38,'4 Program Budget'!$H:$H,README!$M$10)</f>
        <v>0</v>
      </c>
      <c r="L38" s="850">
        <f>SUMIFS('4 Program Budget'!AL:AL,'4 Program Budget'!$G:$G,$B38,'4 Program Budget'!$H:$H,README!$M$10)</f>
        <v>0</v>
      </c>
      <c r="M38" s="850">
        <f>SUMIFS('4 Program Budget'!AM:AM,'4 Program Budget'!$G:$G,$B38,'4 Program Budget'!$H:$H,README!$M$10)</f>
        <v>0</v>
      </c>
      <c r="N38" s="850">
        <f>SUMIFS('4 Program Budget'!AN:AN,'4 Program Budget'!$G:$G,$B38,'4 Program Budget'!$H:$H,README!$M$10)</f>
        <v>0</v>
      </c>
      <c r="P38" s="202"/>
      <c r="R38" s="203"/>
      <c r="S38" s="204"/>
      <c r="T38" s="204"/>
      <c r="U38" s="204"/>
    </row>
    <row r="39" spans="1:21" ht="16.5" thickTop="1" thickBot="1">
      <c r="B39" s="201" t="s">
        <v>29</v>
      </c>
      <c r="C39" s="270">
        <f>SUMIFS('4 Program Budget'!Q:Q,'4 Program Budget'!$G:$G,$B39,'4 Program Budget'!$H:$H,README!$M$10)</f>
        <v>0</v>
      </c>
      <c r="D39" s="850">
        <f>SUMIFS('4 Program Budget'!T:T,'4 Program Budget'!$G:$G,$B39,'4 Program Budget'!$H:$H,README!$M$10)</f>
        <v>0</v>
      </c>
      <c r="E39" s="850">
        <f>SUMIFS('4 Program Budget'!U:U,'4 Program Budget'!$G:$G,$B39,'4 Program Budget'!$H:$H,README!$M$10)</f>
        <v>0</v>
      </c>
      <c r="F39" s="850">
        <f>SUMIFS('4 Program Budget'!V:V,'4 Program Budget'!$G:$G,$B39,'4 Program Budget'!$H:$H,README!$M$10)</f>
        <v>0</v>
      </c>
      <c r="G39" s="850">
        <f>SUMIFS('4 Program Budget'!W:W,'4 Program Budget'!$G:$G,$B39,'4 Program Budget'!$H:$H,README!$M$10)</f>
        <v>0</v>
      </c>
      <c r="H39" s="850">
        <f>SUMIFS('4 Program Budget'!X:X,'4 Program Budget'!$G:$G,$B39,'4 Program Budget'!$H:$H,README!$M$10)</f>
        <v>0</v>
      </c>
      <c r="I39" s="270">
        <f>SUMIFS('4 Program Budget'!AG:AG,'4 Program Budget'!$G:$G,$B39,'4 Program Budget'!$H:$H,README!$M$10)</f>
        <v>0</v>
      </c>
      <c r="J39" s="850">
        <f>SUMIFS('4 Program Budget'!AJ:AJ,'4 Program Budget'!$G:$G,$B39,'4 Program Budget'!$H:$H,README!$M$10)</f>
        <v>0</v>
      </c>
      <c r="K39" s="850">
        <f>SUMIFS('4 Program Budget'!AK:AK,'4 Program Budget'!$G:$G,$B39,'4 Program Budget'!$H:$H,README!$M$10)</f>
        <v>0</v>
      </c>
      <c r="L39" s="850">
        <f>SUMIFS('4 Program Budget'!AL:AL,'4 Program Budget'!$G:$G,$B39,'4 Program Budget'!$H:$H,README!$M$10)</f>
        <v>0</v>
      </c>
      <c r="M39" s="850">
        <f>SUMIFS('4 Program Budget'!AM:AM,'4 Program Budget'!$G:$G,$B39,'4 Program Budget'!$H:$H,README!$M$10)</f>
        <v>0</v>
      </c>
      <c r="N39" s="850">
        <f>SUMIFS('4 Program Budget'!AN:AN,'4 Program Budget'!$G:$G,$B39,'4 Program Budget'!$H:$H,README!$M$10)</f>
        <v>0</v>
      </c>
      <c r="P39" s="202"/>
      <c r="R39" s="203"/>
      <c r="S39" s="204"/>
      <c r="T39" s="204"/>
      <c r="U39" s="204"/>
    </row>
    <row r="40" spans="1:21" ht="16.5" thickTop="1" thickBot="1">
      <c r="B40" s="201" t="s">
        <v>30</v>
      </c>
      <c r="C40" s="270">
        <f>SUMIFS('4 Program Budget'!Q:Q,'4 Program Budget'!$G:$G,$B40,'4 Program Budget'!$H:$H,README!$M$10)</f>
        <v>0</v>
      </c>
      <c r="D40" s="850">
        <f>SUMIFS('4 Program Budget'!T:T,'4 Program Budget'!$G:$G,$B40,'4 Program Budget'!$H:$H,README!$M$10)</f>
        <v>0</v>
      </c>
      <c r="E40" s="850">
        <f>SUMIFS('4 Program Budget'!U:U,'4 Program Budget'!$G:$G,$B40,'4 Program Budget'!$H:$H,README!$M$10)</f>
        <v>0</v>
      </c>
      <c r="F40" s="850">
        <f>SUMIFS('4 Program Budget'!V:V,'4 Program Budget'!$G:$G,$B40,'4 Program Budget'!$H:$H,README!$M$10)</f>
        <v>0</v>
      </c>
      <c r="G40" s="850">
        <f>SUMIFS('4 Program Budget'!W:W,'4 Program Budget'!$G:$G,$B40,'4 Program Budget'!$H:$H,README!$M$10)</f>
        <v>0</v>
      </c>
      <c r="H40" s="850">
        <f>SUMIFS('4 Program Budget'!X:X,'4 Program Budget'!$G:$G,$B40,'4 Program Budget'!$H:$H,README!$M$10)</f>
        <v>0</v>
      </c>
      <c r="I40" s="270">
        <f>SUMIFS('4 Program Budget'!AG:AG,'4 Program Budget'!$G:$G,$B40,'4 Program Budget'!$H:$H,README!$M$10)</f>
        <v>0</v>
      </c>
      <c r="J40" s="850">
        <f>SUMIFS('4 Program Budget'!AJ:AJ,'4 Program Budget'!$G:$G,$B40,'4 Program Budget'!$H:$H,README!$M$10)</f>
        <v>0</v>
      </c>
      <c r="K40" s="850">
        <f>SUMIFS('4 Program Budget'!AK:AK,'4 Program Budget'!$G:$G,$B40,'4 Program Budget'!$H:$H,README!$M$10)</f>
        <v>0</v>
      </c>
      <c r="L40" s="850">
        <f>SUMIFS('4 Program Budget'!AL:AL,'4 Program Budget'!$G:$G,$B40,'4 Program Budget'!$H:$H,README!$M$10)</f>
        <v>0</v>
      </c>
      <c r="M40" s="850">
        <f>SUMIFS('4 Program Budget'!AM:AM,'4 Program Budget'!$G:$G,$B40,'4 Program Budget'!$H:$H,README!$M$10)</f>
        <v>0</v>
      </c>
      <c r="N40" s="850">
        <f>SUMIFS('4 Program Budget'!AN:AN,'4 Program Budget'!$G:$G,$B40,'4 Program Budget'!$H:$H,README!$M$10)</f>
        <v>0</v>
      </c>
      <c r="P40" s="202"/>
      <c r="R40" s="203"/>
      <c r="S40" s="204"/>
      <c r="T40" s="204"/>
      <c r="U40" s="204"/>
    </row>
    <row r="41" spans="1:21" ht="16.5" thickTop="1" thickBot="1">
      <c r="A41" s="189">
        <v>1</v>
      </c>
      <c r="B41" s="201" t="s">
        <v>32</v>
      </c>
      <c r="C41" s="270">
        <f>SUMIFS('4 Program Budget'!Q:Q,'4 Program Budget'!$G:$G,$B41,'4 Program Budget'!$H:$H,README!$M$10)</f>
        <v>248395.4884</v>
      </c>
      <c r="D41" s="850">
        <f>SUMIFS('4 Program Budget'!T:T,'4 Program Budget'!$G:$G,$B41,'4 Program Budget'!$H:$H,README!$M$10)</f>
        <v>0</v>
      </c>
      <c r="E41" s="850">
        <f>SUMIFS('4 Program Budget'!U:U,'4 Program Budget'!$G:$G,$B41,'4 Program Budget'!$H:$H,README!$M$10)</f>
        <v>0</v>
      </c>
      <c r="F41" s="850">
        <f>SUMIFS('4 Program Budget'!V:V,'4 Program Budget'!$G:$G,$B41,'4 Program Budget'!$H:$H,README!$M$10)</f>
        <v>0</v>
      </c>
      <c r="G41" s="850">
        <f>SUMIFS('4 Program Budget'!W:W,'4 Program Budget'!$G:$G,$B41,'4 Program Budget'!$H:$H,README!$M$10)</f>
        <v>0</v>
      </c>
      <c r="H41" s="850">
        <f>SUMIFS('4 Program Budget'!X:X,'4 Program Budget'!$G:$G,$B41,'4 Program Budget'!$H:$H,README!$M$10)</f>
        <v>0</v>
      </c>
      <c r="I41" s="270">
        <f>SUMIFS('4 Program Budget'!AG:AG,'4 Program Budget'!$G:$G,$B41,'4 Program Budget'!$H:$H,README!$M$10)</f>
        <v>267559.6617</v>
      </c>
      <c r="J41" s="850">
        <f>SUMIFS('4 Program Budget'!AJ:AJ,'4 Program Budget'!$G:$G,$B41,'4 Program Budget'!$H:$H,README!$M$10)</f>
        <v>0</v>
      </c>
      <c r="K41" s="850">
        <f>SUMIFS('4 Program Budget'!AK:AK,'4 Program Budget'!$G:$G,$B41,'4 Program Budget'!$H:$H,README!$M$10)</f>
        <v>0</v>
      </c>
      <c r="L41" s="850">
        <f>SUMIFS('4 Program Budget'!AL:AL,'4 Program Budget'!$G:$G,$B41,'4 Program Budget'!$H:$H,README!$M$10)</f>
        <v>0</v>
      </c>
      <c r="M41" s="850">
        <f>SUMIFS('4 Program Budget'!AM:AM,'4 Program Budget'!$G:$G,$B41,'4 Program Budget'!$H:$H,README!$M$10)</f>
        <v>0</v>
      </c>
      <c r="N41" s="850">
        <f>SUMIFS('4 Program Budget'!AN:AN,'4 Program Budget'!$G:$G,$B41,'4 Program Budget'!$H:$H,README!$M$10)</f>
        <v>0</v>
      </c>
      <c r="P41" s="202"/>
      <c r="R41" s="203"/>
      <c r="S41" s="204"/>
      <c r="T41" s="204"/>
      <c r="U41" s="204"/>
    </row>
    <row r="42" spans="1:21" ht="16.5" thickTop="1" thickBot="1">
      <c r="A42" s="189">
        <v>2</v>
      </c>
      <c r="B42" s="201" t="s">
        <v>34</v>
      </c>
      <c r="C42" s="270">
        <f>SUMIFS('4 Program Budget'!Q:Q,'4 Program Budget'!$G:$G,$B42,'4 Program Budget'!$H:$H,README!$M$10)</f>
        <v>0</v>
      </c>
      <c r="D42" s="850">
        <f>SUMIFS('4 Program Budget'!T:T,'4 Program Budget'!$G:$G,$B42,'4 Program Budget'!$H:$H,README!$M$10)</f>
        <v>0</v>
      </c>
      <c r="E42" s="850">
        <f>SUMIFS('4 Program Budget'!U:U,'4 Program Budget'!$G:$G,$B42,'4 Program Budget'!$H:$H,README!$M$10)</f>
        <v>0</v>
      </c>
      <c r="F42" s="850">
        <f>SUMIFS('4 Program Budget'!V:V,'4 Program Budget'!$G:$G,$B42,'4 Program Budget'!$H:$H,README!$M$10)</f>
        <v>0</v>
      </c>
      <c r="G42" s="850">
        <f>SUMIFS('4 Program Budget'!W:W,'4 Program Budget'!$G:$G,$B42,'4 Program Budget'!$H:$H,README!$M$10)</f>
        <v>0</v>
      </c>
      <c r="H42" s="850">
        <f>SUMIFS('4 Program Budget'!X:X,'4 Program Budget'!$G:$G,$B42,'4 Program Budget'!$H:$H,README!$M$10)</f>
        <v>0</v>
      </c>
      <c r="I42" s="270">
        <f>SUMIFS('4 Program Budget'!AG:AG,'4 Program Budget'!$G:$G,$B42,'4 Program Budget'!$H:$H,README!$M$10)</f>
        <v>0</v>
      </c>
      <c r="J42" s="850">
        <f>SUMIFS('4 Program Budget'!AJ:AJ,'4 Program Budget'!$G:$G,$B42,'4 Program Budget'!$H:$H,README!$M$10)</f>
        <v>0</v>
      </c>
      <c r="K42" s="850">
        <f>SUMIFS('4 Program Budget'!AK:AK,'4 Program Budget'!$G:$G,$B42,'4 Program Budget'!$H:$H,README!$M$10)</f>
        <v>0</v>
      </c>
      <c r="L42" s="850">
        <f>SUMIFS('4 Program Budget'!AL:AL,'4 Program Budget'!$G:$G,$B42,'4 Program Budget'!$H:$H,README!$M$10)</f>
        <v>0</v>
      </c>
      <c r="M42" s="850">
        <f>SUMIFS('4 Program Budget'!AM:AM,'4 Program Budget'!$G:$G,$B42,'4 Program Budget'!$H:$H,README!$M$10)</f>
        <v>0</v>
      </c>
      <c r="N42" s="850">
        <f>SUMIFS('4 Program Budget'!AN:AN,'4 Program Budget'!$G:$G,$B42,'4 Program Budget'!$H:$H,README!$M$10)</f>
        <v>0</v>
      </c>
      <c r="P42" s="202"/>
      <c r="R42" s="203"/>
      <c r="S42" s="204"/>
      <c r="T42" s="204"/>
      <c r="U42" s="204"/>
    </row>
    <row r="43" spans="1:21" ht="16.5" thickTop="1" thickBot="1">
      <c r="A43" s="189">
        <v>3</v>
      </c>
      <c r="B43" s="201" t="s">
        <v>36</v>
      </c>
      <c r="C43" s="270">
        <f>SUMIFS('4 Program Budget'!Q:Q,'4 Program Budget'!$G:$G,$B43,'4 Program Budget'!$H:$H,README!$M$10)</f>
        <v>0</v>
      </c>
      <c r="D43" s="850">
        <f>SUMIFS('4 Program Budget'!T:T,'4 Program Budget'!$G:$G,$B43,'4 Program Budget'!$H:$H,README!$M$10)</f>
        <v>0</v>
      </c>
      <c r="E43" s="850">
        <f>SUMIFS('4 Program Budget'!U:U,'4 Program Budget'!$G:$G,$B43,'4 Program Budget'!$H:$H,README!$M$10)</f>
        <v>0</v>
      </c>
      <c r="F43" s="850">
        <f>SUMIFS('4 Program Budget'!V:V,'4 Program Budget'!$G:$G,$B43,'4 Program Budget'!$H:$H,README!$M$10)</f>
        <v>0</v>
      </c>
      <c r="G43" s="850">
        <f>SUMIFS('4 Program Budget'!W:W,'4 Program Budget'!$G:$G,$B43,'4 Program Budget'!$H:$H,README!$M$10)</f>
        <v>0</v>
      </c>
      <c r="H43" s="850">
        <f>SUMIFS('4 Program Budget'!X:X,'4 Program Budget'!$G:$G,$B43,'4 Program Budget'!$H:$H,README!$M$10)</f>
        <v>0</v>
      </c>
      <c r="I43" s="270">
        <f>SUMIFS('4 Program Budget'!AG:AG,'4 Program Budget'!$G:$G,$B43,'4 Program Budget'!$H:$H,README!$M$10)</f>
        <v>0</v>
      </c>
      <c r="J43" s="850">
        <f>SUMIFS('4 Program Budget'!AJ:AJ,'4 Program Budget'!$G:$G,$B43,'4 Program Budget'!$H:$H,README!$M$10)</f>
        <v>0</v>
      </c>
      <c r="K43" s="850">
        <f>SUMIFS('4 Program Budget'!AK:AK,'4 Program Budget'!$G:$G,$B43,'4 Program Budget'!$H:$H,README!$M$10)</f>
        <v>0</v>
      </c>
      <c r="L43" s="850">
        <f>SUMIFS('4 Program Budget'!AL:AL,'4 Program Budget'!$G:$G,$B43,'4 Program Budget'!$H:$H,README!$M$10)</f>
        <v>0</v>
      </c>
      <c r="M43" s="850">
        <f>SUMIFS('4 Program Budget'!AM:AM,'4 Program Budget'!$G:$G,$B43,'4 Program Budget'!$H:$H,README!$M$10)</f>
        <v>0</v>
      </c>
      <c r="N43" s="850">
        <f>SUMIFS('4 Program Budget'!AN:AN,'4 Program Budget'!$G:$G,$B43,'4 Program Budget'!$H:$H,README!$M$10)</f>
        <v>0</v>
      </c>
      <c r="P43" s="202"/>
      <c r="R43" s="203"/>
      <c r="S43" s="204"/>
      <c r="T43" s="204"/>
      <c r="U43" s="204"/>
    </row>
    <row r="44" spans="1:21" ht="16.5" thickTop="1" thickBot="1">
      <c r="A44" s="189">
        <v>4</v>
      </c>
      <c r="B44" s="205" t="s">
        <v>709</v>
      </c>
      <c r="C44" s="395">
        <f>SUM(C35:C43)</f>
        <v>248395.4884</v>
      </c>
      <c r="D44" s="851">
        <f t="shared" ref="D44:H44" si="8">SUM(D35:D43)</f>
        <v>0</v>
      </c>
      <c r="E44" s="851">
        <f t="shared" si="8"/>
        <v>0</v>
      </c>
      <c r="F44" s="851">
        <f t="shared" ref="F44:G44" si="9">SUM(F35:F43)</f>
        <v>0</v>
      </c>
      <c r="G44" s="851">
        <f t="shared" si="9"/>
        <v>0</v>
      </c>
      <c r="H44" s="851">
        <f t="shared" si="8"/>
        <v>0</v>
      </c>
      <c r="I44" s="395">
        <f>SUM(I35:I43)</f>
        <v>267559.6617</v>
      </c>
      <c r="J44" s="851">
        <f t="shared" ref="J44:N44" si="10">SUM(J35:J43)</f>
        <v>0</v>
      </c>
      <c r="K44" s="851">
        <f t="shared" si="10"/>
        <v>0</v>
      </c>
      <c r="L44" s="851">
        <f t="shared" ref="L44:M44" si="11">SUM(L35:L43)</f>
        <v>0</v>
      </c>
      <c r="M44" s="851">
        <f t="shared" si="11"/>
        <v>0</v>
      </c>
      <c r="N44" s="851">
        <f t="shared" si="10"/>
        <v>0</v>
      </c>
      <c r="P44" s="650" t="s">
        <v>710</v>
      </c>
      <c r="R44" s="203"/>
      <c r="S44" s="204"/>
      <c r="T44" s="204"/>
      <c r="U44" s="204"/>
    </row>
    <row r="45" spans="1:21" ht="16.5" thickTop="1" thickBot="1">
      <c r="B45" s="226" t="s">
        <v>711</v>
      </c>
      <c r="C45" s="852">
        <v>0</v>
      </c>
      <c r="D45" s="911"/>
      <c r="E45" s="912"/>
      <c r="F45" s="913"/>
      <c r="G45" s="913"/>
      <c r="H45" s="913"/>
      <c r="I45" s="852">
        <v>0</v>
      </c>
      <c r="J45" s="911"/>
      <c r="K45" s="912"/>
      <c r="L45" s="912"/>
      <c r="M45" s="912"/>
      <c r="N45" s="913"/>
      <c r="P45" s="914" t="s">
        <v>712</v>
      </c>
      <c r="R45" s="203"/>
      <c r="S45" s="204"/>
      <c r="T45" s="206"/>
      <c r="U45" s="204"/>
    </row>
    <row r="46" spans="1:21" ht="16.899999999999999" customHeight="1" thickTop="1" thickBot="1">
      <c r="B46" s="226" t="s">
        <v>717</v>
      </c>
      <c r="C46" s="860">
        <v>0</v>
      </c>
      <c r="D46" s="911"/>
      <c r="E46" s="912"/>
      <c r="F46" s="913"/>
      <c r="G46" s="913"/>
      <c r="H46" s="913"/>
      <c r="I46" s="860">
        <v>0</v>
      </c>
      <c r="J46" s="911"/>
      <c r="K46" s="912"/>
      <c r="L46" s="912"/>
      <c r="M46" s="912"/>
      <c r="N46" s="913"/>
      <c r="P46" s="1011" t="s">
        <v>718</v>
      </c>
      <c r="R46" s="203"/>
      <c r="S46" s="204"/>
      <c r="T46" s="206"/>
      <c r="U46" s="204"/>
    </row>
    <row r="47" spans="1:21" ht="16.5" thickTop="1" thickBot="1">
      <c r="B47" s="226" t="s">
        <v>715</v>
      </c>
      <c r="C47" s="860">
        <v>0</v>
      </c>
      <c r="D47" s="911"/>
      <c r="E47" s="912"/>
      <c r="F47" s="913"/>
      <c r="G47" s="913"/>
      <c r="H47" s="913"/>
      <c r="I47" s="860">
        <v>0</v>
      </c>
      <c r="J47" s="911"/>
      <c r="K47" s="912"/>
      <c r="L47" s="912"/>
      <c r="M47" s="912"/>
      <c r="N47" s="913"/>
      <c r="P47" s="1010"/>
      <c r="R47" s="203"/>
      <c r="S47" s="204"/>
      <c r="T47" s="206"/>
      <c r="U47" s="204"/>
    </row>
    <row r="48" spans="1:21" ht="31.5" customHeight="1" thickTop="1" thickBot="1">
      <c r="B48" s="445" t="s">
        <v>720</v>
      </c>
      <c r="C48" s="446"/>
      <c r="D48" s="915"/>
      <c r="E48" s="915"/>
      <c r="F48" s="448"/>
      <c r="G48" s="448"/>
      <c r="H48" s="448"/>
      <c r="I48" s="446"/>
      <c r="J48" s="915"/>
      <c r="K48" s="915"/>
      <c r="L48" s="915"/>
      <c r="M48" s="915"/>
      <c r="N48" s="448"/>
      <c r="P48" s="393"/>
      <c r="R48" s="394"/>
    </row>
    <row r="49" spans="1:21" ht="16.5" customHeight="1" thickTop="1" thickBot="1">
      <c r="B49" s="201" t="s">
        <v>17</v>
      </c>
      <c r="C49" s="270">
        <f>SUMIF('4 Program Budget'!$G:$G,$B49,'4 Program Budget'!$Q:$Q)</f>
        <v>13808177.852961443</v>
      </c>
      <c r="D49" s="850">
        <f>SUMIF('4 Program Budget'!$G:$G,$B49,'4 Program Budget'!T:T)</f>
        <v>50069325.14170704</v>
      </c>
      <c r="E49" s="850">
        <f>SUMIF('4 Program Budget'!$G:$G,$B49,'4 Program Budget'!U:U)</f>
        <v>9495.5963653644012</v>
      </c>
      <c r="F49" s="850">
        <f>SUMIF('4 Program Budget'!$G:$G,$B49,'4 Program Budget'!V:V)</f>
        <v>1660.8030000000001</v>
      </c>
      <c r="G49" s="850">
        <f>SUMIF('4 Program Budget'!$G:$G,$B49,'4 Program Budget'!W:W)</f>
        <v>0</v>
      </c>
      <c r="H49" s="850">
        <f>SUMIF('4 Program Budget'!$G:$G,$B49,'4 Program Budget'!X:X)</f>
        <v>0</v>
      </c>
      <c r="I49" s="270">
        <f>SUMIF('4 Program Budget'!$G:$G,$B49,'4 Program Budget'!$AG:$AG)</f>
        <v>16810126.026892178</v>
      </c>
      <c r="J49" s="850">
        <f>SUMIF('4 Program Budget'!$G:$G,$B49,'4 Program Budget'!AJ:AJ)</f>
        <v>51593761.725088909</v>
      </c>
      <c r="K49" s="850">
        <f>SUMIF('4 Program Budget'!$G:$G,$B49,'4 Program Budget'!AK:AK)</f>
        <v>13855.357474279315</v>
      </c>
      <c r="L49" s="850">
        <f>SUMIF('4 Program Budget'!$G:$G,$B49,'4 Program Budget'!AL:AL)</f>
        <v>1570.5330000000001</v>
      </c>
      <c r="M49" s="850">
        <f>SUMIF('4 Program Budget'!$G:$G,$B49,'4 Program Budget'!AM:AM)</f>
        <v>0</v>
      </c>
      <c r="N49" s="850">
        <f>SUMIF('4 Program Budget'!$G:$G,$B49,'4 Program Budget'!AN:AN)</f>
        <v>0</v>
      </c>
      <c r="P49" s="202" t="s">
        <v>707</v>
      </c>
    </row>
    <row r="50" spans="1:21" ht="16.5" thickTop="1" thickBot="1">
      <c r="B50" s="201" t="s">
        <v>22</v>
      </c>
      <c r="C50" s="270">
        <f>SUMIF('4 Program Budget'!$G:$G,$B50,'4 Program Budget'!$Q:$Q)</f>
        <v>37649286.366122037</v>
      </c>
      <c r="D50" s="850">
        <f>SUMIF('4 Program Budget'!$G:$G,$B50,'4 Program Budget'!T:T)</f>
        <v>46674448.071076147</v>
      </c>
      <c r="E50" s="850">
        <f>SUMIF('4 Program Budget'!$G:$G,$B50,'4 Program Budget'!U:U)</f>
        <v>6816.6435297478283</v>
      </c>
      <c r="F50" s="850">
        <f>SUMIF('4 Program Budget'!$G:$G,$B50,'4 Program Budget'!V:V)</f>
        <v>1446.6199999999997</v>
      </c>
      <c r="G50" s="850">
        <f>SUMIF('4 Program Budget'!$G:$G,$B50,'4 Program Budget'!W:W)</f>
        <v>0</v>
      </c>
      <c r="H50" s="850">
        <f>SUMIF('4 Program Budget'!$G:$G,$B50,'4 Program Budget'!X:X)</f>
        <v>0</v>
      </c>
      <c r="I50" s="270">
        <f>SUMIF('4 Program Budget'!$G:$G,$B50,'4 Program Budget'!$AG:$AG)</f>
        <v>41397665.101668797</v>
      </c>
      <c r="J50" s="850">
        <f>SUMIF('4 Program Budget'!$G:$G,$B50,'4 Program Budget'!AJ:AJ)</f>
        <v>52225334.910331666</v>
      </c>
      <c r="K50" s="850">
        <f>SUMIF('4 Program Budget'!$G:$G,$B50,'4 Program Budget'!AK:AK)</f>
        <v>8023.5874995988734</v>
      </c>
      <c r="L50" s="850">
        <f>SUMIF('4 Program Budget'!$G:$G,$B50,'4 Program Budget'!AL:AL)</f>
        <v>1367.6860000000001</v>
      </c>
      <c r="M50" s="850">
        <f>SUMIF('4 Program Budget'!$G:$G,$B50,'4 Program Budget'!AM:AM)</f>
        <v>0</v>
      </c>
      <c r="N50" s="850">
        <f>SUMIF('4 Program Budget'!$G:$G,$B50,'4 Program Budget'!AN:AN)</f>
        <v>0</v>
      </c>
      <c r="P50" s="202" t="s">
        <v>708</v>
      </c>
      <c r="R50" s="203"/>
      <c r="S50" s="204"/>
      <c r="T50" s="204"/>
      <c r="U50" s="204"/>
    </row>
    <row r="51" spans="1:21" ht="16.5" thickTop="1" thickBot="1">
      <c r="B51" s="201" t="s">
        <v>25</v>
      </c>
      <c r="C51" s="270">
        <f>SUMIF('4 Program Budget'!$G:$G,$B51,'4 Program Budget'!$Q:$Q)</f>
        <v>2693855.7064264049</v>
      </c>
      <c r="D51" s="850">
        <f>SUMIF('4 Program Budget'!$G:$G,$B51,'4 Program Budget'!T:T)</f>
        <v>4726581.1826869948</v>
      </c>
      <c r="E51" s="850">
        <f>SUMIF('4 Program Budget'!$G:$G,$B51,'4 Program Budget'!U:U)</f>
        <v>640.53884978400004</v>
      </c>
      <c r="F51" s="850">
        <f>SUMIF('4 Program Budget'!$G:$G,$B51,'4 Program Budget'!V:V)</f>
        <v>237.47600000000003</v>
      </c>
      <c r="G51" s="850">
        <f>SUMIF('4 Program Budget'!$G:$G,$B51,'4 Program Budget'!W:W)</f>
        <v>0</v>
      </c>
      <c r="H51" s="850">
        <f>SUMIF('4 Program Budget'!$G:$G,$B51,'4 Program Budget'!X:X)</f>
        <v>0</v>
      </c>
      <c r="I51" s="270">
        <f>SUMIF('4 Program Budget'!$G:$G,$B51,'4 Program Budget'!$AG:$AG)</f>
        <v>4938845.8845752114</v>
      </c>
      <c r="J51" s="850">
        <f>SUMIF('4 Program Budget'!$G:$G,$B51,'4 Program Budget'!AJ:AJ)</f>
        <v>5842872.2029756457</v>
      </c>
      <c r="K51" s="850">
        <f>SUMIF('4 Program Budget'!$G:$G,$B51,'4 Program Budget'!AK:AK)</f>
        <v>535.41054351421155</v>
      </c>
      <c r="L51" s="850">
        <f>SUMIF('4 Program Budget'!$G:$G,$B51,'4 Program Budget'!AL:AL)</f>
        <v>244.28099999999998</v>
      </c>
      <c r="M51" s="850">
        <f>SUMIF('4 Program Budget'!$G:$G,$B51,'4 Program Budget'!AM:AM)</f>
        <v>0</v>
      </c>
      <c r="N51" s="850">
        <f>SUMIF('4 Program Budget'!$G:$G,$B51,'4 Program Budget'!AN:AN)</f>
        <v>0</v>
      </c>
      <c r="P51" s="202"/>
      <c r="R51" s="203"/>
      <c r="S51" s="204"/>
      <c r="T51" s="204"/>
      <c r="U51" s="204"/>
    </row>
    <row r="52" spans="1:21" ht="16.5" thickTop="1" thickBot="1">
      <c r="B52" s="910" t="s">
        <v>27</v>
      </c>
      <c r="C52" s="270">
        <f>SUMIF('4 Program Budget'!$G:$G,$B52,'4 Program Budget'!$Q:$Q)</f>
        <v>1870349.0797736992</v>
      </c>
      <c r="D52" s="850">
        <f>SUMIF('4 Program Budget'!$G:$G,$B52,'4 Program Budget'!T:T)</f>
        <v>2908586.4312291504</v>
      </c>
      <c r="E52" s="850">
        <f>SUMIF('4 Program Budget'!$G:$G,$B52,'4 Program Budget'!U:U)</f>
        <v>305.69141109199995</v>
      </c>
      <c r="F52" s="850">
        <f>SUMIF('4 Program Budget'!$G:$G,$B52,'4 Program Budget'!V:V)</f>
        <v>91.861999999999995</v>
      </c>
      <c r="G52" s="850">
        <f>SUMIF('4 Program Budget'!$G:$G,$B52,'4 Program Budget'!W:W)</f>
        <v>0</v>
      </c>
      <c r="H52" s="850">
        <f>SUMIF('4 Program Budget'!$G:$G,$B52,'4 Program Budget'!X:X)</f>
        <v>0</v>
      </c>
      <c r="I52" s="270">
        <f>SUMIF('4 Program Budget'!$G:$G,$B52,'4 Program Budget'!$AG:$AG)</f>
        <v>2113637.2626524852</v>
      </c>
      <c r="J52" s="850">
        <f>SUMIF('4 Program Budget'!$G:$G,$B52,'4 Program Budget'!AJ:AJ)</f>
        <v>3922706.3256276892</v>
      </c>
      <c r="K52" s="850">
        <f>SUMIF('4 Program Budget'!$G:$G,$B52,'4 Program Budget'!AK:AK)</f>
        <v>62.17798107830378</v>
      </c>
      <c r="L52" s="850">
        <f>SUMIF('4 Program Budget'!$G:$G,$B52,'4 Program Budget'!AL:AL)</f>
        <v>356.78900000000004</v>
      </c>
      <c r="M52" s="850">
        <f>SUMIF('4 Program Budget'!$G:$G,$B52,'4 Program Budget'!AM:AM)</f>
        <v>0</v>
      </c>
      <c r="N52" s="850">
        <f>SUMIF('4 Program Budget'!$G:$G,$B52,'4 Program Budget'!AN:AN)</f>
        <v>0</v>
      </c>
      <c r="P52" s="202"/>
      <c r="R52" s="203"/>
      <c r="S52" s="204"/>
      <c r="T52" s="204"/>
      <c r="U52" s="204"/>
    </row>
    <row r="53" spans="1:21" ht="16.5" thickTop="1" thickBot="1">
      <c r="B53" s="201" t="s">
        <v>29</v>
      </c>
      <c r="C53" s="270">
        <f>SUMIF('4 Program Budget'!$G:$G,$B53,'4 Program Budget'!$Q:$Q)</f>
        <v>3771892.0803999999</v>
      </c>
      <c r="D53" s="850">
        <f>SUMIF('4 Program Budget'!$G:$G,$B53,'4 Program Budget'!T:T)</f>
        <v>0</v>
      </c>
      <c r="E53" s="850">
        <f>SUMIF('4 Program Budget'!$G:$G,$B53,'4 Program Budget'!U:U)</f>
        <v>0</v>
      </c>
      <c r="F53" s="850">
        <f>SUMIF('4 Program Budget'!$G:$G,$B53,'4 Program Budget'!V:V)</f>
        <v>0</v>
      </c>
      <c r="G53" s="850">
        <f>SUMIF('4 Program Budget'!$G:$G,$B53,'4 Program Budget'!W:W)</f>
        <v>0</v>
      </c>
      <c r="H53" s="850">
        <f>SUMIF('4 Program Budget'!$G:$G,$B53,'4 Program Budget'!X:X)</f>
        <v>0</v>
      </c>
      <c r="I53" s="270">
        <f>SUMIF('4 Program Budget'!$G:$G,$B53,'4 Program Budget'!$AG:$AG)</f>
        <v>3959592.9551999997</v>
      </c>
      <c r="J53" s="850">
        <f>SUMIF('4 Program Budget'!$G:$G,$B53,'4 Program Budget'!AJ:AJ)</f>
        <v>0</v>
      </c>
      <c r="K53" s="850">
        <f>SUMIF('4 Program Budget'!$G:$G,$B53,'4 Program Budget'!AK:AK)</f>
        <v>0</v>
      </c>
      <c r="L53" s="850">
        <f>SUMIF('4 Program Budget'!$G:$G,$B53,'4 Program Budget'!AL:AL)</f>
        <v>0</v>
      </c>
      <c r="M53" s="850">
        <f>SUMIF('4 Program Budget'!$G:$G,$B53,'4 Program Budget'!AM:AM)</f>
        <v>0</v>
      </c>
      <c r="N53" s="850">
        <f>SUMIF('4 Program Budget'!$G:$G,$B53,'4 Program Budget'!AN:AN)</f>
        <v>0</v>
      </c>
      <c r="P53" s="202"/>
      <c r="R53" s="203"/>
      <c r="S53" s="204"/>
      <c r="T53" s="204"/>
      <c r="U53" s="204"/>
    </row>
    <row r="54" spans="1:21" ht="16.5" thickTop="1" thickBot="1">
      <c r="B54" s="201" t="s">
        <v>30</v>
      </c>
      <c r="C54" s="270">
        <f>SUMIF('4 Program Budget'!$G:$G,$B54,'4 Program Budget'!$Q:$Q)</f>
        <v>11529862.106959041</v>
      </c>
      <c r="D54" s="850">
        <f>SUMIF('4 Program Budget'!$G:$G,$B54,'4 Program Budget'!T:T)</f>
        <v>12099905.136445127</v>
      </c>
      <c r="E54" s="850">
        <f>SUMIF('4 Program Budget'!$G:$G,$B54,'4 Program Budget'!U:U)</f>
        <v>1310.8572675769985</v>
      </c>
      <c r="F54" s="850">
        <f>SUMIF('4 Program Budget'!$G:$G,$B54,'4 Program Budget'!V:V)</f>
        <v>211.64799999999997</v>
      </c>
      <c r="G54" s="850">
        <f>SUMIF('4 Program Budget'!$G:$G,$B54,'4 Program Budget'!W:W)</f>
        <v>0</v>
      </c>
      <c r="H54" s="850">
        <f>SUMIF('4 Program Budget'!$G:$G,$B54,'4 Program Budget'!X:X)</f>
        <v>0</v>
      </c>
      <c r="I54" s="270">
        <f>SUMIF('4 Program Budget'!$G:$G,$B54,'4 Program Budget'!$AG:$AG)</f>
        <v>12826944.650358442</v>
      </c>
      <c r="J54" s="850">
        <f>SUMIF('4 Program Budget'!$G:$G,$B54,'4 Program Budget'!AJ:AJ)</f>
        <v>13300838.077100143</v>
      </c>
      <c r="K54" s="850">
        <f>SUMIF('4 Program Budget'!$G:$G,$B54,'4 Program Budget'!AK:AK)</f>
        <v>1750.4367822302561</v>
      </c>
      <c r="L54" s="850">
        <f>SUMIF('4 Program Budget'!$G:$G,$B54,'4 Program Budget'!AL:AL)</f>
        <v>283.51799999999997</v>
      </c>
      <c r="M54" s="850">
        <f>SUMIF('4 Program Budget'!$G:$G,$B54,'4 Program Budget'!AM:AM)</f>
        <v>0</v>
      </c>
      <c r="N54" s="850">
        <f>SUMIF('4 Program Budget'!$G:$G,$B54,'4 Program Budget'!AN:AN)</f>
        <v>0</v>
      </c>
      <c r="P54" s="202"/>
      <c r="R54" s="203"/>
      <c r="S54" s="204"/>
      <c r="T54" s="204"/>
      <c r="U54" s="204"/>
    </row>
    <row r="55" spans="1:21" ht="16.5" thickTop="1" thickBot="1">
      <c r="A55" s="189">
        <v>1</v>
      </c>
      <c r="B55" s="201" t="s">
        <v>32</v>
      </c>
      <c r="C55" s="270">
        <f>SUMIF('4 Program Budget'!$G:$G,$B55,'4 Program Budget'!$Q:$Q)</f>
        <v>4492850.0283999993</v>
      </c>
      <c r="D55" s="850">
        <f>SUMIF('4 Program Budget'!$G:$G,$B55,'4 Program Budget'!T:T)</f>
        <v>0</v>
      </c>
      <c r="E55" s="850">
        <f>SUMIF('4 Program Budget'!$G:$G,$B55,'4 Program Budget'!U:U)</f>
        <v>0</v>
      </c>
      <c r="F55" s="850">
        <f>SUMIF('4 Program Budget'!$G:$G,$B55,'4 Program Budget'!V:V)</f>
        <v>0</v>
      </c>
      <c r="G55" s="850">
        <f>SUMIF('4 Program Budget'!$G:$G,$B55,'4 Program Budget'!W:W)</f>
        <v>0</v>
      </c>
      <c r="H55" s="850">
        <f>SUMIF('4 Program Budget'!$G:$G,$B55,'4 Program Budget'!X:X)</f>
        <v>0</v>
      </c>
      <c r="I55" s="270">
        <f>SUMIF('4 Program Budget'!$G:$G,$B55,'4 Program Budget'!$AG:$AG)</f>
        <v>4263417.1873000003</v>
      </c>
      <c r="J55" s="850">
        <f>SUMIF('4 Program Budget'!$G:$G,$B55,'4 Program Budget'!AJ:AJ)</f>
        <v>0</v>
      </c>
      <c r="K55" s="850">
        <f>SUMIF('4 Program Budget'!$G:$G,$B55,'4 Program Budget'!AK:AK)</f>
        <v>0</v>
      </c>
      <c r="L55" s="850">
        <f>SUMIF('4 Program Budget'!$G:$G,$B55,'4 Program Budget'!AL:AL)</f>
        <v>0</v>
      </c>
      <c r="M55" s="850">
        <f>SUMIF('4 Program Budget'!$G:$G,$B55,'4 Program Budget'!AM:AM)</f>
        <v>0</v>
      </c>
      <c r="N55" s="850">
        <f>SUMIF('4 Program Budget'!$G:$G,$B55,'4 Program Budget'!AN:AN)</f>
        <v>0</v>
      </c>
      <c r="P55" s="202"/>
      <c r="R55" s="203"/>
      <c r="S55" s="204"/>
      <c r="T55" s="204"/>
      <c r="U55" s="204"/>
    </row>
    <row r="56" spans="1:21" ht="16.5" thickTop="1" thickBot="1">
      <c r="A56" s="189">
        <v>2</v>
      </c>
      <c r="B56" s="201" t="s">
        <v>34</v>
      </c>
      <c r="C56" s="270">
        <f>SUMIF('4 Program Budget'!$G:$G,$B56,'4 Program Budget'!$Q:$Q)</f>
        <v>287704.90000000002</v>
      </c>
      <c r="D56" s="850">
        <f>SUMIF('4 Program Budget'!$G:$G,$B56,'4 Program Budget'!T:T)</f>
        <v>0</v>
      </c>
      <c r="E56" s="850">
        <f>SUMIF('4 Program Budget'!$G:$G,$B56,'4 Program Budget'!U:U)</f>
        <v>0</v>
      </c>
      <c r="F56" s="850">
        <f>SUMIF('4 Program Budget'!$G:$G,$B56,'4 Program Budget'!V:V)</f>
        <v>0</v>
      </c>
      <c r="G56" s="850">
        <f>SUMIF('4 Program Budget'!$G:$G,$B56,'4 Program Budget'!W:W)</f>
        <v>0</v>
      </c>
      <c r="H56" s="850">
        <f>SUMIF('4 Program Budget'!$G:$G,$B56,'4 Program Budget'!X:X)</f>
        <v>0</v>
      </c>
      <c r="I56" s="270">
        <f>SUMIF('4 Program Budget'!$G:$G,$B56,'4 Program Budget'!$AG:$AG)</f>
        <v>396119.34720000002</v>
      </c>
      <c r="J56" s="850">
        <f>SUMIF('4 Program Budget'!$G:$G,$B56,'4 Program Budget'!AJ:AJ)</f>
        <v>0</v>
      </c>
      <c r="K56" s="850">
        <f>SUMIF('4 Program Budget'!$G:$G,$B56,'4 Program Budget'!AK:AK)</f>
        <v>0</v>
      </c>
      <c r="L56" s="850">
        <f>SUMIF('4 Program Budget'!$G:$G,$B56,'4 Program Budget'!AL:AL)</f>
        <v>0</v>
      </c>
      <c r="M56" s="850">
        <f>SUMIF('4 Program Budget'!$G:$G,$B56,'4 Program Budget'!AM:AM)</f>
        <v>0</v>
      </c>
      <c r="N56" s="850">
        <f>SUMIF('4 Program Budget'!$G:$G,$B56,'4 Program Budget'!AN:AN)</f>
        <v>0</v>
      </c>
      <c r="P56" s="202"/>
      <c r="R56" s="203"/>
      <c r="S56" s="204"/>
      <c r="T56" s="204"/>
      <c r="U56" s="204"/>
    </row>
    <row r="57" spans="1:21" ht="16.5" thickTop="1" thickBot="1">
      <c r="A57" s="189">
        <v>3</v>
      </c>
      <c r="B57" s="201" t="s">
        <v>36</v>
      </c>
      <c r="C57" s="270">
        <f>SUMIF('4 Program Budget'!$G:$G,$B57,'4 Program Budget'!$Q:$Q)</f>
        <v>0</v>
      </c>
      <c r="D57" s="850">
        <f>SUMIF('4 Program Budget'!$G:$G,$B57,'4 Program Budget'!T:T)</f>
        <v>0</v>
      </c>
      <c r="E57" s="850">
        <f>SUMIF('4 Program Budget'!$G:$G,$B57,'4 Program Budget'!U:U)</f>
        <v>0</v>
      </c>
      <c r="F57" s="850">
        <f>SUMIF('4 Program Budget'!$G:$G,$B57,'4 Program Budget'!V:V)</f>
        <v>0</v>
      </c>
      <c r="G57" s="850">
        <f>SUMIF('4 Program Budget'!$G:$G,$B57,'4 Program Budget'!W:W)</f>
        <v>0</v>
      </c>
      <c r="H57" s="850">
        <f>SUMIF('4 Program Budget'!$G:$G,$B57,'4 Program Budget'!X:X)</f>
        <v>0</v>
      </c>
      <c r="I57" s="270">
        <f>SUMIF('4 Program Budget'!$G:$G,$B57,'4 Program Budget'!$AG:$AG)</f>
        <v>0</v>
      </c>
      <c r="J57" s="850">
        <f>SUMIF('4 Program Budget'!$G:$G,$B57,'4 Program Budget'!AJ:AJ)</f>
        <v>0</v>
      </c>
      <c r="K57" s="850">
        <f>SUMIF('4 Program Budget'!$G:$G,$B57,'4 Program Budget'!AK:AK)</f>
        <v>0</v>
      </c>
      <c r="L57" s="850">
        <f>SUMIF('4 Program Budget'!$G:$G,$B57,'4 Program Budget'!AL:AL)</f>
        <v>0</v>
      </c>
      <c r="M57" s="850">
        <f>SUMIF('4 Program Budget'!$G:$G,$B57,'4 Program Budget'!AM:AM)</f>
        <v>0</v>
      </c>
      <c r="N57" s="850">
        <f>SUMIF('4 Program Budget'!$G:$G,$B57,'4 Program Budget'!AN:AN)</f>
        <v>0</v>
      </c>
      <c r="P57" s="202"/>
      <c r="R57" s="203"/>
      <c r="S57" s="204"/>
      <c r="T57" s="204"/>
      <c r="U57" s="204"/>
    </row>
    <row r="58" spans="1:21" ht="16.5" thickTop="1" thickBot="1">
      <c r="A58" s="189">
        <v>4</v>
      </c>
      <c r="B58" s="205" t="s">
        <v>709</v>
      </c>
      <c r="C58" s="395">
        <f>SUM(C49:C57)</f>
        <v>76103978.121042639</v>
      </c>
      <c r="D58" s="851">
        <f t="shared" ref="D58:H58" si="12">SUM(D49:D57)</f>
        <v>116478845.96314445</v>
      </c>
      <c r="E58" s="851">
        <f t="shared" si="12"/>
        <v>18569.327423565228</v>
      </c>
      <c r="F58" s="853">
        <f t="shared" ref="F58:G58" si="13">SUM(F49:F57)</f>
        <v>3648.4090000000001</v>
      </c>
      <c r="G58" s="853">
        <f t="shared" si="13"/>
        <v>0</v>
      </c>
      <c r="H58" s="853">
        <f t="shared" si="12"/>
        <v>0</v>
      </c>
      <c r="I58" s="395">
        <f>SUM(I49:I57)</f>
        <v>86706348.415847108</v>
      </c>
      <c r="J58" s="851">
        <f t="shared" ref="J58:N58" si="14">SUM(J49:J57)</f>
        <v>126885513.24112405</v>
      </c>
      <c r="K58" s="851">
        <f t="shared" si="14"/>
        <v>24226.97028070096</v>
      </c>
      <c r="L58" s="851">
        <f t="shared" ref="L58:M58" si="15">SUM(L49:L57)</f>
        <v>3822.8070000000002</v>
      </c>
      <c r="M58" s="851">
        <f t="shared" si="15"/>
        <v>0</v>
      </c>
      <c r="N58" s="853">
        <f t="shared" si="14"/>
        <v>0</v>
      </c>
      <c r="P58" s="202" t="s">
        <v>710</v>
      </c>
      <c r="R58" s="203"/>
      <c r="S58" s="204"/>
      <c r="T58" s="204"/>
      <c r="U58" s="204"/>
    </row>
    <row r="59" spans="1:21" ht="16.5" thickTop="1" thickBot="1">
      <c r="A59" s="189">
        <v>5</v>
      </c>
      <c r="B59" s="226" t="s">
        <v>721</v>
      </c>
      <c r="C59" s="916"/>
      <c r="D59" s="721">
        <v>104000000</v>
      </c>
      <c r="E59" s="854">
        <v>22000</v>
      </c>
      <c r="F59" s="854">
        <v>2000</v>
      </c>
      <c r="G59" s="854"/>
      <c r="H59" s="854"/>
      <c r="I59" s="916"/>
      <c r="J59" s="721">
        <v>111000000</v>
      </c>
      <c r="K59" s="854">
        <v>23000</v>
      </c>
      <c r="L59" s="854">
        <v>2000</v>
      </c>
      <c r="M59" s="854"/>
      <c r="N59" s="855"/>
      <c r="P59" s="202"/>
      <c r="R59" s="203"/>
      <c r="S59" s="204"/>
      <c r="T59" s="204"/>
      <c r="U59" s="204"/>
    </row>
    <row r="60" spans="1:21" ht="16.5" thickTop="1" thickBot="1">
      <c r="A60" s="189">
        <v>6</v>
      </c>
      <c r="B60" s="226" t="s">
        <v>722</v>
      </c>
      <c r="C60" s="912"/>
      <c r="D60" s="917">
        <f>+D58/D59</f>
        <v>1.1199889034917736</v>
      </c>
      <c r="E60" s="918">
        <f t="shared" ref="E60:K60" si="16">+E58/E59</f>
        <v>0.84406033743478304</v>
      </c>
      <c r="F60" s="918">
        <f t="shared" ref="F60" si="17">+F58/F59</f>
        <v>1.8242045</v>
      </c>
      <c r="G60" s="918"/>
      <c r="H60" s="918"/>
      <c r="I60" s="912"/>
      <c r="J60" s="918">
        <f t="shared" si="16"/>
        <v>1.1431127319020185</v>
      </c>
      <c r="K60" s="918">
        <f t="shared" si="16"/>
        <v>1.05334653394352</v>
      </c>
      <c r="L60" s="918">
        <f t="shared" ref="L60" si="18">+L58/L59</f>
        <v>1.9114035</v>
      </c>
      <c r="M60" s="918"/>
      <c r="N60" s="919"/>
      <c r="P60" s="202"/>
      <c r="R60" s="203"/>
      <c r="S60" s="204"/>
      <c r="T60" s="206"/>
      <c r="U60" s="204"/>
    </row>
    <row r="61" spans="1:21" ht="16.899999999999999" thickTop="1" thickBot="1">
      <c r="A61" s="189">
        <v>7</v>
      </c>
      <c r="B61" s="207" t="s">
        <v>723</v>
      </c>
      <c r="C61" s="273">
        <f>+C62+C63</f>
        <v>3309295.42</v>
      </c>
      <c r="D61" s="920"/>
      <c r="E61" s="920"/>
      <c r="F61" s="920"/>
      <c r="G61" s="920"/>
      <c r="H61" s="920"/>
      <c r="I61" s="273">
        <f>+I62+I63</f>
        <v>3769335.1749999998</v>
      </c>
      <c r="J61" s="920"/>
      <c r="K61" s="920"/>
      <c r="L61" s="920"/>
      <c r="M61" s="920"/>
      <c r="N61" s="920"/>
      <c r="P61" s="914" t="s">
        <v>724</v>
      </c>
    </row>
    <row r="62" spans="1:21" ht="16.5" thickTop="1" thickBot="1">
      <c r="A62" s="921" t="s">
        <v>725</v>
      </c>
      <c r="B62" s="208" t="s">
        <v>726</v>
      </c>
      <c r="C62" s="699">
        <f>+'4 Program Budget'!Q137</f>
        <v>910056.24050000007</v>
      </c>
      <c r="D62" s="922"/>
      <c r="E62" s="922"/>
      <c r="F62" s="922"/>
      <c r="G62" s="922"/>
      <c r="H62" s="922"/>
      <c r="I62" s="699">
        <f>+'4 Program Budget'!AG137</f>
        <v>1036567.1731250001</v>
      </c>
      <c r="J62" s="922"/>
      <c r="K62" s="922"/>
      <c r="L62" s="922"/>
      <c r="M62" s="922"/>
      <c r="N62" s="922"/>
      <c r="P62" s="914" t="s">
        <v>727</v>
      </c>
    </row>
    <row r="63" spans="1:21" ht="16.5" thickTop="1" thickBot="1">
      <c r="A63" s="921" t="s">
        <v>728</v>
      </c>
      <c r="B63" s="208" t="s">
        <v>729</v>
      </c>
      <c r="C63" s="699">
        <f>+'4 Program Budget'!Q138</f>
        <v>2399239.1794999996</v>
      </c>
      <c r="D63" s="922"/>
      <c r="E63" s="922"/>
      <c r="F63" s="922"/>
      <c r="G63" s="922"/>
      <c r="H63" s="922"/>
      <c r="I63" s="699">
        <f>+'4 Program Budget'!AG138</f>
        <v>2732768.0018749996</v>
      </c>
      <c r="J63" s="922"/>
      <c r="K63" s="922"/>
      <c r="L63" s="922"/>
      <c r="M63" s="922"/>
      <c r="N63" s="922"/>
      <c r="P63" s="914" t="s">
        <v>58</v>
      </c>
    </row>
    <row r="64" spans="1:21" ht="16.5" thickTop="1" thickBot="1">
      <c r="B64" s="226" t="s">
        <v>730</v>
      </c>
      <c r="C64" s="857">
        <v>104394860.8538454</v>
      </c>
      <c r="D64" s="911"/>
      <c r="E64" s="912"/>
      <c r="F64" s="913"/>
      <c r="G64" s="913"/>
      <c r="H64" s="913"/>
      <c r="I64" s="857">
        <v>135824824</v>
      </c>
      <c r="J64" s="911"/>
      <c r="K64" s="912"/>
      <c r="L64" s="912"/>
      <c r="M64" s="912"/>
      <c r="N64" s="913"/>
      <c r="P64" s="914" t="s">
        <v>712</v>
      </c>
      <c r="R64" s="203"/>
      <c r="S64" s="204"/>
      <c r="T64" s="206"/>
      <c r="U64" s="204"/>
    </row>
    <row r="65" spans="1:21" ht="16.899999999999999" customHeight="1" thickTop="1" thickBot="1">
      <c r="B65" s="226" t="s">
        <v>717</v>
      </c>
      <c r="C65" s="860">
        <v>1.1399999999999999</v>
      </c>
      <c r="D65" s="911"/>
      <c r="E65" s="912"/>
      <c r="F65" s="913"/>
      <c r="G65" s="913"/>
      <c r="H65" s="913"/>
      <c r="I65" s="860">
        <v>1.17</v>
      </c>
      <c r="J65" s="911"/>
      <c r="K65" s="912"/>
      <c r="L65" s="912"/>
      <c r="M65" s="912"/>
      <c r="N65" s="913"/>
      <c r="P65" s="1006" t="s">
        <v>731</v>
      </c>
      <c r="R65" s="203"/>
      <c r="S65" s="204"/>
      <c r="T65" s="206"/>
      <c r="U65" s="204"/>
    </row>
    <row r="66" spans="1:21" ht="16.5" thickTop="1" thickBot="1">
      <c r="B66" s="226" t="s">
        <v>715</v>
      </c>
      <c r="C66" s="860">
        <v>1.35</v>
      </c>
      <c r="D66" s="911"/>
      <c r="E66" s="912"/>
      <c r="F66" s="913"/>
      <c r="G66" s="913"/>
      <c r="H66" s="913"/>
      <c r="I66" s="860">
        <v>1.52</v>
      </c>
      <c r="J66" s="911"/>
      <c r="K66" s="912"/>
      <c r="L66" s="912"/>
      <c r="M66" s="912"/>
      <c r="N66" s="913"/>
      <c r="P66" s="1007"/>
      <c r="R66" s="203"/>
      <c r="S66" s="204"/>
      <c r="T66" s="206"/>
      <c r="U66" s="204"/>
    </row>
    <row r="67" spans="1:21" ht="16.5" thickTop="1" thickBot="1">
      <c r="B67" s="226" t="s">
        <v>732</v>
      </c>
      <c r="C67" s="860">
        <v>0</v>
      </c>
      <c r="D67" s="911"/>
      <c r="E67" s="912"/>
      <c r="F67" s="913"/>
      <c r="G67" s="913"/>
      <c r="H67" s="913"/>
      <c r="I67" s="860">
        <v>0.59</v>
      </c>
      <c r="J67" s="911"/>
      <c r="K67" s="912"/>
      <c r="L67" s="912"/>
      <c r="M67" s="912"/>
      <c r="N67" s="913"/>
      <c r="P67" s="1008"/>
      <c r="R67" s="203"/>
      <c r="S67" s="204"/>
      <c r="T67" s="206"/>
      <c r="U67" s="204"/>
    </row>
    <row r="68" spans="1:21" ht="16.5" thickTop="1" thickBot="1">
      <c r="A68" s="189">
        <v>8</v>
      </c>
      <c r="B68" s="205" t="s">
        <v>28</v>
      </c>
      <c r="C68" s="923">
        <f>SUMIF('4 Program Budget'!$G:$G,README!$L$17,'4 Program Budget'!Q:Q)</f>
        <v>3319112.0398999997</v>
      </c>
      <c r="D68" s="850">
        <f>SUMIFS('4 Program Budget'!T:T,'4 Program Budget'!$G:$G,$B68,'4 Program Budget'!$H:$H,README!$M$11)</f>
        <v>414241866.60039437</v>
      </c>
      <c r="E68" s="850">
        <f>SUMIFS('4 Program Budget'!U:U,'4 Program Budget'!$G:$G,$B68,'4 Program Budget'!$H:$H,README!$M$11)</f>
        <v>73073.854620858998</v>
      </c>
      <c r="F68" s="850">
        <f>SUMIFS('4 Program Budget'!V:V,'4 Program Budget'!$G:$G,$B68,'4 Program Budget'!$H:$H,README!$M$11)</f>
        <v>2938.74</v>
      </c>
      <c r="G68" s="850">
        <f>SUMIFS('4 Program Budget'!W:W,'4 Program Budget'!$G:$G,$B68,'4 Program Budget'!$H:$H,README!$M$11)</f>
        <v>0</v>
      </c>
      <c r="H68" s="850">
        <f>SUMIFS('4 Program Budget'!X:X,'4 Program Budget'!$G:$G,$B68,'4 Program Budget'!$H:$H,README!$M$11)</f>
        <v>0</v>
      </c>
      <c r="I68" s="923">
        <f>SUMIF('4 Program Budget'!$G:$G,README!$L$17,'4 Program Budget'!AG:AG)</f>
        <v>3757692.7478999998</v>
      </c>
      <c r="J68" s="850">
        <f>SUMIFS('4 Program Budget'!AJ:AJ,'4 Program Budget'!$G:$G,$B68,'4 Program Budget'!$H:$H,README!$M$11)</f>
        <v>437013107.16198909</v>
      </c>
      <c r="K68" s="850">
        <f>SUMIFS('4 Program Budget'!AK:AK,'4 Program Budget'!$G:$G,$B68,'4 Program Budget'!$H:$H,README!$M$11)</f>
        <v>85571.267695159477</v>
      </c>
      <c r="L68" s="850">
        <f>SUMIFS('4 Program Budget'!AL:AL,'4 Program Budget'!$G:$G,$B68,'4 Program Budget'!$H:$H,README!$M$11)</f>
        <v>3435.88</v>
      </c>
      <c r="M68" s="850">
        <f>SUMIFS('4 Program Budget'!AM:AM,'4 Program Budget'!$G:$G,$B68,'4 Program Budget'!$H:$H,README!$M$11)</f>
        <v>0</v>
      </c>
      <c r="N68" s="850">
        <f>SUMIFS('4 Program Budget'!AN:AN,'4 Program Budget'!$G:$G,$B68,'4 Program Budget'!$H:$H,README!$M$11)</f>
        <v>0</v>
      </c>
      <c r="P68" s="202"/>
    </row>
    <row r="69" spans="1:21" ht="16.899999999999999" thickTop="1" thickBot="1">
      <c r="A69" s="189">
        <v>9</v>
      </c>
      <c r="B69" s="207" t="s">
        <v>733</v>
      </c>
      <c r="C69" s="273">
        <f>C58+C61+C68</f>
        <v>82732385.580942646</v>
      </c>
      <c r="D69" s="920"/>
      <c r="E69" s="920"/>
      <c r="F69" s="920"/>
      <c r="G69" s="920"/>
      <c r="H69" s="920"/>
      <c r="I69" s="273">
        <f>I58+I61+I68</f>
        <v>94233376.338747099</v>
      </c>
      <c r="J69" s="920"/>
      <c r="K69" s="920"/>
      <c r="L69" s="920"/>
      <c r="M69" s="920"/>
      <c r="N69" s="920"/>
      <c r="P69" s="914" t="s">
        <v>734</v>
      </c>
    </row>
    <row r="70" spans="1:21" ht="16.899999999999999" thickTop="1" thickBot="1">
      <c r="A70" s="189">
        <v>10</v>
      </c>
      <c r="B70" s="207" t="s">
        <v>735</v>
      </c>
      <c r="C70" s="271">
        <f>'3 Funding Source'!F50</f>
        <v>0</v>
      </c>
      <c r="D70" s="921"/>
      <c r="E70" s="902"/>
      <c r="F70" s="902"/>
      <c r="G70" s="902"/>
      <c r="H70" s="902"/>
      <c r="I70" s="271">
        <f>'3 Funding Source'!I50</f>
        <v>0</v>
      </c>
      <c r="J70" s="921"/>
      <c r="K70" s="902"/>
      <c r="L70" s="902"/>
      <c r="M70" s="902"/>
      <c r="N70" s="902"/>
      <c r="P70" s="202" t="s">
        <v>736</v>
      </c>
    </row>
    <row r="71" spans="1:21" ht="16.899999999999999" thickTop="1" thickBot="1">
      <c r="A71" s="189">
        <v>11</v>
      </c>
      <c r="B71" s="209" t="s">
        <v>737</v>
      </c>
      <c r="C71" s="924"/>
      <c r="D71" s="921"/>
      <c r="E71" s="902"/>
      <c r="F71" s="902"/>
      <c r="G71" s="902"/>
      <c r="H71" s="902"/>
      <c r="I71" s="924"/>
      <c r="J71" s="921"/>
      <c r="K71" s="902"/>
      <c r="L71" s="902"/>
      <c r="M71" s="902"/>
      <c r="N71" s="902"/>
      <c r="P71" s="202" t="s">
        <v>738</v>
      </c>
    </row>
    <row r="72" spans="1:21" ht="16.5" thickTop="1" thickBot="1">
      <c r="A72" s="189">
        <v>12</v>
      </c>
      <c r="B72" s="210" t="s">
        <v>739</v>
      </c>
      <c r="C72" s="271">
        <f>'4 Program Budget'!Q145</f>
        <v>24479433.350680012</v>
      </c>
      <c r="D72" s="921"/>
      <c r="E72" s="902"/>
      <c r="F72" s="902"/>
      <c r="G72" s="902"/>
      <c r="H72" s="902"/>
      <c r="I72" s="271">
        <f>'4 Program Budget'!AG145</f>
        <v>20982371.443440009</v>
      </c>
      <c r="J72" s="921"/>
      <c r="K72" s="902"/>
      <c r="L72" s="902"/>
      <c r="M72" s="902"/>
      <c r="N72" s="902"/>
      <c r="P72" s="914" t="s">
        <v>740</v>
      </c>
    </row>
    <row r="73" spans="1:21" ht="16.899999999999999" thickTop="1" thickBot="1">
      <c r="A73" s="189">
        <v>13</v>
      </c>
      <c r="B73" s="210" t="s">
        <v>741</v>
      </c>
      <c r="C73" s="271">
        <f>'4 Program Budget'!Q146</f>
        <v>40413350.652349927</v>
      </c>
      <c r="D73" s="921"/>
      <c r="E73" s="902"/>
      <c r="F73" s="902"/>
      <c r="G73" s="902"/>
      <c r="H73" s="902"/>
      <c r="I73" s="271">
        <f>'4 Program Budget'!AG146</f>
        <v>0</v>
      </c>
      <c r="J73" s="921"/>
      <c r="K73" s="902"/>
      <c r="L73" s="902"/>
      <c r="M73" s="902"/>
      <c r="N73" s="902"/>
      <c r="P73" s="202"/>
    </row>
    <row r="74" spans="1:21" ht="16.5" thickTop="1" thickBot="1">
      <c r="A74" s="189">
        <v>14</v>
      </c>
      <c r="B74" s="207" t="s">
        <v>742</v>
      </c>
      <c r="C74" s="271">
        <f>+C72+C73</f>
        <v>64892784.003029943</v>
      </c>
      <c r="D74" s="921"/>
      <c r="E74" s="902"/>
      <c r="F74" s="902"/>
      <c r="G74" s="902"/>
      <c r="H74" s="902"/>
      <c r="I74" s="271">
        <f>+I72+I73</f>
        <v>20982371.443440009</v>
      </c>
      <c r="J74" s="921"/>
      <c r="K74" s="902"/>
      <c r="L74" s="902"/>
      <c r="M74" s="902"/>
      <c r="N74" s="902"/>
      <c r="P74" s="202" t="s">
        <v>743</v>
      </c>
    </row>
    <row r="75" spans="1:21" ht="29.25" customHeight="1" thickTop="1" thickBot="1">
      <c r="A75" s="189">
        <v>15</v>
      </c>
      <c r="B75" s="207" t="s">
        <v>744</v>
      </c>
      <c r="C75" s="271">
        <f>+C69-C70+C72</f>
        <v>107211818.93162265</v>
      </c>
      <c r="D75" s="921"/>
      <c r="E75" s="925"/>
      <c r="F75" s="902"/>
      <c r="G75" s="902"/>
      <c r="H75" s="902"/>
      <c r="I75" s="271">
        <f>+I69-I70+I74</f>
        <v>115215747.7821871</v>
      </c>
      <c r="J75" s="921"/>
      <c r="K75" s="925"/>
      <c r="L75" s="925"/>
      <c r="M75" s="925"/>
      <c r="N75" s="902"/>
      <c r="P75" s="202" t="s">
        <v>745</v>
      </c>
    </row>
    <row r="76" spans="1:21" ht="29.25" customHeight="1" thickTop="1" thickBot="1">
      <c r="B76" s="207" t="s">
        <v>746</v>
      </c>
      <c r="C76" s="272">
        <f>(C30+C44)/C69</f>
        <v>0.16516822994296085</v>
      </c>
      <c r="D76" s="921"/>
      <c r="E76" s="925"/>
      <c r="F76" s="902"/>
      <c r="G76" s="902"/>
      <c r="H76" s="902"/>
      <c r="I76" s="534">
        <f>(I30+I44)/I69</f>
        <v>0.1673225391597791</v>
      </c>
      <c r="J76" s="921"/>
      <c r="K76" s="925"/>
      <c r="L76" s="925"/>
      <c r="M76" s="925"/>
      <c r="N76" s="902"/>
      <c r="P76" s="914" t="s">
        <v>747</v>
      </c>
    </row>
    <row r="77" spans="1:21" ht="29.25" customHeight="1" thickTop="1" thickBot="1">
      <c r="A77" s="189">
        <v>16</v>
      </c>
      <c r="B77" s="207" t="s">
        <v>748</v>
      </c>
      <c r="C77" s="858">
        <v>116456311</v>
      </c>
      <c r="D77" s="922"/>
      <c r="E77" s="902"/>
      <c r="F77" s="902"/>
      <c r="G77" s="902"/>
      <c r="H77" s="902"/>
      <c r="I77" s="859">
        <v>116456311</v>
      </c>
      <c r="J77" s="922"/>
      <c r="K77" s="902"/>
      <c r="L77" s="902"/>
      <c r="M77" s="902"/>
      <c r="N77" s="902"/>
      <c r="P77" s="202" t="s">
        <v>749</v>
      </c>
    </row>
    <row r="78" spans="1:21" ht="16.5" thickTop="1" thickBot="1">
      <c r="B78" s="205"/>
      <c r="C78" s="926"/>
      <c r="D78" s="927"/>
      <c r="E78" s="902"/>
      <c r="F78" s="902"/>
      <c r="G78" s="902"/>
      <c r="H78" s="902"/>
      <c r="I78" s="928"/>
      <c r="J78" s="927"/>
      <c r="K78" s="902"/>
      <c r="L78" s="902"/>
      <c r="M78" s="902"/>
      <c r="N78" s="902"/>
      <c r="P78" s="202"/>
    </row>
    <row r="79" spans="1:21" ht="16.5" thickTop="1" thickBot="1">
      <c r="B79" s="212" t="s">
        <v>750</v>
      </c>
      <c r="C79" s="926"/>
      <c r="D79" s="927"/>
      <c r="E79" s="902"/>
      <c r="F79" s="902"/>
      <c r="G79" s="902"/>
      <c r="H79" s="902"/>
      <c r="I79" s="928"/>
      <c r="J79" s="927"/>
      <c r="K79" s="902"/>
      <c r="L79" s="902"/>
      <c r="M79" s="902"/>
      <c r="N79" s="902"/>
      <c r="P79" s="914" t="s">
        <v>751</v>
      </c>
      <c r="R79" s="213"/>
    </row>
    <row r="80" spans="1:21" ht="16.5" thickTop="1" thickBot="1">
      <c r="A80" s="189">
        <v>21</v>
      </c>
      <c r="B80" s="205" t="s">
        <v>752</v>
      </c>
      <c r="C80" s="535">
        <f>+SUM(C81:C84)</f>
        <v>0</v>
      </c>
      <c r="D80" s="921"/>
      <c r="E80" s="902"/>
      <c r="F80" s="902"/>
      <c r="G80" s="902"/>
      <c r="H80" s="902"/>
      <c r="I80" s="535">
        <f>+SUM(I81:I84)</f>
        <v>0</v>
      </c>
      <c r="J80" s="921"/>
      <c r="K80" s="902"/>
      <c r="L80" s="902"/>
      <c r="M80" s="902"/>
      <c r="N80" s="902"/>
      <c r="P80" s="202" t="s">
        <v>753</v>
      </c>
    </row>
    <row r="81" spans="1:18" s="190" customFormat="1" ht="16.5" thickTop="1" thickBot="1">
      <c r="A81" s="190" t="s">
        <v>754</v>
      </c>
      <c r="B81" s="274" t="s">
        <v>755</v>
      </c>
      <c r="C81" s="721">
        <v>0</v>
      </c>
      <c r="D81" s="921"/>
      <c r="E81" s="902"/>
      <c r="F81" s="902"/>
      <c r="G81" s="902"/>
      <c r="H81" s="902"/>
      <c r="I81" s="856">
        <v>0</v>
      </c>
      <c r="J81" s="921"/>
      <c r="K81" s="902"/>
      <c r="L81" s="902"/>
      <c r="M81" s="902"/>
      <c r="N81" s="902"/>
      <c r="O81" s="189"/>
      <c r="P81" s="202" t="s">
        <v>756</v>
      </c>
      <c r="Q81" s="189"/>
      <c r="R81" s="192"/>
    </row>
    <row r="82" spans="1:18" s="190" customFormat="1" ht="16.5" thickTop="1" thickBot="1">
      <c r="A82" s="190" t="s">
        <v>757</v>
      </c>
      <c r="B82" s="275" t="s">
        <v>758</v>
      </c>
      <c r="C82" s="721">
        <v>0</v>
      </c>
      <c r="D82" s="921"/>
      <c r="E82" s="902"/>
      <c r="F82" s="902"/>
      <c r="G82" s="902"/>
      <c r="H82" s="902"/>
      <c r="I82" s="856">
        <v>0</v>
      </c>
      <c r="J82" s="921"/>
      <c r="K82" s="902"/>
      <c r="L82" s="902"/>
      <c r="M82" s="902"/>
      <c r="N82" s="902"/>
      <c r="O82" s="189"/>
      <c r="P82" s="202" t="s">
        <v>756</v>
      </c>
      <c r="Q82" s="189"/>
      <c r="R82" s="192"/>
    </row>
    <row r="83" spans="1:18" s="190" customFormat="1" ht="16.5" thickTop="1" thickBot="1">
      <c r="A83" s="190" t="s">
        <v>759</v>
      </c>
      <c r="B83" s="275" t="s">
        <v>760</v>
      </c>
      <c r="C83" s="721">
        <v>0</v>
      </c>
      <c r="D83" s="921"/>
      <c r="E83" s="902"/>
      <c r="F83" s="902"/>
      <c r="G83" s="902"/>
      <c r="H83" s="902"/>
      <c r="I83" s="856">
        <v>0</v>
      </c>
      <c r="J83" s="921"/>
      <c r="K83" s="902"/>
      <c r="L83" s="902"/>
      <c r="M83" s="902"/>
      <c r="N83" s="902"/>
      <c r="O83" s="189"/>
      <c r="P83" s="202" t="s">
        <v>756</v>
      </c>
      <c r="Q83" s="189"/>
      <c r="R83" s="192"/>
    </row>
    <row r="84" spans="1:18" s="190" customFormat="1" ht="16.5" thickTop="1" thickBot="1">
      <c r="A84" s="190" t="s">
        <v>761</v>
      </c>
      <c r="B84" s="275" t="s">
        <v>762</v>
      </c>
      <c r="C84" s="721">
        <v>0</v>
      </c>
      <c r="D84" s="921"/>
      <c r="E84" s="902"/>
      <c r="F84" s="902"/>
      <c r="G84" s="902"/>
      <c r="H84" s="902"/>
      <c r="I84" s="856">
        <v>0</v>
      </c>
      <c r="J84" s="921"/>
      <c r="K84" s="902"/>
      <c r="L84" s="902"/>
      <c r="M84" s="902"/>
      <c r="N84" s="902"/>
      <c r="O84" s="189"/>
      <c r="P84" s="202" t="s">
        <v>756</v>
      </c>
      <c r="Q84" s="189"/>
      <c r="R84" s="192"/>
    </row>
    <row r="85" spans="1:18" s="190" customFormat="1" ht="16.5" thickTop="1" thickBot="1">
      <c r="A85" s="189">
        <v>22</v>
      </c>
      <c r="B85" s="205" t="s">
        <v>763</v>
      </c>
      <c r="C85" s="535">
        <f>+SUM(C86:C89)</f>
        <v>0</v>
      </c>
      <c r="D85" s="921"/>
      <c r="E85" s="902"/>
      <c r="F85" s="902"/>
      <c r="G85" s="902"/>
      <c r="H85" s="902"/>
      <c r="I85" s="535">
        <f>+SUM(I86:I89)</f>
        <v>0</v>
      </c>
      <c r="J85" s="921"/>
      <c r="K85" s="902"/>
      <c r="L85" s="902"/>
      <c r="M85" s="902"/>
      <c r="N85" s="902"/>
      <c r="O85" s="189"/>
      <c r="P85" s="914" t="s">
        <v>764</v>
      </c>
      <c r="Q85" s="189"/>
      <c r="R85" s="192"/>
    </row>
    <row r="86" spans="1:18" ht="16.5" thickTop="1" thickBot="1">
      <c r="A86" s="190" t="s">
        <v>765</v>
      </c>
      <c r="B86" s="274" t="s">
        <v>766</v>
      </c>
      <c r="C86" s="721">
        <v>0</v>
      </c>
      <c r="D86" s="921"/>
      <c r="E86" s="902"/>
      <c r="F86" s="902"/>
      <c r="G86" s="902"/>
      <c r="H86" s="902"/>
      <c r="I86" s="856">
        <v>0</v>
      </c>
      <c r="J86" s="921"/>
      <c r="K86" s="902"/>
      <c r="L86" s="902"/>
      <c r="M86" s="902"/>
      <c r="N86" s="902"/>
      <c r="P86" s="202" t="s">
        <v>756</v>
      </c>
    </row>
    <row r="87" spans="1:18" ht="16.5" thickTop="1" thickBot="1">
      <c r="A87" s="190" t="s">
        <v>767</v>
      </c>
      <c r="B87" s="275" t="s">
        <v>768</v>
      </c>
      <c r="C87" s="721">
        <v>0</v>
      </c>
      <c r="D87" s="921"/>
      <c r="E87" s="902"/>
      <c r="F87" s="902"/>
      <c r="G87" s="902"/>
      <c r="H87" s="902"/>
      <c r="I87" s="856">
        <v>0</v>
      </c>
      <c r="J87" s="921"/>
      <c r="K87" s="902"/>
      <c r="L87" s="902"/>
      <c r="M87" s="902"/>
      <c r="N87" s="902"/>
      <c r="P87" s="202" t="s">
        <v>756</v>
      </c>
    </row>
    <row r="88" spans="1:18" ht="16.5" thickTop="1" thickBot="1">
      <c r="A88" s="190"/>
      <c r="B88" s="275" t="s">
        <v>769</v>
      </c>
      <c r="C88" s="721">
        <v>0</v>
      </c>
      <c r="D88" s="921"/>
      <c r="E88" s="902"/>
      <c r="F88" s="902"/>
      <c r="G88" s="902"/>
      <c r="H88" s="902"/>
      <c r="I88" s="856">
        <v>0</v>
      </c>
      <c r="J88" s="921"/>
      <c r="K88" s="902"/>
      <c r="L88" s="902"/>
      <c r="M88" s="902"/>
      <c r="N88" s="902"/>
      <c r="P88" s="202" t="s">
        <v>756</v>
      </c>
    </row>
    <row r="89" spans="1:18" ht="16.5" thickTop="1" thickBot="1">
      <c r="A89" s="190"/>
      <c r="B89" s="275" t="s">
        <v>770</v>
      </c>
      <c r="C89" s="721">
        <v>0</v>
      </c>
      <c r="D89" s="921"/>
      <c r="E89" s="902"/>
      <c r="F89" s="902"/>
      <c r="G89" s="902"/>
      <c r="H89" s="902"/>
      <c r="I89" s="856">
        <v>0</v>
      </c>
      <c r="J89" s="921"/>
      <c r="K89" s="902"/>
      <c r="L89" s="902"/>
      <c r="M89" s="902"/>
      <c r="N89" s="902"/>
      <c r="P89" s="202" t="s">
        <v>756</v>
      </c>
    </row>
    <row r="90" spans="1:18" ht="33" customHeight="1" thickTop="1" thickBot="1">
      <c r="A90" s="189">
        <v>17</v>
      </c>
      <c r="B90" s="207" t="s">
        <v>771</v>
      </c>
      <c r="C90" s="273">
        <f>C75+C80+C85</f>
        <v>107211818.93162265</v>
      </c>
      <c r="D90" s="927"/>
      <c r="E90" s="902"/>
      <c r="F90" s="902"/>
      <c r="G90" s="902"/>
      <c r="H90" s="902"/>
      <c r="I90" s="536">
        <f>I75+I80+I85</f>
        <v>115215747.7821871</v>
      </c>
      <c r="J90" s="927"/>
      <c r="K90" s="902"/>
      <c r="L90" s="902"/>
      <c r="M90" s="902"/>
      <c r="N90" s="902"/>
      <c r="P90" s="575" t="s">
        <v>772</v>
      </c>
      <c r="R90" s="211"/>
    </row>
    <row r="91" spans="1:18" s="190" customFormat="1" ht="16.149999999999999" thickTop="1">
      <c r="B91" s="214"/>
      <c r="C91" s="189"/>
      <c r="E91" s="189"/>
      <c r="F91" s="189"/>
      <c r="G91" s="189"/>
      <c r="H91" s="189"/>
      <c r="I91" s="189"/>
      <c r="K91" s="189"/>
      <c r="L91" s="189"/>
      <c r="M91" s="189"/>
      <c r="N91" s="189"/>
      <c r="O91" s="189"/>
      <c r="P91" s="191"/>
      <c r="Q91" s="189"/>
      <c r="R91" s="192"/>
    </row>
    <row r="92" spans="1:18" s="190" customFormat="1" ht="16.149999999999999">
      <c r="B92" s="214" t="s">
        <v>773</v>
      </c>
      <c r="C92" s="189"/>
      <c r="E92" s="189"/>
      <c r="F92" s="189"/>
      <c r="G92" s="189"/>
      <c r="H92" s="189"/>
      <c r="I92" s="189"/>
      <c r="K92" s="189"/>
      <c r="L92" s="189"/>
      <c r="M92" s="189"/>
      <c r="N92" s="189"/>
      <c r="O92" s="189"/>
      <c r="P92" s="191"/>
      <c r="Q92" s="189"/>
      <c r="R92" s="192"/>
    </row>
    <row r="93" spans="1:18" s="190" customFormat="1" ht="16.149999999999999">
      <c r="B93" s="214" t="s">
        <v>774</v>
      </c>
      <c r="C93" s="189"/>
      <c r="E93" s="189"/>
      <c r="F93" s="189"/>
      <c r="G93" s="189"/>
      <c r="H93" s="189"/>
      <c r="I93" s="189"/>
      <c r="K93" s="189"/>
      <c r="L93" s="189"/>
      <c r="M93" s="189"/>
      <c r="N93" s="189"/>
      <c r="O93" s="189"/>
      <c r="P93" s="191"/>
      <c r="Q93" s="189"/>
      <c r="R93" s="192"/>
    </row>
    <row r="94" spans="1:18" ht="16.149999999999999">
      <c r="B94" s="214" t="s">
        <v>775</v>
      </c>
    </row>
    <row r="95" spans="1:18" s="190" customFormat="1" ht="16.149999999999999">
      <c r="B95" s="214" t="s">
        <v>776</v>
      </c>
      <c r="C95" s="189"/>
      <c r="E95" s="189"/>
      <c r="F95" s="189"/>
      <c r="G95" s="189"/>
      <c r="H95" s="189"/>
      <c r="I95" s="189"/>
      <c r="K95" s="189"/>
      <c r="L95" s="189"/>
      <c r="M95" s="189"/>
      <c r="N95" s="189"/>
      <c r="O95" s="189"/>
      <c r="P95" s="191"/>
      <c r="Q95" s="189"/>
      <c r="R95" s="192"/>
    </row>
    <row r="96" spans="1:18" s="190" customFormat="1" ht="16.149999999999999">
      <c r="B96" s="214" t="s">
        <v>777</v>
      </c>
      <c r="C96" s="189"/>
      <c r="E96" s="189"/>
      <c r="F96" s="189"/>
      <c r="G96" s="189"/>
      <c r="H96" s="189"/>
      <c r="I96" s="189"/>
      <c r="K96" s="189"/>
      <c r="L96" s="189"/>
      <c r="M96" s="189"/>
      <c r="N96" s="189"/>
      <c r="O96" s="189"/>
      <c r="P96" s="191"/>
      <c r="Q96" s="189"/>
      <c r="R96" s="192"/>
    </row>
    <row r="97" spans="2:18" s="190" customFormat="1" ht="16.149999999999999">
      <c r="B97" s="214" t="s">
        <v>778</v>
      </c>
      <c r="C97" s="189"/>
      <c r="E97" s="189"/>
      <c r="F97" s="189"/>
      <c r="G97" s="189"/>
      <c r="H97" s="189"/>
      <c r="I97" s="189"/>
      <c r="K97" s="189"/>
      <c r="L97" s="189"/>
      <c r="M97" s="189"/>
      <c r="N97" s="189"/>
      <c r="O97" s="189"/>
      <c r="P97" s="191"/>
      <c r="Q97" s="189"/>
      <c r="R97" s="192"/>
    </row>
    <row r="98" spans="2:18" ht="15.6" customHeight="1">
      <c r="B98" s="214" t="s">
        <v>779</v>
      </c>
      <c r="C98" s="214"/>
      <c r="D98" s="214"/>
      <c r="E98" s="214"/>
      <c r="F98" s="214"/>
      <c r="G98" s="214"/>
      <c r="H98" s="214"/>
      <c r="I98" s="214"/>
      <c r="J98" s="214"/>
      <c r="K98" s="214"/>
      <c r="L98" s="214"/>
      <c r="M98" s="214"/>
      <c r="N98" s="214"/>
    </row>
    <row r="100" spans="2:18" s="190" customFormat="1">
      <c r="B100" s="214"/>
      <c r="C100" s="189"/>
      <c r="E100" s="189"/>
      <c r="F100" s="189"/>
      <c r="G100" s="189"/>
      <c r="H100" s="189"/>
      <c r="I100" s="189"/>
      <c r="K100" s="189"/>
      <c r="L100" s="189"/>
      <c r="M100" s="189"/>
      <c r="N100" s="189"/>
      <c r="O100" s="189"/>
      <c r="P100" s="191"/>
      <c r="Q100" s="189"/>
      <c r="R100" s="192"/>
    </row>
    <row r="106" spans="2:18">
      <c r="B106" s="215"/>
    </row>
  </sheetData>
  <mergeCells count="6">
    <mergeCell ref="D4:H4"/>
    <mergeCell ref="J4:N4"/>
    <mergeCell ref="P65:P67"/>
    <mergeCell ref="P18:P19"/>
    <mergeCell ref="P46:P47"/>
    <mergeCell ref="P32:P33"/>
  </mergeCells>
  <phoneticPr fontId="202" type="noConversion"/>
  <pageMargins left="0.19125"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sheetPr>
    <pageSetUpPr fitToPage="1"/>
  </sheetPr>
  <dimension ref="A1:P54"/>
  <sheetViews>
    <sheetView zoomScale="85" zoomScaleNormal="85" workbookViewId="0">
      <pane xSplit="4" ySplit="7" topLeftCell="G8" activePane="bottomRight" state="frozen"/>
      <selection pane="topRight" activeCell="B1" sqref="B1"/>
      <selection pane="bottomLeft" activeCell="B1" sqref="B1"/>
      <selection pane="bottomRight"/>
    </sheetView>
  </sheetViews>
  <sheetFormatPr defaultRowHeight="15.75"/>
  <cols>
    <col min="1" max="1" width="12.25" bestFit="1" customWidth="1"/>
    <col min="2" max="2" width="9.25" customWidth="1"/>
    <col min="3" max="3" width="8.125" customWidth="1"/>
    <col min="4" max="4" width="51.125" customWidth="1"/>
    <col min="5" max="6" width="20.25" customWidth="1"/>
    <col min="7" max="7" width="15.625" bestFit="1" customWidth="1"/>
    <col min="8" max="8" width="10.25" customWidth="1"/>
    <col min="9" max="9" width="9.75" customWidth="1"/>
    <col min="11" max="12" width="20.25" customWidth="1"/>
    <col min="13" max="13" width="15.625" bestFit="1" customWidth="1"/>
    <col min="14" max="14" width="10.25" customWidth="1"/>
    <col min="15" max="15" width="9.75" customWidth="1"/>
  </cols>
  <sheetData>
    <row r="1" spans="1:16">
      <c r="A1" s="20" t="s">
        <v>85</v>
      </c>
      <c r="B1" s="408" t="str">
        <f>PA_NAME</f>
        <v>San Diego Gas &amp; Electric Co</v>
      </c>
      <c r="E1" s="482"/>
    </row>
    <row r="2" spans="1:16">
      <c r="A2" s="20" t="s">
        <v>86</v>
      </c>
      <c r="B2" s="408" t="str">
        <f>RPT_YEAR</f>
        <v>2022-2023</v>
      </c>
      <c r="C2" s="121"/>
      <c r="D2" s="121"/>
      <c r="E2" s="121"/>
      <c r="F2" s="121" t="s">
        <v>780</v>
      </c>
      <c r="K2" s="121"/>
      <c r="L2" s="121"/>
    </row>
    <row r="3" spans="1:16" ht="16.899999999999999">
      <c r="A3" s="574" t="s">
        <v>781</v>
      </c>
      <c r="B3" s="122"/>
      <c r="C3" s="121"/>
      <c r="D3" s="121"/>
      <c r="E3" s="121"/>
      <c r="F3" s="123"/>
      <c r="K3" s="121"/>
      <c r="L3" s="123"/>
    </row>
    <row r="4" spans="1:16" ht="16.149999999999999" thickBot="1">
      <c r="B4" s="121"/>
      <c r="C4" s="121"/>
      <c r="D4" s="124"/>
      <c r="E4" s="124"/>
      <c r="F4" s="124"/>
      <c r="K4" s="124"/>
      <c r="L4" s="124"/>
    </row>
    <row r="5" spans="1:16" ht="18" thickBot="1">
      <c r="B5" s="235"/>
      <c r="C5" s="236"/>
      <c r="D5" s="236"/>
      <c r="E5" s="895" t="s">
        <v>782</v>
      </c>
      <c r="F5" s="895"/>
      <c r="G5" s="895"/>
      <c r="H5" s="895"/>
      <c r="I5" s="895"/>
      <c r="J5" s="896"/>
      <c r="K5" s="895" t="s">
        <v>783</v>
      </c>
      <c r="L5" s="895"/>
      <c r="M5" s="895"/>
      <c r="N5" s="895"/>
      <c r="O5" s="895"/>
      <c r="P5" s="896"/>
    </row>
    <row r="6" spans="1:16" ht="16.149999999999999" thickBot="1">
      <c r="B6" s="166"/>
      <c r="C6" s="167"/>
      <c r="D6" s="167"/>
      <c r="E6" s="1013" t="s">
        <v>784</v>
      </c>
      <c r="F6" s="1014"/>
      <c r="G6" s="1015"/>
      <c r="H6" s="1013" t="s">
        <v>785</v>
      </c>
      <c r="I6" s="1014"/>
      <c r="J6" s="1015"/>
      <c r="K6" s="1013" t="s">
        <v>784</v>
      </c>
      <c r="L6" s="1014"/>
      <c r="M6" s="1015"/>
      <c r="N6" s="1013" t="s">
        <v>785</v>
      </c>
      <c r="O6" s="1014"/>
      <c r="P6" s="1015"/>
    </row>
    <row r="7" spans="1:16" s="169" customFormat="1" ht="87.75" customHeight="1" thickBot="1">
      <c r="B7" s="582" t="s">
        <v>696</v>
      </c>
      <c r="C7" s="170" t="s">
        <v>786</v>
      </c>
      <c r="D7" s="168"/>
      <c r="E7" s="171" t="s">
        <v>787</v>
      </c>
      <c r="F7" s="171" t="s">
        <v>788</v>
      </c>
      <c r="G7" s="171" t="s">
        <v>789</v>
      </c>
      <c r="H7" s="172" t="s">
        <v>790</v>
      </c>
      <c r="I7" s="173" t="s">
        <v>791</v>
      </c>
      <c r="J7" s="173" t="s">
        <v>792</v>
      </c>
      <c r="K7" s="171" t="s">
        <v>787</v>
      </c>
      <c r="L7" s="171" t="s">
        <v>793</v>
      </c>
      <c r="M7" s="171" t="s">
        <v>789</v>
      </c>
      <c r="N7" s="172" t="s">
        <v>790</v>
      </c>
      <c r="O7" s="173" t="s">
        <v>791</v>
      </c>
      <c r="P7" s="173" t="s">
        <v>792</v>
      </c>
    </row>
    <row r="8" spans="1:16" ht="17.649999999999999">
      <c r="B8" s="125"/>
      <c r="C8" s="121"/>
      <c r="D8" s="126"/>
      <c r="E8" s="127"/>
      <c r="F8" s="929"/>
      <c r="G8" s="604"/>
      <c r="H8" s="930"/>
      <c r="I8" s="929"/>
      <c r="J8" s="604"/>
      <c r="K8" s="127"/>
      <c r="L8" s="929"/>
      <c r="M8" s="604"/>
      <c r="N8" s="930"/>
      <c r="O8" s="929"/>
      <c r="P8" s="604"/>
    </row>
    <row r="9" spans="1:16">
      <c r="B9" s="125"/>
      <c r="C9" s="121"/>
      <c r="D9" s="128"/>
      <c r="E9" s="129"/>
      <c r="F9" s="128"/>
      <c r="G9" s="300"/>
      <c r="H9" s="130"/>
      <c r="I9" s="131"/>
      <c r="J9" s="132"/>
      <c r="K9" s="129"/>
      <c r="L9" s="128"/>
      <c r="M9" s="300"/>
      <c r="N9" s="130"/>
      <c r="O9" s="131"/>
      <c r="P9" s="132"/>
    </row>
    <row r="10" spans="1:16">
      <c r="B10" s="125">
        <v>1</v>
      </c>
      <c r="C10" s="133" t="s">
        <v>794</v>
      </c>
      <c r="D10" s="128"/>
      <c r="E10" s="134"/>
      <c r="F10" s="301"/>
      <c r="G10" s="302"/>
      <c r="H10" s="130"/>
      <c r="I10" s="135"/>
      <c r="J10" s="136"/>
      <c r="K10" s="134"/>
      <c r="L10" s="301"/>
      <c r="M10" s="302"/>
      <c r="N10" s="130"/>
      <c r="O10" s="135"/>
      <c r="P10" s="136"/>
    </row>
    <row r="11" spans="1:16">
      <c r="B11" s="125"/>
      <c r="C11" s="133"/>
      <c r="D11" s="137"/>
      <c r="E11" s="138"/>
      <c r="F11" s="280"/>
      <c r="G11" s="303"/>
      <c r="H11" s="130"/>
      <c r="I11" s="139"/>
      <c r="J11" s="140"/>
      <c r="K11" s="138"/>
      <c r="L11" s="280"/>
      <c r="M11" s="303"/>
      <c r="N11" s="130"/>
      <c r="O11" s="139"/>
      <c r="P11" s="140"/>
    </row>
    <row r="12" spans="1:16" s="144" customFormat="1" ht="17.25">
      <c r="B12" s="141">
        <v>2</v>
      </c>
      <c r="C12" s="142"/>
      <c r="D12" s="143" t="s">
        <v>795</v>
      </c>
      <c r="E12" s="276">
        <f>SUMIFS('4 Program Budget'!$M$6:$M$134,'4 Program Budget'!$E$6:$E$134,"No",'4 Program Budget'!$F$6:$F$134,README!$K$8)-E13</f>
        <v>4067387.3281999994</v>
      </c>
      <c r="F12" s="304"/>
      <c r="G12" s="305">
        <f>E12</f>
        <v>4067387.3281999994</v>
      </c>
      <c r="H12" s="285">
        <f>+G12/$G$33</f>
        <v>4.9163181982956376E-2</v>
      </c>
      <c r="I12" s="286">
        <v>0.1</v>
      </c>
      <c r="J12" s="287"/>
      <c r="K12" s="276">
        <f>SUMIFS('4 Program Budget'!$AC$6:$AC$134,'4 Program Budget'!$E$6:$E$134,"No",'4 Program Budget'!$F$6:$F$134,README!$K$8)-K13</f>
        <v>5001361.5613000011</v>
      </c>
      <c r="L12" s="304"/>
      <c r="M12" s="305">
        <f>K12</f>
        <v>5001361.5613000011</v>
      </c>
      <c r="N12" s="285">
        <f>+M12/$M$33</f>
        <v>5.30742052934755E-2</v>
      </c>
      <c r="O12" s="286">
        <v>0.1</v>
      </c>
      <c r="P12" s="287"/>
    </row>
    <row r="13" spans="1:16" ht="18">
      <c r="B13" s="125">
        <v>3</v>
      </c>
      <c r="C13" s="137"/>
      <c r="D13" s="145" t="s">
        <v>796</v>
      </c>
      <c r="E13" s="460">
        <v>0</v>
      </c>
      <c r="F13" s="306">
        <f>SUMIFS('4 Program Budget'!$M$6:$M$134,'4 Program Budget'!$E$6:$E$134,"No",'4 Program Budget'!$F$6:$F$134,"&lt;&gt;"&amp;README!$K$8)</f>
        <v>2263997.9084999999</v>
      </c>
      <c r="G13" s="307">
        <f>SUM(E13:F13)</f>
        <v>2263997.9084999999</v>
      </c>
      <c r="H13" s="285">
        <f>+G13/$G$33</f>
        <v>2.736531640665648E-2</v>
      </c>
      <c r="I13" s="286"/>
      <c r="J13" s="287">
        <v>0.1</v>
      </c>
      <c r="K13" s="460">
        <v>0</v>
      </c>
      <c r="L13" s="306">
        <f>SUMIFS('4 Program Budget'!$AC$6:$AC$134,'4 Program Budget'!$E$6:$E$134,"No",'4 Program Budget'!$F$6:$F$134,"&lt;&gt;"&amp;README!$K$8)</f>
        <v>3296694.0309000001</v>
      </c>
      <c r="M13" s="307">
        <f>SUM(K13:L13)</f>
        <v>3296694.0309000001</v>
      </c>
      <c r="N13" s="285">
        <f>+M13/$M$33</f>
        <v>3.4984356487972483E-2</v>
      </c>
      <c r="O13" s="286"/>
      <c r="P13" s="287">
        <v>0.1</v>
      </c>
    </row>
    <row r="14" spans="1:16" ht="18">
      <c r="B14" s="125">
        <v>4</v>
      </c>
      <c r="C14" s="137"/>
      <c r="D14" s="145" t="s">
        <v>797</v>
      </c>
      <c r="E14" s="276">
        <f>SUMIFS('4 Program Budget'!$M$6:$M$134,'4 Program Budget'!$E$6:$E$134,"Yes",'4 Program Budget'!$F$6:$F$134,README!$K$8)</f>
        <v>2799744.4680000008</v>
      </c>
      <c r="F14" s="306">
        <f>SUMIFS('4 Program Budget'!$M$6:$M$134,'4 Program Budget'!$E$6:$E$134,"Yes",'4 Program Budget'!$F$6:$F$134,"&lt;&gt;"&amp;README!$K$8)</f>
        <v>165511.45970000001</v>
      </c>
      <c r="G14" s="307">
        <f>SUM(E14:F14)</f>
        <v>2965255.9277000008</v>
      </c>
      <c r="H14" s="288"/>
      <c r="I14" s="289"/>
      <c r="J14" s="290"/>
      <c r="K14" s="276">
        <f>SUMIFS('4 Program Budget'!$AC$6:$AC$134,'4 Program Budget'!$E$6:$E$134,"Yes",'4 Program Budget'!$F$6:$F$134,README!$K$8)</f>
        <v>2415259.196</v>
      </c>
      <c r="L14" s="306">
        <f>SUMIFS('4 Program Budget'!$AC$6:$AC$134,'4 Program Budget'!$E$6:$E$134,"Yes",'4 Program Budget'!$F$6:$F$134,"&lt;&gt;"&amp;README!$K$8)</f>
        <v>751381.25859999994</v>
      </c>
      <c r="M14" s="307">
        <f>SUM(K14:L14)</f>
        <v>3166640.4545999998</v>
      </c>
      <c r="N14" s="288"/>
      <c r="O14" s="289"/>
      <c r="P14" s="290"/>
    </row>
    <row r="15" spans="1:16">
      <c r="B15" s="125"/>
      <c r="C15" s="145"/>
      <c r="D15" s="121"/>
      <c r="E15" s="138"/>
      <c r="F15" s="308"/>
      <c r="G15" s="309"/>
      <c r="H15" s="147"/>
      <c r="I15" s="148"/>
      <c r="J15" s="149"/>
      <c r="K15" s="138"/>
      <c r="L15" s="308"/>
      <c r="M15" s="309"/>
      <c r="N15" s="147"/>
      <c r="O15" s="148"/>
      <c r="P15" s="149"/>
    </row>
    <row r="16" spans="1:16" ht="17.649999999999999">
      <c r="B16" s="125">
        <v>5</v>
      </c>
      <c r="C16" s="133" t="s">
        <v>798</v>
      </c>
      <c r="D16" s="137"/>
      <c r="E16" s="138"/>
      <c r="F16" s="280"/>
      <c r="G16" s="302"/>
      <c r="H16" s="130"/>
      <c r="I16" s="139"/>
      <c r="J16" s="140"/>
      <c r="K16" s="138"/>
      <c r="L16" s="280"/>
      <c r="M16" s="302"/>
      <c r="N16" s="130"/>
      <c r="O16" s="139"/>
      <c r="P16" s="140"/>
    </row>
    <row r="17" spans="2:16">
      <c r="B17" s="125"/>
      <c r="C17" s="133"/>
      <c r="D17" s="137"/>
      <c r="E17" s="138"/>
      <c r="F17" s="280"/>
      <c r="G17" s="303"/>
      <c r="H17" s="130"/>
      <c r="I17" s="139"/>
      <c r="J17" s="140"/>
      <c r="K17" s="138"/>
      <c r="L17" s="280"/>
      <c r="M17" s="303"/>
      <c r="N17" s="130"/>
      <c r="O17" s="139"/>
      <c r="P17" s="140"/>
    </row>
    <row r="18" spans="2:16">
      <c r="B18" s="125">
        <v>6</v>
      </c>
      <c r="C18" s="133"/>
      <c r="D18" s="145" t="s">
        <v>799</v>
      </c>
      <c r="E18" s="276">
        <f>SUMIF('4 Program Budget'!$F$7:$F$134,README!$K$8,'4 Program Budget'!$N$7:$N$134)</f>
        <v>509514.08500000002</v>
      </c>
      <c r="F18" s="306">
        <f>'4 Program Budget'!N134-E18</f>
        <v>1910707.8731000004</v>
      </c>
      <c r="G18" s="307">
        <f>SUM(E18:F18)</f>
        <v>2420221.9581000004</v>
      </c>
      <c r="H18" s="285">
        <f>+G18/$G$33</f>
        <v>2.9253622279900714E-2</v>
      </c>
      <c r="I18" s="286"/>
      <c r="J18" s="287">
        <v>0.06</v>
      </c>
      <c r="K18" s="276">
        <f>SUMIF('4 Program Budget'!$F$7:$F$134,README!$K$8,'4 Program Budget'!$AD$7:$AD$134)</f>
        <v>409903.21150000003</v>
      </c>
      <c r="L18" s="306">
        <f>'4 Program Budget'!AD134-K18</f>
        <v>2737538.1032000016</v>
      </c>
      <c r="M18" s="307">
        <f>SUM(K18:L18)</f>
        <v>3147441.3147000019</v>
      </c>
      <c r="N18" s="285">
        <f>+M18/$M$33</f>
        <v>3.3400493933122812E-2</v>
      </c>
      <c r="O18" s="286"/>
      <c r="P18" s="287">
        <v>0.06</v>
      </c>
    </row>
    <row r="19" spans="2:16" ht="18">
      <c r="B19" s="125">
        <v>7</v>
      </c>
      <c r="C19" s="150"/>
      <c r="D19" s="145" t="s">
        <v>800</v>
      </c>
      <c r="E19" s="276">
        <f>'4 Program Budget'!$Q$162</f>
        <v>0</v>
      </c>
      <c r="F19" s="477"/>
      <c r="G19" s="307">
        <f>E19</f>
        <v>0</v>
      </c>
      <c r="H19" s="288"/>
      <c r="I19" s="291"/>
      <c r="J19" s="292"/>
      <c r="K19" s="276">
        <f>'4 Program Budget'!$AD$162</f>
        <v>0</v>
      </c>
      <c r="L19" s="477"/>
      <c r="M19" s="307">
        <f>K19</f>
        <v>0</v>
      </c>
      <c r="N19" s="288"/>
      <c r="O19" s="291"/>
      <c r="P19" s="292"/>
    </row>
    <row r="20" spans="2:16">
      <c r="B20" s="125"/>
      <c r="C20" s="145"/>
      <c r="D20" s="121"/>
      <c r="E20" s="138"/>
      <c r="F20" s="308"/>
      <c r="G20" s="309"/>
      <c r="H20" s="147"/>
      <c r="I20" s="148"/>
      <c r="J20" s="149"/>
      <c r="K20" s="138"/>
      <c r="L20" s="308"/>
      <c r="M20" s="309"/>
      <c r="N20" s="147"/>
      <c r="O20" s="148"/>
      <c r="P20" s="149"/>
    </row>
    <row r="21" spans="2:16">
      <c r="B21" s="125">
        <v>8</v>
      </c>
      <c r="C21" s="133" t="s">
        <v>801</v>
      </c>
      <c r="D21" s="137"/>
      <c r="E21" s="138"/>
      <c r="F21" s="280"/>
      <c r="G21" s="303"/>
      <c r="H21" s="130"/>
      <c r="I21" s="139"/>
      <c r="J21" s="140"/>
      <c r="K21" s="138"/>
      <c r="L21" s="280"/>
      <c r="M21" s="303"/>
      <c r="N21" s="130"/>
      <c r="O21" s="139"/>
      <c r="P21" s="140"/>
    </row>
    <row r="22" spans="2:16">
      <c r="B22" s="125"/>
      <c r="C22" s="133"/>
      <c r="D22" s="137"/>
      <c r="E22" s="138"/>
      <c r="F22" s="280"/>
      <c r="G22" s="303"/>
      <c r="H22" s="130"/>
      <c r="I22" s="139"/>
      <c r="J22" s="140"/>
      <c r="K22" s="138"/>
      <c r="L22" s="280"/>
      <c r="M22" s="303"/>
      <c r="N22" s="130"/>
      <c r="O22" s="139"/>
      <c r="P22" s="140"/>
    </row>
    <row r="23" spans="2:16" ht="33" customHeight="1">
      <c r="B23" s="125">
        <v>9</v>
      </c>
      <c r="C23" s="150"/>
      <c r="D23" s="124" t="s">
        <v>802</v>
      </c>
      <c r="E23" s="276">
        <f>SUMIFS('4 Program Budget'!$P$6:$P$134,'4 Program Budget'!F6:F134,"Core PA")</f>
        <v>4480598.1233000001</v>
      </c>
      <c r="F23" s="306">
        <f>'4 Program Budget'!P134-E23</f>
        <v>28744559.669642646</v>
      </c>
      <c r="G23" s="307">
        <f>SUM(E23:F23)</f>
        <v>33225157.792942647</v>
      </c>
      <c r="H23" s="288"/>
      <c r="I23" s="291"/>
      <c r="J23" s="292"/>
      <c r="K23" s="276">
        <f>SUMIFS('4 Program Budget'!$AF$6:$AF$134,'4 Program Budget'!AF6:AF134,"Core PA")</f>
        <v>0</v>
      </c>
      <c r="L23" s="306">
        <f>'4 Program Budget'!AF134-K23</f>
        <v>39022729.450647123</v>
      </c>
      <c r="M23" s="307">
        <f>SUM(K23:L23)</f>
        <v>39022729.450647123</v>
      </c>
      <c r="N23" s="288"/>
      <c r="O23" s="291"/>
      <c r="P23" s="292"/>
    </row>
    <row r="24" spans="2:16">
      <c r="B24" s="125"/>
      <c r="C24" s="150"/>
      <c r="D24" s="145"/>
      <c r="E24" s="146"/>
      <c r="F24" s="308"/>
      <c r="G24" s="309"/>
      <c r="H24" s="147"/>
      <c r="I24" s="148"/>
      <c r="J24" s="149"/>
      <c r="K24" s="146"/>
      <c r="L24" s="308"/>
      <c r="M24" s="309"/>
      <c r="N24" s="147"/>
      <c r="O24" s="148"/>
      <c r="P24" s="149"/>
    </row>
    <row r="25" spans="2:16" ht="30.75">
      <c r="B25" s="125">
        <v>10</v>
      </c>
      <c r="C25" s="150"/>
      <c r="D25" s="124" t="s">
        <v>803</v>
      </c>
      <c r="E25" s="276">
        <f>SUMIFS('4 Program Budget'!$O$6:$O$134,'4 Program Budget'!$E$6:$E$134,"No",'4 Program Budget'!F6:F134,"Core PA")</f>
        <v>4806596.184799999</v>
      </c>
      <c r="F25" s="306">
        <f>SUMIF('4 Program Budget'!$E$6:$E$134,"No",'4 Program Budget'!$O$6:$O$134)-E25</f>
        <v>13786846.640600003</v>
      </c>
      <c r="G25" s="307">
        <f>SUM(E25:F25)</f>
        <v>18593442.825400002</v>
      </c>
      <c r="H25" s="285">
        <f>+G25/$G$33</f>
        <v>0.22474201239137229</v>
      </c>
      <c r="I25" s="286"/>
      <c r="J25" s="287">
        <v>0.2</v>
      </c>
      <c r="K25" s="276">
        <f>SUMIFS('4 Program Budget'!$AE$6:$AE$134,'4 Program Budget'!$E$6:$E$134,"No",'4 Program Budget'!$F$6:$F$134,"Core PA")</f>
        <v>4290096.6940000011</v>
      </c>
      <c r="L25" s="306">
        <f>SUMIF('4 Program Budget'!$E$6:$E$134,"No",'4 Program Budget'!$AE$6:$AE$134)-K25</f>
        <v>18743206.984700002</v>
      </c>
      <c r="M25" s="307">
        <f>SUM(K25:L25)</f>
        <v>23033303.678700004</v>
      </c>
      <c r="N25" s="285">
        <f>+M25/$M$33</f>
        <v>0.2444282967841524</v>
      </c>
      <c r="O25" s="286"/>
      <c r="P25" s="287">
        <v>0.2</v>
      </c>
    </row>
    <row r="26" spans="2:16">
      <c r="B26" s="125"/>
      <c r="C26" s="150"/>
      <c r="D26" s="145"/>
      <c r="E26" s="146"/>
      <c r="F26" s="310"/>
      <c r="G26" s="309"/>
      <c r="H26" s="130"/>
      <c r="I26" s="148"/>
      <c r="J26" s="149"/>
      <c r="K26" s="146"/>
      <c r="L26" s="310"/>
      <c r="M26" s="309"/>
      <c r="N26" s="130"/>
      <c r="O26" s="148"/>
      <c r="P26" s="149"/>
    </row>
    <row r="27" spans="2:16" ht="33">
      <c r="B27" s="125">
        <v>11</v>
      </c>
      <c r="C27" s="150"/>
      <c r="D27" s="124" t="s">
        <v>804</v>
      </c>
      <c r="E27" s="276">
        <f>SUMIFS('4 Program Budget'!$O$6:$O$134,'4 Program Budget'!$E$6:$E$134,"Yes",'4 Program Budget'!$F$6:$F$134,"Core PA")</f>
        <v>11394476.498</v>
      </c>
      <c r="F27" s="306">
        <f>SUMIF('4 Program Budget'!$E$6:$E$134,"Yes",'4 Program Budget'!$O$6:$O$134)-E27</f>
        <v>4493149.9221000001</v>
      </c>
      <c r="G27" s="307">
        <f>SUM(E27:F27)</f>
        <v>15887626.4201</v>
      </c>
      <c r="H27" s="293"/>
      <c r="I27" s="291"/>
      <c r="J27" s="292"/>
      <c r="K27" s="276">
        <f>SUMIFS('4 Program Budget'!$AE$6:$AE$134,'4 Program Budget'!$E$6:$E$134,"Yes",'4 Program Budget'!$F$6:$F$134,"Core PA")</f>
        <v>6645421.1654999992</v>
      </c>
      <c r="L27" s="306">
        <f>SUMIF('4 Program Budget'!$E$6:$E$134,"Yes",'4 Program Budget'!$AE$6:$AE$134)-K27</f>
        <v>7150449.5073999995</v>
      </c>
      <c r="M27" s="307">
        <f>SUM(K27:L27)</f>
        <v>13795870.672899999</v>
      </c>
      <c r="N27" s="293"/>
      <c r="O27" s="291"/>
      <c r="P27" s="292"/>
    </row>
    <row r="28" spans="2:16">
      <c r="B28" s="125"/>
      <c r="C28" s="145"/>
      <c r="D28" s="121"/>
      <c r="E28" s="138"/>
      <c r="F28" s="308"/>
      <c r="G28" s="309"/>
      <c r="H28" s="147"/>
      <c r="I28" s="148"/>
      <c r="J28" s="149"/>
      <c r="K28" s="138"/>
      <c r="L28" s="308"/>
      <c r="M28" s="309"/>
      <c r="N28" s="147"/>
      <c r="O28" s="148"/>
      <c r="P28" s="149"/>
    </row>
    <row r="29" spans="2:16" ht="24" customHeight="1">
      <c r="B29" s="125">
        <v>12</v>
      </c>
      <c r="C29" s="1017" t="s">
        <v>805</v>
      </c>
      <c r="D29" s="1017"/>
      <c r="E29" s="276">
        <f>E30+E31</f>
        <v>3309295.42</v>
      </c>
      <c r="F29" s="457"/>
      <c r="G29" s="307">
        <f>+E29</f>
        <v>3309295.42</v>
      </c>
      <c r="H29" s="285">
        <f>+G29/(G$33-G$19)</f>
        <v>3.9999999960865312E-2</v>
      </c>
      <c r="I29" s="285">
        <v>0.04</v>
      </c>
      <c r="J29" s="283"/>
      <c r="K29" s="276">
        <f>K30+K31</f>
        <v>3769335.1749999998</v>
      </c>
      <c r="L29" s="457"/>
      <c r="M29" s="307">
        <f>+K29</f>
        <v>3769335.1749999998</v>
      </c>
      <c r="N29" s="285">
        <f>+M29/(M$33-M$19)</f>
        <v>4.0000001288822709E-2</v>
      </c>
      <c r="O29" s="285">
        <v>0.04</v>
      </c>
      <c r="P29" s="283"/>
    </row>
    <row r="30" spans="2:16" ht="37.5" customHeight="1">
      <c r="B30" s="125" t="s">
        <v>806</v>
      </c>
      <c r="C30" s="578"/>
      <c r="D30" s="124" t="s">
        <v>477</v>
      </c>
      <c r="E30" s="276">
        <f>'4 Program Budget'!Q137</f>
        <v>910056.24050000007</v>
      </c>
      <c r="F30" s="457"/>
      <c r="G30" s="307">
        <f>+E30</f>
        <v>910056.24050000007</v>
      </c>
      <c r="H30" s="288"/>
      <c r="I30" s="294"/>
      <c r="J30" s="295"/>
      <c r="K30" s="276">
        <f>+'4 Program Budget'!AG137</f>
        <v>1036567.1731250001</v>
      </c>
      <c r="L30" s="457"/>
      <c r="M30" s="307">
        <f>+K30</f>
        <v>1036567.1731250001</v>
      </c>
      <c r="N30" s="288"/>
      <c r="O30" s="294"/>
      <c r="P30" s="295"/>
    </row>
    <row r="31" spans="2:16" ht="37.5" customHeight="1">
      <c r="B31" s="125" t="s">
        <v>807</v>
      </c>
      <c r="C31" s="578"/>
      <c r="D31" s="124" t="s">
        <v>478</v>
      </c>
      <c r="E31" s="276">
        <f>'4 Program Budget'!Q138</f>
        <v>2399239.1794999996</v>
      </c>
      <c r="F31" s="457"/>
      <c r="G31" s="307">
        <f>+E31</f>
        <v>2399239.1794999996</v>
      </c>
      <c r="H31" s="288"/>
      <c r="I31" s="294"/>
      <c r="J31" s="295"/>
      <c r="K31" s="276">
        <f>+'4 Program Budget'!AG138</f>
        <v>2732768.0018749996</v>
      </c>
      <c r="L31" s="457"/>
      <c r="M31" s="307">
        <f>+K31</f>
        <v>2732768.0018749996</v>
      </c>
      <c r="N31" s="288"/>
      <c r="O31" s="294"/>
      <c r="P31" s="295"/>
    </row>
    <row r="32" spans="2:16">
      <c r="B32" s="125"/>
      <c r="C32" s="133"/>
      <c r="D32" s="137"/>
      <c r="E32" s="138"/>
      <c r="F32" s="280"/>
      <c r="G32" s="303"/>
      <c r="H32" s="130"/>
      <c r="I32" s="139"/>
      <c r="J32" s="140"/>
      <c r="K32" s="138"/>
      <c r="L32" s="280"/>
      <c r="M32" s="303"/>
      <c r="N32" s="130"/>
      <c r="O32" s="139"/>
      <c r="P32" s="140"/>
    </row>
    <row r="33" spans="2:16" ht="30.4" customHeight="1">
      <c r="B33" s="125">
        <v>13</v>
      </c>
      <c r="C33" s="1019" t="s">
        <v>808</v>
      </c>
      <c r="D33" s="1019"/>
      <c r="E33" s="277">
        <f>E29+E27+E25+E23+E19+E18+E14+E13+E12</f>
        <v>31367612.107299998</v>
      </c>
      <c r="F33" s="278">
        <f>+F27+F25+F23+F18+F14+F13</f>
        <v>51364773.473642647</v>
      </c>
      <c r="G33" s="311">
        <f>F33+E33</f>
        <v>82732385.580942646</v>
      </c>
      <c r="H33" s="296"/>
      <c r="I33" s="297"/>
      <c r="J33" s="298"/>
      <c r="K33" s="277">
        <f>K29+K27+K25+K23+K19+K18+K14+K13+K12</f>
        <v>22531377.0033</v>
      </c>
      <c r="L33" s="278">
        <f>+L27+L25+L23+L18+L14+L13</f>
        <v>71701999.335447118</v>
      </c>
      <c r="M33" s="311">
        <f>L33+K33</f>
        <v>94233376.338747114</v>
      </c>
      <c r="N33" s="296"/>
      <c r="O33" s="297"/>
      <c r="P33" s="298"/>
    </row>
    <row r="34" spans="2:16" ht="30.4" customHeight="1">
      <c r="B34" s="125"/>
      <c r="C34" s="579"/>
      <c r="D34" s="579"/>
      <c r="E34" s="151"/>
      <c r="F34" s="185"/>
      <c r="G34" s="312"/>
      <c r="H34" s="152"/>
      <c r="I34" s="153"/>
      <c r="J34" s="154"/>
      <c r="K34" s="151"/>
      <c r="L34" s="185"/>
      <c r="M34" s="312"/>
      <c r="N34" s="152"/>
      <c r="O34" s="153"/>
      <c r="P34" s="154"/>
    </row>
    <row r="35" spans="2:16" s="144" customFormat="1" ht="39.75" customHeight="1" thickBot="1">
      <c r="B35" s="141">
        <v>14</v>
      </c>
      <c r="C35" s="1018" t="s">
        <v>809</v>
      </c>
      <c r="D35" s="1018"/>
      <c r="E35" s="458"/>
      <c r="F35" s="278">
        <f>+'4 Program Budget'!Q147</f>
        <v>64892784.003029943</v>
      </c>
      <c r="G35" s="478">
        <f>+F35</f>
        <v>64892784.003029943</v>
      </c>
      <c r="H35" s="299"/>
      <c r="I35" s="297"/>
      <c r="J35" s="298"/>
      <c r="K35" s="458"/>
      <c r="L35" s="278">
        <f>+'4 Program Budget'!AG147</f>
        <v>20982371.443440009</v>
      </c>
      <c r="M35" s="478">
        <f>+L35</f>
        <v>20982371.443440009</v>
      </c>
      <c r="N35" s="299"/>
      <c r="O35" s="297"/>
      <c r="P35" s="298"/>
    </row>
    <row r="36" spans="2:16">
      <c r="B36" s="479"/>
      <c r="C36" s="931"/>
      <c r="D36" s="932"/>
      <c r="E36" s="933"/>
      <c r="F36" s="933"/>
      <c r="G36" s="583"/>
      <c r="H36" s="934"/>
      <c r="I36" s="935"/>
      <c r="J36" s="605"/>
      <c r="K36" s="933"/>
      <c r="L36" s="933"/>
      <c r="M36" s="583"/>
      <c r="N36" s="934"/>
      <c r="O36" s="935"/>
      <c r="P36" s="605"/>
    </row>
    <row r="37" spans="2:16" ht="32.65" customHeight="1">
      <c r="B37" s="125">
        <v>15</v>
      </c>
      <c r="C37" s="1019" t="s">
        <v>810</v>
      </c>
      <c r="D37" s="1019"/>
      <c r="E37" s="459"/>
      <c r="F37" s="459"/>
      <c r="G37" s="311">
        <f>+G33+G35</f>
        <v>147625169.58397257</v>
      </c>
      <c r="H37" s="155"/>
      <c r="I37" s="139"/>
      <c r="J37" s="140"/>
      <c r="K37" s="459"/>
      <c r="L37" s="459"/>
      <c r="M37" s="311">
        <f>+M33+M35</f>
        <v>115215747.78218712</v>
      </c>
      <c r="N37" s="155"/>
      <c r="O37" s="139"/>
      <c r="P37" s="140"/>
    </row>
    <row r="38" spans="2:16">
      <c r="B38" s="125"/>
      <c r="C38" s="121"/>
      <c r="D38" s="279"/>
      <c r="E38" s="280"/>
      <c r="F38" s="280"/>
      <c r="G38" s="174"/>
      <c r="H38" s="130"/>
      <c r="I38" s="139"/>
      <c r="J38" s="140"/>
      <c r="K38" s="280"/>
      <c r="L38" s="280"/>
      <c r="M38" s="174"/>
      <c r="N38" s="130"/>
      <c r="O38" s="139"/>
      <c r="P38" s="140"/>
    </row>
    <row r="39" spans="2:16" s="144" customFormat="1" ht="39.75" customHeight="1">
      <c r="B39" s="141">
        <v>16</v>
      </c>
      <c r="C39" s="1018" t="s">
        <v>811</v>
      </c>
      <c r="D39" s="1018"/>
      <c r="E39" s="481"/>
      <c r="F39" s="870">
        <f>+F35+F33</f>
        <v>116257557.47667259</v>
      </c>
      <c r="G39" s="238"/>
      <c r="H39" s="282">
        <f>F39/(G$37-G$19)</f>
        <v>0.78751853633294311</v>
      </c>
      <c r="I39" s="284"/>
      <c r="J39" s="283">
        <v>0.6</v>
      </c>
      <c r="K39" s="481"/>
      <c r="L39" s="870">
        <f>+L35+L33</f>
        <v>92684370.778887123</v>
      </c>
      <c r="M39" s="238"/>
      <c r="N39" s="282">
        <f>L39/(M$37-M$19)</f>
        <v>0.80444186287889152</v>
      </c>
      <c r="O39" s="284"/>
      <c r="P39" s="283">
        <v>0.6</v>
      </c>
    </row>
    <row r="40" spans="2:16" ht="16.149999999999999" thickBot="1">
      <c r="B40" s="480"/>
      <c r="C40" s="281"/>
      <c r="D40" s="281"/>
      <c r="E40" s="156"/>
      <c r="F40" s="156"/>
      <c r="G40" s="175"/>
      <c r="H40" s="157"/>
      <c r="I40" s="158"/>
      <c r="J40" s="159"/>
      <c r="K40" s="156"/>
      <c r="L40" s="156"/>
      <c r="M40" s="175"/>
      <c r="N40" s="157"/>
      <c r="O40" s="158"/>
      <c r="P40" s="159"/>
    </row>
    <row r="41" spans="2:16">
      <c r="B41" s="145"/>
      <c r="C41" s="145"/>
      <c r="D41" s="145"/>
      <c r="E41" s="160"/>
      <c r="F41" s="160"/>
      <c r="G41" s="160"/>
      <c r="H41" s="161"/>
      <c r="I41" s="161"/>
      <c r="J41" s="145"/>
      <c r="K41" s="160"/>
      <c r="L41" s="160"/>
      <c r="M41" s="160"/>
      <c r="N41" s="161"/>
      <c r="O41" s="161"/>
      <c r="P41" s="145"/>
    </row>
    <row r="42" spans="2:16" ht="17.649999999999999">
      <c r="B42" s="162" t="s">
        <v>203</v>
      </c>
      <c r="C42" s="163"/>
      <c r="D42" s="164"/>
      <c r="E42" s="164"/>
      <c r="F42" s="164"/>
      <c r="G42" s="165"/>
      <c r="H42" s="164"/>
      <c r="I42" s="164"/>
      <c r="J42" s="164"/>
      <c r="K42" s="164"/>
      <c r="L42" s="164"/>
      <c r="M42" s="165"/>
      <c r="N42" s="164"/>
      <c r="O42" s="164"/>
      <c r="P42" s="164"/>
    </row>
    <row r="43" spans="2:16" ht="32.65" customHeight="1">
      <c r="B43" s="1016" t="s">
        <v>812</v>
      </c>
      <c r="C43" s="1016"/>
      <c r="D43" s="1016"/>
      <c r="E43" s="1016"/>
      <c r="F43" s="1016"/>
      <c r="G43" s="1016"/>
      <c r="H43" s="1016"/>
      <c r="I43" s="1016"/>
      <c r="J43" s="1016"/>
    </row>
    <row r="44" spans="2:16" ht="46.15" customHeight="1">
      <c r="B44" s="1012" t="s">
        <v>813</v>
      </c>
      <c r="C44" s="1012"/>
      <c r="D44" s="1012"/>
      <c r="E44" s="1012"/>
      <c r="F44" s="1012"/>
      <c r="G44" s="1012"/>
      <c r="H44" s="1012"/>
      <c r="I44" s="1012"/>
      <c r="J44" s="1012"/>
    </row>
    <row r="45" spans="2:16" ht="46.15" customHeight="1">
      <c r="B45" s="1012" t="s">
        <v>814</v>
      </c>
      <c r="C45" s="1012"/>
      <c r="D45" s="1012"/>
      <c r="E45" s="1012"/>
      <c r="F45" s="1012"/>
      <c r="G45" s="1012"/>
      <c r="H45" s="1012"/>
      <c r="I45" s="1012"/>
      <c r="J45" s="1012"/>
    </row>
    <row r="46" spans="2:16" ht="29.65" customHeight="1">
      <c r="B46" s="1012" t="s">
        <v>815</v>
      </c>
      <c r="C46" s="1012"/>
      <c r="D46" s="1012"/>
      <c r="E46" s="1012"/>
      <c r="F46" s="1012"/>
      <c r="G46" s="1012"/>
      <c r="H46" s="1012"/>
      <c r="I46" s="1012"/>
      <c r="J46" s="1012"/>
    </row>
    <row r="47" spans="2:16" ht="34.5" customHeight="1">
      <c r="B47" s="1012" t="s">
        <v>816</v>
      </c>
      <c r="C47" s="1012"/>
      <c r="D47" s="1012"/>
      <c r="E47" s="1012"/>
      <c r="F47" s="1012"/>
      <c r="G47" s="1012"/>
      <c r="H47" s="1012"/>
      <c r="I47" s="1012"/>
      <c r="J47" s="1012"/>
    </row>
    <row r="48" spans="2:16" ht="31.15" customHeight="1">
      <c r="B48" s="1012" t="s">
        <v>817</v>
      </c>
      <c r="C48" s="1012"/>
      <c r="D48" s="1012"/>
      <c r="E48" s="1012"/>
      <c r="F48" s="1012"/>
      <c r="G48" s="1012"/>
      <c r="H48" s="1012"/>
      <c r="I48" s="1012"/>
      <c r="J48" s="1012"/>
    </row>
    <row r="49" spans="2:10" ht="34.5" customHeight="1">
      <c r="B49" s="1012" t="str">
        <f>"7.  The EM&amp;V percentage is based on PA's total portfolio budget of "&amp;DOLLAR('4 Program Budget'!Q134,0)&amp;", which excludes SWME&amp;O, RENs, CCAs and CEC AB 841.  This is the Total in line 13, minus SWME&amp;O in line 7."</f>
        <v>7.  The EM&amp;V percentage is based on PA's total portfolio budget of $79,423,090, which excludes SWME&amp;O, RENs, CCAs and CEC AB 841.  This is the Total in line 13, minus SWME&amp;O in line 7.</v>
      </c>
      <c r="C49" s="1012"/>
      <c r="D49" s="1012"/>
      <c r="E49" s="1012"/>
      <c r="F49" s="1012"/>
      <c r="G49" s="1012"/>
      <c r="H49" s="1012"/>
      <c r="I49" s="1012"/>
      <c r="J49" s="1012"/>
    </row>
    <row r="50" spans="2:10" ht="33.75" customHeight="1">
      <c r="B50" s="1012" t="s">
        <v>818</v>
      </c>
      <c r="C50" s="1012"/>
      <c r="D50" s="1012"/>
      <c r="E50" s="1012"/>
      <c r="F50" s="1012"/>
      <c r="G50" s="1012"/>
      <c r="H50" s="1012"/>
      <c r="I50" s="1012"/>
      <c r="J50" s="1012"/>
    </row>
    <row r="51" spans="2:10">
      <c r="B51" s="1012" t="str">
        <f>"9.  IOU PA's 2022 Proposed Budget of "&amp;DOLLAR(G33,0)&amp;" excludes SWME&amp;O budget of "&amp;DOLLAR(G19,0)&amp;" and includes CEC AB 841 budgets of "&amp;DOLLAR(G35,0)&amp;". "</f>
        <v xml:space="preserve">9.  IOU PA's 2022 Proposed Budget of $82,732,386 excludes SWME&amp;O budget of $0 and includes CEC AB 841 budgets of $64,892,784. </v>
      </c>
      <c r="C51" s="1012"/>
      <c r="D51" s="1012"/>
      <c r="E51" s="1012"/>
      <c r="F51" s="1012"/>
      <c r="G51" s="1012"/>
      <c r="H51" s="1012"/>
      <c r="I51" s="1012"/>
      <c r="J51" s="1012"/>
    </row>
    <row r="52" spans="2:10" ht="37.5" customHeight="1">
      <c r="B52" s="1012" t="str">
        <f>"10. IOU PA's percentage for Third-Party Implementer Contracts uses "&amp;DOLLAR((G$37-G$19),0)&amp;" as its denominator, which is  IOU PA Subtotal including EM&amp;V, but excluding SWME&amp;O, REN, and CCA. This is the Total in line 13 minus, minus SWME&amp;O in line 7."</f>
        <v>10. IOU PA's percentage for Third-Party Implementer Contracts uses $147,625,170 as its denominator, which is  IOU PA Subtotal including EM&amp;V, but excluding SWME&amp;O, REN, and CCA. This is the Total in line 13 minus, minus SWME&amp;O in line 7.</v>
      </c>
      <c r="C52" s="1012"/>
      <c r="D52" s="1012"/>
      <c r="E52" s="1012"/>
      <c r="F52" s="1012"/>
      <c r="G52" s="1012"/>
      <c r="H52" s="1012"/>
      <c r="I52" s="1012"/>
      <c r="J52" s="1012"/>
    </row>
    <row r="53" spans="2:10" ht="36" customHeight="1">
      <c r="B53" s="1012" t="s">
        <v>819</v>
      </c>
      <c r="C53" s="1012"/>
      <c r="D53" s="1012"/>
      <c r="E53" s="1012"/>
      <c r="F53" s="1012"/>
      <c r="G53" s="1012"/>
      <c r="H53" s="1012"/>
      <c r="I53" s="1012"/>
      <c r="J53" s="1012"/>
    </row>
    <row r="54" spans="2:10">
      <c r="B54" s="162" t="s">
        <v>820</v>
      </c>
    </row>
  </sheetData>
  <mergeCells count="20">
    <mergeCell ref="K6:M6"/>
    <mergeCell ref="N6:P6"/>
    <mergeCell ref="B43:J43"/>
    <mergeCell ref="E6:G6"/>
    <mergeCell ref="H6:J6"/>
    <mergeCell ref="C29:D29"/>
    <mergeCell ref="C39:D39"/>
    <mergeCell ref="C33:D33"/>
    <mergeCell ref="C35:D35"/>
    <mergeCell ref="C37:D37"/>
    <mergeCell ref="B50:J50"/>
    <mergeCell ref="B51:J51"/>
    <mergeCell ref="B52:J52"/>
    <mergeCell ref="B53:J53"/>
    <mergeCell ref="B44:J44"/>
    <mergeCell ref="B45:J45"/>
    <mergeCell ref="B46:J46"/>
    <mergeCell ref="B47:J47"/>
    <mergeCell ref="B48:J48"/>
    <mergeCell ref="B49:J49"/>
  </mergeCells>
  <pageMargins left="0.7" right="0.7" top="0.75" bottom="0.75" header="0.3" footer="0.3"/>
  <pageSetup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pageSetUpPr fitToPage="1"/>
  </sheetPr>
  <dimension ref="A1:D29"/>
  <sheetViews>
    <sheetView zoomScaleNormal="100" zoomScaleSheetLayoutView="55" workbookViewId="0"/>
  </sheetViews>
  <sheetFormatPr defaultColWidth="8.625" defaultRowHeight="14.25"/>
  <cols>
    <col min="1" max="1" width="27.75" style="42" customWidth="1"/>
    <col min="2" max="2" width="22.25" style="42" customWidth="1"/>
    <col min="3" max="3" width="15.75" style="42" customWidth="1"/>
    <col min="4" max="4" width="76.25" style="42" customWidth="1"/>
    <col min="5" max="16384" width="8.625" style="42"/>
  </cols>
  <sheetData>
    <row r="1" spans="1:4" ht="15.4">
      <c r="A1" s="20" t="s">
        <v>85</v>
      </c>
      <c r="B1" s="408" t="str">
        <f>PA_NAME</f>
        <v>San Diego Gas &amp; Electric Co</v>
      </c>
    </row>
    <row r="2" spans="1:4" ht="15.4">
      <c r="A2" s="20" t="s">
        <v>86</v>
      </c>
      <c r="B2" s="408" t="str">
        <f>RPT_YEAR</f>
        <v>2022-2023</v>
      </c>
    </row>
    <row r="3" spans="1:4">
      <c r="A3" s="48" t="s">
        <v>821</v>
      </c>
    </row>
    <row r="6" spans="1:4" ht="14.65" thickBot="1"/>
    <row r="7" spans="1:4" ht="28.9" thickBot="1">
      <c r="A7" s="80" t="s">
        <v>822</v>
      </c>
      <c r="B7" s="81" t="s">
        <v>823</v>
      </c>
      <c r="C7" s="80" t="s">
        <v>824</v>
      </c>
      <c r="D7" s="81" t="s">
        <v>825</v>
      </c>
    </row>
    <row r="8" spans="1:4" ht="71.650000000000006" thickBot="1">
      <c r="A8" s="1024" t="s">
        <v>826</v>
      </c>
      <c r="B8" s="1024" t="s">
        <v>827</v>
      </c>
      <c r="C8" s="584" t="s">
        <v>828</v>
      </c>
      <c r="D8" s="49" t="s">
        <v>829</v>
      </c>
    </row>
    <row r="9" spans="1:4" ht="28.9" thickBot="1">
      <c r="A9" s="1021"/>
      <c r="B9" s="1021"/>
      <c r="C9" s="584" t="s">
        <v>830</v>
      </c>
      <c r="D9" s="606" t="s">
        <v>831</v>
      </c>
    </row>
    <row r="10" spans="1:4" ht="85.9" thickBot="1">
      <c r="A10" s="1020" t="s">
        <v>832</v>
      </c>
      <c r="B10" s="1020" t="s">
        <v>833</v>
      </c>
      <c r="C10" s="82" t="s">
        <v>834</v>
      </c>
      <c r="D10" s="83" t="s">
        <v>835</v>
      </c>
    </row>
    <row r="11" spans="1:4" ht="142.9" thickBot="1">
      <c r="A11" s="1025"/>
      <c r="B11" s="1025"/>
      <c r="C11" s="584" t="s">
        <v>836</v>
      </c>
      <c r="D11" s="49" t="s">
        <v>837</v>
      </c>
    </row>
    <row r="12" spans="1:4" ht="28.9" thickBot="1">
      <c r="A12" s="1025"/>
      <c r="B12" s="1025"/>
      <c r="C12" s="584" t="s">
        <v>838</v>
      </c>
      <c r="D12" s="50"/>
    </row>
    <row r="13" spans="1:4" ht="28.9" thickBot="1">
      <c r="A13" s="1026"/>
      <c r="B13" s="1026"/>
      <c r="C13" s="585" t="s">
        <v>839</v>
      </c>
      <c r="D13" s="51" t="s">
        <v>840</v>
      </c>
    </row>
    <row r="14" spans="1:4" ht="38.25" customHeight="1" thickBot="1">
      <c r="A14" s="1024" t="s">
        <v>841</v>
      </c>
      <c r="B14" s="1024" t="s">
        <v>842</v>
      </c>
      <c r="C14" s="584" t="s">
        <v>843</v>
      </c>
      <c r="D14" s="1024" t="s">
        <v>844</v>
      </c>
    </row>
    <row r="15" spans="1:4" ht="32.25" customHeight="1" thickBot="1">
      <c r="A15" s="1025"/>
      <c r="B15" s="1025"/>
      <c r="C15" s="584" t="s">
        <v>845</v>
      </c>
      <c r="D15" s="1025"/>
    </row>
    <row r="16" spans="1:4" ht="28.9" thickBot="1">
      <c r="A16" s="1025"/>
      <c r="B16" s="1021"/>
      <c r="C16" s="584" t="s">
        <v>846</v>
      </c>
      <c r="D16" s="1021"/>
    </row>
    <row r="17" spans="1:4" ht="85.5" customHeight="1" thickBot="1">
      <c r="A17" s="573" t="s">
        <v>847</v>
      </c>
      <c r="B17" s="51" t="s">
        <v>848</v>
      </c>
      <c r="C17" s="585" t="s">
        <v>849</v>
      </c>
      <c r="D17" s="52"/>
    </row>
    <row r="18" spans="1:4" ht="43.5" customHeight="1" thickBot="1">
      <c r="A18" s="585" t="s">
        <v>850</v>
      </c>
      <c r="B18" s="51" t="s">
        <v>851</v>
      </c>
      <c r="C18" s="585" t="s">
        <v>850</v>
      </c>
      <c r="D18" s="52"/>
    </row>
    <row r="19" spans="1:4" ht="95.25" customHeight="1">
      <c r="A19" s="1024" t="s">
        <v>852</v>
      </c>
      <c r="B19" s="1024" t="s">
        <v>853</v>
      </c>
      <c r="C19" s="1027" t="s">
        <v>854</v>
      </c>
      <c r="D19" s="1024" t="s">
        <v>855</v>
      </c>
    </row>
    <row r="20" spans="1:4" ht="14.65" thickBot="1">
      <c r="A20" s="1021"/>
      <c r="B20" s="1021"/>
      <c r="C20" s="1028"/>
      <c r="D20" s="1021"/>
    </row>
    <row r="21" spans="1:4" ht="14.65" thickBot="1">
      <c r="A21" s="1020" t="s">
        <v>856</v>
      </c>
      <c r="B21" s="1022" t="s">
        <v>857</v>
      </c>
      <c r="C21" s="584" t="s">
        <v>858</v>
      </c>
      <c r="D21" s="50" t="s">
        <v>859</v>
      </c>
    </row>
    <row r="22" spans="1:4" ht="28.9" thickBot="1">
      <c r="A22" s="1021"/>
      <c r="B22" s="1023"/>
      <c r="C22" s="584" t="s">
        <v>860</v>
      </c>
      <c r="D22" s="49" t="s">
        <v>861</v>
      </c>
    </row>
    <row r="23" spans="1:4" ht="28.9" thickBot="1">
      <c r="A23" s="1020" t="s">
        <v>862</v>
      </c>
      <c r="B23" s="1020" t="s">
        <v>863</v>
      </c>
      <c r="C23" s="584" t="s">
        <v>864</v>
      </c>
      <c r="D23" s="49" t="s">
        <v>865</v>
      </c>
    </row>
    <row r="24" spans="1:4" ht="28.9" thickBot="1">
      <c r="A24" s="1021"/>
      <c r="B24" s="1021"/>
      <c r="C24" s="584" t="s">
        <v>866</v>
      </c>
      <c r="D24" s="49" t="s">
        <v>867</v>
      </c>
    </row>
    <row r="25" spans="1:4" ht="43.15" thickBot="1">
      <c r="A25" s="584" t="s">
        <v>868</v>
      </c>
      <c r="B25" s="49" t="s">
        <v>869</v>
      </c>
      <c r="C25" s="584" t="s">
        <v>870</v>
      </c>
      <c r="D25" s="50"/>
    </row>
    <row r="26" spans="1:4" ht="59.25" customHeight="1" thickBot="1">
      <c r="A26" s="1024" t="s">
        <v>871</v>
      </c>
      <c r="B26" s="1024" t="s">
        <v>872</v>
      </c>
      <c r="C26" s="584" t="s">
        <v>873</v>
      </c>
      <c r="D26" s="1024" t="s">
        <v>874</v>
      </c>
    </row>
    <row r="27" spans="1:4" ht="14.65" thickBot="1">
      <c r="A27" s="1021"/>
      <c r="B27" s="1021"/>
      <c r="C27" s="584" t="s">
        <v>875</v>
      </c>
      <c r="D27" s="1021"/>
    </row>
    <row r="28" spans="1:4" ht="84.75" customHeight="1" thickBot="1">
      <c r="A28" s="585" t="s">
        <v>876</v>
      </c>
      <c r="B28" s="51" t="s">
        <v>877</v>
      </c>
      <c r="C28" s="585" t="s">
        <v>876</v>
      </c>
      <c r="D28" s="52"/>
    </row>
    <row r="29" spans="1:4" ht="83.25" customHeight="1" thickBot="1">
      <c r="A29" s="584" t="s">
        <v>878</v>
      </c>
      <c r="B29" s="49" t="s">
        <v>879</v>
      </c>
      <c r="C29" s="585" t="s">
        <v>878</v>
      </c>
      <c r="D29" s="52"/>
    </row>
  </sheetData>
  <mergeCells count="18">
    <mergeCell ref="A23:A24"/>
    <mergeCell ref="B23:B24"/>
    <mergeCell ref="A26:A27"/>
    <mergeCell ref="B26:B27"/>
    <mergeCell ref="D26:D27"/>
    <mergeCell ref="D14:D16"/>
    <mergeCell ref="A19:A20"/>
    <mergeCell ref="B19:B20"/>
    <mergeCell ref="C19:C20"/>
    <mergeCell ref="D19:D20"/>
    <mergeCell ref="A21:A22"/>
    <mergeCell ref="B21:B22"/>
    <mergeCell ref="A8:A9"/>
    <mergeCell ref="B8:B9"/>
    <mergeCell ref="A10:A13"/>
    <mergeCell ref="B10:B13"/>
    <mergeCell ref="A14:A16"/>
    <mergeCell ref="B14:B16"/>
  </mergeCells>
  <pageMargins left="0.25" right="0.25" top="0.5" bottom="0.5" header="0.3" footer="0.3"/>
  <pageSetup scale="5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pageSetUpPr fitToPage="1"/>
  </sheetPr>
  <dimension ref="A1:V1007"/>
  <sheetViews>
    <sheetView zoomScale="80" zoomScaleNormal="80" workbookViewId="0">
      <pane xSplit="1" ySplit="7" topLeftCell="B8" activePane="bottomRight" state="frozen"/>
      <selection pane="topRight" activeCell="B1" sqref="B1"/>
      <selection pane="bottomLeft" activeCell="B1" sqref="B1"/>
      <selection pane="bottomRight"/>
    </sheetView>
  </sheetViews>
  <sheetFormatPr defaultColWidth="8.625" defaultRowHeight="15.75"/>
  <cols>
    <col min="1" max="1" width="36.25" style="47" customWidth="1"/>
    <col min="2" max="2" width="16.625" style="42" customWidth="1"/>
    <col min="3" max="3" width="15.75" style="42" bestFit="1" customWidth="1"/>
    <col min="4" max="4" width="14.75" style="42" bestFit="1" customWidth="1"/>
    <col min="5" max="5" width="15.75" style="42" bestFit="1" customWidth="1"/>
    <col min="6" max="6" width="14.75" style="42" bestFit="1" customWidth="1"/>
    <col min="7" max="7" width="17" style="42" bestFit="1" customWidth="1"/>
    <col min="8" max="8" width="15.75" style="42" bestFit="1" customWidth="1"/>
    <col min="9" max="9" width="17" style="42" bestFit="1" customWidth="1"/>
    <col min="10" max="10" width="14.75" style="42" bestFit="1" customWidth="1"/>
    <col min="11" max="12" width="15.75" style="42" bestFit="1" customWidth="1"/>
    <col min="13" max="13" width="17" style="42" bestFit="1" customWidth="1"/>
    <col min="14" max="14" width="14.75" style="79" customWidth="1"/>
    <col min="15" max="16" width="12.75" style="79" customWidth="1"/>
    <col min="17" max="17" width="15.75" style="42" bestFit="1" customWidth="1"/>
    <col min="18" max="18" width="10.75" style="42" bestFit="1" customWidth="1"/>
    <col min="19" max="19" width="13.625" style="42" bestFit="1" customWidth="1"/>
    <col min="20" max="20" width="15.75" style="42" bestFit="1" customWidth="1"/>
    <col min="21" max="21" width="14.75" style="42" bestFit="1" customWidth="1"/>
    <col min="22" max="22" width="15.75" style="42" bestFit="1" customWidth="1"/>
    <col min="23" max="16384" width="8.625" style="42"/>
  </cols>
  <sheetData>
    <row r="1" spans="1:22" ht="15.4">
      <c r="A1" s="20" t="s">
        <v>85</v>
      </c>
      <c r="B1" s="408" t="str">
        <f>PA_NAME</f>
        <v>San Diego Gas &amp; Electric Co</v>
      </c>
      <c r="N1" s="936"/>
      <c r="O1" s="936"/>
      <c r="P1" s="936"/>
    </row>
    <row r="2" spans="1:22" ht="15.4">
      <c r="A2" s="20" t="s">
        <v>86</v>
      </c>
      <c r="B2" s="408" t="str">
        <f>RPT_YEAR</f>
        <v>2022-2023</v>
      </c>
      <c r="N2" s="936"/>
      <c r="O2" s="936"/>
      <c r="P2" s="936"/>
    </row>
    <row r="3" spans="1:22">
      <c r="A3" s="46" t="s">
        <v>880</v>
      </c>
      <c r="E3" s="720"/>
      <c r="N3" s="936"/>
      <c r="O3" s="936"/>
      <c r="P3" s="936"/>
    </row>
    <row r="4" spans="1:22">
      <c r="N4" s="936" t="s">
        <v>881</v>
      </c>
      <c r="O4" s="936"/>
      <c r="P4" s="936"/>
    </row>
    <row r="6" spans="1:22" ht="14.25">
      <c r="A6" s="586"/>
      <c r="B6" s="1029" t="s">
        <v>882</v>
      </c>
      <c r="C6" s="1030"/>
      <c r="D6" s="1030"/>
      <c r="E6" s="1030"/>
      <c r="F6" s="1029" t="s">
        <v>883</v>
      </c>
      <c r="G6" s="1030"/>
      <c r="H6" s="1030"/>
      <c r="I6" s="1030"/>
      <c r="J6" s="1029" t="s">
        <v>884</v>
      </c>
      <c r="K6" s="1030"/>
      <c r="L6" s="1030"/>
      <c r="M6" s="1030"/>
      <c r="N6" s="1031" t="s">
        <v>885</v>
      </c>
      <c r="O6" s="1031"/>
      <c r="P6" s="1031"/>
      <c r="Q6" s="1029" t="s">
        <v>886</v>
      </c>
      <c r="R6" s="1030"/>
      <c r="S6" s="1030"/>
      <c r="T6" s="1029" t="s">
        <v>887</v>
      </c>
      <c r="U6" s="1030"/>
      <c r="V6" s="1030"/>
    </row>
    <row r="7" spans="1:22" s="462" customFormat="1" ht="28.5">
      <c r="A7" s="587" t="s">
        <v>697</v>
      </c>
      <c r="B7" s="587" t="s">
        <v>888</v>
      </c>
      <c r="C7" s="588" t="s">
        <v>889</v>
      </c>
      <c r="D7" s="587" t="s">
        <v>878</v>
      </c>
      <c r="E7" s="587" t="s">
        <v>673</v>
      </c>
      <c r="F7" s="587" t="s">
        <v>888</v>
      </c>
      <c r="G7" s="588" t="s">
        <v>889</v>
      </c>
      <c r="H7" s="587" t="s">
        <v>878</v>
      </c>
      <c r="I7" s="587" t="s">
        <v>673</v>
      </c>
      <c r="J7" s="587" t="s">
        <v>888</v>
      </c>
      <c r="K7" s="588" t="s">
        <v>889</v>
      </c>
      <c r="L7" s="587" t="s">
        <v>878</v>
      </c>
      <c r="M7" s="587" t="s">
        <v>673</v>
      </c>
      <c r="N7" s="937" t="s">
        <v>890</v>
      </c>
      <c r="O7" s="937" t="s">
        <v>891</v>
      </c>
      <c r="P7" s="937" t="s">
        <v>892</v>
      </c>
      <c r="Q7" s="587" t="s">
        <v>890</v>
      </c>
      <c r="R7" s="587" t="s">
        <v>891</v>
      </c>
      <c r="S7" s="587" t="s">
        <v>892</v>
      </c>
      <c r="T7" s="587" t="s">
        <v>890</v>
      </c>
      <c r="U7" s="587" t="s">
        <v>891</v>
      </c>
      <c r="V7" s="587" t="s">
        <v>892</v>
      </c>
    </row>
    <row r="8" spans="1:22">
      <c r="A8" s="586" t="s">
        <v>17</v>
      </c>
      <c r="B8" s="875">
        <f>+'11 Residential'!D18</f>
        <v>1102456.4886454283</v>
      </c>
      <c r="C8" s="875">
        <f>+'11 Residential'!D36-D8</f>
        <v>7967093.9391324837</v>
      </c>
      <c r="D8" s="875">
        <f>+'11 Residential'!D34+'11 Residential'!D35</f>
        <v>1141737.92</v>
      </c>
      <c r="E8" s="700">
        <f>SUM(B8:D8)</f>
        <v>10211288.347777912</v>
      </c>
      <c r="F8" s="701">
        <f>+'11 Residential'!E18</f>
        <v>1456940.7465357466</v>
      </c>
      <c r="G8" s="701">
        <f>+'11 Residential'!E36-H8</f>
        <v>6960596.7150197513</v>
      </c>
      <c r="H8" s="701">
        <f>+'11 Residential'!E34+'11 Residential'!E35</f>
        <v>5390640.4450614452</v>
      </c>
      <c r="I8" s="700">
        <f>SUM(F8:H8)</f>
        <v>13808177.906616943</v>
      </c>
      <c r="J8" s="701">
        <f>+'11 Residential'!F18</f>
        <v>1851085.5419988697</v>
      </c>
      <c r="K8" s="701">
        <f>+'11 Residential'!F36-L8</f>
        <v>8021962.5209045205</v>
      </c>
      <c r="L8" s="701">
        <f>+'11 Residential'!F34+'11 Residential'!F35</f>
        <v>6937077.9862921815</v>
      </c>
      <c r="M8" s="700">
        <f>SUM(J8:L8)</f>
        <v>16810126.049195573</v>
      </c>
      <c r="N8" s="463">
        <v>52535896</v>
      </c>
      <c r="O8" s="463">
        <v>9028</v>
      </c>
      <c r="P8" s="463">
        <v>1301.933</v>
      </c>
      <c r="Q8" s="589">
        <f>+'7 PA PY budget_savings'!D49</f>
        <v>50069325.14170704</v>
      </c>
      <c r="R8" s="589">
        <f>+'7 PA PY budget_savings'!E49</f>
        <v>9495.5963653644012</v>
      </c>
      <c r="S8" s="589">
        <f>'7 PA PY budget_savings'!F49</f>
        <v>1660.8030000000001</v>
      </c>
      <c r="T8" s="589">
        <f>+'7 PA PY budget_savings'!J49</f>
        <v>51593761.725088909</v>
      </c>
      <c r="U8" s="589">
        <f>+'7 PA PY budget_savings'!K49</f>
        <v>13855.357474279315</v>
      </c>
      <c r="V8" s="589">
        <f>'7 PA PY budget_savings'!L49</f>
        <v>1570.5330000000001</v>
      </c>
    </row>
    <row r="9" spans="1:22">
      <c r="A9" s="586" t="s">
        <v>22</v>
      </c>
      <c r="B9" s="875">
        <f>+'12 Commercial'!D18</f>
        <v>2688044.8965395424</v>
      </c>
      <c r="C9" s="875">
        <f>+'12 Commercial'!D36-D9</f>
        <v>6571360.4811378624</v>
      </c>
      <c r="D9" s="875">
        <f>+'12 Commercial'!D34+'12 Commercial'!D35</f>
        <v>4012706.4700000007</v>
      </c>
      <c r="E9" s="700">
        <f t="shared" ref="E9:E13" si="0">SUM(B9:D9)</f>
        <v>13272111.847677406</v>
      </c>
      <c r="F9" s="701">
        <f>+'12 Commercial'!E18</f>
        <v>3700201.9143254734</v>
      </c>
      <c r="G9" s="701">
        <f>'12 Commercial'!E36-H9</f>
        <v>14441540.239540778</v>
      </c>
      <c r="H9" s="701">
        <f>+'12 Commercial'!E34+'12 Commercial'!E35</f>
        <v>19507544.190522045</v>
      </c>
      <c r="I9" s="700">
        <f t="shared" ref="I9:I13" si="1">SUM(F9:H9)</f>
        <v>37649286.344388291</v>
      </c>
      <c r="J9" s="701">
        <f>+'12 Commercial'!F18</f>
        <v>2978481.8243626445</v>
      </c>
      <c r="K9" s="701">
        <f>'12 Commercial'!F36-L9</f>
        <v>16817093.792385835</v>
      </c>
      <c r="L9" s="701">
        <f>+'12 Commercial'!F34+'12 Commercial'!F35</f>
        <v>21602089.518768799</v>
      </c>
      <c r="M9" s="700">
        <f t="shared" ref="M9:M13" si="2">SUM(J9:L9)</f>
        <v>41397665.135517277</v>
      </c>
      <c r="N9" s="463">
        <v>20754229</v>
      </c>
      <c r="O9" s="463">
        <v>2846</v>
      </c>
      <c r="P9" s="463">
        <v>297.24599999999998</v>
      </c>
      <c r="Q9" s="589">
        <f>+'7 PA PY budget_savings'!D50</f>
        <v>46674448.071076147</v>
      </c>
      <c r="R9" s="589">
        <f>+'7 PA PY budget_savings'!E50</f>
        <v>6816.6435297478283</v>
      </c>
      <c r="S9" s="589">
        <f>'7 PA PY budget_savings'!F50</f>
        <v>1446.6199999999997</v>
      </c>
      <c r="T9" s="589">
        <f>+'7 PA PY budget_savings'!J50</f>
        <v>52225334.910331666</v>
      </c>
      <c r="U9" s="589">
        <f>+'7 PA PY budget_savings'!K50</f>
        <v>8023.5874995988734</v>
      </c>
      <c r="V9" s="589">
        <f>'7 PA PY budget_savings'!L50</f>
        <v>1367.6860000000001</v>
      </c>
    </row>
    <row r="10" spans="1:22">
      <c r="A10" s="586" t="s">
        <v>25</v>
      </c>
      <c r="B10" s="875">
        <f>+'13 Industrial'!D18</f>
        <v>656557.826525621</v>
      </c>
      <c r="C10" s="875">
        <f>+'13 Industrial'!D36-D10</f>
        <v>1109957.5022066438</v>
      </c>
      <c r="D10" s="875">
        <f>+'13 Industrial'!D34+'13 Industrial'!D35</f>
        <v>1733585.97</v>
      </c>
      <c r="E10" s="700">
        <f t="shared" si="0"/>
        <v>3500101.2987322649</v>
      </c>
      <c r="F10" s="701">
        <f>+'13 Industrial'!E18</f>
        <v>673344.87078451656</v>
      </c>
      <c r="G10" s="701">
        <f>+'13 Industrial'!E36-H10</f>
        <v>223592.25464701699</v>
      </c>
      <c r="H10" s="701">
        <f>+'13 Industrial'!E34+'13 Industrial'!E35</f>
        <v>1796918.5915264045</v>
      </c>
      <c r="I10" s="700">
        <f t="shared" si="1"/>
        <v>2693855.7169579379</v>
      </c>
      <c r="J10" s="701">
        <f>+'13 Industrial'!F18</f>
        <v>605240.80647275981</v>
      </c>
      <c r="K10" s="701">
        <f>+'13 Industrial'!F36-L10</f>
        <v>384610.12448841985</v>
      </c>
      <c r="L10" s="701">
        <f>+'13 Industrial'!F34+'13 Industrial'!F35</f>
        <v>3948994.9432752104</v>
      </c>
      <c r="M10" s="700">
        <f t="shared" si="2"/>
        <v>4938845.87423639</v>
      </c>
      <c r="N10" s="463">
        <v>7127312</v>
      </c>
      <c r="O10" s="463">
        <v>988</v>
      </c>
      <c r="P10" s="463">
        <v>211.51499999999999</v>
      </c>
      <c r="Q10" s="589">
        <f>+'7 PA PY budget_savings'!D51</f>
        <v>4726581.1826869948</v>
      </c>
      <c r="R10" s="589">
        <f>+'7 PA PY budget_savings'!E51</f>
        <v>640.53884978400004</v>
      </c>
      <c r="S10" s="589">
        <f>'7 PA PY budget_savings'!F51</f>
        <v>237.47600000000003</v>
      </c>
      <c r="T10" s="589">
        <f>+'7 PA PY budget_savings'!J51</f>
        <v>5842872.2029756457</v>
      </c>
      <c r="U10" s="589">
        <f>+'7 PA PY budget_savings'!K51</f>
        <v>535.41054351421155</v>
      </c>
      <c r="V10" s="589">
        <f>'7 PA PY budget_savings'!L51</f>
        <v>244.28099999999998</v>
      </c>
    </row>
    <row r="11" spans="1:22">
      <c r="A11" s="586" t="s">
        <v>27</v>
      </c>
      <c r="B11" s="875">
        <f>+'14 Agricultural'!D18</f>
        <v>234674.45028857543</v>
      </c>
      <c r="C11" s="875">
        <f>+'14 Agricultural'!D36-D11</f>
        <v>195645.92871566996</v>
      </c>
      <c r="D11" s="875">
        <f>+'14 Agricultural'!D34+'14 Agricultural'!D35</f>
        <v>26867.13</v>
      </c>
      <c r="E11" s="700">
        <f t="shared" si="0"/>
        <v>457187.5090042454</v>
      </c>
      <c r="F11" s="701">
        <f>+'14 Agricultural'!E18</f>
        <v>559729.03933349322</v>
      </c>
      <c r="G11" s="701">
        <f>+'14 Agricultural'!E36-H11</f>
        <v>407334.85171781457</v>
      </c>
      <c r="H11" s="701">
        <f>+'14 Agricultural'!E34+'14 Agricultural'!E35</f>
        <v>903285.19217369915</v>
      </c>
      <c r="I11" s="700">
        <f t="shared" si="1"/>
        <v>1870349.0832250069</v>
      </c>
      <c r="J11" s="701">
        <f>+'14 Agricultural'!F18</f>
        <v>320755.64504058153</v>
      </c>
      <c r="K11" s="701">
        <f>+'14 Agricultural'!F36-L11</f>
        <v>946300.49671228742</v>
      </c>
      <c r="L11" s="701">
        <f>+'14 Agricultural'!F34+'14 Agricultural'!F35</f>
        <v>846581.10915248538</v>
      </c>
      <c r="M11" s="700">
        <f t="shared" si="2"/>
        <v>2113637.2509053545</v>
      </c>
      <c r="N11" s="463">
        <v>65804</v>
      </c>
      <c r="O11" s="463">
        <v>6</v>
      </c>
      <c r="P11" s="463">
        <v>11.702</v>
      </c>
      <c r="Q11" s="589">
        <f>+'7 PA PY budget_savings'!D52</f>
        <v>2908586.4312291504</v>
      </c>
      <c r="R11" s="589">
        <f>+'7 PA PY budget_savings'!E52</f>
        <v>305.69141109199995</v>
      </c>
      <c r="S11" s="589">
        <f>'7 PA PY budget_savings'!F52</f>
        <v>91.861999999999995</v>
      </c>
      <c r="T11" s="589">
        <f>+'7 PA PY budget_savings'!J52</f>
        <v>3922706.3256276892</v>
      </c>
      <c r="U11" s="589">
        <f>+'7 PA PY budget_savings'!K52</f>
        <v>62.17798107830378</v>
      </c>
      <c r="V11" s="589">
        <f>'7 PA PY budget_savings'!L52</f>
        <v>356.78900000000004</v>
      </c>
    </row>
    <row r="12" spans="1:22">
      <c r="A12" s="938" t="s">
        <v>30</v>
      </c>
      <c r="B12" s="875">
        <f>+'15 Public Sector'!D18</f>
        <v>1186275.0770742674</v>
      </c>
      <c r="C12" s="875">
        <f>+'15 Public Sector'!D36-D12</f>
        <v>6423786.8422897588</v>
      </c>
      <c r="D12" s="875">
        <f>+'15 Public Sector'!D34+'15 Public Sector'!D35</f>
        <v>0</v>
      </c>
      <c r="E12" s="700">
        <f t="shared" si="0"/>
        <v>7610061.9193640258</v>
      </c>
      <c r="F12" s="701">
        <f>+'15 Public Sector'!E18</f>
        <v>901534.30419138668</v>
      </c>
      <c r="G12" s="701">
        <f>+'15 Public Sector'!E36-H12</f>
        <v>5001558.393121792</v>
      </c>
      <c r="H12" s="701">
        <f>+'15 Public Sector'!E34+'15 Public Sector'!E35</f>
        <v>5626769.3736590426</v>
      </c>
      <c r="I12" s="700">
        <f t="shared" si="1"/>
        <v>11529862.070972221</v>
      </c>
      <c r="J12" s="701">
        <f>+'15 Public Sector'!F18</f>
        <v>1071115.1858670535</v>
      </c>
      <c r="K12" s="701">
        <f>+'15 Public Sector'!F36-L12</f>
        <v>6067843.5443922691</v>
      </c>
      <c r="L12" s="701">
        <f>+'15 Public Sector'!F34+'15 Public Sector'!F35</f>
        <v>5687985.8931584433</v>
      </c>
      <c r="M12" s="700">
        <f t="shared" si="2"/>
        <v>12826944.623417765</v>
      </c>
      <c r="N12" s="463">
        <v>0</v>
      </c>
      <c r="O12" s="463">
        <v>0</v>
      </c>
      <c r="P12" s="463">
        <v>0</v>
      </c>
      <c r="Q12" s="589">
        <f>+'7 PA PY budget_savings'!D54</f>
        <v>12099905.136445127</v>
      </c>
      <c r="R12" s="589">
        <f>+'7 PA PY budget_savings'!E54</f>
        <v>1310.8572675769985</v>
      </c>
      <c r="S12" s="589">
        <f>'7 PA PY budget_savings'!F54</f>
        <v>211.64799999999997</v>
      </c>
      <c r="T12" s="589">
        <f>+'7 PA PY budget_savings'!J54</f>
        <v>13300838.077100143</v>
      </c>
      <c r="U12" s="589">
        <f>+'7 PA PY budget_savings'!K54</f>
        <v>1750.4367822302561</v>
      </c>
      <c r="V12" s="589">
        <f>'7 PA PY budget_savings'!L54</f>
        <v>283.51799999999997</v>
      </c>
    </row>
    <row r="13" spans="1:22" ht="16.149999999999999">
      <c r="A13" s="590" t="s">
        <v>893</v>
      </c>
      <c r="B13" s="875">
        <f>+'16 Cross Cutting'!D18</f>
        <v>2996394.6609265595</v>
      </c>
      <c r="C13" s="875">
        <f>+'16 Cross Cutting'!D36-D13</f>
        <v>6766685.3265175726</v>
      </c>
      <c r="D13" s="875">
        <f>+'16 Cross Cutting'!D34+'16 Cross Cutting'!D35</f>
        <v>0</v>
      </c>
      <c r="E13" s="700">
        <f t="shared" si="0"/>
        <v>9763079.9874441326</v>
      </c>
      <c r="F13" s="701">
        <f>+'16 Cross Cutting'!E18</f>
        <v>2396206.6288293824</v>
      </c>
      <c r="G13" s="701">
        <f>+'16 Cross Cutting'!E36-H13</f>
        <v>9475352.4099528491</v>
      </c>
      <c r="H13" s="701">
        <f>+'16 Cross Cutting'!E34+'16 Cross Cutting'!E35</f>
        <v>0</v>
      </c>
      <c r="I13" s="700">
        <f t="shared" si="1"/>
        <v>11871559.038782232</v>
      </c>
      <c r="J13" s="701">
        <f>+'16 Cross Cutting'!F18</f>
        <v>2837913.4753580913</v>
      </c>
      <c r="K13" s="701">
        <f>+'16 Cross Cutting'!F36-L13</f>
        <v>9538908.7759166695</v>
      </c>
      <c r="L13" s="701">
        <f>+'16 Cross Cutting'!F34+'16 Cross Cutting'!F35</f>
        <v>0</v>
      </c>
      <c r="M13" s="700">
        <f t="shared" si="2"/>
        <v>12376822.251274761</v>
      </c>
      <c r="N13" s="463">
        <v>492277027</v>
      </c>
      <c r="O13" s="463">
        <v>82467</v>
      </c>
      <c r="P13" s="463">
        <v>3067.799</v>
      </c>
      <c r="Q13" s="589">
        <f>'7 PA PY budget_savings'!D58+'7 PA PY budget_savings'!D68-'7 PA PY budget_savings'!D57-SUM(Q8:Q12)</f>
        <v>414241866.60039437</v>
      </c>
      <c r="R13" s="589">
        <f>'7 PA PY budget_savings'!E58+'7 PA PY budget_savings'!E68-'7 PA PY budget_savings'!E57-SUM(R8:R12)</f>
        <v>73073.854620858998</v>
      </c>
      <c r="S13" s="589">
        <f>'7 PA PY budget_savings'!F58+'7 PA PY budget_savings'!F68-'7 PA PY budget_savings'!F57-SUM(S8:S12)</f>
        <v>2938.7399999999993</v>
      </c>
      <c r="T13" s="589">
        <f>+'7 PA PY budget_savings'!J58+'7 PA PY budget_savings'!J68-'7 PA PY budget_savings'!J57-SUM(T8:T12)</f>
        <v>437013107.16198909</v>
      </c>
      <c r="U13" s="589">
        <f>+'7 PA PY budget_savings'!K58+'7 PA PY budget_savings'!K68-'7 PA PY budget_savings'!K57-SUM(U8:U12)</f>
        <v>85571.267695159477</v>
      </c>
      <c r="V13" s="589">
        <f>+'7 PA PY budget_savings'!L58+'7 PA PY budget_savings'!L68-'7 PA PY budget_savings'!L57-SUM(V8:V12)</f>
        <v>3435.8799999999997</v>
      </c>
    </row>
    <row r="14" spans="1:22" s="48" customFormat="1">
      <c r="A14" s="714" t="s">
        <v>894</v>
      </c>
      <c r="B14" s="700">
        <f t="shared" ref="B14:L14" si="3">SUM(B8:B13)</f>
        <v>8864403.3999999948</v>
      </c>
      <c r="C14" s="700">
        <f t="shared" si="3"/>
        <v>29034530.019999996</v>
      </c>
      <c r="D14" s="700">
        <f t="shared" si="3"/>
        <v>6914897.4900000002</v>
      </c>
      <c r="E14" s="700">
        <f t="shared" si="3"/>
        <v>44813830.909999989</v>
      </c>
      <c r="F14" s="700">
        <f t="shared" si="3"/>
        <v>9687957.5039999988</v>
      </c>
      <c r="G14" s="700">
        <f t="shared" si="3"/>
        <v>36509974.864</v>
      </c>
      <c r="H14" s="700">
        <f t="shared" si="3"/>
        <v>33225157.792942636</v>
      </c>
      <c r="I14" s="700">
        <f t="shared" si="3"/>
        <v>79423090.160942644</v>
      </c>
      <c r="J14" s="700">
        <f t="shared" si="3"/>
        <v>9664592.4791000001</v>
      </c>
      <c r="K14" s="700">
        <f t="shared" si="3"/>
        <v>41776719.254800007</v>
      </c>
      <c r="L14" s="700">
        <f t="shared" si="3"/>
        <v>39022729.450647116</v>
      </c>
      <c r="M14" s="700">
        <f>SUM(M8:M13)</f>
        <v>90464041.184547126</v>
      </c>
      <c r="N14" s="715">
        <f t="shared" ref="N14:U14" si="4">SUM(N8:N13)</f>
        <v>572760268</v>
      </c>
      <c r="O14" s="715">
        <f t="shared" si="4"/>
        <v>95335</v>
      </c>
      <c r="P14" s="715">
        <f t="shared" si="4"/>
        <v>4890.1949999999997</v>
      </c>
      <c r="Q14" s="715">
        <f t="shared" si="4"/>
        <v>530720712.56353879</v>
      </c>
      <c r="R14" s="715">
        <f t="shared" si="4"/>
        <v>91643.182044424233</v>
      </c>
      <c r="S14" s="715">
        <f t="shared" si="4"/>
        <v>6587.1489999999994</v>
      </c>
      <c r="T14" s="715">
        <f t="shared" si="4"/>
        <v>563898620.40311313</v>
      </c>
      <c r="U14" s="715">
        <f t="shared" si="4"/>
        <v>109798.23797586044</v>
      </c>
      <c r="V14" s="715">
        <f>SUM(V8:V13)</f>
        <v>7258.6869999999999</v>
      </c>
    </row>
    <row r="15" spans="1:22">
      <c r="A15" s="586" t="s">
        <v>895</v>
      </c>
      <c r="B15" s="702">
        <v>241704.10999999996</v>
      </c>
      <c r="C15" s="702">
        <v>31862.010000000002</v>
      </c>
      <c r="D15" s="702"/>
      <c r="E15" s="700">
        <f t="shared" ref="E15:E18" si="5">SUM(B15:D15)</f>
        <v>273566.11999999994</v>
      </c>
      <c r="F15" s="702">
        <v>258987.5</v>
      </c>
      <c r="G15" s="701">
        <f>+I15-F15</f>
        <v>651068.74050000007</v>
      </c>
      <c r="H15" s="702">
        <v>0</v>
      </c>
      <c r="I15" s="700">
        <f>+'4 Program Budget'!Q137</f>
        <v>910056.24050000007</v>
      </c>
      <c r="J15" s="702">
        <v>266757</v>
      </c>
      <c r="K15" s="701">
        <f>+M15-J15</f>
        <v>769810.17312500009</v>
      </c>
      <c r="L15" s="702">
        <v>0</v>
      </c>
      <c r="M15" s="700">
        <f>+'4 Program Budget'!AG137</f>
        <v>1036567.1731250001</v>
      </c>
      <c r="N15" s="778"/>
      <c r="O15" s="778"/>
      <c r="P15" s="778"/>
      <c r="Q15" s="703"/>
      <c r="R15" s="703"/>
      <c r="S15" s="703"/>
      <c r="T15" s="703"/>
      <c r="U15" s="703"/>
      <c r="V15" s="703"/>
    </row>
    <row r="16" spans="1:22">
      <c r="A16" s="586" t="s">
        <v>896</v>
      </c>
      <c r="B16" s="702"/>
      <c r="C16" s="702">
        <v>195783.99</v>
      </c>
      <c r="D16" s="702"/>
      <c r="E16" s="700">
        <f t="shared" si="5"/>
        <v>195783.99</v>
      </c>
      <c r="F16" s="702"/>
      <c r="G16" s="701">
        <f>+I16</f>
        <v>2399239.1794999996</v>
      </c>
      <c r="H16" s="702">
        <v>0</v>
      </c>
      <c r="I16" s="700">
        <f>+'4 Program Budget'!Q138</f>
        <v>2399239.1794999996</v>
      </c>
      <c r="J16" s="702"/>
      <c r="K16" s="701">
        <f>+M16</f>
        <v>2732768.0018749996</v>
      </c>
      <c r="L16" s="702">
        <v>0</v>
      </c>
      <c r="M16" s="700">
        <f>+'4 Program Budget'!AG138</f>
        <v>2732768.0018749996</v>
      </c>
      <c r="N16" s="778"/>
      <c r="O16" s="778"/>
      <c r="P16" s="778"/>
      <c r="Q16" s="703"/>
      <c r="R16" s="703"/>
      <c r="S16" s="703"/>
      <c r="T16" s="591"/>
      <c r="U16" s="591"/>
      <c r="V16" s="591"/>
    </row>
    <row r="17" spans="1:22" ht="16.149999999999999">
      <c r="A17" s="938" t="s">
        <v>897</v>
      </c>
      <c r="B17" s="702"/>
      <c r="C17" s="702"/>
      <c r="D17" s="702"/>
      <c r="E17" s="700">
        <f t="shared" si="5"/>
        <v>0</v>
      </c>
      <c r="F17" s="702"/>
      <c r="G17" s="702"/>
      <c r="H17" s="701">
        <f>SUMIF('4 Program Budget'!$G$6:$G$134,README!$L$16,'4 Program Budget'!$P$6:$P$134)</f>
        <v>0</v>
      </c>
      <c r="I17" s="700">
        <f t="shared" ref="I17" si="6">SUM(F17:H17)</f>
        <v>0</v>
      </c>
      <c r="J17" s="702"/>
      <c r="K17" s="702"/>
      <c r="L17" s="701">
        <f>SUMIF('4 Program Budget'!$G$6:$G$134,README!$L$16,'4 Program Budget'!$AB$6:$AB$134)</f>
        <v>0</v>
      </c>
      <c r="M17" s="700">
        <f t="shared" ref="M17" si="7">SUM(J17:L17)</f>
        <v>0</v>
      </c>
      <c r="N17" s="778"/>
      <c r="O17" s="778"/>
      <c r="P17" s="778"/>
      <c r="Q17" s="591"/>
      <c r="R17" s="591"/>
      <c r="S17" s="591"/>
      <c r="T17" s="591"/>
      <c r="U17" s="591"/>
      <c r="V17" s="591"/>
    </row>
    <row r="18" spans="1:22" ht="16.149999999999999">
      <c r="A18" s="938" t="s">
        <v>898</v>
      </c>
      <c r="B18" s="702"/>
      <c r="C18" s="702"/>
      <c r="D18" s="702"/>
      <c r="E18" s="700">
        <f t="shared" si="5"/>
        <v>0</v>
      </c>
      <c r="F18" s="702"/>
      <c r="G18" s="701">
        <f>+'4 Program Budget'!$Q$147</f>
        <v>64892784.003029943</v>
      </c>
      <c r="H18" s="702">
        <v>0</v>
      </c>
      <c r="I18" s="700">
        <f t="shared" ref="I18" si="8">SUM(F18:H18)</f>
        <v>64892784.003029943</v>
      </c>
      <c r="J18" s="702"/>
      <c r="K18" s="701">
        <f>+'4 Program Budget'!$AG$147</f>
        <v>20982371.443440009</v>
      </c>
      <c r="L18" s="702">
        <v>0</v>
      </c>
      <c r="M18" s="700">
        <f t="shared" ref="M18" si="9">SUM(J18:L18)</f>
        <v>20982371.443440009</v>
      </c>
      <c r="N18" s="778"/>
      <c r="O18" s="778"/>
      <c r="P18" s="778"/>
      <c r="Q18" s="591"/>
      <c r="R18" s="591"/>
      <c r="S18" s="591"/>
      <c r="T18" s="591"/>
      <c r="U18" s="591"/>
      <c r="V18" s="591"/>
    </row>
    <row r="19" spans="1:22">
      <c r="A19" s="939" t="s">
        <v>161</v>
      </c>
      <c r="B19" s="700">
        <f>SUM(B14:B18)</f>
        <v>9106107.5099999942</v>
      </c>
      <c r="C19" s="700">
        <f t="shared" ref="C19:M19" si="10">SUM(C14:C18)</f>
        <v>29262176.019999996</v>
      </c>
      <c r="D19" s="700">
        <f t="shared" si="10"/>
        <v>6914897.4900000002</v>
      </c>
      <c r="E19" s="700">
        <f t="shared" si="10"/>
        <v>45283181.019999988</v>
      </c>
      <c r="F19" s="700">
        <f t="shared" si="10"/>
        <v>9946945.0039999988</v>
      </c>
      <c r="G19" s="700">
        <f t="shared" si="10"/>
        <v>104453066.78702995</v>
      </c>
      <c r="H19" s="700">
        <f t="shared" si="10"/>
        <v>33225157.792942636</v>
      </c>
      <c r="I19" s="700">
        <f t="shared" si="10"/>
        <v>147625169.58397257</v>
      </c>
      <c r="J19" s="700">
        <f t="shared" si="10"/>
        <v>9931349.4791000001</v>
      </c>
      <c r="K19" s="700">
        <f t="shared" si="10"/>
        <v>66261668.873240009</v>
      </c>
      <c r="L19" s="700">
        <f t="shared" si="10"/>
        <v>39022729.450647116</v>
      </c>
      <c r="M19" s="700">
        <f t="shared" si="10"/>
        <v>115215747.80298713</v>
      </c>
      <c r="N19" s="777">
        <f t="shared" ref="N19:P19" si="11">+N14</f>
        <v>572760268</v>
      </c>
      <c r="O19" s="777">
        <f t="shared" si="11"/>
        <v>95335</v>
      </c>
      <c r="P19" s="777">
        <f t="shared" si="11"/>
        <v>4890.1949999999997</v>
      </c>
      <c r="Q19" s="777">
        <f>+Q14</f>
        <v>530720712.56353879</v>
      </c>
      <c r="R19" s="777">
        <f t="shared" ref="R19:V19" si="12">+R14</f>
        <v>91643.182044424233</v>
      </c>
      <c r="S19" s="777">
        <f t="shared" si="12"/>
        <v>6587.1489999999994</v>
      </c>
      <c r="T19" s="777">
        <f t="shared" si="12"/>
        <v>563898620.40311313</v>
      </c>
      <c r="U19" s="777">
        <f t="shared" si="12"/>
        <v>109798.23797586044</v>
      </c>
      <c r="V19" s="777">
        <f t="shared" si="12"/>
        <v>7258.6869999999999</v>
      </c>
    </row>
    <row r="20" spans="1:22">
      <c r="N20" s="936"/>
      <c r="O20" s="936"/>
      <c r="P20" s="936"/>
    </row>
    <row r="21" spans="1:22" ht="14.25">
      <c r="A21" s="940" t="s">
        <v>899</v>
      </c>
      <c r="J21" s="936"/>
      <c r="N21" s="936"/>
      <c r="O21" s="936"/>
      <c r="P21" s="936"/>
    </row>
    <row r="22" spans="1:22" ht="14.25">
      <c r="A22" s="940" t="s">
        <v>900</v>
      </c>
      <c r="J22" s="936"/>
      <c r="N22" s="936"/>
      <c r="O22" s="936"/>
      <c r="P22" s="936"/>
    </row>
    <row r="23" spans="1:22" ht="14.25">
      <c r="A23" s="901" t="s">
        <v>901</v>
      </c>
      <c r="J23" s="936"/>
      <c r="N23" s="936"/>
      <c r="O23" s="936"/>
      <c r="P23" s="936"/>
    </row>
    <row r="24" spans="1:22" ht="14.25">
      <c r="A24" s="901" t="s">
        <v>902</v>
      </c>
      <c r="J24" s="936"/>
      <c r="N24" s="936"/>
      <c r="O24" s="936"/>
      <c r="P24" s="936"/>
    </row>
    <row r="25" spans="1:22" ht="14.25">
      <c r="A25" s="42"/>
      <c r="J25" s="936"/>
      <c r="N25" s="936"/>
      <c r="O25" s="936"/>
      <c r="P25" s="936"/>
    </row>
    <row r="26" spans="1:22" ht="14.25">
      <c r="A26" s="42"/>
      <c r="J26" s="936"/>
      <c r="N26" s="936"/>
      <c r="O26" s="936"/>
      <c r="P26" s="936"/>
    </row>
    <row r="27" spans="1:22" ht="14.25">
      <c r="A27" s="42"/>
      <c r="J27" s="936"/>
      <c r="N27" s="936"/>
      <c r="O27" s="936"/>
      <c r="P27" s="936"/>
    </row>
    <row r="28" spans="1:22" ht="14.25">
      <c r="A28" s="42"/>
      <c r="N28" s="936"/>
      <c r="O28" s="936"/>
      <c r="P28" s="936"/>
    </row>
    <row r="29" spans="1:22" ht="14.25">
      <c r="A29" s="42"/>
      <c r="N29" s="936"/>
      <c r="O29" s="936"/>
      <c r="P29" s="936"/>
    </row>
    <row r="30" spans="1:22" ht="14.25">
      <c r="A30" s="42"/>
      <c r="N30" s="936"/>
      <c r="O30" s="936"/>
      <c r="P30" s="936"/>
    </row>
    <row r="31" spans="1:22" ht="14.25">
      <c r="A31" s="42"/>
      <c r="N31" s="936"/>
      <c r="O31" s="936"/>
      <c r="P31" s="936"/>
    </row>
    <row r="32" spans="1:22" ht="14.25">
      <c r="A32" s="42"/>
      <c r="N32" s="936"/>
      <c r="O32" s="936"/>
      <c r="P32" s="936"/>
    </row>
    <row r="33" spans="1:1" ht="14.25">
      <c r="A33" s="42"/>
    </row>
    <row r="34" spans="1:1" ht="14.25">
      <c r="A34" s="42"/>
    </row>
    <row r="35" spans="1:1" ht="14.25">
      <c r="A35" s="42"/>
    </row>
    <row r="36" spans="1:1" ht="14.25">
      <c r="A36" s="42"/>
    </row>
    <row r="37" spans="1:1" ht="14.25">
      <c r="A37" s="42"/>
    </row>
    <row r="38" spans="1:1" ht="14.25">
      <c r="A38" s="42"/>
    </row>
    <row r="39" spans="1:1" ht="14.25">
      <c r="A39" s="42"/>
    </row>
    <row r="40" spans="1:1" ht="14.25">
      <c r="A40" s="42"/>
    </row>
    <row r="41" spans="1:1" ht="14.25">
      <c r="A41" s="42"/>
    </row>
    <row r="42" spans="1:1" ht="14.25">
      <c r="A42" s="42"/>
    </row>
    <row r="43" spans="1:1" ht="14.25">
      <c r="A43" s="42"/>
    </row>
    <row r="44" spans="1:1" ht="14.25">
      <c r="A44" s="42"/>
    </row>
    <row r="45" spans="1:1" ht="14.25">
      <c r="A45" s="42"/>
    </row>
    <row r="46" spans="1:1" ht="14.25">
      <c r="A46" s="42"/>
    </row>
    <row r="47" spans="1:1" ht="14.25">
      <c r="A47" s="42"/>
    </row>
    <row r="48" spans="1:1" ht="14.25">
      <c r="A48" s="42"/>
    </row>
    <row r="49" spans="1:1" ht="14.25">
      <c r="A49" s="42"/>
    </row>
    <row r="50" spans="1:1" ht="14.25">
      <c r="A50" s="42"/>
    </row>
    <row r="51" spans="1:1" ht="14.25">
      <c r="A51" s="42"/>
    </row>
    <row r="52" spans="1:1" ht="14.25">
      <c r="A52" s="42"/>
    </row>
    <row r="53" spans="1:1" ht="14.25">
      <c r="A53" s="42"/>
    </row>
    <row r="54" spans="1:1" ht="14.25">
      <c r="A54" s="42"/>
    </row>
    <row r="55" spans="1:1" ht="14.25">
      <c r="A55" s="42"/>
    </row>
    <row r="56" spans="1:1" ht="14.25">
      <c r="A56" s="42"/>
    </row>
    <row r="57" spans="1:1" ht="14.25">
      <c r="A57" s="42"/>
    </row>
    <row r="58" spans="1:1" ht="14.25">
      <c r="A58" s="42"/>
    </row>
    <row r="59" spans="1:1" ht="14.25">
      <c r="A59" s="42"/>
    </row>
    <row r="60" spans="1:1" ht="14.25">
      <c r="A60" s="42"/>
    </row>
    <row r="61" spans="1:1" ht="14.25">
      <c r="A61" s="42"/>
    </row>
    <row r="62" spans="1:1" ht="14.25">
      <c r="A62" s="42"/>
    </row>
    <row r="63" spans="1:1" ht="14.25">
      <c r="A63" s="42"/>
    </row>
    <row r="64" spans="1:1" ht="14.25">
      <c r="A64" s="42"/>
    </row>
    <row r="65" spans="1:1" ht="14.25">
      <c r="A65" s="42"/>
    </row>
    <row r="66" spans="1:1" ht="14.25">
      <c r="A66" s="42"/>
    </row>
    <row r="67" spans="1:1" ht="14.25">
      <c r="A67" s="42"/>
    </row>
    <row r="68" spans="1:1" ht="14.25">
      <c r="A68" s="42"/>
    </row>
    <row r="69" spans="1:1" ht="14.25">
      <c r="A69" s="42"/>
    </row>
    <row r="70" spans="1:1" ht="14.25">
      <c r="A70" s="42"/>
    </row>
    <row r="71" spans="1:1" ht="14.25">
      <c r="A71" s="42"/>
    </row>
    <row r="72" spans="1:1" ht="14.25">
      <c r="A72" s="42"/>
    </row>
    <row r="73" spans="1:1" ht="14.25">
      <c r="A73" s="42"/>
    </row>
    <row r="74" spans="1:1" ht="14.25">
      <c r="A74" s="42"/>
    </row>
    <row r="75" spans="1:1" ht="14.25">
      <c r="A75" s="42"/>
    </row>
    <row r="76" spans="1:1" ht="14.25">
      <c r="A76" s="42"/>
    </row>
    <row r="77" spans="1:1" ht="14.25">
      <c r="A77" s="42"/>
    </row>
    <row r="78" spans="1:1" ht="14.25">
      <c r="A78" s="42"/>
    </row>
    <row r="79" spans="1:1" ht="14.25">
      <c r="A79" s="42"/>
    </row>
    <row r="80" spans="1:1" ht="14.25">
      <c r="A80" s="42"/>
    </row>
    <row r="81" spans="1:1" ht="14.25">
      <c r="A81" s="42"/>
    </row>
    <row r="82" spans="1:1" ht="14.25">
      <c r="A82" s="42"/>
    </row>
    <row r="83" spans="1:1" ht="14.25">
      <c r="A83" s="42"/>
    </row>
    <row r="84" spans="1:1" ht="14.25">
      <c r="A84" s="42"/>
    </row>
    <row r="85" spans="1:1" ht="14.25">
      <c r="A85" s="42"/>
    </row>
    <row r="86" spans="1:1" ht="14.25">
      <c r="A86" s="42"/>
    </row>
    <row r="87" spans="1:1" ht="14.25">
      <c r="A87" s="42"/>
    </row>
    <row r="88" spans="1:1" ht="14.25">
      <c r="A88" s="42"/>
    </row>
    <row r="89" spans="1:1" ht="14.25">
      <c r="A89" s="42"/>
    </row>
    <row r="90" spans="1:1" ht="14.25">
      <c r="A90" s="42"/>
    </row>
    <row r="91" spans="1:1" ht="14.25">
      <c r="A91" s="42"/>
    </row>
    <row r="92" spans="1:1" ht="14.25">
      <c r="A92" s="42"/>
    </row>
    <row r="93" spans="1:1" ht="14.25">
      <c r="A93" s="42"/>
    </row>
    <row r="94" spans="1:1" ht="14.25">
      <c r="A94" s="42"/>
    </row>
    <row r="95" spans="1:1" ht="14.25">
      <c r="A95" s="42"/>
    </row>
    <row r="96" spans="1:1" ht="14.25">
      <c r="A96" s="42"/>
    </row>
    <row r="97" spans="1:1" ht="14.25">
      <c r="A97" s="42"/>
    </row>
    <row r="98" spans="1:1" ht="14.25">
      <c r="A98" s="42"/>
    </row>
    <row r="99" spans="1:1" ht="14.25">
      <c r="A99" s="42"/>
    </row>
    <row r="100" spans="1:1" ht="14.25">
      <c r="A100" s="42"/>
    </row>
    <row r="101" spans="1:1" ht="14.25">
      <c r="A101" s="42"/>
    </row>
    <row r="102" spans="1:1" ht="14.25">
      <c r="A102" s="42"/>
    </row>
    <row r="103" spans="1:1" ht="14.25">
      <c r="A103" s="42"/>
    </row>
    <row r="104" spans="1:1" ht="14.25">
      <c r="A104" s="42"/>
    </row>
    <row r="105" spans="1:1" ht="14.25">
      <c r="A105" s="42"/>
    </row>
    <row r="106" spans="1:1" ht="14.25">
      <c r="A106" s="42"/>
    </row>
    <row r="107" spans="1:1" ht="14.25">
      <c r="A107" s="42"/>
    </row>
    <row r="108" spans="1:1" ht="14.25">
      <c r="A108" s="42"/>
    </row>
    <row r="109" spans="1:1" ht="14.25">
      <c r="A109" s="42"/>
    </row>
    <row r="110" spans="1:1" ht="14.25">
      <c r="A110" s="42"/>
    </row>
    <row r="111" spans="1:1" ht="14.25">
      <c r="A111" s="42"/>
    </row>
    <row r="112" spans="1:1" ht="14.25">
      <c r="A112" s="42"/>
    </row>
    <row r="113" spans="1:1" ht="14.25">
      <c r="A113" s="42"/>
    </row>
    <row r="114" spans="1:1" ht="14.25">
      <c r="A114" s="42"/>
    </row>
    <row r="115" spans="1:1" ht="14.25">
      <c r="A115" s="42"/>
    </row>
    <row r="116" spans="1:1" ht="14.25">
      <c r="A116" s="42"/>
    </row>
    <row r="117" spans="1:1" ht="14.25">
      <c r="A117" s="42"/>
    </row>
    <row r="118" spans="1:1" ht="14.25">
      <c r="A118" s="42"/>
    </row>
    <row r="119" spans="1:1" ht="14.25">
      <c r="A119" s="42"/>
    </row>
    <row r="120" spans="1:1" ht="14.25">
      <c r="A120" s="42"/>
    </row>
    <row r="121" spans="1:1" ht="14.25">
      <c r="A121" s="42"/>
    </row>
    <row r="122" spans="1:1" ht="14.25">
      <c r="A122" s="42"/>
    </row>
    <row r="123" spans="1:1" ht="14.25">
      <c r="A123" s="42"/>
    </row>
    <row r="124" spans="1:1" ht="14.25">
      <c r="A124" s="42"/>
    </row>
    <row r="125" spans="1:1" ht="14.25">
      <c r="A125" s="42"/>
    </row>
    <row r="126" spans="1:1" ht="14.25">
      <c r="A126" s="42"/>
    </row>
    <row r="127" spans="1:1" ht="14.25">
      <c r="A127" s="42"/>
    </row>
    <row r="128" spans="1:1" ht="14.25">
      <c r="A128" s="42"/>
    </row>
    <row r="129" spans="1:1" ht="14.25">
      <c r="A129" s="42"/>
    </row>
    <row r="130" spans="1:1" ht="14.25">
      <c r="A130" s="42"/>
    </row>
    <row r="131" spans="1:1" ht="14.25">
      <c r="A131" s="42"/>
    </row>
    <row r="132" spans="1:1" ht="14.25">
      <c r="A132" s="42"/>
    </row>
    <row r="133" spans="1:1" ht="14.25">
      <c r="A133" s="42"/>
    </row>
    <row r="134" spans="1:1" ht="14.25">
      <c r="A134" s="42"/>
    </row>
    <row r="135" spans="1:1" ht="14.25">
      <c r="A135" s="42"/>
    </row>
    <row r="136" spans="1:1" ht="14.25">
      <c r="A136" s="42"/>
    </row>
    <row r="137" spans="1:1" ht="14.25">
      <c r="A137" s="42"/>
    </row>
    <row r="138" spans="1:1" ht="14.25">
      <c r="A138" s="42"/>
    </row>
    <row r="139" spans="1:1" ht="14.25">
      <c r="A139" s="42"/>
    </row>
    <row r="140" spans="1:1" ht="14.25">
      <c r="A140" s="42"/>
    </row>
    <row r="141" spans="1:1" ht="14.25">
      <c r="A141" s="42"/>
    </row>
    <row r="142" spans="1:1" ht="14.25">
      <c r="A142" s="42"/>
    </row>
    <row r="143" spans="1:1" ht="14.25">
      <c r="A143" s="42"/>
    </row>
    <row r="144" spans="1:1" ht="14.25">
      <c r="A144" s="42"/>
    </row>
    <row r="145" spans="1:1" ht="14.25">
      <c r="A145" s="42"/>
    </row>
    <row r="146" spans="1:1" ht="14.25">
      <c r="A146" s="42"/>
    </row>
    <row r="147" spans="1:1" ht="14.25">
      <c r="A147" s="42"/>
    </row>
    <row r="148" spans="1:1" ht="14.25">
      <c r="A148" s="42"/>
    </row>
    <row r="149" spans="1:1" ht="14.25">
      <c r="A149" s="42"/>
    </row>
    <row r="150" spans="1:1" ht="14.25">
      <c r="A150" s="42"/>
    </row>
    <row r="151" spans="1:1" ht="14.25">
      <c r="A151" s="42"/>
    </row>
    <row r="152" spans="1:1" ht="14.25">
      <c r="A152" s="42"/>
    </row>
    <row r="153" spans="1:1" ht="14.25">
      <c r="A153" s="42"/>
    </row>
    <row r="154" spans="1:1" ht="14.25">
      <c r="A154" s="42"/>
    </row>
    <row r="155" spans="1:1" ht="14.25">
      <c r="A155" s="42"/>
    </row>
    <row r="156" spans="1:1" ht="14.25">
      <c r="A156" s="42"/>
    </row>
    <row r="157" spans="1:1" ht="14.25">
      <c r="A157" s="42"/>
    </row>
    <row r="158" spans="1:1" ht="14.25">
      <c r="A158" s="42"/>
    </row>
    <row r="159" spans="1:1" ht="14.25">
      <c r="A159" s="42"/>
    </row>
    <row r="160" spans="1:1" ht="14.25">
      <c r="A160" s="42"/>
    </row>
    <row r="161" spans="1:1" ht="14.25">
      <c r="A161" s="42"/>
    </row>
    <row r="162" spans="1:1" ht="14.25">
      <c r="A162" s="42"/>
    </row>
    <row r="163" spans="1:1" ht="14.25">
      <c r="A163" s="42"/>
    </row>
    <row r="164" spans="1:1" ht="14.25">
      <c r="A164" s="42"/>
    </row>
    <row r="165" spans="1:1" ht="14.25">
      <c r="A165" s="42"/>
    </row>
    <row r="166" spans="1:1" ht="14.25">
      <c r="A166" s="42"/>
    </row>
    <row r="167" spans="1:1" ht="14.25">
      <c r="A167" s="42"/>
    </row>
    <row r="168" spans="1:1" ht="14.25">
      <c r="A168" s="42"/>
    </row>
    <row r="169" spans="1:1" ht="14.25">
      <c r="A169" s="42"/>
    </row>
    <row r="170" spans="1:1" ht="14.25">
      <c r="A170" s="42"/>
    </row>
    <row r="171" spans="1:1" ht="14.25">
      <c r="A171" s="42"/>
    </row>
    <row r="172" spans="1:1" ht="14.25">
      <c r="A172" s="42"/>
    </row>
    <row r="173" spans="1:1" ht="14.25">
      <c r="A173" s="42"/>
    </row>
    <row r="174" spans="1:1" ht="14.25">
      <c r="A174" s="42"/>
    </row>
    <row r="175" spans="1:1" ht="14.25">
      <c r="A175" s="42"/>
    </row>
    <row r="176" spans="1:1" ht="14.25">
      <c r="A176" s="42"/>
    </row>
    <row r="177" spans="1:1" ht="14.25">
      <c r="A177" s="42"/>
    </row>
    <row r="178" spans="1:1" ht="14.25">
      <c r="A178" s="42"/>
    </row>
    <row r="179" spans="1:1" ht="14.25">
      <c r="A179" s="42"/>
    </row>
    <row r="180" spans="1:1" ht="14.25">
      <c r="A180" s="42"/>
    </row>
    <row r="181" spans="1:1" ht="14.25">
      <c r="A181" s="42"/>
    </row>
    <row r="182" spans="1:1" ht="14.25">
      <c r="A182" s="42"/>
    </row>
    <row r="183" spans="1:1" ht="14.25">
      <c r="A183" s="42"/>
    </row>
    <row r="184" spans="1:1" ht="14.25">
      <c r="A184" s="42"/>
    </row>
    <row r="185" spans="1:1" ht="14.25">
      <c r="A185" s="42"/>
    </row>
    <row r="186" spans="1:1" ht="14.25">
      <c r="A186" s="42"/>
    </row>
    <row r="187" spans="1:1" ht="14.25">
      <c r="A187" s="42"/>
    </row>
    <row r="188" spans="1:1" ht="14.25">
      <c r="A188" s="42"/>
    </row>
    <row r="189" spans="1:1" ht="14.25">
      <c r="A189" s="42"/>
    </row>
    <row r="190" spans="1:1" ht="14.25">
      <c r="A190" s="42"/>
    </row>
    <row r="191" spans="1:1" ht="14.25">
      <c r="A191" s="42"/>
    </row>
    <row r="192" spans="1:1" ht="14.25">
      <c r="A192" s="42"/>
    </row>
    <row r="193" spans="1:1" ht="14.25">
      <c r="A193" s="42"/>
    </row>
    <row r="194" spans="1:1" ht="14.25">
      <c r="A194" s="42"/>
    </row>
    <row r="195" spans="1:1" ht="14.25">
      <c r="A195" s="42"/>
    </row>
    <row r="196" spans="1:1" ht="14.25">
      <c r="A196" s="42"/>
    </row>
    <row r="197" spans="1:1" ht="14.25">
      <c r="A197" s="42"/>
    </row>
    <row r="198" spans="1:1" ht="14.25">
      <c r="A198" s="42"/>
    </row>
    <row r="199" spans="1:1" ht="14.25">
      <c r="A199" s="42"/>
    </row>
    <row r="200" spans="1:1" ht="14.25">
      <c r="A200" s="42"/>
    </row>
    <row r="201" spans="1:1" ht="14.25">
      <c r="A201" s="42"/>
    </row>
    <row r="202" spans="1:1" ht="14.25">
      <c r="A202" s="42"/>
    </row>
    <row r="203" spans="1:1" ht="14.25">
      <c r="A203" s="42"/>
    </row>
    <row r="204" spans="1:1" ht="14.25">
      <c r="A204" s="42"/>
    </row>
    <row r="205" spans="1:1" ht="14.25">
      <c r="A205" s="42"/>
    </row>
    <row r="206" spans="1:1" ht="14.25">
      <c r="A206" s="42"/>
    </row>
    <row r="207" spans="1:1" ht="14.25">
      <c r="A207" s="42"/>
    </row>
    <row r="208" spans="1:1" ht="14.25">
      <c r="A208" s="42"/>
    </row>
    <row r="209" spans="1:1" ht="14.25">
      <c r="A209" s="42"/>
    </row>
    <row r="210" spans="1:1" ht="14.25">
      <c r="A210" s="42"/>
    </row>
    <row r="211" spans="1:1" ht="14.25">
      <c r="A211" s="42"/>
    </row>
    <row r="212" spans="1:1" ht="14.25">
      <c r="A212" s="42"/>
    </row>
    <row r="213" spans="1:1" ht="14.25">
      <c r="A213" s="42"/>
    </row>
    <row r="214" spans="1:1" ht="14.25">
      <c r="A214" s="42"/>
    </row>
    <row r="215" spans="1:1" ht="14.25">
      <c r="A215" s="42"/>
    </row>
    <row r="216" spans="1:1" ht="14.25">
      <c r="A216" s="42"/>
    </row>
    <row r="217" spans="1:1" ht="14.25">
      <c r="A217" s="42"/>
    </row>
    <row r="218" spans="1:1" ht="14.25">
      <c r="A218" s="42"/>
    </row>
    <row r="219" spans="1:1" ht="14.25">
      <c r="A219" s="42"/>
    </row>
    <row r="220" spans="1:1" ht="14.25">
      <c r="A220" s="42"/>
    </row>
    <row r="221" spans="1:1" ht="14.25">
      <c r="A221" s="42"/>
    </row>
    <row r="222" spans="1:1" ht="14.25">
      <c r="A222" s="42"/>
    </row>
    <row r="223" spans="1:1" ht="14.25">
      <c r="A223" s="42"/>
    </row>
    <row r="224" spans="1:1" ht="14.25">
      <c r="A224" s="42"/>
    </row>
    <row r="225" spans="1:1" ht="14.25">
      <c r="A225" s="42"/>
    </row>
    <row r="226" spans="1:1" ht="14.25">
      <c r="A226" s="42"/>
    </row>
    <row r="227" spans="1:1" ht="14.25">
      <c r="A227" s="42"/>
    </row>
    <row r="228" spans="1:1" ht="14.25">
      <c r="A228" s="42"/>
    </row>
    <row r="229" spans="1:1" ht="14.25">
      <c r="A229" s="42"/>
    </row>
    <row r="230" spans="1:1" ht="14.25">
      <c r="A230" s="42"/>
    </row>
    <row r="231" spans="1:1" ht="14.25">
      <c r="A231" s="42"/>
    </row>
    <row r="232" spans="1:1" ht="14.25">
      <c r="A232" s="42"/>
    </row>
    <row r="233" spans="1:1" ht="14.25">
      <c r="A233" s="42"/>
    </row>
    <row r="234" spans="1:1" ht="14.25">
      <c r="A234" s="42"/>
    </row>
    <row r="235" spans="1:1" ht="14.25">
      <c r="A235" s="42"/>
    </row>
    <row r="236" spans="1:1" ht="14.25">
      <c r="A236" s="42"/>
    </row>
    <row r="237" spans="1:1" ht="14.25">
      <c r="A237" s="42"/>
    </row>
    <row r="238" spans="1:1" ht="14.25">
      <c r="A238" s="42"/>
    </row>
    <row r="239" spans="1:1" ht="14.25">
      <c r="A239" s="42"/>
    </row>
    <row r="240" spans="1:1" ht="14.25">
      <c r="A240" s="42"/>
    </row>
    <row r="241" spans="1:1" ht="14.25">
      <c r="A241" s="42"/>
    </row>
    <row r="242" spans="1:1" ht="14.25">
      <c r="A242" s="42"/>
    </row>
    <row r="243" spans="1:1" ht="14.25">
      <c r="A243" s="42"/>
    </row>
    <row r="244" spans="1:1" ht="14.25">
      <c r="A244" s="42"/>
    </row>
    <row r="245" spans="1:1" ht="14.25">
      <c r="A245" s="42"/>
    </row>
    <row r="246" spans="1:1" ht="14.25">
      <c r="A246" s="42"/>
    </row>
    <row r="247" spans="1:1" ht="14.25">
      <c r="A247" s="42"/>
    </row>
    <row r="248" spans="1:1" ht="14.25">
      <c r="A248" s="42"/>
    </row>
    <row r="249" spans="1:1" ht="14.25">
      <c r="A249" s="42"/>
    </row>
    <row r="250" spans="1:1" ht="14.25">
      <c r="A250" s="42"/>
    </row>
    <row r="251" spans="1:1" ht="14.25">
      <c r="A251" s="42"/>
    </row>
    <row r="252" spans="1:1" ht="14.25">
      <c r="A252" s="42"/>
    </row>
    <row r="253" spans="1:1" ht="14.25">
      <c r="A253" s="42"/>
    </row>
    <row r="254" spans="1:1" ht="14.25">
      <c r="A254" s="42"/>
    </row>
    <row r="255" spans="1:1" ht="14.25">
      <c r="A255" s="42"/>
    </row>
    <row r="256" spans="1:1" ht="14.25">
      <c r="A256" s="42"/>
    </row>
    <row r="257" spans="1:1" ht="14.25">
      <c r="A257" s="42"/>
    </row>
    <row r="258" spans="1:1" ht="14.25">
      <c r="A258" s="42"/>
    </row>
    <row r="259" spans="1:1" ht="14.25">
      <c r="A259" s="42"/>
    </row>
    <row r="260" spans="1:1" ht="14.25">
      <c r="A260" s="42"/>
    </row>
    <row r="261" spans="1:1" ht="14.25">
      <c r="A261" s="42"/>
    </row>
    <row r="262" spans="1:1" ht="14.25">
      <c r="A262" s="42"/>
    </row>
    <row r="263" spans="1:1" ht="14.25">
      <c r="A263" s="42"/>
    </row>
    <row r="264" spans="1:1" ht="14.25">
      <c r="A264" s="42"/>
    </row>
    <row r="265" spans="1:1" ht="14.25">
      <c r="A265" s="42"/>
    </row>
    <row r="266" spans="1:1" ht="14.25">
      <c r="A266" s="42"/>
    </row>
    <row r="267" spans="1:1" ht="14.25">
      <c r="A267" s="42"/>
    </row>
    <row r="268" spans="1:1" ht="14.25">
      <c r="A268" s="42"/>
    </row>
    <row r="269" spans="1:1" ht="14.25">
      <c r="A269" s="42"/>
    </row>
    <row r="270" spans="1:1" ht="14.25">
      <c r="A270" s="42"/>
    </row>
    <row r="271" spans="1:1" ht="14.25">
      <c r="A271" s="42"/>
    </row>
    <row r="272" spans="1:1" ht="14.25">
      <c r="A272" s="42"/>
    </row>
    <row r="273" spans="1:1" ht="14.25">
      <c r="A273" s="42"/>
    </row>
    <row r="274" spans="1:1" ht="14.25">
      <c r="A274" s="42"/>
    </row>
    <row r="275" spans="1:1" ht="14.25">
      <c r="A275" s="42"/>
    </row>
    <row r="276" spans="1:1" ht="14.25">
      <c r="A276" s="42"/>
    </row>
    <row r="277" spans="1:1" ht="14.25">
      <c r="A277" s="42"/>
    </row>
    <row r="278" spans="1:1" ht="14.25">
      <c r="A278" s="42"/>
    </row>
    <row r="279" spans="1:1" ht="14.25">
      <c r="A279" s="42"/>
    </row>
    <row r="280" spans="1:1" ht="14.25">
      <c r="A280" s="42"/>
    </row>
    <row r="281" spans="1:1" ht="14.25">
      <c r="A281" s="42"/>
    </row>
    <row r="282" spans="1:1" ht="14.25">
      <c r="A282" s="42"/>
    </row>
    <row r="283" spans="1:1" ht="14.25">
      <c r="A283" s="42"/>
    </row>
    <row r="284" spans="1:1" ht="14.25">
      <c r="A284" s="42"/>
    </row>
    <row r="285" spans="1:1" ht="14.25">
      <c r="A285" s="42"/>
    </row>
    <row r="286" spans="1:1" ht="14.25">
      <c r="A286" s="42"/>
    </row>
    <row r="287" spans="1:1" ht="14.25">
      <c r="A287" s="42"/>
    </row>
    <row r="288" spans="1:1" ht="14.25">
      <c r="A288" s="42"/>
    </row>
    <row r="289" spans="1:1" ht="14.25">
      <c r="A289" s="42"/>
    </row>
    <row r="290" spans="1:1" ht="14.25">
      <c r="A290" s="42"/>
    </row>
    <row r="291" spans="1:1" ht="14.25">
      <c r="A291" s="42"/>
    </row>
    <row r="292" spans="1:1" ht="14.25">
      <c r="A292" s="42"/>
    </row>
    <row r="293" spans="1:1" ht="14.25">
      <c r="A293" s="42"/>
    </row>
    <row r="294" spans="1:1" ht="14.25">
      <c r="A294" s="42"/>
    </row>
    <row r="295" spans="1:1" ht="14.25">
      <c r="A295" s="42"/>
    </row>
    <row r="296" spans="1:1" ht="14.25">
      <c r="A296" s="42"/>
    </row>
    <row r="297" spans="1:1" ht="14.25">
      <c r="A297" s="42"/>
    </row>
    <row r="298" spans="1:1" ht="14.25">
      <c r="A298" s="42"/>
    </row>
    <row r="299" spans="1:1" ht="14.25">
      <c r="A299" s="42"/>
    </row>
    <row r="300" spans="1:1" ht="14.25">
      <c r="A300" s="42"/>
    </row>
    <row r="301" spans="1:1" ht="14.25">
      <c r="A301" s="42"/>
    </row>
    <row r="302" spans="1:1" ht="14.25">
      <c r="A302" s="42"/>
    </row>
    <row r="303" spans="1:1" ht="14.25">
      <c r="A303" s="42"/>
    </row>
    <row r="304" spans="1:1" ht="14.25">
      <c r="A304" s="42"/>
    </row>
    <row r="305" spans="1:1" ht="14.25">
      <c r="A305" s="42"/>
    </row>
    <row r="306" spans="1:1" ht="14.25">
      <c r="A306" s="42"/>
    </row>
    <row r="307" spans="1:1" ht="14.25">
      <c r="A307" s="42"/>
    </row>
    <row r="308" spans="1:1" ht="14.25">
      <c r="A308" s="42"/>
    </row>
    <row r="309" spans="1:1" ht="14.25">
      <c r="A309" s="42"/>
    </row>
    <row r="310" spans="1:1" ht="14.25">
      <c r="A310" s="42"/>
    </row>
    <row r="311" spans="1:1" ht="14.25">
      <c r="A311" s="42"/>
    </row>
    <row r="312" spans="1:1" ht="14.25">
      <c r="A312" s="42"/>
    </row>
    <row r="313" spans="1:1" ht="14.25">
      <c r="A313" s="42"/>
    </row>
    <row r="314" spans="1:1" ht="14.25">
      <c r="A314" s="42"/>
    </row>
    <row r="315" spans="1:1" ht="14.25">
      <c r="A315" s="42"/>
    </row>
    <row r="316" spans="1:1" ht="14.25">
      <c r="A316" s="42"/>
    </row>
    <row r="317" spans="1:1" ht="14.25">
      <c r="A317" s="42"/>
    </row>
    <row r="318" spans="1:1" ht="14.25">
      <c r="A318" s="42"/>
    </row>
    <row r="319" spans="1:1" ht="14.25">
      <c r="A319" s="42"/>
    </row>
    <row r="320" spans="1:1" ht="14.25">
      <c r="A320" s="42"/>
    </row>
    <row r="321" spans="1:1" ht="14.25">
      <c r="A321" s="42"/>
    </row>
    <row r="322" spans="1:1" ht="14.25">
      <c r="A322" s="42"/>
    </row>
    <row r="323" spans="1:1" ht="14.25">
      <c r="A323" s="42"/>
    </row>
    <row r="324" spans="1:1" ht="14.25">
      <c r="A324" s="42"/>
    </row>
    <row r="325" spans="1:1" ht="14.25">
      <c r="A325" s="42"/>
    </row>
    <row r="326" spans="1:1" ht="14.25">
      <c r="A326" s="42"/>
    </row>
    <row r="327" spans="1:1" ht="14.25">
      <c r="A327" s="42"/>
    </row>
    <row r="328" spans="1:1" ht="14.25">
      <c r="A328" s="42"/>
    </row>
    <row r="329" spans="1:1" ht="14.25">
      <c r="A329" s="42"/>
    </row>
    <row r="330" spans="1:1" ht="14.25">
      <c r="A330" s="42"/>
    </row>
    <row r="331" spans="1:1" ht="14.25">
      <c r="A331" s="42"/>
    </row>
    <row r="332" spans="1:1" ht="14.25">
      <c r="A332" s="42"/>
    </row>
    <row r="333" spans="1:1" ht="14.25">
      <c r="A333" s="42"/>
    </row>
    <row r="334" spans="1:1" ht="14.25">
      <c r="A334" s="42"/>
    </row>
    <row r="335" spans="1:1" ht="14.25">
      <c r="A335" s="42"/>
    </row>
    <row r="336" spans="1:1" ht="14.25">
      <c r="A336" s="42"/>
    </row>
    <row r="337" spans="1:1" ht="14.25">
      <c r="A337" s="42"/>
    </row>
    <row r="338" spans="1:1" ht="14.25">
      <c r="A338" s="42"/>
    </row>
    <row r="339" spans="1:1" ht="14.25">
      <c r="A339" s="42"/>
    </row>
    <row r="340" spans="1:1" ht="14.25">
      <c r="A340" s="42"/>
    </row>
    <row r="341" spans="1:1" ht="14.25">
      <c r="A341" s="42"/>
    </row>
    <row r="342" spans="1:1" ht="14.25">
      <c r="A342" s="42"/>
    </row>
    <row r="343" spans="1:1" ht="14.25">
      <c r="A343" s="42"/>
    </row>
    <row r="344" spans="1:1" ht="14.25">
      <c r="A344" s="42"/>
    </row>
    <row r="345" spans="1:1" ht="14.25">
      <c r="A345" s="42"/>
    </row>
    <row r="346" spans="1:1" ht="14.25">
      <c r="A346" s="42"/>
    </row>
    <row r="347" spans="1:1" ht="14.25">
      <c r="A347" s="42"/>
    </row>
    <row r="348" spans="1:1" ht="14.25">
      <c r="A348" s="42"/>
    </row>
    <row r="349" spans="1:1" ht="14.25">
      <c r="A349" s="42"/>
    </row>
    <row r="350" spans="1:1" ht="14.25">
      <c r="A350" s="42"/>
    </row>
    <row r="351" spans="1:1" ht="14.25">
      <c r="A351" s="42"/>
    </row>
    <row r="352" spans="1:1" ht="14.25">
      <c r="A352" s="42"/>
    </row>
    <row r="353" spans="1:1" ht="14.25">
      <c r="A353" s="42"/>
    </row>
    <row r="354" spans="1:1" ht="14.25">
      <c r="A354" s="42"/>
    </row>
    <row r="355" spans="1:1" ht="14.25">
      <c r="A355" s="42"/>
    </row>
    <row r="356" spans="1:1" ht="14.25">
      <c r="A356" s="42"/>
    </row>
    <row r="357" spans="1:1" ht="14.25">
      <c r="A357" s="42"/>
    </row>
    <row r="358" spans="1:1" ht="14.25">
      <c r="A358" s="42"/>
    </row>
    <row r="359" spans="1:1" ht="14.25">
      <c r="A359" s="42"/>
    </row>
    <row r="360" spans="1:1" ht="14.25">
      <c r="A360" s="42"/>
    </row>
    <row r="361" spans="1:1" ht="14.25">
      <c r="A361" s="42"/>
    </row>
    <row r="362" spans="1:1" ht="14.25">
      <c r="A362" s="42"/>
    </row>
    <row r="363" spans="1:1" ht="14.25">
      <c r="A363" s="42"/>
    </row>
    <row r="364" spans="1:1" ht="14.25">
      <c r="A364" s="42"/>
    </row>
    <row r="365" spans="1:1" ht="14.25">
      <c r="A365" s="42"/>
    </row>
    <row r="366" spans="1:1" ht="14.25">
      <c r="A366" s="42"/>
    </row>
    <row r="367" spans="1:1" ht="14.25">
      <c r="A367" s="42"/>
    </row>
    <row r="368" spans="1:1" ht="14.25">
      <c r="A368" s="42"/>
    </row>
    <row r="369" spans="1:1" ht="14.25">
      <c r="A369" s="42"/>
    </row>
    <row r="370" spans="1:1" ht="14.25">
      <c r="A370" s="42"/>
    </row>
    <row r="371" spans="1:1" ht="14.25">
      <c r="A371" s="42"/>
    </row>
    <row r="372" spans="1:1" ht="14.25">
      <c r="A372" s="42"/>
    </row>
    <row r="373" spans="1:1" ht="14.25">
      <c r="A373" s="42"/>
    </row>
    <row r="374" spans="1:1" ht="14.25">
      <c r="A374" s="42"/>
    </row>
    <row r="375" spans="1:1" ht="14.25">
      <c r="A375" s="42"/>
    </row>
    <row r="376" spans="1:1" ht="14.25">
      <c r="A376" s="42"/>
    </row>
    <row r="377" spans="1:1" ht="14.25">
      <c r="A377" s="42"/>
    </row>
    <row r="378" spans="1:1" ht="14.25">
      <c r="A378" s="42"/>
    </row>
    <row r="379" spans="1:1" ht="14.25">
      <c r="A379" s="42"/>
    </row>
    <row r="380" spans="1:1" ht="14.25">
      <c r="A380" s="42"/>
    </row>
    <row r="381" spans="1:1" ht="14.25">
      <c r="A381" s="42"/>
    </row>
    <row r="382" spans="1:1" ht="14.25">
      <c r="A382" s="42"/>
    </row>
    <row r="383" spans="1:1" ht="14.25">
      <c r="A383" s="42"/>
    </row>
    <row r="384" spans="1:1" ht="14.25">
      <c r="A384" s="42"/>
    </row>
    <row r="385" spans="1:1" ht="14.25">
      <c r="A385" s="42"/>
    </row>
    <row r="386" spans="1:1" ht="14.25">
      <c r="A386" s="42"/>
    </row>
    <row r="387" spans="1:1" ht="14.25">
      <c r="A387" s="42"/>
    </row>
    <row r="388" spans="1:1" ht="14.25">
      <c r="A388" s="42"/>
    </row>
    <row r="389" spans="1:1" ht="14.25">
      <c r="A389" s="42"/>
    </row>
    <row r="390" spans="1:1" ht="14.25">
      <c r="A390" s="42"/>
    </row>
    <row r="391" spans="1:1" ht="14.25">
      <c r="A391" s="42"/>
    </row>
    <row r="392" spans="1:1" ht="14.25">
      <c r="A392" s="42"/>
    </row>
    <row r="393" spans="1:1" ht="14.25">
      <c r="A393" s="42"/>
    </row>
    <row r="394" spans="1:1" ht="14.25">
      <c r="A394" s="42"/>
    </row>
    <row r="395" spans="1:1" ht="14.25">
      <c r="A395" s="42"/>
    </row>
    <row r="396" spans="1:1" ht="14.25">
      <c r="A396" s="42"/>
    </row>
    <row r="397" spans="1:1" ht="14.25">
      <c r="A397" s="42"/>
    </row>
    <row r="398" spans="1:1" ht="14.25">
      <c r="A398" s="42"/>
    </row>
    <row r="399" spans="1:1" ht="14.25">
      <c r="A399" s="42"/>
    </row>
    <row r="400" spans="1:1" ht="14.25">
      <c r="A400" s="42"/>
    </row>
    <row r="401" spans="1:1" ht="14.25">
      <c r="A401" s="42"/>
    </row>
    <row r="402" spans="1:1" ht="14.25">
      <c r="A402" s="42"/>
    </row>
    <row r="403" spans="1:1" ht="14.25">
      <c r="A403" s="42"/>
    </row>
    <row r="404" spans="1:1" ht="14.25">
      <c r="A404" s="42"/>
    </row>
    <row r="405" spans="1:1" ht="14.25">
      <c r="A405" s="42"/>
    </row>
    <row r="406" spans="1:1" ht="14.25">
      <c r="A406" s="42"/>
    </row>
    <row r="407" spans="1:1" ht="14.25">
      <c r="A407" s="42"/>
    </row>
    <row r="408" spans="1:1" ht="14.25">
      <c r="A408" s="42"/>
    </row>
    <row r="409" spans="1:1" ht="14.25">
      <c r="A409" s="42"/>
    </row>
    <row r="410" spans="1:1" ht="14.25">
      <c r="A410" s="42"/>
    </row>
    <row r="411" spans="1:1" ht="14.25">
      <c r="A411" s="42"/>
    </row>
    <row r="412" spans="1:1" ht="14.25">
      <c r="A412" s="42"/>
    </row>
    <row r="413" spans="1:1" ht="14.25">
      <c r="A413" s="42"/>
    </row>
    <row r="414" spans="1:1" ht="14.25">
      <c r="A414" s="42"/>
    </row>
    <row r="415" spans="1:1" ht="14.25">
      <c r="A415" s="42"/>
    </row>
    <row r="416" spans="1:1" ht="14.25">
      <c r="A416" s="42"/>
    </row>
    <row r="417" spans="1:1" ht="14.25">
      <c r="A417" s="42"/>
    </row>
    <row r="418" spans="1:1" ht="14.25">
      <c r="A418" s="42"/>
    </row>
    <row r="419" spans="1:1" ht="14.25">
      <c r="A419" s="42"/>
    </row>
    <row r="420" spans="1:1" ht="14.25">
      <c r="A420" s="42"/>
    </row>
    <row r="421" spans="1:1" ht="14.25">
      <c r="A421" s="42"/>
    </row>
    <row r="422" spans="1:1" ht="14.25">
      <c r="A422" s="42"/>
    </row>
    <row r="423" spans="1:1" ht="14.25">
      <c r="A423" s="42"/>
    </row>
    <row r="424" spans="1:1" ht="14.25">
      <c r="A424" s="42"/>
    </row>
    <row r="425" spans="1:1" ht="14.25">
      <c r="A425" s="42"/>
    </row>
    <row r="426" spans="1:1" ht="14.25">
      <c r="A426" s="42"/>
    </row>
    <row r="427" spans="1:1" ht="14.25">
      <c r="A427" s="42"/>
    </row>
    <row r="428" spans="1:1" ht="14.25">
      <c r="A428" s="42"/>
    </row>
    <row r="429" spans="1:1" ht="14.25">
      <c r="A429" s="42"/>
    </row>
    <row r="430" spans="1:1" ht="14.25">
      <c r="A430" s="42"/>
    </row>
    <row r="431" spans="1:1" ht="14.25">
      <c r="A431" s="42"/>
    </row>
    <row r="432" spans="1:1" ht="14.25">
      <c r="A432" s="42"/>
    </row>
    <row r="433" spans="1:1" ht="14.25">
      <c r="A433" s="42"/>
    </row>
    <row r="434" spans="1:1" ht="14.25">
      <c r="A434" s="42"/>
    </row>
    <row r="435" spans="1:1" ht="14.25">
      <c r="A435" s="42"/>
    </row>
    <row r="436" spans="1:1" ht="14.25">
      <c r="A436" s="42"/>
    </row>
    <row r="437" spans="1:1" ht="14.25">
      <c r="A437" s="42"/>
    </row>
    <row r="438" spans="1:1" ht="14.25">
      <c r="A438" s="42"/>
    </row>
    <row r="439" spans="1:1" ht="14.25">
      <c r="A439" s="42"/>
    </row>
    <row r="440" spans="1:1" ht="14.25">
      <c r="A440" s="42"/>
    </row>
    <row r="441" spans="1:1" ht="14.25">
      <c r="A441" s="42"/>
    </row>
    <row r="442" spans="1:1" ht="14.25">
      <c r="A442" s="42"/>
    </row>
    <row r="443" spans="1:1" ht="14.25">
      <c r="A443" s="42"/>
    </row>
    <row r="444" spans="1:1" ht="14.25">
      <c r="A444" s="42"/>
    </row>
    <row r="445" spans="1:1" ht="14.25">
      <c r="A445" s="42"/>
    </row>
    <row r="446" spans="1:1" ht="14.25">
      <c r="A446" s="42"/>
    </row>
    <row r="447" spans="1:1" ht="14.25">
      <c r="A447" s="42"/>
    </row>
    <row r="448" spans="1:1" ht="14.25">
      <c r="A448" s="42"/>
    </row>
    <row r="449" spans="1:1" ht="14.25">
      <c r="A449" s="42"/>
    </row>
    <row r="450" spans="1:1" ht="14.25">
      <c r="A450" s="42"/>
    </row>
    <row r="451" spans="1:1" ht="14.25">
      <c r="A451" s="42"/>
    </row>
    <row r="452" spans="1:1" ht="14.25">
      <c r="A452" s="42"/>
    </row>
    <row r="453" spans="1:1" ht="14.25">
      <c r="A453" s="42"/>
    </row>
    <row r="454" spans="1:1" ht="14.25">
      <c r="A454" s="42"/>
    </row>
    <row r="455" spans="1:1" ht="14.25">
      <c r="A455" s="42"/>
    </row>
    <row r="456" spans="1:1" ht="14.25">
      <c r="A456" s="42"/>
    </row>
    <row r="457" spans="1:1" ht="14.25">
      <c r="A457" s="42"/>
    </row>
    <row r="458" spans="1:1" ht="14.25">
      <c r="A458" s="42"/>
    </row>
    <row r="459" spans="1:1" ht="14.25">
      <c r="A459" s="42"/>
    </row>
    <row r="460" spans="1:1" ht="14.25">
      <c r="A460" s="42"/>
    </row>
    <row r="461" spans="1:1" ht="14.25">
      <c r="A461" s="42"/>
    </row>
    <row r="462" spans="1:1" ht="14.25">
      <c r="A462" s="42"/>
    </row>
    <row r="463" spans="1:1" ht="14.25">
      <c r="A463" s="42"/>
    </row>
    <row r="464" spans="1:1" ht="14.25">
      <c r="A464" s="42"/>
    </row>
    <row r="465" spans="1:1" ht="14.25">
      <c r="A465" s="42"/>
    </row>
    <row r="466" spans="1:1" ht="14.25">
      <c r="A466" s="42"/>
    </row>
    <row r="467" spans="1:1" ht="14.25">
      <c r="A467" s="42"/>
    </row>
    <row r="468" spans="1:1" ht="14.25">
      <c r="A468" s="42"/>
    </row>
    <row r="469" spans="1:1" ht="14.25">
      <c r="A469" s="42"/>
    </row>
    <row r="470" spans="1:1" ht="14.25">
      <c r="A470" s="42"/>
    </row>
    <row r="471" spans="1:1" ht="14.25">
      <c r="A471" s="42"/>
    </row>
    <row r="472" spans="1:1" ht="14.25">
      <c r="A472" s="42"/>
    </row>
    <row r="473" spans="1:1" ht="14.25">
      <c r="A473" s="42"/>
    </row>
    <row r="474" spans="1:1" ht="14.25">
      <c r="A474" s="42"/>
    </row>
    <row r="475" spans="1:1" ht="14.25">
      <c r="A475" s="42"/>
    </row>
    <row r="476" spans="1:1" ht="14.25">
      <c r="A476" s="42"/>
    </row>
    <row r="477" spans="1:1" ht="14.25">
      <c r="A477" s="42"/>
    </row>
    <row r="478" spans="1:1" ht="14.25">
      <c r="A478" s="42"/>
    </row>
    <row r="479" spans="1:1" ht="14.25">
      <c r="A479" s="42"/>
    </row>
    <row r="480" spans="1:1" ht="14.25">
      <c r="A480" s="42"/>
    </row>
    <row r="481" spans="1:1" ht="14.25">
      <c r="A481" s="42"/>
    </row>
    <row r="482" spans="1:1" ht="14.25">
      <c r="A482" s="42"/>
    </row>
    <row r="483" spans="1:1" ht="14.25">
      <c r="A483" s="42"/>
    </row>
    <row r="484" spans="1:1" ht="14.25">
      <c r="A484" s="42"/>
    </row>
    <row r="485" spans="1:1" ht="14.25">
      <c r="A485" s="42"/>
    </row>
    <row r="486" spans="1:1" ht="14.25">
      <c r="A486" s="42"/>
    </row>
    <row r="487" spans="1:1" ht="14.25">
      <c r="A487" s="42"/>
    </row>
    <row r="488" spans="1:1" ht="14.25">
      <c r="A488" s="42"/>
    </row>
    <row r="489" spans="1:1" ht="14.25">
      <c r="A489" s="42"/>
    </row>
    <row r="490" spans="1:1" ht="14.25">
      <c r="A490" s="42"/>
    </row>
    <row r="491" spans="1:1" ht="14.25">
      <c r="A491" s="42"/>
    </row>
    <row r="492" spans="1:1" ht="14.25">
      <c r="A492" s="42"/>
    </row>
    <row r="493" spans="1:1" ht="14.25">
      <c r="A493" s="42"/>
    </row>
    <row r="494" spans="1:1" ht="14.25">
      <c r="A494" s="42"/>
    </row>
    <row r="495" spans="1:1" ht="14.25">
      <c r="A495" s="42"/>
    </row>
    <row r="496" spans="1:1" ht="14.25">
      <c r="A496" s="42"/>
    </row>
    <row r="497" spans="1:1" ht="14.25">
      <c r="A497" s="42"/>
    </row>
    <row r="498" spans="1:1" ht="14.25">
      <c r="A498" s="42"/>
    </row>
    <row r="499" spans="1:1" ht="14.25">
      <c r="A499" s="42"/>
    </row>
    <row r="500" spans="1:1" ht="14.25">
      <c r="A500" s="42"/>
    </row>
    <row r="501" spans="1:1" ht="14.25">
      <c r="A501" s="42"/>
    </row>
    <row r="502" spans="1:1" ht="14.25">
      <c r="A502" s="42"/>
    </row>
    <row r="503" spans="1:1" ht="14.25">
      <c r="A503" s="42"/>
    </row>
    <row r="504" spans="1:1" ht="14.25">
      <c r="A504" s="42"/>
    </row>
    <row r="505" spans="1:1" ht="14.25">
      <c r="A505" s="42"/>
    </row>
    <row r="506" spans="1:1" ht="14.25">
      <c r="A506" s="42"/>
    </row>
    <row r="507" spans="1:1" ht="14.25">
      <c r="A507" s="42"/>
    </row>
    <row r="508" spans="1:1" ht="14.25">
      <c r="A508" s="42"/>
    </row>
    <row r="509" spans="1:1" ht="14.25">
      <c r="A509" s="42"/>
    </row>
    <row r="510" spans="1:1" ht="14.25">
      <c r="A510" s="42"/>
    </row>
    <row r="511" spans="1:1" ht="14.25">
      <c r="A511" s="42"/>
    </row>
    <row r="512" spans="1:1" ht="14.25">
      <c r="A512" s="42"/>
    </row>
    <row r="513" spans="1:1" ht="14.25">
      <c r="A513" s="42"/>
    </row>
    <row r="514" spans="1:1" ht="14.25">
      <c r="A514" s="42"/>
    </row>
    <row r="515" spans="1:1" ht="14.25">
      <c r="A515" s="42"/>
    </row>
    <row r="516" spans="1:1" ht="14.25">
      <c r="A516" s="42"/>
    </row>
    <row r="517" spans="1:1" ht="14.25">
      <c r="A517" s="42"/>
    </row>
    <row r="518" spans="1:1" ht="14.25">
      <c r="A518" s="42"/>
    </row>
    <row r="519" spans="1:1" ht="14.25">
      <c r="A519" s="42"/>
    </row>
    <row r="520" spans="1:1" ht="14.25">
      <c r="A520" s="42"/>
    </row>
    <row r="521" spans="1:1" ht="14.25">
      <c r="A521" s="42"/>
    </row>
    <row r="522" spans="1:1" ht="14.25">
      <c r="A522" s="42"/>
    </row>
    <row r="523" spans="1:1" ht="14.25">
      <c r="A523" s="42"/>
    </row>
    <row r="524" spans="1:1" ht="14.25">
      <c r="A524" s="42"/>
    </row>
    <row r="525" spans="1:1" ht="14.25">
      <c r="A525" s="42"/>
    </row>
    <row r="526" spans="1:1" ht="14.25">
      <c r="A526" s="42"/>
    </row>
    <row r="527" spans="1:1" ht="14.25">
      <c r="A527" s="42"/>
    </row>
    <row r="528" spans="1:1" ht="14.25">
      <c r="A528" s="42"/>
    </row>
    <row r="529" spans="1:1" ht="14.25">
      <c r="A529" s="42"/>
    </row>
    <row r="530" spans="1:1" ht="14.25">
      <c r="A530" s="42"/>
    </row>
    <row r="531" spans="1:1" ht="14.25">
      <c r="A531" s="42"/>
    </row>
    <row r="532" spans="1:1" ht="14.25">
      <c r="A532" s="42"/>
    </row>
    <row r="533" spans="1:1" ht="14.25">
      <c r="A533" s="42"/>
    </row>
    <row r="534" spans="1:1" ht="14.25">
      <c r="A534" s="42"/>
    </row>
    <row r="535" spans="1:1" ht="14.25">
      <c r="A535" s="42"/>
    </row>
    <row r="536" spans="1:1" ht="14.25">
      <c r="A536" s="42"/>
    </row>
    <row r="537" spans="1:1" ht="14.25">
      <c r="A537" s="42"/>
    </row>
    <row r="538" spans="1:1" ht="14.25">
      <c r="A538" s="42"/>
    </row>
    <row r="539" spans="1:1" ht="14.25">
      <c r="A539" s="42"/>
    </row>
    <row r="540" spans="1:1" ht="14.25">
      <c r="A540" s="42"/>
    </row>
    <row r="541" spans="1:1" ht="14.25">
      <c r="A541" s="42"/>
    </row>
    <row r="542" spans="1:1" ht="14.25">
      <c r="A542" s="42"/>
    </row>
    <row r="543" spans="1:1" ht="14.25">
      <c r="A543" s="42"/>
    </row>
    <row r="544" spans="1:1" ht="14.25">
      <c r="A544" s="42"/>
    </row>
    <row r="545" spans="1:1" ht="14.25">
      <c r="A545" s="42"/>
    </row>
    <row r="546" spans="1:1" ht="14.25">
      <c r="A546" s="42"/>
    </row>
    <row r="547" spans="1:1" ht="14.25">
      <c r="A547" s="42"/>
    </row>
    <row r="548" spans="1:1" ht="14.25">
      <c r="A548" s="42"/>
    </row>
    <row r="549" spans="1:1" ht="14.25">
      <c r="A549" s="42"/>
    </row>
    <row r="550" spans="1:1" ht="14.25">
      <c r="A550" s="42"/>
    </row>
    <row r="551" spans="1:1" ht="14.25">
      <c r="A551" s="42"/>
    </row>
    <row r="552" spans="1:1" ht="14.25">
      <c r="A552" s="42"/>
    </row>
    <row r="553" spans="1:1" ht="14.25">
      <c r="A553" s="42"/>
    </row>
    <row r="554" spans="1:1" ht="14.25">
      <c r="A554" s="42"/>
    </row>
    <row r="555" spans="1:1" ht="14.25">
      <c r="A555" s="42"/>
    </row>
    <row r="556" spans="1:1" ht="14.25">
      <c r="A556" s="42"/>
    </row>
    <row r="557" spans="1:1" ht="14.25">
      <c r="A557" s="42"/>
    </row>
    <row r="558" spans="1:1" ht="14.25">
      <c r="A558" s="42"/>
    </row>
    <row r="559" spans="1:1" ht="14.25">
      <c r="A559" s="42"/>
    </row>
    <row r="560" spans="1:1" ht="14.25">
      <c r="A560" s="42"/>
    </row>
    <row r="561" spans="1:1" ht="14.25">
      <c r="A561" s="42"/>
    </row>
    <row r="562" spans="1:1" ht="14.25">
      <c r="A562" s="42"/>
    </row>
    <row r="563" spans="1:1" ht="14.25">
      <c r="A563" s="42"/>
    </row>
    <row r="564" spans="1:1" ht="14.25">
      <c r="A564" s="42"/>
    </row>
    <row r="565" spans="1:1" ht="14.25">
      <c r="A565" s="42"/>
    </row>
    <row r="566" spans="1:1" ht="14.25">
      <c r="A566" s="42"/>
    </row>
    <row r="567" spans="1:1" ht="14.25">
      <c r="A567" s="42"/>
    </row>
    <row r="568" spans="1:1" ht="14.25">
      <c r="A568" s="42"/>
    </row>
    <row r="569" spans="1:1" ht="14.25">
      <c r="A569" s="42"/>
    </row>
    <row r="570" spans="1:1" ht="14.25">
      <c r="A570" s="42"/>
    </row>
    <row r="571" spans="1:1" ht="14.25">
      <c r="A571" s="42"/>
    </row>
    <row r="572" spans="1:1" ht="14.25">
      <c r="A572" s="42"/>
    </row>
    <row r="573" spans="1:1" ht="14.25">
      <c r="A573" s="42"/>
    </row>
    <row r="574" spans="1:1" ht="14.25">
      <c r="A574" s="42"/>
    </row>
    <row r="575" spans="1:1" ht="14.25">
      <c r="A575" s="42"/>
    </row>
    <row r="576" spans="1:1" ht="14.25">
      <c r="A576" s="42"/>
    </row>
    <row r="577" spans="1:1" ht="14.25">
      <c r="A577" s="42"/>
    </row>
    <row r="578" spans="1:1" ht="14.25">
      <c r="A578" s="42"/>
    </row>
    <row r="579" spans="1:1" ht="14.25">
      <c r="A579" s="42"/>
    </row>
    <row r="580" spans="1:1" ht="14.25">
      <c r="A580" s="42"/>
    </row>
    <row r="581" spans="1:1" ht="14.25">
      <c r="A581" s="42"/>
    </row>
    <row r="582" spans="1:1" ht="14.25">
      <c r="A582" s="42"/>
    </row>
    <row r="583" spans="1:1" ht="14.25">
      <c r="A583" s="42"/>
    </row>
    <row r="584" spans="1:1" ht="14.25">
      <c r="A584" s="42"/>
    </row>
    <row r="585" spans="1:1" ht="14.25">
      <c r="A585" s="42"/>
    </row>
    <row r="586" spans="1:1" ht="14.25">
      <c r="A586" s="42"/>
    </row>
    <row r="587" spans="1:1" ht="14.25">
      <c r="A587" s="42"/>
    </row>
    <row r="588" spans="1:1" ht="14.25">
      <c r="A588" s="42"/>
    </row>
    <row r="589" spans="1:1" ht="14.25">
      <c r="A589" s="42"/>
    </row>
    <row r="590" spans="1:1" ht="14.25">
      <c r="A590" s="42"/>
    </row>
    <row r="591" spans="1:1" ht="14.25">
      <c r="A591" s="42"/>
    </row>
    <row r="592" spans="1:1" ht="14.25">
      <c r="A592" s="42"/>
    </row>
    <row r="593" spans="1:1" ht="14.25">
      <c r="A593" s="42"/>
    </row>
    <row r="594" spans="1:1" ht="14.25">
      <c r="A594" s="42"/>
    </row>
    <row r="595" spans="1:1" ht="14.25">
      <c r="A595" s="42"/>
    </row>
    <row r="596" spans="1:1" ht="14.25">
      <c r="A596" s="42"/>
    </row>
    <row r="597" spans="1:1" ht="14.25">
      <c r="A597" s="42"/>
    </row>
    <row r="598" spans="1:1" ht="14.25">
      <c r="A598" s="42"/>
    </row>
    <row r="599" spans="1:1" ht="14.25">
      <c r="A599" s="42"/>
    </row>
    <row r="600" spans="1:1" ht="14.25">
      <c r="A600" s="42"/>
    </row>
    <row r="601" spans="1:1" ht="14.25">
      <c r="A601" s="42"/>
    </row>
    <row r="602" spans="1:1" ht="14.25">
      <c r="A602" s="42"/>
    </row>
    <row r="603" spans="1:1" ht="14.25">
      <c r="A603" s="42"/>
    </row>
    <row r="604" spans="1:1" ht="14.25">
      <c r="A604" s="42"/>
    </row>
    <row r="605" spans="1:1" ht="14.25">
      <c r="A605" s="42"/>
    </row>
    <row r="606" spans="1:1" ht="14.25">
      <c r="A606" s="42"/>
    </row>
    <row r="607" spans="1:1" ht="14.25">
      <c r="A607" s="42"/>
    </row>
    <row r="608" spans="1:1" ht="14.25">
      <c r="A608" s="42"/>
    </row>
    <row r="609" spans="1:1" ht="14.25">
      <c r="A609" s="42"/>
    </row>
    <row r="610" spans="1:1" ht="14.25">
      <c r="A610" s="42"/>
    </row>
    <row r="611" spans="1:1" ht="14.25">
      <c r="A611" s="42"/>
    </row>
    <row r="612" spans="1:1" ht="14.25">
      <c r="A612" s="42"/>
    </row>
    <row r="613" spans="1:1" ht="14.25">
      <c r="A613" s="42"/>
    </row>
    <row r="614" spans="1:1" ht="14.25">
      <c r="A614" s="42"/>
    </row>
    <row r="615" spans="1:1" ht="14.25">
      <c r="A615" s="42"/>
    </row>
    <row r="616" spans="1:1" ht="14.25">
      <c r="A616" s="42"/>
    </row>
    <row r="617" spans="1:1" ht="14.25">
      <c r="A617" s="42"/>
    </row>
    <row r="618" spans="1:1" ht="14.25">
      <c r="A618" s="42"/>
    </row>
    <row r="619" spans="1:1" ht="14.25">
      <c r="A619" s="42"/>
    </row>
    <row r="620" spans="1:1" ht="14.25">
      <c r="A620" s="42"/>
    </row>
    <row r="621" spans="1:1" ht="14.25">
      <c r="A621" s="42"/>
    </row>
    <row r="622" spans="1:1" ht="14.25">
      <c r="A622" s="42"/>
    </row>
    <row r="623" spans="1:1" ht="14.25">
      <c r="A623" s="42"/>
    </row>
    <row r="624" spans="1:1" ht="14.25">
      <c r="A624" s="42"/>
    </row>
    <row r="625" spans="1:1" ht="14.25">
      <c r="A625" s="42"/>
    </row>
    <row r="626" spans="1:1" ht="14.25">
      <c r="A626" s="42"/>
    </row>
    <row r="627" spans="1:1" ht="14.25">
      <c r="A627" s="42"/>
    </row>
    <row r="628" spans="1:1" ht="14.25">
      <c r="A628" s="42"/>
    </row>
    <row r="629" spans="1:1" ht="14.25">
      <c r="A629" s="42"/>
    </row>
    <row r="630" spans="1:1" ht="14.25">
      <c r="A630" s="42"/>
    </row>
    <row r="631" spans="1:1" ht="14.25">
      <c r="A631" s="42"/>
    </row>
    <row r="632" spans="1:1" ht="14.25">
      <c r="A632" s="42"/>
    </row>
    <row r="633" spans="1:1" ht="14.25">
      <c r="A633" s="42"/>
    </row>
    <row r="634" spans="1:1" ht="14.25">
      <c r="A634" s="42"/>
    </row>
    <row r="635" spans="1:1" ht="14.25">
      <c r="A635" s="42"/>
    </row>
    <row r="636" spans="1:1" ht="14.25">
      <c r="A636" s="42"/>
    </row>
    <row r="637" spans="1:1" ht="14.25">
      <c r="A637" s="42"/>
    </row>
    <row r="638" spans="1:1" ht="14.25">
      <c r="A638" s="42"/>
    </row>
    <row r="639" spans="1:1" ht="14.25">
      <c r="A639" s="42"/>
    </row>
    <row r="640" spans="1:1" ht="14.25">
      <c r="A640" s="42"/>
    </row>
    <row r="641" spans="1:1" ht="14.25">
      <c r="A641" s="42"/>
    </row>
    <row r="642" spans="1:1" ht="14.25">
      <c r="A642" s="42"/>
    </row>
    <row r="643" spans="1:1" ht="14.25">
      <c r="A643" s="42"/>
    </row>
    <row r="644" spans="1:1" ht="14.25">
      <c r="A644" s="42"/>
    </row>
    <row r="645" spans="1:1" ht="14.25">
      <c r="A645" s="42"/>
    </row>
    <row r="646" spans="1:1" ht="14.25">
      <c r="A646" s="42"/>
    </row>
    <row r="647" spans="1:1" ht="14.25">
      <c r="A647" s="42"/>
    </row>
    <row r="648" spans="1:1" ht="14.25">
      <c r="A648" s="42"/>
    </row>
    <row r="649" spans="1:1" ht="14.25">
      <c r="A649" s="42"/>
    </row>
    <row r="650" spans="1:1" ht="14.25">
      <c r="A650" s="42"/>
    </row>
    <row r="651" spans="1:1" ht="14.25">
      <c r="A651" s="42"/>
    </row>
    <row r="652" spans="1:1" ht="14.25">
      <c r="A652" s="42"/>
    </row>
    <row r="653" spans="1:1" ht="14.25">
      <c r="A653" s="42"/>
    </row>
    <row r="654" spans="1:1" ht="14.25">
      <c r="A654" s="42"/>
    </row>
    <row r="655" spans="1:1" ht="14.25">
      <c r="A655" s="42"/>
    </row>
    <row r="656" spans="1:1" ht="14.25">
      <c r="A656" s="42"/>
    </row>
    <row r="657" spans="1:1" ht="14.25">
      <c r="A657" s="42"/>
    </row>
    <row r="658" spans="1:1" ht="14.25">
      <c r="A658" s="42"/>
    </row>
    <row r="659" spans="1:1" ht="14.25">
      <c r="A659" s="42"/>
    </row>
    <row r="660" spans="1:1" ht="14.25">
      <c r="A660" s="42"/>
    </row>
    <row r="661" spans="1:1" ht="14.25">
      <c r="A661" s="42"/>
    </row>
    <row r="662" spans="1:1" ht="14.25">
      <c r="A662" s="42"/>
    </row>
    <row r="663" spans="1:1" ht="14.25">
      <c r="A663" s="42"/>
    </row>
    <row r="664" spans="1:1" ht="14.25">
      <c r="A664" s="42"/>
    </row>
    <row r="665" spans="1:1" ht="14.25">
      <c r="A665" s="42"/>
    </row>
    <row r="666" spans="1:1" ht="14.25">
      <c r="A666" s="42"/>
    </row>
    <row r="667" spans="1:1" ht="14.25">
      <c r="A667" s="42"/>
    </row>
    <row r="668" spans="1:1" ht="14.25">
      <c r="A668" s="42"/>
    </row>
    <row r="669" spans="1:1" ht="14.25">
      <c r="A669" s="42"/>
    </row>
    <row r="670" spans="1:1" ht="14.25">
      <c r="A670" s="42"/>
    </row>
    <row r="671" spans="1:1" ht="14.25">
      <c r="A671" s="42"/>
    </row>
    <row r="672" spans="1:1" ht="14.25">
      <c r="A672" s="42"/>
    </row>
    <row r="673" spans="1:1" ht="14.25">
      <c r="A673" s="42"/>
    </row>
    <row r="674" spans="1:1" ht="14.25">
      <c r="A674" s="42"/>
    </row>
    <row r="675" spans="1:1" ht="14.25">
      <c r="A675" s="42"/>
    </row>
    <row r="676" spans="1:1" ht="14.25">
      <c r="A676" s="42"/>
    </row>
    <row r="677" spans="1:1" ht="14.25">
      <c r="A677" s="42"/>
    </row>
    <row r="678" spans="1:1" ht="14.25">
      <c r="A678" s="42"/>
    </row>
    <row r="679" spans="1:1" ht="14.25">
      <c r="A679" s="42"/>
    </row>
    <row r="680" spans="1:1" ht="14.25">
      <c r="A680" s="42"/>
    </row>
    <row r="681" spans="1:1" ht="14.25">
      <c r="A681" s="42"/>
    </row>
    <row r="682" spans="1:1" ht="14.25">
      <c r="A682" s="42"/>
    </row>
    <row r="683" spans="1:1" ht="14.25">
      <c r="A683" s="42"/>
    </row>
    <row r="684" spans="1:1" ht="14.25">
      <c r="A684" s="42"/>
    </row>
    <row r="685" spans="1:1" ht="14.25">
      <c r="A685" s="42"/>
    </row>
    <row r="686" spans="1:1" ht="14.25">
      <c r="A686" s="42"/>
    </row>
    <row r="687" spans="1:1" ht="14.25">
      <c r="A687" s="42"/>
    </row>
    <row r="688" spans="1:1" ht="14.25">
      <c r="A688" s="42"/>
    </row>
    <row r="689" spans="1:1" ht="14.25">
      <c r="A689" s="42"/>
    </row>
    <row r="690" spans="1:1" ht="14.25">
      <c r="A690" s="42"/>
    </row>
    <row r="691" spans="1:1" ht="14.25">
      <c r="A691" s="42"/>
    </row>
    <row r="692" spans="1:1" ht="14.25">
      <c r="A692" s="42"/>
    </row>
    <row r="693" spans="1:1" ht="14.25">
      <c r="A693" s="42"/>
    </row>
    <row r="694" spans="1:1" ht="14.25">
      <c r="A694" s="42"/>
    </row>
    <row r="695" spans="1:1" ht="14.25">
      <c r="A695" s="42"/>
    </row>
    <row r="696" spans="1:1" ht="14.25">
      <c r="A696" s="42"/>
    </row>
    <row r="697" spans="1:1" ht="14.25">
      <c r="A697" s="42"/>
    </row>
    <row r="698" spans="1:1" ht="14.25">
      <c r="A698" s="42"/>
    </row>
    <row r="699" spans="1:1" ht="14.25">
      <c r="A699" s="42"/>
    </row>
    <row r="700" spans="1:1" ht="14.25">
      <c r="A700" s="42"/>
    </row>
    <row r="701" spans="1:1" ht="14.25">
      <c r="A701" s="42"/>
    </row>
    <row r="702" spans="1:1" ht="14.25">
      <c r="A702" s="42"/>
    </row>
    <row r="703" spans="1:1" ht="14.25">
      <c r="A703" s="42"/>
    </row>
    <row r="704" spans="1:1" ht="14.25">
      <c r="A704" s="42"/>
    </row>
    <row r="705" spans="1:1" ht="14.25">
      <c r="A705" s="42"/>
    </row>
    <row r="706" spans="1:1" ht="14.25">
      <c r="A706" s="42"/>
    </row>
    <row r="707" spans="1:1" ht="14.25">
      <c r="A707" s="42"/>
    </row>
    <row r="708" spans="1:1" ht="14.25">
      <c r="A708" s="42"/>
    </row>
    <row r="709" spans="1:1" ht="14.25">
      <c r="A709" s="42"/>
    </row>
    <row r="710" spans="1:1" ht="14.25">
      <c r="A710" s="42"/>
    </row>
    <row r="711" spans="1:1" ht="14.25">
      <c r="A711" s="42"/>
    </row>
    <row r="712" spans="1:1" ht="14.25">
      <c r="A712" s="42"/>
    </row>
    <row r="713" spans="1:1" ht="14.25">
      <c r="A713" s="42"/>
    </row>
    <row r="714" spans="1:1" ht="14.25">
      <c r="A714" s="42"/>
    </row>
    <row r="715" spans="1:1" ht="14.25">
      <c r="A715" s="42"/>
    </row>
    <row r="716" spans="1:1" ht="14.25">
      <c r="A716" s="42"/>
    </row>
    <row r="717" spans="1:1" ht="14.25">
      <c r="A717" s="42"/>
    </row>
    <row r="718" spans="1:1" ht="14.25">
      <c r="A718" s="42"/>
    </row>
    <row r="719" spans="1:1" ht="14.25">
      <c r="A719" s="42"/>
    </row>
    <row r="720" spans="1:1" ht="14.25">
      <c r="A720" s="42"/>
    </row>
    <row r="721" spans="1:1" ht="14.25">
      <c r="A721" s="42"/>
    </row>
    <row r="722" spans="1:1" ht="14.25">
      <c r="A722" s="42"/>
    </row>
    <row r="723" spans="1:1" ht="14.25">
      <c r="A723" s="42"/>
    </row>
    <row r="724" spans="1:1" ht="14.25">
      <c r="A724" s="42"/>
    </row>
    <row r="725" spans="1:1" ht="14.25">
      <c r="A725" s="42"/>
    </row>
    <row r="726" spans="1:1" ht="14.25">
      <c r="A726" s="42"/>
    </row>
    <row r="727" spans="1:1" ht="14.25">
      <c r="A727" s="42"/>
    </row>
    <row r="728" spans="1:1" ht="14.25">
      <c r="A728" s="42"/>
    </row>
    <row r="729" spans="1:1" ht="14.25">
      <c r="A729" s="42"/>
    </row>
    <row r="730" spans="1:1" ht="14.25">
      <c r="A730" s="42"/>
    </row>
    <row r="731" spans="1:1" ht="14.25">
      <c r="A731" s="42"/>
    </row>
    <row r="732" spans="1:1" ht="14.25">
      <c r="A732" s="42"/>
    </row>
    <row r="733" spans="1:1" ht="14.25">
      <c r="A733" s="42"/>
    </row>
    <row r="734" spans="1:1" ht="14.25">
      <c r="A734" s="42"/>
    </row>
    <row r="735" spans="1:1" ht="14.25">
      <c r="A735" s="42"/>
    </row>
    <row r="736" spans="1:1" ht="14.25">
      <c r="A736" s="42"/>
    </row>
    <row r="737" spans="1:1" ht="14.25">
      <c r="A737" s="42"/>
    </row>
    <row r="738" spans="1:1" ht="14.25">
      <c r="A738" s="42"/>
    </row>
    <row r="739" spans="1:1" ht="14.25">
      <c r="A739" s="42"/>
    </row>
    <row r="740" spans="1:1" ht="14.25">
      <c r="A740" s="42"/>
    </row>
    <row r="741" spans="1:1" ht="14.25">
      <c r="A741" s="42"/>
    </row>
    <row r="742" spans="1:1" ht="14.25">
      <c r="A742" s="42"/>
    </row>
    <row r="743" spans="1:1" ht="14.25">
      <c r="A743" s="42"/>
    </row>
    <row r="744" spans="1:1" ht="14.25">
      <c r="A744" s="42"/>
    </row>
    <row r="745" spans="1:1" ht="14.25">
      <c r="A745" s="42"/>
    </row>
    <row r="746" spans="1:1" ht="14.25">
      <c r="A746" s="42"/>
    </row>
    <row r="747" spans="1:1" ht="14.25">
      <c r="A747" s="42"/>
    </row>
    <row r="748" spans="1:1" ht="14.25">
      <c r="A748" s="42"/>
    </row>
    <row r="749" spans="1:1" ht="14.25">
      <c r="A749" s="42"/>
    </row>
    <row r="750" spans="1:1" ht="14.25">
      <c r="A750" s="42"/>
    </row>
    <row r="751" spans="1:1" ht="14.25">
      <c r="A751" s="42"/>
    </row>
    <row r="752" spans="1:1" ht="14.25">
      <c r="A752" s="42"/>
    </row>
    <row r="753" spans="1:1" ht="14.25">
      <c r="A753" s="42"/>
    </row>
    <row r="754" spans="1:1" ht="14.25">
      <c r="A754" s="42"/>
    </row>
    <row r="755" spans="1:1" ht="14.25">
      <c r="A755" s="42"/>
    </row>
    <row r="756" spans="1:1" ht="14.25">
      <c r="A756" s="42"/>
    </row>
    <row r="757" spans="1:1" ht="14.25">
      <c r="A757" s="42"/>
    </row>
    <row r="758" spans="1:1" ht="14.25">
      <c r="A758" s="42"/>
    </row>
    <row r="759" spans="1:1" ht="14.25">
      <c r="A759" s="42"/>
    </row>
    <row r="760" spans="1:1" ht="14.25">
      <c r="A760" s="42"/>
    </row>
    <row r="761" spans="1:1" ht="14.25">
      <c r="A761" s="42"/>
    </row>
    <row r="762" spans="1:1" ht="14.25">
      <c r="A762" s="42"/>
    </row>
    <row r="763" spans="1:1" ht="14.25">
      <c r="A763" s="42"/>
    </row>
    <row r="764" spans="1:1" ht="14.25">
      <c r="A764" s="42"/>
    </row>
    <row r="765" spans="1:1" ht="14.25">
      <c r="A765" s="42"/>
    </row>
    <row r="766" spans="1:1" ht="14.25">
      <c r="A766" s="42"/>
    </row>
    <row r="767" spans="1:1" ht="14.25">
      <c r="A767" s="42"/>
    </row>
    <row r="768" spans="1:1" ht="14.25">
      <c r="A768" s="42"/>
    </row>
    <row r="769" spans="1:1" ht="14.25">
      <c r="A769" s="42"/>
    </row>
    <row r="770" spans="1:1" ht="14.25">
      <c r="A770" s="42"/>
    </row>
    <row r="771" spans="1:1" ht="14.25">
      <c r="A771" s="42"/>
    </row>
    <row r="772" spans="1:1" ht="14.25">
      <c r="A772" s="42"/>
    </row>
    <row r="773" spans="1:1" ht="14.25">
      <c r="A773" s="42"/>
    </row>
    <row r="774" spans="1:1" ht="14.25">
      <c r="A774" s="42"/>
    </row>
    <row r="775" spans="1:1" ht="14.25">
      <c r="A775" s="42"/>
    </row>
    <row r="776" spans="1:1" ht="14.25">
      <c r="A776" s="42"/>
    </row>
    <row r="777" spans="1:1" ht="14.25">
      <c r="A777" s="42"/>
    </row>
    <row r="778" spans="1:1" ht="14.25">
      <c r="A778" s="42"/>
    </row>
    <row r="779" spans="1:1" ht="14.25">
      <c r="A779" s="42"/>
    </row>
    <row r="780" spans="1:1" ht="14.25">
      <c r="A780" s="42"/>
    </row>
    <row r="781" spans="1:1" ht="14.25">
      <c r="A781" s="42"/>
    </row>
    <row r="782" spans="1:1" ht="14.25">
      <c r="A782" s="42"/>
    </row>
    <row r="783" spans="1:1" ht="14.25">
      <c r="A783" s="42"/>
    </row>
    <row r="784" spans="1:1" ht="14.25">
      <c r="A784" s="42"/>
    </row>
    <row r="785" spans="1:1" ht="14.25">
      <c r="A785" s="42"/>
    </row>
    <row r="786" spans="1:1" ht="14.25">
      <c r="A786" s="42"/>
    </row>
    <row r="787" spans="1:1" ht="14.25">
      <c r="A787" s="42"/>
    </row>
    <row r="788" spans="1:1" ht="14.25">
      <c r="A788" s="42"/>
    </row>
    <row r="789" spans="1:1" ht="14.25">
      <c r="A789" s="42"/>
    </row>
    <row r="790" spans="1:1" ht="14.25">
      <c r="A790" s="42"/>
    </row>
    <row r="791" spans="1:1" ht="14.25">
      <c r="A791" s="42"/>
    </row>
    <row r="792" spans="1:1" ht="14.25">
      <c r="A792" s="42"/>
    </row>
    <row r="793" spans="1:1" ht="14.25">
      <c r="A793" s="42"/>
    </row>
    <row r="794" spans="1:1" ht="14.25">
      <c r="A794" s="42"/>
    </row>
    <row r="795" spans="1:1" ht="14.25">
      <c r="A795" s="42"/>
    </row>
    <row r="796" spans="1:1" ht="14.25">
      <c r="A796" s="42"/>
    </row>
    <row r="797" spans="1:1" ht="14.25">
      <c r="A797" s="42"/>
    </row>
    <row r="798" spans="1:1" ht="14.25">
      <c r="A798" s="42"/>
    </row>
    <row r="799" spans="1:1" ht="14.25">
      <c r="A799" s="42"/>
    </row>
    <row r="800" spans="1:1" ht="14.25">
      <c r="A800" s="42"/>
    </row>
    <row r="801" spans="1:1" ht="14.25">
      <c r="A801" s="42"/>
    </row>
    <row r="802" spans="1:1" ht="14.25">
      <c r="A802" s="42"/>
    </row>
    <row r="803" spans="1:1" ht="14.25">
      <c r="A803" s="42"/>
    </row>
    <row r="804" spans="1:1" ht="14.25">
      <c r="A804" s="42"/>
    </row>
    <row r="805" spans="1:1" ht="14.25">
      <c r="A805" s="42"/>
    </row>
    <row r="806" spans="1:1" ht="14.25">
      <c r="A806" s="42"/>
    </row>
    <row r="807" spans="1:1" ht="14.25">
      <c r="A807" s="42"/>
    </row>
    <row r="808" spans="1:1" ht="14.25">
      <c r="A808" s="42"/>
    </row>
    <row r="809" spans="1:1" ht="14.25">
      <c r="A809" s="42"/>
    </row>
    <row r="810" spans="1:1" ht="14.25">
      <c r="A810" s="42"/>
    </row>
    <row r="811" spans="1:1" ht="14.25">
      <c r="A811" s="42"/>
    </row>
    <row r="812" spans="1:1" ht="14.25">
      <c r="A812" s="42"/>
    </row>
    <row r="813" spans="1:1" ht="14.25">
      <c r="A813" s="42"/>
    </row>
    <row r="814" spans="1:1" ht="14.25">
      <c r="A814" s="42"/>
    </row>
    <row r="815" spans="1:1" ht="14.25">
      <c r="A815" s="42"/>
    </row>
    <row r="816" spans="1:1" ht="14.25">
      <c r="A816" s="42"/>
    </row>
    <row r="817" spans="1:1" ht="14.25">
      <c r="A817" s="42"/>
    </row>
    <row r="818" spans="1:1" ht="14.25">
      <c r="A818" s="42"/>
    </row>
    <row r="819" spans="1:1" ht="14.25">
      <c r="A819" s="42"/>
    </row>
    <row r="820" spans="1:1" ht="14.25">
      <c r="A820" s="42"/>
    </row>
    <row r="821" spans="1:1" ht="14.25">
      <c r="A821" s="42"/>
    </row>
    <row r="822" spans="1:1" ht="14.25">
      <c r="A822" s="42"/>
    </row>
    <row r="823" spans="1:1" ht="14.25">
      <c r="A823" s="42"/>
    </row>
    <row r="824" spans="1:1" ht="14.25">
      <c r="A824" s="42"/>
    </row>
    <row r="825" spans="1:1" ht="14.25">
      <c r="A825" s="42"/>
    </row>
    <row r="826" spans="1:1" ht="14.25">
      <c r="A826" s="42"/>
    </row>
    <row r="827" spans="1:1" ht="14.25">
      <c r="A827" s="42"/>
    </row>
    <row r="828" spans="1:1" ht="14.25">
      <c r="A828" s="42"/>
    </row>
    <row r="829" spans="1:1" ht="14.25">
      <c r="A829" s="42"/>
    </row>
    <row r="830" spans="1:1" ht="14.25">
      <c r="A830" s="42"/>
    </row>
    <row r="831" spans="1:1" ht="14.25">
      <c r="A831" s="42"/>
    </row>
    <row r="832" spans="1:1" ht="14.25">
      <c r="A832" s="42"/>
    </row>
    <row r="833" spans="1:1" ht="14.25">
      <c r="A833" s="42"/>
    </row>
    <row r="834" spans="1:1" ht="14.25">
      <c r="A834" s="42"/>
    </row>
    <row r="835" spans="1:1" ht="14.25">
      <c r="A835" s="42"/>
    </row>
    <row r="836" spans="1:1" ht="14.25">
      <c r="A836" s="42"/>
    </row>
    <row r="837" spans="1:1" ht="14.25">
      <c r="A837" s="42"/>
    </row>
    <row r="838" spans="1:1" ht="14.25">
      <c r="A838" s="42"/>
    </row>
    <row r="839" spans="1:1" ht="14.25">
      <c r="A839" s="42"/>
    </row>
    <row r="840" spans="1:1" ht="14.25">
      <c r="A840" s="42"/>
    </row>
    <row r="841" spans="1:1" ht="14.25">
      <c r="A841" s="42"/>
    </row>
    <row r="842" spans="1:1" ht="14.25">
      <c r="A842" s="42"/>
    </row>
    <row r="843" spans="1:1" ht="14.25">
      <c r="A843" s="42"/>
    </row>
    <row r="844" spans="1:1" ht="14.25">
      <c r="A844" s="42"/>
    </row>
    <row r="845" spans="1:1" ht="14.25">
      <c r="A845" s="42"/>
    </row>
    <row r="846" spans="1:1" ht="14.25">
      <c r="A846" s="42"/>
    </row>
    <row r="847" spans="1:1" ht="14.25">
      <c r="A847" s="42"/>
    </row>
    <row r="848" spans="1:1" ht="14.25">
      <c r="A848" s="42"/>
    </row>
    <row r="849" spans="1:1" ht="14.25">
      <c r="A849" s="42"/>
    </row>
    <row r="850" spans="1:1" ht="14.25">
      <c r="A850" s="42"/>
    </row>
    <row r="851" spans="1:1" ht="14.25">
      <c r="A851" s="42"/>
    </row>
    <row r="852" spans="1:1" ht="14.25">
      <c r="A852" s="42"/>
    </row>
    <row r="853" spans="1:1" ht="14.25">
      <c r="A853" s="42"/>
    </row>
    <row r="854" spans="1:1" ht="14.25">
      <c r="A854" s="42"/>
    </row>
    <row r="855" spans="1:1" ht="14.25">
      <c r="A855" s="42"/>
    </row>
    <row r="856" spans="1:1" ht="14.25">
      <c r="A856" s="42"/>
    </row>
    <row r="857" spans="1:1" ht="14.25">
      <c r="A857" s="42"/>
    </row>
    <row r="858" spans="1:1" ht="14.25">
      <c r="A858" s="42"/>
    </row>
    <row r="859" spans="1:1" ht="14.25">
      <c r="A859" s="42"/>
    </row>
    <row r="860" spans="1:1" ht="14.25">
      <c r="A860" s="42"/>
    </row>
    <row r="861" spans="1:1" ht="14.25">
      <c r="A861" s="42"/>
    </row>
    <row r="862" spans="1:1" ht="14.25">
      <c r="A862" s="42"/>
    </row>
    <row r="863" spans="1:1" ht="14.25">
      <c r="A863" s="42"/>
    </row>
    <row r="864" spans="1:1" ht="14.25">
      <c r="A864" s="42"/>
    </row>
    <row r="865" spans="1:1" ht="14.25">
      <c r="A865" s="42"/>
    </row>
    <row r="866" spans="1:1" ht="14.25">
      <c r="A866" s="42"/>
    </row>
    <row r="867" spans="1:1" ht="14.25">
      <c r="A867" s="42"/>
    </row>
    <row r="868" spans="1:1" ht="14.25">
      <c r="A868" s="42"/>
    </row>
    <row r="869" spans="1:1" ht="14.25">
      <c r="A869" s="42"/>
    </row>
    <row r="870" spans="1:1" ht="14.25">
      <c r="A870" s="42"/>
    </row>
    <row r="871" spans="1:1" ht="14.25">
      <c r="A871" s="42"/>
    </row>
    <row r="872" spans="1:1" ht="14.25">
      <c r="A872" s="42"/>
    </row>
    <row r="873" spans="1:1" ht="14.25">
      <c r="A873" s="42"/>
    </row>
    <row r="874" spans="1:1" ht="14.25">
      <c r="A874" s="42"/>
    </row>
    <row r="875" spans="1:1" ht="14.25">
      <c r="A875" s="42"/>
    </row>
    <row r="876" spans="1:1" ht="14.25">
      <c r="A876" s="42"/>
    </row>
    <row r="877" spans="1:1" ht="14.25">
      <c r="A877" s="42"/>
    </row>
    <row r="878" spans="1:1" ht="14.25">
      <c r="A878" s="42"/>
    </row>
    <row r="879" spans="1:1" ht="14.25">
      <c r="A879" s="42"/>
    </row>
    <row r="880" spans="1:1" ht="14.25">
      <c r="A880" s="42"/>
    </row>
    <row r="881" spans="1:1" ht="14.25">
      <c r="A881" s="42"/>
    </row>
    <row r="882" spans="1:1" ht="14.25">
      <c r="A882" s="42"/>
    </row>
    <row r="883" spans="1:1" ht="14.25">
      <c r="A883" s="42"/>
    </row>
    <row r="884" spans="1:1" ht="14.25">
      <c r="A884" s="42"/>
    </row>
    <row r="885" spans="1:1" ht="14.25">
      <c r="A885" s="42"/>
    </row>
    <row r="886" spans="1:1" ht="14.25">
      <c r="A886" s="42"/>
    </row>
    <row r="887" spans="1:1" ht="14.25">
      <c r="A887" s="42"/>
    </row>
    <row r="888" spans="1:1" ht="14.25">
      <c r="A888" s="42"/>
    </row>
    <row r="889" spans="1:1" ht="14.25">
      <c r="A889" s="42"/>
    </row>
    <row r="890" spans="1:1" ht="14.25">
      <c r="A890" s="42"/>
    </row>
    <row r="891" spans="1:1" ht="14.25">
      <c r="A891" s="42"/>
    </row>
    <row r="892" spans="1:1" ht="14.25">
      <c r="A892" s="42"/>
    </row>
    <row r="893" spans="1:1" ht="14.25">
      <c r="A893" s="42"/>
    </row>
    <row r="894" spans="1:1" ht="14.25">
      <c r="A894" s="42"/>
    </row>
    <row r="895" spans="1:1" ht="14.25">
      <c r="A895" s="42"/>
    </row>
    <row r="896" spans="1:1" ht="14.25">
      <c r="A896" s="42"/>
    </row>
    <row r="897" spans="1:1" ht="14.25">
      <c r="A897" s="42"/>
    </row>
    <row r="898" spans="1:1" ht="14.25">
      <c r="A898" s="42"/>
    </row>
    <row r="899" spans="1:1" ht="14.25">
      <c r="A899" s="42"/>
    </row>
    <row r="900" spans="1:1" ht="14.25">
      <c r="A900" s="42"/>
    </row>
    <row r="901" spans="1:1" ht="14.25">
      <c r="A901" s="42"/>
    </row>
    <row r="902" spans="1:1" ht="14.25">
      <c r="A902" s="42"/>
    </row>
    <row r="903" spans="1:1" ht="14.25">
      <c r="A903" s="42"/>
    </row>
    <row r="904" spans="1:1" ht="14.25">
      <c r="A904" s="42"/>
    </row>
    <row r="905" spans="1:1" ht="14.25">
      <c r="A905" s="42"/>
    </row>
    <row r="906" spans="1:1" ht="14.25">
      <c r="A906" s="42"/>
    </row>
    <row r="907" spans="1:1" ht="14.25">
      <c r="A907" s="42"/>
    </row>
    <row r="908" spans="1:1" ht="14.25">
      <c r="A908" s="42"/>
    </row>
    <row r="909" spans="1:1" ht="14.25">
      <c r="A909" s="42"/>
    </row>
    <row r="910" spans="1:1" ht="14.25">
      <c r="A910" s="42"/>
    </row>
    <row r="911" spans="1:1" ht="14.25">
      <c r="A911" s="42"/>
    </row>
    <row r="912" spans="1:1" ht="14.25">
      <c r="A912" s="42"/>
    </row>
    <row r="913" spans="1:1" ht="14.25">
      <c r="A913" s="42"/>
    </row>
    <row r="914" spans="1:1" ht="14.25">
      <c r="A914" s="42"/>
    </row>
    <row r="915" spans="1:1" ht="14.25">
      <c r="A915" s="42"/>
    </row>
    <row r="916" spans="1:1" ht="14.25">
      <c r="A916" s="42"/>
    </row>
    <row r="917" spans="1:1" ht="14.25">
      <c r="A917" s="42"/>
    </row>
    <row r="918" spans="1:1" ht="14.25">
      <c r="A918" s="42"/>
    </row>
    <row r="919" spans="1:1" ht="14.25">
      <c r="A919" s="42"/>
    </row>
    <row r="920" spans="1:1" ht="14.25">
      <c r="A920" s="42"/>
    </row>
    <row r="921" spans="1:1" ht="14.25">
      <c r="A921" s="42"/>
    </row>
    <row r="922" spans="1:1" ht="14.25">
      <c r="A922" s="42"/>
    </row>
    <row r="923" spans="1:1" ht="14.25">
      <c r="A923" s="42"/>
    </row>
    <row r="924" spans="1:1" ht="14.25">
      <c r="A924" s="42"/>
    </row>
    <row r="925" spans="1:1" ht="14.25">
      <c r="A925" s="42"/>
    </row>
    <row r="926" spans="1:1" ht="14.25">
      <c r="A926" s="42"/>
    </row>
    <row r="927" spans="1:1" ht="14.25">
      <c r="A927" s="42"/>
    </row>
    <row r="928" spans="1:1" ht="14.25">
      <c r="A928" s="42"/>
    </row>
    <row r="929" spans="1:1" ht="14.25">
      <c r="A929" s="42"/>
    </row>
    <row r="930" spans="1:1" ht="14.25">
      <c r="A930" s="42"/>
    </row>
    <row r="931" spans="1:1" ht="14.25">
      <c r="A931" s="42"/>
    </row>
    <row r="932" spans="1:1" ht="14.25">
      <c r="A932" s="42"/>
    </row>
    <row r="933" spans="1:1" ht="14.25">
      <c r="A933" s="42"/>
    </row>
    <row r="934" spans="1:1" ht="14.25">
      <c r="A934" s="42"/>
    </row>
    <row r="935" spans="1:1" ht="14.25">
      <c r="A935" s="42"/>
    </row>
    <row r="936" spans="1:1" ht="14.25">
      <c r="A936" s="42"/>
    </row>
    <row r="937" spans="1:1" ht="14.25">
      <c r="A937" s="42"/>
    </row>
    <row r="938" spans="1:1" ht="14.25">
      <c r="A938" s="42"/>
    </row>
    <row r="939" spans="1:1" ht="14.25">
      <c r="A939" s="42"/>
    </row>
    <row r="940" spans="1:1" ht="14.25">
      <c r="A940" s="42"/>
    </row>
    <row r="941" spans="1:1" ht="14.25">
      <c r="A941" s="42"/>
    </row>
    <row r="942" spans="1:1" ht="14.25">
      <c r="A942" s="42"/>
    </row>
    <row r="943" spans="1:1" ht="14.25">
      <c r="A943" s="42"/>
    </row>
    <row r="944" spans="1:1" ht="14.25">
      <c r="A944" s="42"/>
    </row>
    <row r="945" spans="1:1" ht="14.25">
      <c r="A945" s="42"/>
    </row>
    <row r="946" spans="1:1" ht="14.25">
      <c r="A946" s="42"/>
    </row>
    <row r="947" spans="1:1" ht="14.25">
      <c r="A947" s="42"/>
    </row>
    <row r="948" spans="1:1" ht="14.25">
      <c r="A948" s="42"/>
    </row>
    <row r="949" spans="1:1" ht="14.25">
      <c r="A949" s="42"/>
    </row>
    <row r="950" spans="1:1" ht="14.25">
      <c r="A950" s="42"/>
    </row>
    <row r="951" spans="1:1" ht="14.25">
      <c r="A951" s="42"/>
    </row>
    <row r="952" spans="1:1" ht="14.25">
      <c r="A952" s="42"/>
    </row>
    <row r="953" spans="1:1" ht="14.25">
      <c r="A953" s="42"/>
    </row>
    <row r="954" spans="1:1" ht="14.25">
      <c r="A954" s="42"/>
    </row>
    <row r="955" spans="1:1" ht="14.25">
      <c r="A955" s="42"/>
    </row>
    <row r="956" spans="1:1" ht="14.25">
      <c r="A956" s="42"/>
    </row>
    <row r="957" spans="1:1" ht="14.25">
      <c r="A957" s="42"/>
    </row>
    <row r="958" spans="1:1" ht="14.25">
      <c r="A958" s="42"/>
    </row>
    <row r="959" spans="1:1" ht="14.25">
      <c r="A959" s="42"/>
    </row>
    <row r="960" spans="1:1" ht="14.25">
      <c r="A960" s="42"/>
    </row>
    <row r="961" spans="1:1" ht="14.25">
      <c r="A961" s="42"/>
    </row>
    <row r="962" spans="1:1" ht="14.25">
      <c r="A962" s="42"/>
    </row>
    <row r="963" spans="1:1" ht="14.25">
      <c r="A963" s="42"/>
    </row>
    <row r="964" spans="1:1" ht="14.25">
      <c r="A964" s="42"/>
    </row>
    <row r="965" spans="1:1" ht="14.25">
      <c r="A965" s="42"/>
    </row>
    <row r="966" spans="1:1" ht="14.25">
      <c r="A966" s="42"/>
    </row>
    <row r="967" spans="1:1" ht="14.25">
      <c r="A967" s="42"/>
    </row>
    <row r="968" spans="1:1" ht="14.25">
      <c r="A968" s="42"/>
    </row>
    <row r="969" spans="1:1" ht="14.25">
      <c r="A969" s="42"/>
    </row>
    <row r="970" spans="1:1" ht="14.25">
      <c r="A970" s="42"/>
    </row>
    <row r="971" spans="1:1" ht="14.25">
      <c r="A971" s="42"/>
    </row>
    <row r="972" spans="1:1" ht="14.25">
      <c r="A972" s="42"/>
    </row>
    <row r="973" spans="1:1" ht="14.25">
      <c r="A973" s="42"/>
    </row>
    <row r="974" spans="1:1" ht="14.25">
      <c r="A974" s="42"/>
    </row>
    <row r="975" spans="1:1" ht="14.25">
      <c r="A975" s="42"/>
    </row>
    <row r="976" spans="1:1" ht="14.25">
      <c r="A976" s="42"/>
    </row>
    <row r="977" spans="1:1" ht="14.25">
      <c r="A977" s="42"/>
    </row>
    <row r="978" spans="1:1" ht="14.25">
      <c r="A978" s="42"/>
    </row>
    <row r="979" spans="1:1" ht="14.25">
      <c r="A979" s="42"/>
    </row>
    <row r="980" spans="1:1" ht="14.25">
      <c r="A980" s="42"/>
    </row>
    <row r="981" spans="1:1" ht="14.25">
      <c r="A981" s="42"/>
    </row>
    <row r="982" spans="1:1" ht="14.25">
      <c r="A982" s="42"/>
    </row>
    <row r="983" spans="1:1" ht="14.25">
      <c r="A983" s="42"/>
    </row>
    <row r="984" spans="1:1" ht="14.25">
      <c r="A984" s="42"/>
    </row>
    <row r="985" spans="1:1" ht="14.25">
      <c r="A985" s="42"/>
    </row>
    <row r="986" spans="1:1" ht="14.25">
      <c r="A986" s="42"/>
    </row>
    <row r="987" spans="1:1" ht="14.25">
      <c r="A987" s="42"/>
    </row>
    <row r="988" spans="1:1" ht="14.25">
      <c r="A988" s="42"/>
    </row>
    <row r="989" spans="1:1" ht="14.25">
      <c r="A989" s="42"/>
    </row>
    <row r="990" spans="1:1" ht="14.25">
      <c r="A990" s="42"/>
    </row>
    <row r="991" spans="1:1" ht="14.25">
      <c r="A991" s="42"/>
    </row>
    <row r="992" spans="1:1" ht="14.25">
      <c r="A992" s="42"/>
    </row>
    <row r="993" spans="1:1" ht="14.25">
      <c r="A993" s="42"/>
    </row>
    <row r="994" spans="1:1" ht="14.25">
      <c r="A994" s="42"/>
    </row>
    <row r="995" spans="1:1" ht="14.25">
      <c r="A995" s="42"/>
    </row>
    <row r="996" spans="1:1" ht="14.25">
      <c r="A996" s="42"/>
    </row>
    <row r="997" spans="1:1" ht="14.25">
      <c r="A997" s="42"/>
    </row>
    <row r="998" spans="1:1" ht="14.25">
      <c r="A998" s="42"/>
    </row>
    <row r="999" spans="1:1" ht="14.25">
      <c r="A999" s="42"/>
    </row>
    <row r="1000" spans="1:1" ht="14.25">
      <c r="A1000" s="42"/>
    </row>
    <row r="1001" spans="1:1" ht="14.25">
      <c r="A1001" s="42"/>
    </row>
    <row r="1002" spans="1:1" ht="14.25">
      <c r="A1002" s="42"/>
    </row>
    <row r="1003" spans="1:1" ht="14.25">
      <c r="A1003" s="42"/>
    </row>
    <row r="1004" spans="1:1" ht="14.25">
      <c r="A1004" s="42"/>
    </row>
    <row r="1005" spans="1:1" ht="14.25">
      <c r="A1005" s="42"/>
    </row>
    <row r="1006" spans="1:1" ht="14.25">
      <c r="A1006" s="42"/>
    </row>
    <row r="1007" spans="1:1" ht="14.25">
      <c r="A1007" s="42"/>
    </row>
  </sheetData>
  <mergeCells count="6">
    <mergeCell ref="B6:E6"/>
    <mergeCell ref="F6:I6"/>
    <mergeCell ref="N6:P6"/>
    <mergeCell ref="Q6:S6"/>
    <mergeCell ref="T6:V6"/>
    <mergeCell ref="J6:M6"/>
  </mergeCells>
  <pageMargins left="0.7" right="0.7" top="0.75" bottom="0.75" header="0.3" footer="0.3"/>
  <pageSetup scale="40"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pageSetUpPr fitToPage="1"/>
  </sheetPr>
  <dimension ref="A1:D21"/>
  <sheetViews>
    <sheetView workbookViewId="0"/>
  </sheetViews>
  <sheetFormatPr defaultColWidth="8.625" defaultRowHeight="14.25"/>
  <cols>
    <col min="1" max="1" width="45.125" style="42" customWidth="1"/>
    <col min="2" max="4" width="15.125" style="42" customWidth="1"/>
    <col min="5" max="5" width="8.625" style="42"/>
    <col min="6" max="7" width="8.125" style="42" customWidth="1"/>
    <col min="8" max="16384" width="8.625" style="42"/>
  </cols>
  <sheetData>
    <row r="1" spans="1:4" ht="15.4">
      <c r="A1" s="20" t="s">
        <v>85</v>
      </c>
      <c r="B1" s="408" t="str">
        <f>PA_NAME</f>
        <v>San Diego Gas &amp; Electric Co</v>
      </c>
    </row>
    <row r="2" spans="1:4" ht="15.4">
      <c r="A2" s="20" t="s">
        <v>86</v>
      </c>
      <c r="B2" s="408" t="str">
        <f>RPT_YEAR</f>
        <v>2022-2023</v>
      </c>
    </row>
    <row r="3" spans="1:4">
      <c r="A3" s="48" t="s">
        <v>903</v>
      </c>
    </row>
    <row r="6" spans="1:4" ht="30">
      <c r="A6" s="586" t="s">
        <v>904</v>
      </c>
      <c r="B6" s="941" t="s">
        <v>905</v>
      </c>
      <c r="C6" s="941" t="s">
        <v>906</v>
      </c>
      <c r="D6" s="941" t="s">
        <v>907</v>
      </c>
    </row>
    <row r="7" spans="1:4" ht="15.75">
      <c r="A7" s="871" t="s">
        <v>826</v>
      </c>
      <c r="B7" s="716">
        <v>2.8984340044742729</v>
      </c>
      <c r="C7" s="716">
        <v>4.375</v>
      </c>
      <c r="D7" s="716">
        <v>4.3750000000000009</v>
      </c>
    </row>
    <row r="8" spans="1:4" ht="15.75">
      <c r="A8" s="871" t="s">
        <v>908</v>
      </c>
      <c r="B8" s="716">
        <v>38.401778523489988</v>
      </c>
      <c r="C8" s="716">
        <v>42.913400000000003</v>
      </c>
      <c r="D8" s="716">
        <v>41.232800000000019</v>
      </c>
    </row>
    <row r="9" spans="1:4" ht="15.75">
      <c r="A9" s="871" t="s">
        <v>841</v>
      </c>
      <c r="B9" s="716">
        <v>5.7500503355704611</v>
      </c>
      <c r="C9" s="716">
        <v>6.9049999999999994</v>
      </c>
      <c r="D9" s="716">
        <v>6.6749999999999963</v>
      </c>
    </row>
    <row r="10" spans="1:4" ht="15.75">
      <c r="A10" s="871" t="s">
        <v>909</v>
      </c>
      <c r="B10" s="716">
        <v>1.9930704697986599</v>
      </c>
      <c r="C10" s="716">
        <v>0.79319999999999991</v>
      </c>
      <c r="D10" s="716">
        <v>0</v>
      </c>
    </row>
    <row r="11" spans="1:4" ht="15.75">
      <c r="A11" s="871" t="s">
        <v>910</v>
      </c>
      <c r="B11" s="716">
        <v>2.630917225950784</v>
      </c>
      <c r="C11" s="716">
        <v>3.7449999999999997</v>
      </c>
      <c r="D11" s="716">
        <v>5.5949999999999962</v>
      </c>
    </row>
    <row r="12" spans="1:4" ht="15.75">
      <c r="A12" s="942" t="s">
        <v>852</v>
      </c>
      <c r="B12" s="716">
        <v>4.8112975391498871</v>
      </c>
      <c r="C12" s="716">
        <v>5.25</v>
      </c>
      <c r="D12" s="716">
        <v>5.2500000000000009</v>
      </c>
    </row>
    <row r="13" spans="1:4" ht="15.75">
      <c r="A13" s="871" t="s">
        <v>856</v>
      </c>
      <c r="B13" s="716">
        <v>1.7491051454138702</v>
      </c>
      <c r="C13" s="716">
        <v>2.125</v>
      </c>
      <c r="D13" s="716">
        <v>2.125</v>
      </c>
    </row>
    <row r="14" spans="1:4" ht="15.75">
      <c r="A14" s="871" t="s">
        <v>911</v>
      </c>
      <c r="B14" s="716">
        <v>1.1034675615212528</v>
      </c>
      <c r="C14" s="716">
        <v>0.89500000000000013</v>
      </c>
      <c r="D14" s="716">
        <v>0.53</v>
      </c>
    </row>
    <row r="15" spans="1:4" ht="15.75">
      <c r="A15" s="871" t="s">
        <v>868</v>
      </c>
      <c r="B15" s="716">
        <v>11.408903803131956</v>
      </c>
      <c r="C15" s="716">
        <v>0</v>
      </c>
      <c r="D15" s="716">
        <v>0</v>
      </c>
    </row>
    <row r="16" spans="1:4" ht="15.75">
      <c r="A16" s="871" t="s">
        <v>871</v>
      </c>
      <c r="B16" s="716">
        <v>3.9029082774049244</v>
      </c>
      <c r="C16" s="716">
        <v>4.28</v>
      </c>
      <c r="D16" s="716">
        <v>4.24</v>
      </c>
    </row>
    <row r="17" spans="1:4" ht="15.75">
      <c r="A17" s="871" t="s">
        <v>876</v>
      </c>
      <c r="B17" s="716">
        <v>1.1103187919463089</v>
      </c>
      <c r="C17" s="716">
        <v>0.85840000000000005</v>
      </c>
      <c r="D17" s="716">
        <v>0.72040000000000004</v>
      </c>
    </row>
    <row r="18" spans="1:4" ht="15.75">
      <c r="A18" s="873" t="s">
        <v>673</v>
      </c>
      <c r="B18" s="872">
        <f t="shared" ref="B18:D18" si="0">SUM(B7:B17)</f>
        <v>75.760251677852366</v>
      </c>
      <c r="C18" s="872">
        <f t="shared" si="0"/>
        <v>72.14</v>
      </c>
      <c r="D18" s="872">
        <f t="shared" si="0"/>
        <v>70.743200000000002</v>
      </c>
    </row>
    <row r="19" spans="1:4" ht="15.75">
      <c r="B19" s="53"/>
      <c r="D19" s="53"/>
    </row>
    <row r="20" spans="1:4" ht="15.75">
      <c r="A20" s="901" t="s">
        <v>203</v>
      </c>
      <c r="B20" s="53"/>
      <c r="D20" s="53"/>
    </row>
    <row r="21" spans="1:4" ht="15.75">
      <c r="A21" s="901" t="s">
        <v>912</v>
      </c>
      <c r="B21" s="53"/>
      <c r="D21" s="53"/>
    </row>
  </sheetData>
  <pageMargins left="0.7" right="0.7" top="0.75" bottom="0.75" header="0.3" footer="0.3"/>
  <pageSetup scale="4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pageSetUpPr fitToPage="1"/>
  </sheetPr>
  <dimension ref="A1:F43"/>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913</v>
      </c>
    </row>
    <row r="6" spans="1:6">
      <c r="A6" s="109"/>
      <c r="B6" s="109"/>
      <c r="C6" s="109"/>
      <c r="D6" s="109"/>
      <c r="E6" s="109"/>
      <c r="F6" s="109"/>
    </row>
    <row r="7" spans="1:6" ht="28.5">
      <c r="A7" s="465" t="s">
        <v>697</v>
      </c>
      <c r="B7" s="109" t="s">
        <v>914</v>
      </c>
      <c r="C7" s="109" t="s">
        <v>904</v>
      </c>
      <c r="D7" s="943" t="s">
        <v>882</v>
      </c>
      <c r="E7" s="943" t="s">
        <v>883</v>
      </c>
      <c r="F7" s="943" t="s">
        <v>915</v>
      </c>
    </row>
    <row r="8" spans="1:6" ht="15.75">
      <c r="A8" s="109" t="s">
        <v>17</v>
      </c>
      <c r="B8" s="109" t="s">
        <v>916</v>
      </c>
      <c r="C8" s="110" t="s">
        <v>826</v>
      </c>
      <c r="D8" s="704">
        <v>146217.62793353575</v>
      </c>
      <c r="E8" s="704">
        <v>139773.17797211462</v>
      </c>
      <c r="F8" s="704">
        <v>110531.84960158143</v>
      </c>
    </row>
    <row r="9" spans="1:6" ht="15.75">
      <c r="A9" s="109"/>
      <c r="B9" s="109"/>
      <c r="C9" s="110" t="s">
        <v>908</v>
      </c>
      <c r="D9" s="704">
        <v>389457.38584074384</v>
      </c>
      <c r="E9" s="704">
        <v>668185.98538424913</v>
      </c>
      <c r="F9" s="704">
        <v>970978.52690757019</v>
      </c>
    </row>
    <row r="10" spans="1:6" ht="15.75">
      <c r="A10" s="109"/>
      <c r="B10" s="109"/>
      <c r="C10" s="110" t="s">
        <v>917</v>
      </c>
      <c r="D10" s="704">
        <v>133585.59846072507</v>
      </c>
      <c r="E10" s="704">
        <v>163146.56864124376</v>
      </c>
      <c r="F10" s="704">
        <v>315966.65907833155</v>
      </c>
    </row>
    <row r="11" spans="1:6" ht="15.75">
      <c r="A11" s="109"/>
      <c r="B11" s="109"/>
      <c r="C11" s="110" t="s">
        <v>909</v>
      </c>
      <c r="D11" s="704">
        <v>75967.103471185808</v>
      </c>
      <c r="E11" s="704">
        <v>0</v>
      </c>
      <c r="F11" s="704">
        <v>0</v>
      </c>
    </row>
    <row r="12" spans="1:6" ht="15.75">
      <c r="A12" s="109"/>
      <c r="B12" s="109"/>
      <c r="C12" s="110" t="s">
        <v>910</v>
      </c>
      <c r="D12" s="704">
        <v>74266.649999999936</v>
      </c>
      <c r="E12" s="704">
        <v>101561.28864124375</v>
      </c>
      <c r="F12" s="704">
        <v>165593.25107833158</v>
      </c>
    </row>
    <row r="13" spans="1:6" ht="15.75">
      <c r="A13" s="109"/>
      <c r="B13" s="109"/>
      <c r="C13" s="110" t="s">
        <v>852</v>
      </c>
      <c r="D13" s="704">
        <v>117293.35145300208</v>
      </c>
      <c r="E13" s="704">
        <v>169562.63416523242</v>
      </c>
      <c r="F13" s="704">
        <v>134089.1854182393</v>
      </c>
    </row>
    <row r="14" spans="1:6" ht="15.75">
      <c r="A14" s="109"/>
      <c r="B14" s="109"/>
      <c r="C14" s="110" t="s">
        <v>911</v>
      </c>
      <c r="D14" s="704">
        <v>21202.957675295962</v>
      </c>
      <c r="E14" s="704">
        <v>52688</v>
      </c>
      <c r="F14" s="704">
        <v>0</v>
      </c>
    </row>
    <row r="15" spans="1:6" ht="15.75">
      <c r="A15" s="109"/>
      <c r="B15" s="109"/>
      <c r="C15" s="110" t="s">
        <v>868</v>
      </c>
      <c r="D15" s="704">
        <v>3478.75</v>
      </c>
      <c r="E15" s="704">
        <v>0</v>
      </c>
      <c r="F15" s="704">
        <v>0</v>
      </c>
    </row>
    <row r="16" spans="1:6" ht="15.75">
      <c r="A16" s="109"/>
      <c r="B16" s="109"/>
      <c r="C16" s="110" t="s">
        <v>871</v>
      </c>
      <c r="D16" s="704">
        <v>121844.04381093998</v>
      </c>
      <c r="E16" s="704">
        <v>129013.17173166308</v>
      </c>
      <c r="F16" s="704">
        <v>138169.87151481566</v>
      </c>
    </row>
    <row r="17" spans="1:6" ht="15.75">
      <c r="A17" s="109"/>
      <c r="B17" s="109"/>
      <c r="C17" s="110" t="s">
        <v>876</v>
      </c>
      <c r="D17" s="704">
        <v>19143.02</v>
      </c>
      <c r="E17" s="704">
        <v>33009.919999999998</v>
      </c>
      <c r="F17" s="704">
        <v>15756.198399999997</v>
      </c>
    </row>
    <row r="18" spans="1:6" ht="15.75">
      <c r="A18" s="109"/>
      <c r="B18" s="111" t="s">
        <v>918</v>
      </c>
      <c r="C18" s="111"/>
      <c r="D18" s="705">
        <f>SUM(D8:D17)</f>
        <v>1102456.4886454283</v>
      </c>
      <c r="E18" s="705">
        <f t="shared" ref="E18:F18" si="0">SUM(E8:E17)</f>
        <v>1456940.7465357466</v>
      </c>
      <c r="F18" s="705">
        <f t="shared" si="0"/>
        <v>1851085.5419988697</v>
      </c>
    </row>
    <row r="19" spans="1:6" ht="15.75">
      <c r="A19" s="109"/>
      <c r="B19" s="109" t="s">
        <v>919</v>
      </c>
      <c r="C19" s="944" t="s">
        <v>920</v>
      </c>
      <c r="D19" s="704">
        <v>0</v>
      </c>
      <c r="E19" s="704">
        <v>2253202.3579000002</v>
      </c>
      <c r="F19" s="704">
        <v>6623813.8726000004</v>
      </c>
    </row>
    <row r="20" spans="1:6" ht="15.75">
      <c r="A20" s="109"/>
      <c r="B20" s="109"/>
      <c r="C20" s="109" t="s">
        <v>921</v>
      </c>
      <c r="D20" s="704">
        <v>0</v>
      </c>
      <c r="E20" s="704">
        <v>0</v>
      </c>
      <c r="F20" s="704">
        <v>0</v>
      </c>
    </row>
    <row r="21" spans="1:6" ht="15.75">
      <c r="A21" s="109"/>
      <c r="B21" s="109"/>
      <c r="C21" s="109" t="s">
        <v>922</v>
      </c>
      <c r="D21" s="704">
        <v>0</v>
      </c>
      <c r="E21" s="704">
        <v>0</v>
      </c>
      <c r="F21" s="704">
        <v>0</v>
      </c>
    </row>
    <row r="22" spans="1:6" ht="15.75">
      <c r="A22" s="109"/>
      <c r="B22" s="109"/>
      <c r="C22" s="109" t="s">
        <v>923</v>
      </c>
      <c r="D22" s="704">
        <v>0</v>
      </c>
      <c r="E22" s="704">
        <v>3384822</v>
      </c>
      <c r="F22" s="704">
        <v>0</v>
      </c>
    </row>
    <row r="23" spans="1:6" ht="15.75">
      <c r="A23" s="109"/>
      <c r="B23" s="109"/>
      <c r="C23" s="109" t="s">
        <v>924</v>
      </c>
      <c r="D23" s="704">
        <v>29583.312282960207</v>
      </c>
      <c r="E23" s="704">
        <v>0</v>
      </c>
      <c r="F23" s="704">
        <v>0</v>
      </c>
    </row>
    <row r="24" spans="1:6" ht="15.75">
      <c r="A24" s="109"/>
      <c r="B24" s="109"/>
      <c r="C24" s="109" t="s">
        <v>925</v>
      </c>
      <c r="D24" s="704">
        <v>7203003.297030014</v>
      </c>
      <c r="E24" s="704">
        <v>112386.50278395922</v>
      </c>
      <c r="F24" s="704">
        <v>72759.225459084177</v>
      </c>
    </row>
    <row r="25" spans="1:6" ht="15.75">
      <c r="A25" s="109"/>
      <c r="B25" s="109"/>
      <c r="C25" s="109" t="s">
        <v>926</v>
      </c>
      <c r="D25" s="704">
        <v>91449.617738460234</v>
      </c>
      <c r="E25" s="704">
        <v>946219.75</v>
      </c>
      <c r="F25" s="704">
        <v>1096896.0499999998</v>
      </c>
    </row>
    <row r="26" spans="1:6" ht="15.75">
      <c r="A26" s="109"/>
      <c r="B26" s="109"/>
      <c r="C26" s="109" t="s">
        <v>927</v>
      </c>
      <c r="D26" s="704">
        <v>534.04415837562408</v>
      </c>
      <c r="E26" s="704">
        <v>0</v>
      </c>
      <c r="F26" s="704">
        <v>0</v>
      </c>
    </row>
    <row r="27" spans="1:6" ht="15.75">
      <c r="A27" s="109"/>
      <c r="B27" s="109"/>
      <c r="C27" s="109" t="s">
        <v>928</v>
      </c>
      <c r="D27" s="704">
        <v>886.66161131450406</v>
      </c>
      <c r="E27" s="704">
        <v>4372.2299999999996</v>
      </c>
      <c r="F27" s="704">
        <v>4895.08</v>
      </c>
    </row>
    <row r="28" spans="1:6" ht="15.75">
      <c r="A28" s="109"/>
      <c r="B28" s="109"/>
      <c r="C28" s="109" t="s">
        <v>929</v>
      </c>
      <c r="D28" s="704">
        <v>83053.427163123444</v>
      </c>
      <c r="E28" s="704">
        <v>45435.930000000008</v>
      </c>
      <c r="F28" s="704">
        <v>46688.22</v>
      </c>
    </row>
    <row r="29" spans="1:6" ht="15.75">
      <c r="A29" s="109"/>
      <c r="B29" s="109"/>
      <c r="C29" s="109" t="s">
        <v>930</v>
      </c>
      <c r="D29" s="704">
        <v>21059.4</v>
      </c>
      <c r="E29" s="704">
        <v>0</v>
      </c>
      <c r="F29" s="704">
        <v>0</v>
      </c>
    </row>
    <row r="30" spans="1:6" ht="15.75">
      <c r="A30" s="109"/>
      <c r="B30" s="109"/>
      <c r="C30" s="109" t="s">
        <v>931</v>
      </c>
      <c r="D30" s="704">
        <v>0</v>
      </c>
      <c r="E30" s="704">
        <v>0</v>
      </c>
      <c r="F30" s="704">
        <v>0</v>
      </c>
    </row>
    <row r="31" spans="1:6" ht="15.75">
      <c r="A31" s="109"/>
      <c r="B31" s="109"/>
      <c r="C31" s="113" t="s">
        <v>932</v>
      </c>
      <c r="D31" s="704">
        <v>90421.542021932211</v>
      </c>
      <c r="E31" s="704">
        <v>214157.94433579239</v>
      </c>
      <c r="F31" s="704">
        <v>176910.07284543579</v>
      </c>
    </row>
    <row r="32" spans="1:6" ht="15.75">
      <c r="A32" s="109"/>
      <c r="B32" s="109"/>
      <c r="C32" s="109" t="s">
        <v>933</v>
      </c>
      <c r="D32" s="704">
        <v>355287.16460112523</v>
      </c>
      <c r="E32" s="704">
        <v>0</v>
      </c>
      <c r="F32" s="704">
        <v>0</v>
      </c>
    </row>
    <row r="33" spans="1:6" ht="15.75">
      <c r="A33" s="109"/>
      <c r="B33" s="109"/>
      <c r="C33" s="109" t="s">
        <v>934</v>
      </c>
      <c r="D33" s="704">
        <v>91815.472525179095</v>
      </c>
      <c r="E33" s="704">
        <v>0</v>
      </c>
      <c r="F33" s="704">
        <v>0</v>
      </c>
    </row>
    <row r="34" spans="1:6" ht="15.75">
      <c r="A34" s="109"/>
      <c r="B34" s="109"/>
      <c r="C34" s="945" t="s">
        <v>935</v>
      </c>
      <c r="D34" s="704">
        <v>1141737.92</v>
      </c>
      <c r="E34" s="704">
        <v>0</v>
      </c>
      <c r="F34" s="704">
        <v>0</v>
      </c>
    </row>
    <row r="35" spans="1:6" ht="15.75">
      <c r="A35" s="109"/>
      <c r="B35" s="109"/>
      <c r="C35" s="109" t="s">
        <v>936</v>
      </c>
      <c r="D35" s="704">
        <v>0</v>
      </c>
      <c r="E35" s="704">
        <v>5390640.4450614452</v>
      </c>
      <c r="F35" s="704">
        <v>6937077.9862921815</v>
      </c>
    </row>
    <row r="36" spans="1:6" ht="15.75">
      <c r="A36" s="109"/>
      <c r="B36" s="111" t="s">
        <v>937</v>
      </c>
      <c r="C36" s="111"/>
      <c r="D36" s="705">
        <f>SUM(D19:D35)</f>
        <v>9108831.8591324836</v>
      </c>
      <c r="E36" s="705">
        <f t="shared" ref="E36:F36" si="1">SUM(E19:E35)</f>
        <v>12351237.160081197</v>
      </c>
      <c r="F36" s="705">
        <f t="shared" si="1"/>
        <v>14959040.507196702</v>
      </c>
    </row>
    <row r="37" spans="1:6" ht="15.75">
      <c r="A37" s="111" t="s">
        <v>938</v>
      </c>
      <c r="B37" s="111"/>
      <c r="C37" s="111"/>
      <c r="D37" s="705">
        <f>+D36+D18</f>
        <v>10211288.347777912</v>
      </c>
      <c r="E37" s="705">
        <f t="shared" ref="E37:F37" si="2">+E36+E18</f>
        <v>13808177.906616943</v>
      </c>
      <c r="F37" s="705">
        <f t="shared" si="2"/>
        <v>16810126.049195573</v>
      </c>
    </row>
    <row r="38" spans="1:6" ht="15.75">
      <c r="A38" s="109"/>
      <c r="B38" s="109" t="s">
        <v>939</v>
      </c>
      <c r="C38" s="109" t="s">
        <v>940</v>
      </c>
      <c r="D38" s="464">
        <v>0.52300000000000002</v>
      </c>
      <c r="E38" s="464">
        <v>0.45800000000000002</v>
      </c>
      <c r="F38" s="464">
        <v>0.61</v>
      </c>
    </row>
    <row r="39" spans="1:6">
      <c r="D39" s="503">
        <f>+D37-'9 Portfolio Summary'!E8</f>
        <v>0</v>
      </c>
      <c r="E39" s="503">
        <f>+E37-'9 Portfolio Summary'!I8</f>
        <v>0</v>
      </c>
      <c r="F39" s="503">
        <f>+F37-'9 Portfolio Summary'!M8</f>
        <v>0</v>
      </c>
    </row>
    <row r="40" spans="1:6">
      <c r="A40" s="107" t="s">
        <v>203</v>
      </c>
      <c r="B40" s="906" t="s">
        <v>941</v>
      </c>
    </row>
    <row r="41" spans="1:6">
      <c r="B41" s="894" t="s">
        <v>942</v>
      </c>
      <c r="C41" s="782"/>
    </row>
    <row r="42" spans="1:6">
      <c r="B42" s="906" t="s">
        <v>943</v>
      </c>
    </row>
    <row r="43" spans="1:6" ht="15.75">
      <c r="B43" s="114"/>
    </row>
  </sheetData>
  <pageMargins left="0" right="0" top="0" bottom="0" header="0.3" footer="0.3"/>
  <pageSetup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pageSetUpPr fitToPage="1"/>
  </sheetPr>
  <dimension ref="A1:AQ45"/>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944</v>
      </c>
    </row>
    <row r="6" spans="1:6">
      <c r="A6" s="109"/>
      <c r="B6" s="109"/>
      <c r="C6" s="109"/>
      <c r="D6" s="109"/>
      <c r="E6" s="109"/>
      <c r="F6" s="109"/>
    </row>
    <row r="7" spans="1:6" ht="28.5">
      <c r="A7" s="465" t="s">
        <v>697</v>
      </c>
      <c r="B7" s="109" t="s">
        <v>914</v>
      </c>
      <c r="C7" s="109" t="s">
        <v>904</v>
      </c>
      <c r="D7" s="943" t="s">
        <v>882</v>
      </c>
      <c r="E7" s="943" t="s">
        <v>883</v>
      </c>
      <c r="F7" s="943" t="s">
        <v>884</v>
      </c>
    </row>
    <row r="8" spans="1:6" ht="15.75">
      <c r="A8" s="109" t="s">
        <v>22</v>
      </c>
      <c r="B8" s="109" t="s">
        <v>916</v>
      </c>
      <c r="C8" s="110" t="s">
        <v>826</v>
      </c>
      <c r="D8" s="704">
        <v>118475.39139831538</v>
      </c>
      <c r="E8" s="704">
        <v>197316.22090043069</v>
      </c>
      <c r="F8" s="704">
        <v>208965.6090087684</v>
      </c>
    </row>
    <row r="9" spans="1:6" ht="15.75">
      <c r="A9" s="109"/>
      <c r="B9" s="109"/>
      <c r="C9" s="110" t="s">
        <v>908</v>
      </c>
      <c r="D9" s="704">
        <v>902223.55249289796</v>
      </c>
      <c r="E9" s="704">
        <v>2559314.5572289149</v>
      </c>
      <c r="F9" s="704">
        <v>1922934.3230961985</v>
      </c>
    </row>
    <row r="10" spans="1:6" ht="15.75">
      <c r="A10" s="109"/>
      <c r="B10" s="109"/>
      <c r="C10" s="110" t="s">
        <v>917</v>
      </c>
      <c r="D10" s="704">
        <v>333907.95068929845</v>
      </c>
      <c r="E10" s="704">
        <v>343775.79192177055</v>
      </c>
      <c r="F10" s="704">
        <v>278838.95696482155</v>
      </c>
    </row>
    <row r="11" spans="1:6" ht="15.75">
      <c r="A11" s="109"/>
      <c r="B11" s="109"/>
      <c r="C11" s="110" t="s">
        <v>909</v>
      </c>
      <c r="D11" s="704">
        <v>105418.76864304562</v>
      </c>
      <c r="E11" s="704">
        <v>19298.764800000001</v>
      </c>
      <c r="F11" s="704">
        <v>0</v>
      </c>
    </row>
    <row r="12" spans="1:6" ht="15.75">
      <c r="A12" s="109"/>
      <c r="B12" s="109"/>
      <c r="C12" s="110" t="s">
        <v>910</v>
      </c>
      <c r="D12" s="704">
        <v>84866.510000000038</v>
      </c>
      <c r="E12" s="704">
        <v>155034.03192177054</v>
      </c>
      <c r="F12" s="704">
        <v>128706.15697457963</v>
      </c>
    </row>
    <row r="13" spans="1:6" ht="15.75">
      <c r="A13" s="109"/>
      <c r="B13" s="109"/>
      <c r="C13" s="110" t="s">
        <v>852</v>
      </c>
      <c r="D13" s="704">
        <v>95038.990292820774</v>
      </c>
      <c r="E13" s="704">
        <v>239369.66065177991</v>
      </c>
      <c r="F13" s="704">
        <v>253501.84940731464</v>
      </c>
    </row>
    <row r="14" spans="1:6" ht="15.75">
      <c r="A14" s="109"/>
      <c r="B14" s="109"/>
      <c r="C14" s="110" t="s">
        <v>911</v>
      </c>
      <c r="D14" s="704">
        <v>28471.486982712235</v>
      </c>
      <c r="E14" s="704">
        <v>0</v>
      </c>
      <c r="F14" s="704">
        <v>0</v>
      </c>
    </row>
    <row r="15" spans="1:6" ht="15.75">
      <c r="A15" s="109"/>
      <c r="B15" s="109"/>
      <c r="C15" s="110" t="s">
        <v>868</v>
      </c>
      <c r="D15" s="704">
        <v>881647.49</v>
      </c>
      <c r="E15" s="704">
        <v>0</v>
      </c>
      <c r="F15" s="704">
        <v>0</v>
      </c>
    </row>
    <row r="16" spans="1:6" ht="15.75">
      <c r="A16" s="109"/>
      <c r="B16" s="109"/>
      <c r="C16" s="110" t="s">
        <v>871</v>
      </c>
      <c r="D16" s="704">
        <v>98396.02604045147</v>
      </c>
      <c r="E16" s="704">
        <v>181793.546100807</v>
      </c>
      <c r="F16" s="704">
        <v>185501.75796696352</v>
      </c>
    </row>
    <row r="17" spans="1:43" ht="15.75">
      <c r="A17" s="109"/>
      <c r="B17" s="109"/>
      <c r="C17" s="110" t="s">
        <v>876</v>
      </c>
      <c r="D17" s="704">
        <v>39598.730000000003</v>
      </c>
      <c r="E17" s="704">
        <v>4299.3407999999999</v>
      </c>
      <c r="F17" s="704">
        <v>33.170943997844013</v>
      </c>
    </row>
    <row r="18" spans="1:43" ht="15.75">
      <c r="A18" s="109"/>
      <c r="B18" s="111" t="s">
        <v>918</v>
      </c>
      <c r="C18" s="111"/>
      <c r="D18" s="705">
        <f>SUM(D8:D17)</f>
        <v>2688044.8965395424</v>
      </c>
      <c r="E18" s="705">
        <f t="shared" ref="E18:F18" si="0">SUM(E8:E17)</f>
        <v>3700201.9143254734</v>
      </c>
      <c r="F18" s="705">
        <f t="shared" si="0"/>
        <v>2978481.8243626445</v>
      </c>
    </row>
    <row r="19" spans="1:43" ht="15.75">
      <c r="A19" s="109"/>
      <c r="B19" s="109" t="s">
        <v>919</v>
      </c>
      <c r="C19" s="944" t="s">
        <v>920</v>
      </c>
      <c r="D19" s="704">
        <v>0</v>
      </c>
      <c r="E19" s="704">
        <v>11440191.8356</v>
      </c>
      <c r="F19" s="704">
        <v>14163761.659299999</v>
      </c>
    </row>
    <row r="20" spans="1:43" s="112" customFormat="1" ht="15.75">
      <c r="A20" s="109"/>
      <c r="B20" s="109"/>
      <c r="C20" s="109" t="s">
        <v>921</v>
      </c>
      <c r="D20" s="704">
        <v>0</v>
      </c>
      <c r="E20" s="704">
        <v>0</v>
      </c>
      <c r="F20" s="704">
        <v>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s="112" customFormat="1" ht="15.75">
      <c r="A21" s="109"/>
      <c r="B21" s="109"/>
      <c r="C21" s="109" t="s">
        <v>922</v>
      </c>
      <c r="D21" s="704">
        <v>0</v>
      </c>
      <c r="E21" s="704">
        <v>0</v>
      </c>
      <c r="F21" s="704">
        <v>0</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s="112" customFormat="1" ht="15.75">
      <c r="A22" s="109"/>
      <c r="B22" s="109"/>
      <c r="C22" s="109" t="s">
        <v>923</v>
      </c>
      <c r="D22" s="704">
        <v>0</v>
      </c>
      <c r="E22" s="704">
        <v>1183000</v>
      </c>
      <c r="F22" s="704">
        <v>1083000</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ht="15.75">
      <c r="A23" s="109"/>
      <c r="B23" s="109"/>
      <c r="C23" s="109" t="s">
        <v>924</v>
      </c>
      <c r="D23" s="704">
        <v>30427.99712144252</v>
      </c>
      <c r="E23" s="704">
        <v>0</v>
      </c>
      <c r="F23" s="704">
        <v>0</v>
      </c>
    </row>
    <row r="24" spans="1:43" ht="15.75">
      <c r="A24" s="109"/>
      <c r="B24" s="109"/>
      <c r="C24" s="109" t="s">
        <v>925</v>
      </c>
      <c r="D24" s="704">
        <v>5915967.1672153287</v>
      </c>
      <c r="E24" s="704">
        <v>199379.68729077952</v>
      </c>
      <c r="F24" s="704">
        <v>171220.37609983879</v>
      </c>
    </row>
    <row r="25" spans="1:43" ht="15.75">
      <c r="A25" s="109"/>
      <c r="B25" s="109"/>
      <c r="C25" s="109" t="s">
        <v>926</v>
      </c>
      <c r="D25" s="704">
        <v>292230.38119466644</v>
      </c>
      <c r="E25" s="704">
        <v>1162371.23</v>
      </c>
      <c r="F25" s="704">
        <v>959679.58</v>
      </c>
    </row>
    <row r="26" spans="1:43" ht="15.75">
      <c r="A26" s="109"/>
      <c r="B26" s="109"/>
      <c r="C26" s="109" t="s">
        <v>927</v>
      </c>
      <c r="D26" s="704">
        <v>599.88722210826188</v>
      </c>
      <c r="E26" s="704">
        <v>0</v>
      </c>
      <c r="F26" s="704">
        <v>0</v>
      </c>
    </row>
    <row r="27" spans="1:43" ht="15.75">
      <c r="A27" s="109"/>
      <c r="B27" s="109"/>
      <c r="C27" s="109" t="s">
        <v>928</v>
      </c>
      <c r="D27" s="704">
        <v>1150.0214154866812</v>
      </c>
      <c r="E27" s="704">
        <v>8361.380000000001</v>
      </c>
      <c r="F27" s="704">
        <v>7410.9500000000007</v>
      </c>
    </row>
    <row r="28" spans="1:43" ht="15.75">
      <c r="A28" s="109"/>
      <c r="B28" s="109"/>
      <c r="C28" s="109" t="s">
        <v>929</v>
      </c>
      <c r="D28" s="704">
        <v>85424.830677296311</v>
      </c>
      <c r="E28" s="704">
        <v>124587.08</v>
      </c>
      <c r="F28" s="704">
        <v>119828.16</v>
      </c>
    </row>
    <row r="29" spans="1:43" ht="15.75">
      <c r="A29" s="109"/>
      <c r="B29" s="109"/>
      <c r="C29" s="109" t="s">
        <v>930</v>
      </c>
      <c r="D29" s="704">
        <v>5314.98</v>
      </c>
      <c r="E29" s="704">
        <v>2000</v>
      </c>
      <c r="F29" s="704">
        <v>0</v>
      </c>
    </row>
    <row r="30" spans="1:43" ht="15.75">
      <c r="A30" s="109"/>
      <c r="B30" s="109"/>
      <c r="C30" s="109" t="s">
        <v>931</v>
      </c>
      <c r="D30" s="704">
        <v>14326.66</v>
      </c>
      <c r="E30" s="704">
        <v>0</v>
      </c>
      <c r="F30" s="704">
        <v>0</v>
      </c>
    </row>
    <row r="31" spans="1:43" ht="15.75">
      <c r="A31" s="109"/>
      <c r="B31" s="109"/>
      <c r="C31" s="780" t="s">
        <v>932</v>
      </c>
      <c r="D31" s="704">
        <v>142516.89881938079</v>
      </c>
      <c r="E31" s="704">
        <v>321649.02664999745</v>
      </c>
      <c r="F31" s="704">
        <v>312193.06698599464</v>
      </c>
    </row>
    <row r="32" spans="1:43" ht="15.75">
      <c r="A32" s="109"/>
      <c r="B32" s="109"/>
      <c r="C32" s="109" t="s">
        <v>933</v>
      </c>
      <c r="D32" s="704">
        <v>-11035.399033829699</v>
      </c>
      <c r="E32" s="704">
        <v>0</v>
      </c>
      <c r="F32" s="704">
        <v>0</v>
      </c>
    </row>
    <row r="33" spans="1:43" ht="15.75">
      <c r="A33" s="109"/>
      <c r="B33" s="109"/>
      <c r="C33" s="109" t="s">
        <v>934</v>
      </c>
      <c r="D33" s="704">
        <v>94437.056505982342</v>
      </c>
      <c r="E33" s="704">
        <v>0</v>
      </c>
      <c r="F33" s="704">
        <v>0</v>
      </c>
    </row>
    <row r="34" spans="1:43" s="112" customFormat="1" ht="15.75">
      <c r="A34" s="109"/>
      <c r="B34" s="109"/>
      <c r="C34" s="945" t="s">
        <v>935</v>
      </c>
      <c r="D34" s="704">
        <v>4012706.4700000007</v>
      </c>
      <c r="E34" s="704">
        <v>2000572.1332999999</v>
      </c>
      <c r="F34" s="704">
        <v>511014.68</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row>
    <row r="35" spans="1:43" ht="15.75">
      <c r="A35" s="109"/>
      <c r="B35" s="109"/>
      <c r="C35" s="109" t="s">
        <v>936</v>
      </c>
      <c r="D35" s="704">
        <v>0</v>
      </c>
      <c r="E35" s="704">
        <v>17506972.057222046</v>
      </c>
      <c r="F35" s="704">
        <v>21091074.838768799</v>
      </c>
    </row>
    <row r="36" spans="1:43" ht="15.75">
      <c r="A36" s="109"/>
      <c r="B36" s="111" t="s">
        <v>937</v>
      </c>
      <c r="C36" s="111"/>
      <c r="D36" s="705">
        <f>SUM(D19:D35)</f>
        <v>10584066.951137863</v>
      </c>
      <c r="E36" s="705">
        <f>SUM(E19:E35)</f>
        <v>33949084.430062823</v>
      </c>
      <c r="F36" s="705">
        <f>SUM(F19:F35)</f>
        <v>38419183.311154634</v>
      </c>
    </row>
    <row r="37" spans="1:43" ht="15.75">
      <c r="A37" s="946" t="s">
        <v>945</v>
      </c>
      <c r="B37" s="111"/>
      <c r="C37" s="111"/>
      <c r="D37" s="705">
        <f>+D36+D18</f>
        <v>13272111.847677406</v>
      </c>
      <c r="E37" s="705">
        <f t="shared" ref="E37:F37" si="1">+E36+E18</f>
        <v>37649286.344388299</v>
      </c>
      <c r="F37" s="705">
        <f t="shared" si="1"/>
        <v>41397665.135517277</v>
      </c>
    </row>
    <row r="38" spans="1:43" ht="15.75">
      <c r="A38" s="109"/>
      <c r="B38" s="109" t="s">
        <v>939</v>
      </c>
      <c r="C38" s="109" t="s">
        <v>940</v>
      </c>
      <c r="D38" s="464">
        <v>1.274</v>
      </c>
      <c r="E38" s="464">
        <v>1.173</v>
      </c>
      <c r="F38" s="464">
        <v>0.84</v>
      </c>
    </row>
    <row r="39" spans="1:43">
      <c r="D39" s="503">
        <f>+D37-'9 Portfolio Summary'!E9</f>
        <v>0</v>
      </c>
      <c r="E39" s="503">
        <f>+E37-'9 Portfolio Summary'!I9</f>
        <v>0</v>
      </c>
      <c r="F39" s="503">
        <f>+F37-'9 Portfolio Summary'!M9</f>
        <v>0</v>
      </c>
    </row>
    <row r="40" spans="1:43">
      <c r="A40" s="107" t="s">
        <v>203</v>
      </c>
      <c r="B40" s="906" t="s">
        <v>941</v>
      </c>
    </row>
    <row r="41" spans="1:43">
      <c r="B41" s="894" t="s">
        <v>942</v>
      </c>
      <c r="C41" s="782"/>
    </row>
    <row r="42" spans="1:43">
      <c r="B42" s="906" t="s">
        <v>943</v>
      </c>
    </row>
    <row r="43" spans="1:43" ht="15.75">
      <c r="B43" s="114"/>
    </row>
    <row r="44" spans="1:43">
      <c r="B44" s="906"/>
    </row>
    <row r="45" spans="1:43">
      <c r="B45" s="906" t="s">
        <v>946</v>
      </c>
    </row>
  </sheetData>
  <pageMargins left="0" right="0" top="0" bottom="0" header="0.3" footer="0.3"/>
  <pageSetup scale="4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pageSetUpPr fitToPage="1"/>
  </sheetPr>
  <dimension ref="A1:AC42"/>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947</v>
      </c>
    </row>
    <row r="6" spans="1:6">
      <c r="A6" s="109"/>
      <c r="B6" s="109"/>
      <c r="C6" s="109"/>
      <c r="D6" s="109"/>
      <c r="E6" s="109"/>
      <c r="F6" s="109"/>
    </row>
    <row r="7" spans="1:6" ht="28.5">
      <c r="A7" s="465" t="s">
        <v>697</v>
      </c>
      <c r="B7" s="109" t="s">
        <v>914</v>
      </c>
      <c r="C7" s="109" t="s">
        <v>904</v>
      </c>
      <c r="D7" s="943" t="s">
        <v>882</v>
      </c>
      <c r="E7" s="943" t="s">
        <v>883</v>
      </c>
      <c r="F7" s="943" t="s">
        <v>884</v>
      </c>
    </row>
    <row r="8" spans="1:6" ht="15.75">
      <c r="A8" s="944" t="s">
        <v>25</v>
      </c>
      <c r="B8" s="109" t="s">
        <v>916</v>
      </c>
      <c r="C8" s="110" t="s">
        <v>826</v>
      </c>
      <c r="D8" s="704">
        <v>20206.751963993545</v>
      </c>
      <c r="E8" s="704">
        <v>59816.377614338744</v>
      </c>
      <c r="F8" s="704">
        <v>24597.643930520728</v>
      </c>
    </row>
    <row r="9" spans="1:6" ht="15.75">
      <c r="A9" s="109"/>
      <c r="B9" s="109"/>
      <c r="C9" s="110" t="s">
        <v>908</v>
      </c>
      <c r="D9" s="704">
        <v>189819.41786119685</v>
      </c>
      <c r="E9" s="704">
        <v>328843.36592434917</v>
      </c>
      <c r="F9" s="704">
        <v>338918.50578459987</v>
      </c>
    </row>
    <row r="10" spans="1:6" ht="15.75">
      <c r="A10" s="109"/>
      <c r="B10" s="109"/>
      <c r="C10" s="110" t="s">
        <v>917</v>
      </c>
      <c r="D10" s="704">
        <v>138508.4694609438</v>
      </c>
      <c r="E10" s="706">
        <v>92831.262536178634</v>
      </c>
      <c r="F10" s="706">
        <v>110623.03451978887</v>
      </c>
    </row>
    <row r="11" spans="1:6" ht="15.75">
      <c r="A11" s="109"/>
      <c r="B11" s="109"/>
      <c r="C11" s="110" t="s">
        <v>909</v>
      </c>
      <c r="D11" s="704">
        <v>16991.481635832108</v>
      </c>
      <c r="E11" s="704">
        <v>31127.040000000001</v>
      </c>
      <c r="F11" s="704">
        <v>0</v>
      </c>
    </row>
    <row r="12" spans="1:6" ht="15.75">
      <c r="A12" s="109"/>
      <c r="B12" s="109"/>
      <c r="C12" s="110" t="s">
        <v>910</v>
      </c>
      <c r="D12" s="704">
        <v>9724.7700000000023</v>
      </c>
      <c r="E12" s="706">
        <v>22600.86253617864</v>
      </c>
      <c r="F12" s="706">
        <v>60609.530519788859</v>
      </c>
    </row>
    <row r="13" spans="1:6" ht="15.75">
      <c r="A13" s="109"/>
      <c r="B13" s="109"/>
      <c r="C13" s="110" t="s">
        <v>852</v>
      </c>
      <c r="D13" s="704">
        <v>16209.520653102705</v>
      </c>
      <c r="E13" s="704">
        <v>72564.870468445792</v>
      </c>
      <c r="F13" s="704">
        <v>29840.069172281659</v>
      </c>
    </row>
    <row r="14" spans="1:6" ht="15.75">
      <c r="A14" s="109"/>
      <c r="B14" s="109"/>
      <c r="C14" s="110" t="s">
        <v>911</v>
      </c>
      <c r="D14" s="704">
        <v>1240.0444007047672</v>
      </c>
      <c r="E14" s="704">
        <v>0</v>
      </c>
      <c r="F14" s="704">
        <v>0</v>
      </c>
    </row>
    <row r="15" spans="1:6" ht="15.75">
      <c r="A15" s="109"/>
      <c r="B15" s="109"/>
      <c r="C15" s="110" t="s">
        <v>868</v>
      </c>
      <c r="D15" s="704">
        <v>234433.08999999985</v>
      </c>
      <c r="E15" s="704">
        <v>0</v>
      </c>
      <c r="F15" s="704">
        <v>0</v>
      </c>
    </row>
    <row r="16" spans="1:6" ht="15.75">
      <c r="A16" s="109"/>
      <c r="B16" s="109"/>
      <c r="C16" s="110" t="s">
        <v>871</v>
      </c>
      <c r="D16" s="704">
        <v>16802.470549847512</v>
      </c>
      <c r="E16" s="707">
        <v>61535.491705025488</v>
      </c>
      <c r="F16" s="707">
        <v>32359.28654577984</v>
      </c>
    </row>
    <row r="17" spans="1:29" ht="15.75">
      <c r="A17" s="109"/>
      <c r="B17" s="109"/>
      <c r="C17" s="110" t="s">
        <v>876</v>
      </c>
      <c r="D17" s="704">
        <v>12621.809999999992</v>
      </c>
      <c r="E17" s="704">
        <v>4025.6</v>
      </c>
      <c r="F17" s="704">
        <v>8292.735999999999</v>
      </c>
    </row>
    <row r="18" spans="1:29" ht="15.75">
      <c r="A18" s="109"/>
      <c r="B18" s="111" t="s">
        <v>918</v>
      </c>
      <c r="C18" s="111"/>
      <c r="D18" s="705">
        <f>SUM(D8:D17)</f>
        <v>656557.826525621</v>
      </c>
      <c r="E18" s="705">
        <f t="shared" ref="E18:F18" si="0">SUM(E8:E17)</f>
        <v>673344.87078451656</v>
      </c>
      <c r="F18" s="705">
        <f t="shared" si="0"/>
        <v>605240.80647275981</v>
      </c>
    </row>
    <row r="19" spans="1:29" ht="15.75">
      <c r="A19" s="109"/>
      <c r="B19" s="109" t="s">
        <v>919</v>
      </c>
      <c r="C19" s="944" t="s">
        <v>920</v>
      </c>
      <c r="D19" s="704">
        <v>0</v>
      </c>
      <c r="E19" s="704">
        <v>39076.522900000004</v>
      </c>
      <c r="F19" s="704">
        <v>266769.61369999999</v>
      </c>
    </row>
    <row r="20" spans="1:29" s="112" customFormat="1" ht="15.75">
      <c r="A20" s="109"/>
      <c r="B20" s="109"/>
      <c r="C20" s="109" t="s">
        <v>921</v>
      </c>
      <c r="D20" s="704">
        <v>0</v>
      </c>
      <c r="E20" s="704">
        <v>0</v>
      </c>
      <c r="F20" s="704">
        <v>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row>
    <row r="21" spans="1:29" s="112" customFormat="1" ht="15.75">
      <c r="A21" s="109"/>
      <c r="B21" s="109"/>
      <c r="C21" s="109" t="s">
        <v>922</v>
      </c>
      <c r="D21" s="704">
        <v>0</v>
      </c>
      <c r="E21" s="704">
        <v>0</v>
      </c>
      <c r="F21" s="704">
        <v>0</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row>
    <row r="22" spans="1:29" s="112" customFormat="1" ht="15.75">
      <c r="A22" s="109"/>
      <c r="B22" s="109"/>
      <c r="C22" s="109" t="s">
        <v>923</v>
      </c>
      <c r="D22" s="704">
        <v>0</v>
      </c>
      <c r="E22" s="704">
        <v>0</v>
      </c>
      <c r="F22" s="704">
        <v>0</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1:29" ht="15.75">
      <c r="A23" s="109"/>
      <c r="B23" s="109"/>
      <c r="C23" s="109" t="s">
        <v>924</v>
      </c>
      <c r="D23" s="704">
        <v>5902.44255361059</v>
      </c>
      <c r="E23" s="704">
        <v>0</v>
      </c>
      <c r="F23" s="704">
        <v>0</v>
      </c>
    </row>
    <row r="24" spans="1:29" ht="15.75">
      <c r="A24" s="109"/>
      <c r="B24" s="109"/>
      <c r="C24" s="109" t="s">
        <v>925</v>
      </c>
      <c r="D24" s="704">
        <v>1004767.1097827773</v>
      </c>
      <c r="E24" s="704">
        <v>41721.823834455601</v>
      </c>
      <c r="F24" s="704">
        <v>16058.239688765003</v>
      </c>
    </row>
    <row r="25" spans="1:29" ht="15.75">
      <c r="A25" s="109"/>
      <c r="B25" s="109"/>
      <c r="C25" s="109" t="s">
        <v>926</v>
      </c>
      <c r="D25" s="704">
        <v>31025.418347763585</v>
      </c>
      <c r="E25" s="704">
        <v>17944.91</v>
      </c>
      <c r="F25" s="704">
        <v>53515.47</v>
      </c>
    </row>
    <row r="26" spans="1:29" ht="15.75">
      <c r="A26" s="109"/>
      <c r="B26" s="109"/>
      <c r="C26" s="109" t="s">
        <v>927</v>
      </c>
      <c r="D26" s="704">
        <v>67.009303472965499</v>
      </c>
      <c r="E26" s="704">
        <v>0</v>
      </c>
      <c r="F26" s="704">
        <v>0</v>
      </c>
    </row>
    <row r="27" spans="1:29" ht="15.75">
      <c r="A27" s="109"/>
      <c r="B27" s="109"/>
      <c r="C27" s="109" t="s">
        <v>928</v>
      </c>
      <c r="D27" s="704">
        <v>281.52199020610874</v>
      </c>
      <c r="E27" s="704">
        <v>228.07</v>
      </c>
      <c r="F27" s="704">
        <v>761.06999999999994</v>
      </c>
    </row>
    <row r="28" spans="1:29" ht="15.75">
      <c r="A28" s="109"/>
      <c r="B28" s="109"/>
      <c r="C28" s="109" t="s">
        <v>929</v>
      </c>
      <c r="D28" s="704">
        <v>16570.763882757641</v>
      </c>
      <c r="E28" s="704">
        <v>6890.65</v>
      </c>
      <c r="F28" s="704">
        <v>13699.82</v>
      </c>
    </row>
    <row r="29" spans="1:29" ht="15.75">
      <c r="A29" s="109"/>
      <c r="B29" s="109"/>
      <c r="C29" s="109" t="s">
        <v>930</v>
      </c>
      <c r="D29" s="704">
        <v>0</v>
      </c>
      <c r="E29" s="704">
        <v>20000</v>
      </c>
      <c r="F29" s="704">
        <v>0</v>
      </c>
    </row>
    <row r="30" spans="1:29" ht="15.75">
      <c r="A30" s="109"/>
      <c r="B30" s="109"/>
      <c r="C30" s="109" t="s">
        <v>931</v>
      </c>
      <c r="D30" s="704">
        <v>891.97000000000014</v>
      </c>
      <c r="E30" s="704">
        <v>0</v>
      </c>
      <c r="F30" s="704">
        <v>0</v>
      </c>
    </row>
    <row r="31" spans="1:29" ht="15.75">
      <c r="A31" s="109"/>
      <c r="B31" s="109"/>
      <c r="C31" s="780" t="s">
        <v>932</v>
      </c>
      <c r="D31" s="704">
        <v>32128.696843115074</v>
      </c>
      <c r="E31" s="704">
        <v>97730.277912561243</v>
      </c>
      <c r="F31" s="704">
        <v>33805.911099654972</v>
      </c>
    </row>
    <row r="32" spans="1:29" ht="15.75">
      <c r="A32" s="109"/>
      <c r="B32" s="109"/>
      <c r="C32" s="109" t="s">
        <v>933</v>
      </c>
      <c r="D32" s="704">
        <v>3.6082274434187873</v>
      </c>
      <c r="E32" s="704">
        <v>0</v>
      </c>
      <c r="F32" s="704">
        <v>0</v>
      </c>
    </row>
    <row r="33" spans="1:29" ht="15.75">
      <c r="A33" s="109"/>
      <c r="B33" s="109"/>
      <c r="C33" s="109" t="s">
        <v>934</v>
      </c>
      <c r="D33" s="704">
        <v>18318.961275496942</v>
      </c>
      <c r="E33" s="704">
        <v>0</v>
      </c>
      <c r="F33" s="704">
        <v>0</v>
      </c>
    </row>
    <row r="34" spans="1:29" s="112" customFormat="1" ht="15.75">
      <c r="A34" s="109"/>
      <c r="B34" s="109"/>
      <c r="C34" s="945" t="s">
        <v>935</v>
      </c>
      <c r="D34" s="704">
        <v>1733585.97</v>
      </c>
      <c r="E34" s="704">
        <v>1780186.31</v>
      </c>
      <c r="F34" s="704">
        <v>0</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1:29" ht="15.75">
      <c r="A35" s="109"/>
      <c r="B35" s="109"/>
      <c r="C35" s="109" t="s">
        <v>936</v>
      </c>
      <c r="D35" s="704">
        <v>0</v>
      </c>
      <c r="E35" s="704">
        <v>16732.281526404407</v>
      </c>
      <c r="F35" s="704">
        <v>3948994.9432752104</v>
      </c>
    </row>
    <row r="36" spans="1:29" ht="15.75">
      <c r="A36" s="109"/>
      <c r="B36" s="111" t="s">
        <v>937</v>
      </c>
      <c r="C36" s="111"/>
      <c r="D36" s="705">
        <f>SUM(D19:D35)</f>
        <v>2843543.4722066438</v>
      </c>
      <c r="E36" s="705">
        <f t="shared" ref="E36:F36" si="1">SUM(E19:E35)</f>
        <v>2020510.8461734215</v>
      </c>
      <c r="F36" s="705">
        <f t="shared" si="1"/>
        <v>4333605.0677636303</v>
      </c>
    </row>
    <row r="37" spans="1:29" ht="15.75">
      <c r="A37" s="946" t="s">
        <v>948</v>
      </c>
      <c r="B37" s="111"/>
      <c r="C37" s="111"/>
      <c r="D37" s="705">
        <f>+D36+D18</f>
        <v>3500101.2987322649</v>
      </c>
      <c r="E37" s="705">
        <f t="shared" ref="E37:F37" si="2">+E36+E18</f>
        <v>2693855.7169579379</v>
      </c>
      <c r="F37" s="705">
        <f t="shared" si="2"/>
        <v>4938845.87423639</v>
      </c>
    </row>
    <row r="38" spans="1:29" ht="15.75">
      <c r="A38" s="109"/>
      <c r="B38" s="109" t="s">
        <v>939</v>
      </c>
      <c r="C38" s="109" t="s">
        <v>940</v>
      </c>
      <c r="D38" s="464">
        <v>0.311</v>
      </c>
      <c r="E38" s="464">
        <v>0.21199999999999999</v>
      </c>
      <c r="F38" s="464">
        <v>0.28699999999999998</v>
      </c>
    </row>
    <row r="39" spans="1:29">
      <c r="D39" s="708">
        <f>+D37-'9 Portfolio Summary'!E10</f>
        <v>0</v>
      </c>
      <c r="E39" s="708">
        <f>+E37-'9 Portfolio Summary'!I10</f>
        <v>0</v>
      </c>
      <c r="F39" s="708">
        <f>+F37-'9 Portfolio Summary'!M10</f>
        <v>0</v>
      </c>
    </row>
    <row r="40" spans="1:29">
      <c r="A40" s="107" t="s">
        <v>203</v>
      </c>
      <c r="B40" s="906" t="s">
        <v>941</v>
      </c>
    </row>
    <row r="41" spans="1:29">
      <c r="B41" s="894" t="s">
        <v>942</v>
      </c>
      <c r="C41" s="782"/>
    </row>
    <row r="42" spans="1:29">
      <c r="B42" s="906" t="s">
        <v>943</v>
      </c>
    </row>
  </sheetData>
  <pageMargins left="0" right="0" top="0" bottom="0" header="0.3" footer="0.3"/>
  <pageSetup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pageSetUpPr fitToPage="1"/>
  </sheetPr>
  <dimension ref="A1:AL43"/>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949</v>
      </c>
    </row>
    <row r="6" spans="1:6">
      <c r="A6" s="109"/>
      <c r="B6" s="109"/>
      <c r="C6" s="109"/>
      <c r="D6" s="109"/>
      <c r="E6" s="109"/>
      <c r="F6" s="109"/>
    </row>
    <row r="7" spans="1:6" ht="28.5">
      <c r="A7" s="465" t="s">
        <v>697</v>
      </c>
      <c r="B7" s="109" t="s">
        <v>914</v>
      </c>
      <c r="C7" s="109" t="s">
        <v>904</v>
      </c>
      <c r="D7" s="943" t="s">
        <v>882</v>
      </c>
      <c r="E7" s="943" t="s">
        <v>883</v>
      </c>
      <c r="F7" s="943" t="s">
        <v>884</v>
      </c>
    </row>
    <row r="8" spans="1:6" ht="15.75">
      <c r="A8" s="944" t="s">
        <v>27</v>
      </c>
      <c r="B8" s="109" t="s">
        <v>916</v>
      </c>
      <c r="C8" s="110" t="s">
        <v>826</v>
      </c>
      <c r="D8" s="704">
        <v>3492.3972607132509</v>
      </c>
      <c r="E8" s="704">
        <v>32951.299131633401</v>
      </c>
      <c r="F8" s="704">
        <v>12713.259351635214</v>
      </c>
    </row>
    <row r="9" spans="1:6" ht="15.75">
      <c r="A9" s="109"/>
      <c r="B9" s="109"/>
      <c r="C9" s="110" t="s">
        <v>908</v>
      </c>
      <c r="D9" s="704">
        <v>95645.597371647629</v>
      </c>
      <c r="E9" s="704">
        <v>262793.89541263354</v>
      </c>
      <c r="F9" s="704">
        <v>182426.5854724141</v>
      </c>
    </row>
    <row r="10" spans="1:6" ht="15.75">
      <c r="A10" s="109"/>
      <c r="B10" s="109"/>
      <c r="C10" s="110" t="s">
        <v>917</v>
      </c>
      <c r="D10" s="704">
        <v>72962.377900917549</v>
      </c>
      <c r="E10" s="704">
        <v>121706.27915623112</v>
      </c>
      <c r="F10" s="704">
        <v>55320.114567970479</v>
      </c>
    </row>
    <row r="11" spans="1:6" ht="15.75">
      <c r="A11" s="109"/>
      <c r="B11" s="109"/>
      <c r="C11" s="110" t="s">
        <v>909</v>
      </c>
      <c r="D11" s="704">
        <v>6934.9896084827524</v>
      </c>
      <c r="E11" s="704">
        <v>18157.439999999999</v>
      </c>
      <c r="F11" s="704">
        <v>0</v>
      </c>
    </row>
    <row r="12" spans="1:6" ht="15.75">
      <c r="A12" s="109"/>
      <c r="B12" s="109"/>
      <c r="C12" s="110" t="s">
        <v>910</v>
      </c>
      <c r="D12" s="704">
        <v>13272.189999999995</v>
      </c>
      <c r="E12" s="704">
        <v>26732.199156231123</v>
      </c>
      <c r="F12" s="704">
        <v>30102.41856797049</v>
      </c>
    </row>
    <row r="13" spans="1:6" ht="15.75">
      <c r="A13" s="109"/>
      <c r="B13" s="109"/>
      <c r="C13" s="110" t="s">
        <v>852</v>
      </c>
      <c r="D13" s="704">
        <v>2801.5430499292706</v>
      </c>
      <c r="E13" s="704">
        <v>39974.114926692077</v>
      </c>
      <c r="F13" s="704">
        <v>15422.799823004038</v>
      </c>
    </row>
    <row r="14" spans="1:6" ht="15.75">
      <c r="A14" s="109"/>
      <c r="B14" s="109"/>
      <c r="C14" s="110" t="s">
        <v>911</v>
      </c>
      <c r="D14" s="704">
        <v>214.32082087715369</v>
      </c>
      <c r="E14" s="704">
        <v>0</v>
      </c>
      <c r="F14" s="704">
        <v>0</v>
      </c>
    </row>
    <row r="15" spans="1:6" ht="15.75">
      <c r="A15" s="109"/>
      <c r="B15" s="109"/>
      <c r="C15" s="110" t="s">
        <v>868</v>
      </c>
      <c r="D15" s="704">
        <v>30581.960000000043</v>
      </c>
      <c r="E15" s="704">
        <v>0</v>
      </c>
      <c r="F15" s="704">
        <v>0</v>
      </c>
    </row>
    <row r="16" spans="1:6" ht="15.75">
      <c r="A16" s="109"/>
      <c r="B16" s="109"/>
      <c r="C16" s="110" t="s">
        <v>871</v>
      </c>
      <c r="D16" s="704">
        <v>2920.1542760077796</v>
      </c>
      <c r="E16" s="704">
        <v>52180.531550071784</v>
      </c>
      <c r="F16" s="704">
        <v>16477.73125758722</v>
      </c>
    </row>
    <row r="17" spans="1:38" ht="15.75">
      <c r="A17" s="109"/>
      <c r="B17" s="109"/>
      <c r="C17" s="110" t="s">
        <v>876</v>
      </c>
      <c r="D17" s="704">
        <v>5848.920000000001</v>
      </c>
      <c r="E17" s="704">
        <v>5233.28</v>
      </c>
      <c r="F17" s="704">
        <v>8292.735999999999</v>
      </c>
    </row>
    <row r="18" spans="1:38" ht="15.75">
      <c r="A18" s="109"/>
      <c r="B18" s="111" t="s">
        <v>918</v>
      </c>
      <c r="C18" s="111"/>
      <c r="D18" s="705">
        <f>SUM(D8:D17)</f>
        <v>234674.45028857543</v>
      </c>
      <c r="E18" s="705">
        <f t="shared" ref="E18:F18" si="0">SUM(E8:E17)</f>
        <v>559729.03933349322</v>
      </c>
      <c r="F18" s="705">
        <f t="shared" si="0"/>
        <v>320755.64504058153</v>
      </c>
    </row>
    <row r="19" spans="1:38" ht="15.75">
      <c r="A19" s="109"/>
      <c r="B19" s="109" t="s">
        <v>919</v>
      </c>
      <c r="C19" s="944" t="s">
        <v>920</v>
      </c>
      <c r="D19" s="704">
        <v>0</v>
      </c>
      <c r="E19" s="704">
        <v>213671.3756</v>
      </c>
      <c r="F19" s="704">
        <v>893332.54709999997</v>
      </c>
    </row>
    <row r="20" spans="1:38" s="112" customFormat="1" ht="15.75">
      <c r="A20" s="109"/>
      <c r="B20" s="109"/>
      <c r="C20" s="109" t="s">
        <v>921</v>
      </c>
      <c r="D20" s="704">
        <v>0</v>
      </c>
      <c r="E20" s="704">
        <v>0</v>
      </c>
      <c r="F20" s="704">
        <v>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row>
    <row r="21" spans="1:38" s="112" customFormat="1" ht="15.75">
      <c r="A21" s="109"/>
      <c r="B21" s="109"/>
      <c r="C21" s="109" t="s">
        <v>922</v>
      </c>
      <c r="D21" s="704">
        <v>0</v>
      </c>
      <c r="E21" s="704">
        <v>0</v>
      </c>
      <c r="F21" s="704">
        <v>0</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1:38" s="112" customFormat="1" ht="15.75">
      <c r="A22" s="109"/>
      <c r="B22" s="109"/>
      <c r="C22" s="109" t="s">
        <v>923</v>
      </c>
      <c r="D22" s="704">
        <v>0</v>
      </c>
      <c r="E22" s="704">
        <v>67000</v>
      </c>
      <c r="F22" s="704">
        <v>0</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row>
    <row r="23" spans="1:38" ht="15.75">
      <c r="A23" s="109"/>
      <c r="B23" s="109"/>
      <c r="C23" s="109" t="s">
        <v>924</v>
      </c>
      <c r="D23" s="704">
        <v>1456.2172759347231</v>
      </c>
      <c r="E23" s="704">
        <v>0</v>
      </c>
      <c r="F23" s="704">
        <v>0</v>
      </c>
    </row>
    <row r="24" spans="1:38" ht="15.75">
      <c r="A24" s="109"/>
      <c r="B24" s="109"/>
      <c r="C24" s="109" t="s">
        <v>925</v>
      </c>
      <c r="D24" s="704">
        <v>145578.35939260304</v>
      </c>
      <c r="E24" s="704">
        <v>25432.165004777933</v>
      </c>
      <c r="F24" s="704">
        <v>9799.6796957727802</v>
      </c>
    </row>
    <row r="25" spans="1:38" ht="15.75">
      <c r="A25" s="109"/>
      <c r="B25" s="109"/>
      <c r="C25" s="109" t="s">
        <v>926</v>
      </c>
      <c r="D25" s="704">
        <v>21375.679020632349</v>
      </c>
      <c r="E25" s="704">
        <v>17116.16</v>
      </c>
      <c r="F25" s="704">
        <v>20175.489999999998</v>
      </c>
    </row>
    <row r="26" spans="1:38" ht="15.75">
      <c r="A26" s="109"/>
      <c r="B26" s="109"/>
      <c r="C26" s="109" t="s">
        <v>927</v>
      </c>
      <c r="D26" s="704">
        <v>17.549754402583829</v>
      </c>
      <c r="E26" s="704">
        <v>0</v>
      </c>
      <c r="F26" s="704">
        <v>0</v>
      </c>
    </row>
    <row r="27" spans="1:38" ht="15.75">
      <c r="A27" s="109"/>
      <c r="B27" s="109"/>
      <c r="C27" s="109" t="s">
        <v>928</v>
      </c>
      <c r="D27" s="704">
        <v>265.73435377650293</v>
      </c>
      <c r="E27" s="704">
        <v>283.32</v>
      </c>
      <c r="F27" s="704">
        <v>297.10000000000002</v>
      </c>
    </row>
    <row r="28" spans="1:38" ht="15.75">
      <c r="A28" s="109"/>
      <c r="B28" s="109"/>
      <c r="C28" s="109" t="s">
        <v>929</v>
      </c>
      <c r="D28" s="704">
        <v>4088.2452344658313</v>
      </c>
      <c r="E28" s="704">
        <v>4880.67</v>
      </c>
      <c r="F28" s="704">
        <v>5223.1399999999994</v>
      </c>
    </row>
    <row r="29" spans="1:38" ht="15.75">
      <c r="A29" s="109"/>
      <c r="B29" s="109"/>
      <c r="C29" s="109" t="s">
        <v>930</v>
      </c>
      <c r="D29" s="704">
        <v>0</v>
      </c>
      <c r="E29" s="704">
        <v>17000</v>
      </c>
      <c r="F29" s="704">
        <v>0</v>
      </c>
    </row>
    <row r="30" spans="1:38" ht="15.75">
      <c r="A30" s="109"/>
      <c r="B30" s="109"/>
      <c r="C30" s="109" t="s">
        <v>931</v>
      </c>
      <c r="D30" s="704">
        <v>0</v>
      </c>
      <c r="E30" s="704">
        <v>0</v>
      </c>
      <c r="F30" s="704">
        <v>0</v>
      </c>
    </row>
    <row r="31" spans="1:38" ht="15.75">
      <c r="A31" s="109"/>
      <c r="B31" s="109"/>
      <c r="C31" s="780" t="s">
        <v>932</v>
      </c>
      <c r="D31" s="704">
        <v>18343.702865100153</v>
      </c>
      <c r="E31" s="704">
        <v>61951.161113036578</v>
      </c>
      <c r="F31" s="704">
        <v>17472.53991651463</v>
      </c>
    </row>
    <row r="32" spans="1:38" ht="15.75">
      <c r="A32" s="109"/>
      <c r="B32" s="109"/>
      <c r="C32" s="109" t="s">
        <v>933</v>
      </c>
      <c r="D32" s="704">
        <v>0.8902014870765772</v>
      </c>
      <c r="E32" s="704">
        <v>0</v>
      </c>
      <c r="F32" s="704">
        <v>0</v>
      </c>
    </row>
    <row r="33" spans="1:38" ht="15.75">
      <c r="A33" s="109"/>
      <c r="B33" s="109"/>
      <c r="C33" s="109" t="s">
        <v>934</v>
      </c>
      <c r="D33" s="704">
        <v>4519.5506172676933</v>
      </c>
      <c r="E33" s="704">
        <v>0</v>
      </c>
      <c r="F33" s="704">
        <v>0</v>
      </c>
    </row>
    <row r="34" spans="1:38" s="112" customFormat="1" ht="15.75">
      <c r="A34" s="109"/>
      <c r="B34" s="109"/>
      <c r="C34" s="945" t="s">
        <v>935</v>
      </c>
      <c r="D34" s="704">
        <v>26867.13</v>
      </c>
      <c r="E34" s="704">
        <v>699839.67999999993</v>
      </c>
      <c r="F34" s="704">
        <v>0</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row>
    <row r="35" spans="1:38" ht="15.75">
      <c r="A35" s="109"/>
      <c r="B35" s="109"/>
      <c r="C35" s="109" t="s">
        <v>936</v>
      </c>
      <c r="D35" s="704">
        <v>0</v>
      </c>
      <c r="E35" s="704">
        <v>203445.51217369919</v>
      </c>
      <c r="F35" s="704">
        <v>846581.10915248538</v>
      </c>
    </row>
    <row r="36" spans="1:38" ht="15.75">
      <c r="A36" s="109"/>
      <c r="B36" s="111" t="s">
        <v>937</v>
      </c>
      <c r="C36" s="111"/>
      <c r="D36" s="705">
        <f>SUM(D19:D35)</f>
        <v>222513.05871566996</v>
      </c>
      <c r="E36" s="705">
        <f t="shared" ref="E36:F36" si="1">SUM(E19:E35)</f>
        <v>1310620.0438915137</v>
      </c>
      <c r="F36" s="705">
        <f t="shared" si="1"/>
        <v>1792881.6058647728</v>
      </c>
    </row>
    <row r="37" spans="1:38" ht="15.75">
      <c r="A37" s="946" t="s">
        <v>950</v>
      </c>
      <c r="B37" s="111"/>
      <c r="C37" s="111"/>
      <c r="D37" s="705">
        <f>+D36+D18</f>
        <v>457187.5090042454</v>
      </c>
      <c r="E37" s="705">
        <f t="shared" ref="E37:F37" si="2">+E36+E18</f>
        <v>1870349.0832250069</v>
      </c>
      <c r="F37" s="705">
        <f t="shared" si="2"/>
        <v>2113637.2509053545</v>
      </c>
    </row>
    <row r="38" spans="1:38" ht="15.75">
      <c r="A38" s="109"/>
      <c r="B38" s="109" t="s">
        <v>939</v>
      </c>
      <c r="C38" s="109" t="s">
        <v>940</v>
      </c>
      <c r="D38" s="464">
        <v>0.111</v>
      </c>
      <c r="E38" s="464">
        <v>0.189</v>
      </c>
      <c r="F38" s="464">
        <v>0.14099999999999999</v>
      </c>
    </row>
    <row r="39" spans="1:38">
      <c r="D39" s="708">
        <f>+D37-'9 Portfolio Summary'!E11</f>
        <v>0</v>
      </c>
      <c r="E39" s="708">
        <f>+E37-'9 Portfolio Summary'!I11</f>
        <v>0</v>
      </c>
      <c r="F39" s="708">
        <f>+F37-'9 Portfolio Summary'!M11</f>
        <v>0</v>
      </c>
    </row>
    <row r="40" spans="1:38">
      <c r="A40" s="107" t="s">
        <v>203</v>
      </c>
      <c r="B40" s="906" t="s">
        <v>941</v>
      </c>
    </row>
    <row r="41" spans="1:38">
      <c r="B41" s="894" t="s">
        <v>942</v>
      </c>
      <c r="C41" s="782"/>
    </row>
    <row r="42" spans="1:38">
      <c r="B42" s="906" t="s">
        <v>943</v>
      </c>
    </row>
    <row r="43" spans="1:38" ht="15.75">
      <c r="B43" s="114"/>
    </row>
  </sheetData>
  <pageMargins left="0" right="0" top="0" bottom="0" header="0.3" footer="0.3"/>
  <pageSetup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pageSetUpPr fitToPage="1"/>
  </sheetPr>
  <dimension ref="A1:AA43"/>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951</v>
      </c>
    </row>
    <row r="6" spans="1:6">
      <c r="A6" s="109"/>
      <c r="B6" s="109"/>
      <c r="C6" s="109"/>
      <c r="D6" s="109"/>
      <c r="E6" s="109"/>
      <c r="F6" s="109"/>
    </row>
    <row r="7" spans="1:6" ht="28.5">
      <c r="A7" s="465" t="s">
        <v>697</v>
      </c>
      <c r="B7" s="109" t="s">
        <v>914</v>
      </c>
      <c r="C7" s="109" t="s">
        <v>904</v>
      </c>
      <c r="D7" s="943" t="s">
        <v>882</v>
      </c>
      <c r="E7" s="943" t="s">
        <v>883</v>
      </c>
      <c r="F7" s="943" t="s">
        <v>884</v>
      </c>
    </row>
    <row r="8" spans="1:6" ht="15.75">
      <c r="A8" s="944" t="s">
        <v>952</v>
      </c>
      <c r="B8" s="109" t="s">
        <v>916</v>
      </c>
      <c r="C8" s="110" t="s">
        <v>826</v>
      </c>
      <c r="D8" s="704">
        <v>118468.27461385536</v>
      </c>
      <c r="E8" s="704">
        <v>43385.40154371439</v>
      </c>
      <c r="F8" s="704">
        <v>65101.52839585879</v>
      </c>
    </row>
    <row r="9" spans="1:6" ht="15.75">
      <c r="A9" s="109"/>
      <c r="B9" s="109"/>
      <c r="C9" s="110" t="s">
        <v>908</v>
      </c>
      <c r="D9" s="704">
        <v>721307.76582573622</v>
      </c>
      <c r="E9" s="704">
        <v>492851.67787508242</v>
      </c>
      <c r="F9" s="704">
        <v>616903.21214442153</v>
      </c>
    </row>
    <row r="10" spans="1:6" ht="15.75">
      <c r="A10" s="109"/>
      <c r="B10" s="109"/>
      <c r="C10" s="110" t="s">
        <v>917</v>
      </c>
      <c r="D10" s="704">
        <v>83038.932950258095</v>
      </c>
      <c r="E10" s="704">
        <v>207415.20968864684</v>
      </c>
      <c r="F10" s="704">
        <v>120520.67649595492</v>
      </c>
    </row>
    <row r="11" spans="1:6" ht="15.75">
      <c r="A11" s="109"/>
      <c r="B11" s="109"/>
      <c r="C11" s="110" t="s">
        <v>909</v>
      </c>
      <c r="D11" s="704">
        <v>21229.583311155398</v>
      </c>
      <c r="E11" s="704">
        <v>0</v>
      </c>
      <c r="F11" s="704">
        <v>0</v>
      </c>
    </row>
    <row r="12" spans="1:6" ht="15.75">
      <c r="A12" s="109"/>
      <c r="B12" s="109"/>
      <c r="C12" s="110" t="s">
        <v>910</v>
      </c>
      <c r="D12" s="704">
        <v>0</v>
      </c>
      <c r="E12" s="704">
        <v>31108.649688646827</v>
      </c>
      <c r="F12" s="704">
        <v>91509.284495954926</v>
      </c>
    </row>
    <row r="13" spans="1:6" ht="15.75">
      <c r="A13" s="109"/>
      <c r="B13" s="109"/>
      <c r="C13" s="110" t="s">
        <v>852</v>
      </c>
      <c r="D13" s="704">
        <v>95033.28132658542</v>
      </c>
      <c r="E13" s="704">
        <v>52632.00763408425</v>
      </c>
      <c r="F13" s="704">
        <v>78976.43026465908</v>
      </c>
    </row>
    <row r="14" spans="1:6" ht="15.75">
      <c r="A14" s="109"/>
      <c r="B14" s="109"/>
      <c r="C14" s="110" t="s">
        <v>911</v>
      </c>
      <c r="D14" s="704">
        <v>49173.19024113522</v>
      </c>
      <c r="E14" s="704">
        <v>3560</v>
      </c>
      <c r="F14" s="704">
        <v>4400.16</v>
      </c>
    </row>
    <row r="15" spans="1:6" ht="15.75">
      <c r="A15" s="109"/>
      <c r="B15" s="109"/>
      <c r="C15" s="110" t="s">
        <v>868</v>
      </c>
      <c r="D15" s="704">
        <v>0</v>
      </c>
      <c r="E15" s="704">
        <v>0</v>
      </c>
      <c r="F15" s="704">
        <v>0</v>
      </c>
    </row>
    <row r="16" spans="1:6" ht="15.75">
      <c r="A16" s="109"/>
      <c r="B16" s="109"/>
      <c r="C16" s="110" t="s">
        <v>871</v>
      </c>
      <c r="D16" s="704">
        <v>98024.048805541679</v>
      </c>
      <c r="E16" s="704">
        <v>50453.357761212043</v>
      </c>
      <c r="F16" s="704">
        <v>68825.686070203985</v>
      </c>
    </row>
    <row r="17" spans="1:27" ht="15.75">
      <c r="A17" s="109"/>
      <c r="B17" s="109"/>
      <c r="C17" s="110" t="s">
        <v>876</v>
      </c>
      <c r="D17" s="704">
        <v>0</v>
      </c>
      <c r="E17" s="704">
        <v>20128</v>
      </c>
      <c r="F17" s="704">
        <v>24878.207999999999</v>
      </c>
    </row>
    <row r="18" spans="1:27" ht="15.75">
      <c r="A18" s="109"/>
      <c r="B18" s="111" t="s">
        <v>918</v>
      </c>
      <c r="C18" s="111"/>
      <c r="D18" s="705">
        <f>SUM(D8:D17)</f>
        <v>1186275.0770742674</v>
      </c>
      <c r="E18" s="705">
        <f t="shared" ref="E18:F18" si="0">SUM(E8:E17)</f>
        <v>901534.30419138668</v>
      </c>
      <c r="F18" s="705">
        <f t="shared" si="0"/>
        <v>1071115.1858670535</v>
      </c>
    </row>
    <row r="19" spans="1:27" ht="15.75">
      <c r="A19" s="109"/>
      <c r="B19" s="109" t="s">
        <v>919</v>
      </c>
      <c r="C19" s="944" t="s">
        <v>920</v>
      </c>
      <c r="D19" s="704">
        <v>0</v>
      </c>
      <c r="E19" s="704">
        <v>3989691.4912999999</v>
      </c>
      <c r="F19" s="704">
        <v>5225210.5668000001</v>
      </c>
    </row>
    <row r="20" spans="1:27" s="112" customFormat="1" ht="15.75">
      <c r="A20" s="109"/>
      <c r="B20" s="109"/>
      <c r="C20" s="109" t="s">
        <v>921</v>
      </c>
      <c r="D20" s="704">
        <v>0</v>
      </c>
      <c r="E20" s="704">
        <v>168678.01</v>
      </c>
      <c r="F20" s="704">
        <v>0</v>
      </c>
      <c r="G20" s="107"/>
      <c r="H20" s="107"/>
      <c r="I20" s="107"/>
      <c r="J20" s="107"/>
      <c r="K20" s="107"/>
      <c r="L20" s="107"/>
      <c r="M20" s="107"/>
      <c r="N20" s="107"/>
      <c r="O20" s="107"/>
      <c r="P20" s="107"/>
      <c r="Q20" s="107"/>
      <c r="R20" s="107"/>
      <c r="S20" s="107"/>
      <c r="T20" s="107"/>
      <c r="U20" s="107"/>
      <c r="V20" s="107"/>
      <c r="W20" s="107"/>
      <c r="X20" s="107"/>
      <c r="Y20" s="107"/>
      <c r="Z20" s="107"/>
      <c r="AA20" s="107"/>
    </row>
    <row r="21" spans="1:27" s="112" customFormat="1" ht="15.75">
      <c r="A21" s="109"/>
      <c r="B21" s="109"/>
      <c r="C21" s="109" t="s">
        <v>922</v>
      </c>
      <c r="D21" s="704">
        <v>0</v>
      </c>
      <c r="E21" s="704">
        <v>0</v>
      </c>
      <c r="F21" s="704">
        <v>0</v>
      </c>
      <c r="G21" s="107"/>
      <c r="H21" s="107"/>
      <c r="I21" s="107"/>
      <c r="J21" s="107"/>
      <c r="K21" s="107"/>
      <c r="L21" s="107"/>
      <c r="M21" s="107"/>
      <c r="N21" s="107"/>
      <c r="O21" s="107"/>
      <c r="P21" s="107"/>
      <c r="Q21" s="107"/>
      <c r="R21" s="107"/>
      <c r="S21" s="107"/>
      <c r="T21" s="107"/>
      <c r="U21" s="107"/>
      <c r="V21" s="107"/>
      <c r="W21" s="107"/>
      <c r="X21" s="107"/>
      <c r="Y21" s="107"/>
      <c r="Z21" s="107"/>
      <c r="AA21" s="107"/>
    </row>
    <row r="22" spans="1:27" s="112" customFormat="1" ht="15.75">
      <c r="A22" s="109"/>
      <c r="B22" s="109"/>
      <c r="C22" s="109" t="s">
        <v>923</v>
      </c>
      <c r="D22" s="704">
        <v>0</v>
      </c>
      <c r="E22" s="704">
        <v>0</v>
      </c>
      <c r="F22" s="704">
        <v>0</v>
      </c>
      <c r="G22" s="107"/>
      <c r="H22" s="107"/>
      <c r="I22" s="107"/>
      <c r="J22" s="107"/>
      <c r="K22" s="107"/>
      <c r="L22" s="107"/>
      <c r="M22" s="107"/>
      <c r="N22" s="107"/>
      <c r="O22" s="107"/>
      <c r="P22" s="107"/>
      <c r="Q22" s="107"/>
      <c r="R22" s="107"/>
      <c r="S22" s="107"/>
      <c r="T22" s="107"/>
      <c r="U22" s="107"/>
      <c r="V22" s="107"/>
      <c r="W22" s="107"/>
      <c r="X22" s="107"/>
      <c r="Y22" s="107"/>
      <c r="Z22" s="107"/>
      <c r="AA22" s="107"/>
    </row>
    <row r="23" spans="1:27" ht="15.75">
      <c r="A23" s="109"/>
      <c r="B23" s="109"/>
      <c r="C23" s="109" t="s">
        <v>924</v>
      </c>
      <c r="D23" s="704">
        <v>25023.337812739723</v>
      </c>
      <c r="E23" s="704">
        <v>0</v>
      </c>
      <c r="F23" s="704">
        <v>0</v>
      </c>
    </row>
    <row r="24" spans="1:27" ht="15.75">
      <c r="A24" s="109"/>
      <c r="B24" s="109"/>
      <c r="C24" s="109" t="s">
        <v>925</v>
      </c>
      <c r="D24" s="704">
        <v>6181938.8271478927</v>
      </c>
      <c r="E24" s="704">
        <v>35923.280754802683</v>
      </c>
      <c r="F24" s="704">
        <v>47000.653722712472</v>
      </c>
    </row>
    <row r="25" spans="1:27" ht="15.75">
      <c r="A25" s="109"/>
      <c r="B25" s="109"/>
      <c r="C25" s="109" t="s">
        <v>926</v>
      </c>
      <c r="D25" s="704">
        <v>642.65706952843902</v>
      </c>
      <c r="E25" s="704">
        <v>313158.3</v>
      </c>
      <c r="F25" s="704">
        <v>314787.27999999997</v>
      </c>
    </row>
    <row r="26" spans="1:27" ht="15.75">
      <c r="A26" s="109"/>
      <c r="B26" s="109"/>
      <c r="C26" s="109" t="s">
        <v>927</v>
      </c>
      <c r="D26" s="704">
        <v>5408.0425117454615</v>
      </c>
      <c r="E26" s="704">
        <v>0</v>
      </c>
      <c r="F26" s="704">
        <v>0</v>
      </c>
    </row>
    <row r="27" spans="1:27" ht="15.75">
      <c r="A27" s="109"/>
      <c r="B27" s="109"/>
      <c r="C27" s="109" t="s">
        <v>928</v>
      </c>
      <c r="D27" s="704">
        <v>88.571353936873734</v>
      </c>
      <c r="E27" s="704">
        <v>1605</v>
      </c>
      <c r="F27" s="704">
        <v>1485.1399999999999</v>
      </c>
    </row>
    <row r="28" spans="1:27" ht="15.75">
      <c r="A28" s="109"/>
      <c r="B28" s="109"/>
      <c r="C28" s="109" t="s">
        <v>929</v>
      </c>
      <c r="D28" s="704">
        <v>70251.564278205711</v>
      </c>
      <c r="E28" s="704">
        <v>26883.95</v>
      </c>
      <c r="F28" s="704">
        <v>26927.239999999998</v>
      </c>
    </row>
    <row r="29" spans="1:27" ht="15.75">
      <c r="A29" s="109"/>
      <c r="B29" s="109"/>
      <c r="C29" s="109" t="s">
        <v>930</v>
      </c>
      <c r="D29" s="704">
        <v>0</v>
      </c>
      <c r="E29" s="704">
        <v>0</v>
      </c>
      <c r="F29" s="704">
        <v>0</v>
      </c>
    </row>
    <row r="30" spans="1:27" ht="15.75">
      <c r="A30" s="109"/>
      <c r="B30" s="109"/>
      <c r="C30" s="109" t="s">
        <v>931</v>
      </c>
      <c r="D30" s="704">
        <v>0</v>
      </c>
      <c r="E30" s="704">
        <v>0</v>
      </c>
      <c r="F30" s="704">
        <v>0</v>
      </c>
    </row>
    <row r="31" spans="1:27" ht="15.75">
      <c r="A31" s="109"/>
      <c r="B31" s="109"/>
      <c r="C31" s="780" t="s">
        <v>932</v>
      </c>
      <c r="D31" s="704">
        <v>62755.51791262086</v>
      </c>
      <c r="E31" s="704">
        <v>465618.36106699007</v>
      </c>
      <c r="F31" s="704">
        <v>452432.66386955592</v>
      </c>
    </row>
    <row r="32" spans="1:27" ht="15.75">
      <c r="A32" s="109"/>
      <c r="B32" s="109"/>
      <c r="C32" s="109" t="s">
        <v>933</v>
      </c>
      <c r="D32" s="704">
        <v>15.297039048120034</v>
      </c>
      <c r="E32" s="704">
        <v>0</v>
      </c>
      <c r="F32" s="704">
        <v>0</v>
      </c>
    </row>
    <row r="33" spans="1:27" ht="15.75">
      <c r="A33" s="109"/>
      <c r="B33" s="109"/>
      <c r="C33" s="109" t="s">
        <v>934</v>
      </c>
      <c r="D33" s="704">
        <v>77663.027164042112</v>
      </c>
      <c r="E33" s="704">
        <v>0</v>
      </c>
      <c r="F33" s="704">
        <v>0</v>
      </c>
    </row>
    <row r="34" spans="1:27" s="112" customFormat="1" ht="15.75">
      <c r="A34" s="109"/>
      <c r="B34" s="109"/>
      <c r="C34" s="945" t="s">
        <v>935</v>
      </c>
      <c r="D34" s="704">
        <v>0</v>
      </c>
      <c r="E34" s="704">
        <v>0</v>
      </c>
      <c r="F34" s="704">
        <v>0</v>
      </c>
      <c r="G34" s="107"/>
      <c r="H34" s="107"/>
      <c r="I34" s="107"/>
      <c r="J34" s="107"/>
      <c r="K34" s="107"/>
      <c r="L34" s="107"/>
      <c r="M34" s="107"/>
      <c r="N34" s="107"/>
      <c r="O34" s="107"/>
      <c r="P34" s="107"/>
      <c r="Q34" s="107"/>
      <c r="R34" s="107"/>
      <c r="S34" s="107"/>
      <c r="T34" s="107"/>
      <c r="U34" s="107"/>
      <c r="V34" s="107"/>
      <c r="W34" s="107"/>
      <c r="X34" s="107"/>
      <c r="Y34" s="107"/>
      <c r="Z34" s="107"/>
      <c r="AA34" s="107"/>
    </row>
    <row r="35" spans="1:27" ht="15.75">
      <c r="A35" s="109"/>
      <c r="B35" s="109"/>
      <c r="C35" s="109" t="s">
        <v>936</v>
      </c>
      <c r="D35" s="704">
        <v>0</v>
      </c>
      <c r="E35" s="704">
        <v>5626769.3736590426</v>
      </c>
      <c r="F35" s="704">
        <v>5687985.8931584433</v>
      </c>
    </row>
    <row r="36" spans="1:27" ht="15.75">
      <c r="A36" s="109"/>
      <c r="B36" s="111" t="s">
        <v>937</v>
      </c>
      <c r="C36" s="111"/>
      <c r="D36" s="705">
        <f>SUM(D19:D35)</f>
        <v>6423786.8422897588</v>
      </c>
      <c r="E36" s="705">
        <f t="shared" ref="E36:F36" si="1">SUM(E19:E35)</f>
        <v>10628327.766780835</v>
      </c>
      <c r="F36" s="705">
        <f t="shared" si="1"/>
        <v>11755829.437550712</v>
      </c>
    </row>
    <row r="37" spans="1:27" ht="15.75">
      <c r="A37" s="946" t="s">
        <v>953</v>
      </c>
      <c r="B37" s="111"/>
      <c r="C37" s="111"/>
      <c r="D37" s="705">
        <f>+D36+D18</f>
        <v>7610061.9193640258</v>
      </c>
      <c r="E37" s="705">
        <f t="shared" ref="E37:F37" si="2">+E36+E18</f>
        <v>11529862.070972221</v>
      </c>
      <c r="F37" s="705">
        <f t="shared" si="2"/>
        <v>12826944.623417765</v>
      </c>
    </row>
    <row r="38" spans="1:27" ht="15.75">
      <c r="A38" s="109"/>
      <c r="B38" s="109" t="s">
        <v>939</v>
      </c>
      <c r="C38" s="109" t="s">
        <v>940</v>
      </c>
      <c r="D38" s="464">
        <v>0.56200000000000006</v>
      </c>
      <c r="E38" s="464">
        <v>0.308</v>
      </c>
      <c r="F38" s="464">
        <v>0.373</v>
      </c>
    </row>
    <row r="39" spans="1:27">
      <c r="D39" s="708">
        <f>+D37-'9 Portfolio Summary'!E12</f>
        <v>0</v>
      </c>
      <c r="E39" s="708">
        <f>+E37-'9 Portfolio Summary'!I12</f>
        <v>0</v>
      </c>
      <c r="F39" s="708">
        <f>+F37-'9 Portfolio Summary'!M12</f>
        <v>0</v>
      </c>
    </row>
    <row r="40" spans="1:27">
      <c r="A40" s="107" t="s">
        <v>203</v>
      </c>
      <c r="B40" s="906" t="s">
        <v>941</v>
      </c>
    </row>
    <row r="41" spans="1:27">
      <c r="B41" s="894" t="s">
        <v>942</v>
      </c>
      <c r="C41" s="782"/>
    </row>
    <row r="42" spans="1:27">
      <c r="B42" s="906" t="s">
        <v>943</v>
      </c>
    </row>
    <row r="43" spans="1:27" ht="15.75">
      <c r="B43" s="114"/>
    </row>
  </sheetData>
  <pageMargins left="0" right="0" top="0" bottom="0" header="0.3" footer="0.3"/>
  <pageSetup scale="5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pageSetUpPr fitToPage="1"/>
  </sheetPr>
  <dimension ref="A1:AD45"/>
  <sheetViews>
    <sheetView zoomScale="80" zoomScaleNormal="80" workbookViewId="0"/>
  </sheetViews>
  <sheetFormatPr defaultColWidth="8.625" defaultRowHeight="14.25"/>
  <cols>
    <col min="1" max="1" width="13.625" style="107" customWidth="1"/>
    <col min="2" max="2" width="30.25" style="107" customWidth="1"/>
    <col min="3" max="3" width="69.625" style="107" customWidth="1"/>
    <col min="4" max="6" width="21.5" style="107" customWidth="1"/>
    <col min="7" max="16384" width="8.625" style="107"/>
  </cols>
  <sheetData>
    <row r="1" spans="1:6" ht="15.4">
      <c r="A1" s="20" t="s">
        <v>85</v>
      </c>
      <c r="B1" s="408" t="str">
        <f>PA_NAME</f>
        <v>San Diego Gas &amp; Electric Co</v>
      </c>
    </row>
    <row r="2" spans="1:6" ht="15.4">
      <c r="A2" s="20" t="s">
        <v>86</v>
      </c>
      <c r="B2" s="408" t="str">
        <f>RPT_YEAR</f>
        <v>2022-2023</v>
      </c>
    </row>
    <row r="3" spans="1:6">
      <c r="A3" s="108" t="s">
        <v>954</v>
      </c>
    </row>
    <row r="6" spans="1:6">
      <c r="A6" s="109"/>
      <c r="B6" s="109"/>
      <c r="C6" s="109"/>
      <c r="D6" s="109"/>
      <c r="E6" s="109"/>
      <c r="F6" s="109"/>
    </row>
    <row r="7" spans="1:6" ht="28.5">
      <c r="A7" s="465" t="s">
        <v>697</v>
      </c>
      <c r="B7" s="109" t="s">
        <v>914</v>
      </c>
      <c r="C7" s="109" t="s">
        <v>904</v>
      </c>
      <c r="D7" s="943" t="s">
        <v>882</v>
      </c>
      <c r="E7" s="943" t="s">
        <v>883</v>
      </c>
      <c r="F7" s="943" t="s">
        <v>884</v>
      </c>
    </row>
    <row r="8" spans="1:6" ht="15.75">
      <c r="A8" s="944" t="s">
        <v>955</v>
      </c>
      <c r="B8" s="109" t="s">
        <v>916</v>
      </c>
      <c r="C8" s="110" t="s">
        <v>826</v>
      </c>
      <c r="D8" s="704">
        <v>89754.548984426263</v>
      </c>
      <c r="E8" s="704">
        <v>162607.12283776797</v>
      </c>
      <c r="F8" s="704">
        <v>233015.19771163529</v>
      </c>
    </row>
    <row r="9" spans="1:6" ht="15.75">
      <c r="A9" s="109"/>
      <c r="B9" s="109"/>
      <c r="C9" s="110" t="s">
        <v>908</v>
      </c>
      <c r="D9" s="704">
        <v>2452573.6705808099</v>
      </c>
      <c r="E9" s="704">
        <v>1700027.8365747703</v>
      </c>
      <c r="F9" s="704">
        <v>1887561.399577457</v>
      </c>
    </row>
    <row r="10" spans="1:6" ht="15.75">
      <c r="A10" s="109"/>
      <c r="B10" s="109"/>
      <c r="C10" s="110" t="s">
        <v>917</v>
      </c>
      <c r="D10" s="704">
        <v>37395.251400976165</v>
      </c>
      <c r="E10" s="706">
        <v>128123.28805592909</v>
      </c>
      <c r="F10" s="706">
        <v>174670.07835631649</v>
      </c>
    </row>
    <row r="11" spans="1:6" ht="15.75">
      <c r="A11" s="109"/>
      <c r="B11" s="109"/>
      <c r="C11" s="110" t="s">
        <v>909</v>
      </c>
      <c r="D11" s="704">
        <v>38720.717075601737</v>
      </c>
      <c r="E11" s="704">
        <v>0</v>
      </c>
      <c r="F11" s="704">
        <v>0</v>
      </c>
    </row>
    <row r="12" spans="1:6" ht="15.75">
      <c r="A12" s="109"/>
      <c r="B12" s="109"/>
      <c r="C12" s="110" t="s">
        <v>910</v>
      </c>
      <c r="D12" s="704">
        <v>0</v>
      </c>
      <c r="E12" s="706">
        <v>3373.2080559290976</v>
      </c>
      <c r="F12" s="706">
        <v>4833.7903552908647</v>
      </c>
    </row>
    <row r="13" spans="1:6" ht="15.75">
      <c r="A13" s="109"/>
      <c r="B13" s="109"/>
      <c r="C13" s="110" t="s">
        <v>852</v>
      </c>
      <c r="D13" s="704">
        <v>71999.607758111088</v>
      </c>
      <c r="E13" s="704">
        <v>197263.1121537654</v>
      </c>
      <c r="F13" s="704">
        <v>282677.05791450111</v>
      </c>
    </row>
    <row r="14" spans="1:6" ht="15.75">
      <c r="A14" s="109"/>
      <c r="B14" s="109"/>
      <c r="C14" s="110" t="s">
        <v>911</v>
      </c>
      <c r="D14" s="704">
        <v>58118.951376676698</v>
      </c>
      <c r="E14" s="704">
        <v>71200</v>
      </c>
      <c r="F14" s="704">
        <v>73336.000000442858</v>
      </c>
    </row>
    <row r="15" spans="1:6" ht="15.75">
      <c r="A15" s="109"/>
      <c r="B15" s="109"/>
      <c r="C15" s="110" t="s">
        <v>868</v>
      </c>
      <c r="D15" s="704">
        <v>120488.30000000002</v>
      </c>
      <c r="E15" s="704">
        <v>0</v>
      </c>
      <c r="F15" s="704">
        <v>0</v>
      </c>
    </row>
    <row r="16" spans="1:6" ht="15.75">
      <c r="A16" s="109"/>
      <c r="B16" s="109"/>
      <c r="C16" s="110" t="s">
        <v>871</v>
      </c>
      <c r="D16" s="704">
        <v>127994.38374995807</v>
      </c>
      <c r="E16" s="707">
        <v>131196.70115122048</v>
      </c>
      <c r="F16" s="707">
        <v>179332.13064243257</v>
      </c>
    </row>
    <row r="17" spans="1:30" ht="15.75">
      <c r="A17" s="109"/>
      <c r="B17" s="109"/>
      <c r="C17" s="110" t="s">
        <v>876</v>
      </c>
      <c r="D17" s="704">
        <v>-650.77000000000055</v>
      </c>
      <c r="E17" s="704">
        <v>2415.36</v>
      </c>
      <c r="F17" s="704">
        <v>2487.8208000150235</v>
      </c>
    </row>
    <row r="18" spans="1:30" ht="15.75">
      <c r="A18" s="109"/>
      <c r="B18" s="111" t="s">
        <v>918</v>
      </c>
      <c r="C18" s="111"/>
      <c r="D18" s="705">
        <f>SUM(D8:D17)</f>
        <v>2996394.6609265595</v>
      </c>
      <c r="E18" s="705">
        <f t="shared" ref="E18:F18" si="0">SUM(E8:E17)</f>
        <v>2396206.6288293824</v>
      </c>
      <c r="F18" s="705">
        <f t="shared" si="0"/>
        <v>2837913.4753580913</v>
      </c>
    </row>
    <row r="19" spans="1:30" ht="15.75">
      <c r="A19" s="109"/>
      <c r="B19" s="109" t="s">
        <v>919</v>
      </c>
      <c r="C19" s="944" t="s">
        <v>920</v>
      </c>
      <c r="D19" s="704">
        <v>1836438</v>
      </c>
      <c r="E19" s="704">
        <v>4684380.2207000004</v>
      </c>
      <c r="F19" s="704">
        <v>5506381.6253000004</v>
      </c>
    </row>
    <row r="20" spans="1:30" s="112" customFormat="1" ht="15.75">
      <c r="A20" s="109"/>
      <c r="B20" s="109"/>
      <c r="C20" s="109" t="s">
        <v>921</v>
      </c>
      <c r="D20" s="704">
        <v>0</v>
      </c>
      <c r="E20" s="704">
        <v>0</v>
      </c>
      <c r="F20" s="704">
        <v>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row>
    <row r="21" spans="1:30" s="112" customFormat="1" ht="15.75">
      <c r="A21" s="109"/>
      <c r="B21" s="109"/>
      <c r="C21" s="109" t="s">
        <v>922</v>
      </c>
      <c r="D21" s="704">
        <v>0</v>
      </c>
      <c r="E21" s="704">
        <v>0</v>
      </c>
      <c r="F21" s="704">
        <v>0</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row>
    <row r="22" spans="1:30" s="112" customFormat="1" ht="15.75">
      <c r="A22" s="109"/>
      <c r="B22" s="109"/>
      <c r="C22" s="109" t="s">
        <v>923</v>
      </c>
      <c r="D22" s="704">
        <v>0</v>
      </c>
      <c r="E22" s="704">
        <v>3996351.53</v>
      </c>
      <c r="F22" s="704">
        <v>3147351.53</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row>
    <row r="23" spans="1:30" ht="15.75">
      <c r="A23" s="109"/>
      <c r="B23" s="109"/>
      <c r="C23" s="109" t="s">
        <v>924</v>
      </c>
      <c r="D23" s="704">
        <v>26220.64295331225</v>
      </c>
      <c r="E23" s="704">
        <v>0</v>
      </c>
      <c r="F23" s="704">
        <v>0</v>
      </c>
    </row>
    <row r="24" spans="1:30" ht="15.75">
      <c r="A24" s="109"/>
      <c r="B24" s="109"/>
      <c r="C24" s="109" t="s">
        <v>925</v>
      </c>
      <c r="D24" s="704">
        <v>4545399.1194313783</v>
      </c>
      <c r="E24" s="704">
        <v>204190.54033122491</v>
      </c>
      <c r="F24" s="704">
        <v>225970.82533382671</v>
      </c>
    </row>
    <row r="25" spans="1:30" ht="15.75">
      <c r="A25" s="109"/>
      <c r="B25" s="109"/>
      <c r="C25" s="109" t="s">
        <v>926</v>
      </c>
      <c r="D25" s="704">
        <v>673.40662894892262</v>
      </c>
      <c r="E25" s="704">
        <v>2062.9899999999998</v>
      </c>
      <c r="F25" s="704">
        <v>1849.59</v>
      </c>
    </row>
    <row r="26" spans="1:30" ht="15.75">
      <c r="A26" s="109"/>
      <c r="B26" s="109"/>
      <c r="C26" s="109" t="s">
        <v>927</v>
      </c>
      <c r="D26" s="704">
        <v>376.26704989510438</v>
      </c>
      <c r="E26" s="704">
        <v>0</v>
      </c>
      <c r="F26" s="704">
        <v>0</v>
      </c>
    </row>
    <row r="27" spans="1:30" ht="15.75">
      <c r="A27" s="109"/>
      <c r="B27" s="109"/>
      <c r="C27" s="109" t="s">
        <v>928</v>
      </c>
      <c r="D27" s="704">
        <v>92.809275279329398</v>
      </c>
      <c r="E27" s="704">
        <v>25000</v>
      </c>
      <c r="F27" s="704">
        <v>10000</v>
      </c>
    </row>
    <row r="28" spans="1:30" ht="15.75">
      <c r="A28" s="109"/>
      <c r="B28" s="109"/>
      <c r="C28" s="109" t="s">
        <v>929</v>
      </c>
      <c r="D28" s="704">
        <v>73612.928764151075</v>
      </c>
      <c r="E28" s="704">
        <v>31673.890000000003</v>
      </c>
      <c r="F28" s="704">
        <v>27109.45</v>
      </c>
    </row>
    <row r="29" spans="1:30" ht="15.75">
      <c r="A29" s="109"/>
      <c r="B29" s="109"/>
      <c r="C29" s="109" t="s">
        <v>930</v>
      </c>
      <c r="D29" s="704">
        <v>0</v>
      </c>
      <c r="E29" s="704">
        <v>295000</v>
      </c>
      <c r="F29" s="704">
        <v>295000</v>
      </c>
    </row>
    <row r="30" spans="1:30" ht="15.75">
      <c r="A30" s="109"/>
      <c r="B30" s="109"/>
      <c r="C30" s="109" t="s">
        <v>931</v>
      </c>
      <c r="D30" s="704">
        <v>20.13</v>
      </c>
      <c r="E30" s="704">
        <v>0</v>
      </c>
      <c r="F30" s="704">
        <v>0</v>
      </c>
    </row>
    <row r="31" spans="1:30" ht="15.75">
      <c r="A31" s="109"/>
      <c r="B31" s="109"/>
      <c r="C31" s="780" t="s">
        <v>932</v>
      </c>
      <c r="D31" s="704">
        <v>198886.6415378511</v>
      </c>
      <c r="E31" s="704">
        <v>236693.23892162199</v>
      </c>
      <c r="F31" s="704">
        <v>325245.75528284378</v>
      </c>
    </row>
    <row r="32" spans="1:30" ht="15.75">
      <c r="A32" s="109"/>
      <c r="B32" s="109"/>
      <c r="C32" s="109" t="s">
        <v>933</v>
      </c>
      <c r="D32" s="704">
        <v>2963.4289647258579</v>
      </c>
      <c r="E32" s="704">
        <v>0</v>
      </c>
      <c r="F32" s="704">
        <v>0</v>
      </c>
    </row>
    <row r="33" spans="1:30" ht="15.75">
      <c r="A33" s="109"/>
      <c r="B33" s="109"/>
      <c r="C33" s="109" t="s">
        <v>934</v>
      </c>
      <c r="D33" s="704">
        <v>82001.951912031684</v>
      </c>
      <c r="E33" s="704">
        <v>0</v>
      </c>
      <c r="F33" s="704">
        <v>0</v>
      </c>
    </row>
    <row r="34" spans="1:30" s="112" customFormat="1" ht="15.75">
      <c r="A34" s="109"/>
      <c r="B34" s="109"/>
      <c r="C34" s="945" t="s">
        <v>935</v>
      </c>
      <c r="D34" s="704">
        <v>0</v>
      </c>
      <c r="E34" s="704">
        <v>0</v>
      </c>
      <c r="F34" s="704">
        <v>0</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row>
    <row r="35" spans="1:30" ht="15.75">
      <c r="A35" s="109"/>
      <c r="B35" s="109"/>
      <c r="C35" s="109" t="s">
        <v>936</v>
      </c>
      <c r="D35" s="704">
        <v>0</v>
      </c>
      <c r="E35" s="704">
        <v>0</v>
      </c>
      <c r="F35" s="704">
        <v>0</v>
      </c>
    </row>
    <row r="36" spans="1:30" ht="15.75">
      <c r="A36" s="109"/>
      <c r="B36" s="111" t="s">
        <v>937</v>
      </c>
      <c r="C36" s="111"/>
      <c r="D36" s="705">
        <f>SUM(D19:D35)</f>
        <v>6766685.3265175726</v>
      </c>
      <c r="E36" s="705">
        <f t="shared" ref="E36:F36" si="1">SUM(E19:E35)</f>
        <v>9475352.4099528491</v>
      </c>
      <c r="F36" s="705">
        <f t="shared" si="1"/>
        <v>9538908.7759166695</v>
      </c>
    </row>
    <row r="37" spans="1:30" ht="15.75">
      <c r="A37" s="946" t="s">
        <v>956</v>
      </c>
      <c r="B37" s="111"/>
      <c r="C37" s="111"/>
      <c r="D37" s="705">
        <f>+D36+D18</f>
        <v>9763079.9874441326</v>
      </c>
      <c r="E37" s="705">
        <f t="shared" ref="E37:F37" si="2">+E36+E18</f>
        <v>11871559.038782232</v>
      </c>
      <c r="F37" s="705">
        <f t="shared" si="2"/>
        <v>12376822.251274761</v>
      </c>
    </row>
    <row r="38" spans="1:30" ht="15.75">
      <c r="A38" s="109"/>
      <c r="B38" s="109" t="s">
        <v>939</v>
      </c>
      <c r="C38" s="109" t="s">
        <v>940</v>
      </c>
      <c r="D38" s="464">
        <v>1.42</v>
      </c>
      <c r="E38" s="464">
        <v>0.75800000000000001</v>
      </c>
      <c r="F38" s="464">
        <v>0.78400000000000003</v>
      </c>
    </row>
    <row r="39" spans="1:30">
      <c r="D39" s="708">
        <f>+D37-'9 Portfolio Summary'!E13</f>
        <v>0</v>
      </c>
      <c r="E39" s="708">
        <f>+E37-'9 Portfolio Summary'!I13</f>
        <v>0</v>
      </c>
      <c r="F39" s="708">
        <f>+F37-'9 Portfolio Summary'!M13</f>
        <v>0</v>
      </c>
    </row>
    <row r="40" spans="1:30">
      <c r="A40" s="107" t="s">
        <v>203</v>
      </c>
      <c r="B40" s="906" t="s">
        <v>941</v>
      </c>
    </row>
    <row r="41" spans="1:30">
      <c r="B41" s="894" t="s">
        <v>942</v>
      </c>
      <c r="C41" s="782"/>
    </row>
    <row r="42" spans="1:30">
      <c r="B42" s="906" t="s">
        <v>943</v>
      </c>
    </row>
    <row r="43" spans="1:30" ht="15.75">
      <c r="B43" s="114"/>
    </row>
    <row r="44" spans="1:30">
      <c r="B44" s="906"/>
    </row>
    <row r="45" spans="1:30">
      <c r="B45" s="906" t="s">
        <v>946</v>
      </c>
    </row>
  </sheetData>
  <pageMargins left="0" right="0" top="0" bottom="0" header="0.3" footer="0.3"/>
  <pageSetup scale="4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200D-969E-42E5-BAA0-2FE9D719F504}">
  <sheetPr>
    <pageSetUpPr fitToPage="1"/>
  </sheetPr>
  <dimension ref="A1:AC337"/>
  <sheetViews>
    <sheetView zoomScaleNormal="100" workbookViewId="0">
      <pane xSplit="1" topLeftCell="B1" activePane="topRight" state="frozen"/>
      <selection pane="topRight"/>
    </sheetView>
  </sheetViews>
  <sheetFormatPr defaultColWidth="7.75" defaultRowHeight="18.75" customHeight="1"/>
  <cols>
    <col min="1" max="1" width="41.25" style="653" customWidth="1"/>
    <col min="2" max="2" width="29.75" style="653" bestFit="1" customWidth="1"/>
    <col min="3" max="3" width="19.25" style="654" customWidth="1"/>
    <col min="4" max="4" width="18.5" style="653" customWidth="1"/>
    <col min="5" max="5" width="42.75" style="655" customWidth="1"/>
    <col min="6" max="6" width="46" style="654" customWidth="1"/>
    <col min="7" max="10" width="36.25" style="653" customWidth="1"/>
    <col min="11" max="11" width="45.25" style="652" customWidth="1"/>
    <col min="12" max="12" width="11.75" style="651" customWidth="1"/>
    <col min="13" max="13" width="28.25" style="651" customWidth="1"/>
    <col min="14" max="14" width="12.25" style="651" customWidth="1"/>
    <col min="15" max="15" width="11.75" style="651" customWidth="1"/>
    <col min="16" max="16" width="37.75" style="651" customWidth="1"/>
    <col min="17" max="17" width="34.125" style="651" customWidth="1"/>
    <col min="18" max="18" width="21" style="651" customWidth="1"/>
    <col min="19" max="19" width="12.25" style="651" hidden="1" customWidth="1"/>
    <col min="20" max="20" width="11.125" style="651" hidden="1" customWidth="1"/>
    <col min="21" max="21" width="15.25" style="651" hidden="1" customWidth="1"/>
    <col min="22" max="22" width="17.25" style="651" customWidth="1"/>
    <col min="23" max="23" width="14.5" style="651" customWidth="1"/>
    <col min="24" max="24" width="25.25" style="651" customWidth="1"/>
    <col min="25" max="25" width="12.25" style="651" bestFit="1" customWidth="1"/>
    <col min="26" max="26" width="13.5" style="651" customWidth="1"/>
    <col min="27" max="27" width="46" style="651" customWidth="1"/>
    <col min="28" max="28" width="64.75" style="651" customWidth="1"/>
    <col min="29" max="29" width="21.75" style="651" customWidth="1"/>
    <col min="30" max="16384" width="7.75" style="651"/>
  </cols>
  <sheetData>
    <row r="1" spans="1:29" ht="18.75" customHeight="1">
      <c r="A1" s="20" t="s">
        <v>85</v>
      </c>
      <c r="B1" s="408" t="str">
        <f>PA_NAME</f>
        <v>San Diego Gas &amp; Electric Co</v>
      </c>
    </row>
    <row r="2" spans="1:29" ht="18.75" customHeight="1">
      <c r="A2" s="20" t="s">
        <v>86</v>
      </c>
      <c r="B2" s="408" t="str">
        <f>RPT_YEAR</f>
        <v>2022-2023</v>
      </c>
    </row>
    <row r="3" spans="1:29" ht="18.75" customHeight="1">
      <c r="A3" s="502" t="s">
        <v>957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0"/>
    </row>
    <row r="4" spans="1:29" ht="18.75" customHeight="1">
      <c r="A4" s="502" t="s">
        <v>958</v>
      </c>
      <c r="B4" s="501"/>
      <c r="C4" s="501"/>
      <c r="D4" s="501"/>
      <c r="E4" s="501"/>
      <c r="F4" s="501"/>
      <c r="G4" s="501"/>
      <c r="H4" s="501"/>
      <c r="I4" s="501"/>
      <c r="J4" s="501"/>
      <c r="K4" s="501"/>
      <c r="L4" s="660"/>
      <c r="M4" s="660"/>
      <c r="N4" s="660"/>
      <c r="O4" s="660"/>
      <c r="P4" s="660"/>
      <c r="Q4" s="660"/>
      <c r="R4" s="660"/>
      <c r="S4" s="501"/>
      <c r="T4" s="501"/>
      <c r="U4" s="501"/>
      <c r="V4" s="501"/>
      <c r="W4" s="501"/>
      <c r="X4" s="660"/>
      <c r="Y4" s="660"/>
      <c r="Z4" s="660"/>
      <c r="AA4" s="501"/>
      <c r="AB4" s="501"/>
      <c r="AC4" s="500"/>
    </row>
    <row r="5" spans="1:29" ht="18.75" customHeight="1">
      <c r="A5" s="661"/>
      <c r="B5" s="661"/>
      <c r="C5" s="661"/>
      <c r="D5" s="661"/>
      <c r="E5" s="661"/>
      <c r="F5" s="661"/>
      <c r="G5" s="661"/>
      <c r="H5" s="661"/>
      <c r="I5" s="661"/>
      <c r="J5" s="661"/>
      <c r="K5" s="661"/>
      <c r="L5" s="663"/>
      <c r="M5" s="664"/>
      <c r="N5" s="662"/>
      <c r="O5" s="662"/>
      <c r="P5" s="662"/>
      <c r="Q5" s="662"/>
      <c r="R5" s="662"/>
      <c r="S5" s="665"/>
      <c r="T5" s="665"/>
      <c r="U5" s="665"/>
      <c r="V5" s="665"/>
      <c r="W5" s="665"/>
      <c r="X5" s="666"/>
      <c r="Y5" s="662"/>
      <c r="Z5" s="662"/>
      <c r="AA5" s="661"/>
      <c r="AB5" s="661"/>
      <c r="AC5" s="661"/>
    </row>
    <row r="6" spans="1:29" ht="35.65" customHeight="1">
      <c r="A6" s="843" t="s">
        <v>959</v>
      </c>
      <c r="B6" s="843" t="s">
        <v>960</v>
      </c>
      <c r="C6" s="843" t="s">
        <v>961</v>
      </c>
      <c r="D6" s="843" t="s">
        <v>962</v>
      </c>
      <c r="E6" s="843" t="s">
        <v>963</v>
      </c>
      <c r="F6" s="843" t="s">
        <v>964</v>
      </c>
      <c r="G6" s="843" t="s">
        <v>965</v>
      </c>
      <c r="H6" s="843" t="s">
        <v>966</v>
      </c>
      <c r="I6" s="843" t="s">
        <v>967</v>
      </c>
      <c r="J6" s="843" t="s">
        <v>968</v>
      </c>
      <c r="K6" s="843" t="s">
        <v>697</v>
      </c>
      <c r="L6" s="844" t="s">
        <v>969</v>
      </c>
      <c r="M6" s="845" t="s">
        <v>970</v>
      </c>
      <c r="N6" s="846" t="s">
        <v>971</v>
      </c>
      <c r="O6" s="846" t="s">
        <v>972</v>
      </c>
      <c r="P6" s="846" t="s">
        <v>973</v>
      </c>
      <c r="Q6" s="846" t="s">
        <v>974</v>
      </c>
      <c r="R6" s="846" t="s">
        <v>975</v>
      </c>
      <c r="S6" s="847" t="s">
        <v>976</v>
      </c>
      <c r="T6" s="847"/>
      <c r="U6" s="847"/>
      <c r="V6" s="847" t="s">
        <v>977</v>
      </c>
      <c r="W6" s="847" t="s">
        <v>978</v>
      </c>
      <c r="X6" s="848" t="s">
        <v>979</v>
      </c>
      <c r="Y6" s="846" t="s">
        <v>980</v>
      </c>
      <c r="Z6" s="846" t="s">
        <v>981</v>
      </c>
      <c r="AA6" s="843" t="s">
        <v>982</v>
      </c>
      <c r="AB6" s="843" t="s">
        <v>983</v>
      </c>
      <c r="AC6" s="843" t="s">
        <v>984</v>
      </c>
    </row>
    <row r="7" spans="1:29" ht="18.75" customHeight="1">
      <c r="A7" s="484">
        <v>0</v>
      </c>
      <c r="B7" s="484" t="s">
        <v>985</v>
      </c>
      <c r="C7" s="484" t="s">
        <v>986</v>
      </c>
      <c r="D7" s="484" t="s">
        <v>987</v>
      </c>
      <c r="E7" s="484" t="s">
        <v>988</v>
      </c>
      <c r="F7" s="490" t="s">
        <v>989</v>
      </c>
      <c r="G7" s="490" t="s">
        <v>990</v>
      </c>
      <c r="H7" s="490" t="s">
        <v>968</v>
      </c>
      <c r="I7" s="489" t="s">
        <v>991</v>
      </c>
      <c r="J7" s="489" t="s">
        <v>992</v>
      </c>
      <c r="K7" s="488" t="s">
        <v>993</v>
      </c>
      <c r="L7" s="484">
        <v>2016</v>
      </c>
      <c r="M7" s="823">
        <v>239527.02912665569</v>
      </c>
      <c r="N7" s="487" t="s">
        <v>994</v>
      </c>
      <c r="O7" s="487" t="s">
        <v>994</v>
      </c>
      <c r="P7" s="824">
        <v>319930.91134699981</v>
      </c>
      <c r="Q7" s="824">
        <v>314738.79214771045</v>
      </c>
      <c r="R7" s="824">
        <v>188828.06770849638</v>
      </c>
      <c r="S7" s="824">
        <v>76996.295619272336</v>
      </c>
      <c r="T7" s="824">
        <v>76996.295619272336</v>
      </c>
      <c r="U7" s="824">
        <v>76996.295619272336</v>
      </c>
      <c r="V7" s="824">
        <v>230988.88685781701</v>
      </c>
      <c r="W7" s="824">
        <v>161692.2208004719</v>
      </c>
      <c r="X7" s="824">
        <v>430859.54135822126</v>
      </c>
      <c r="Y7" s="486" t="s">
        <v>995</v>
      </c>
      <c r="Z7" s="486" t="s">
        <v>995</v>
      </c>
      <c r="AA7" s="485" t="s">
        <v>996</v>
      </c>
      <c r="AB7" s="485" t="s">
        <v>997</v>
      </c>
      <c r="AC7" s="485"/>
    </row>
    <row r="8" spans="1:29" ht="18.75" customHeight="1">
      <c r="A8" s="484">
        <v>1</v>
      </c>
      <c r="B8" s="484" t="s">
        <v>985</v>
      </c>
      <c r="C8" s="484" t="s">
        <v>998</v>
      </c>
      <c r="D8" s="484" t="s">
        <v>987</v>
      </c>
      <c r="E8" s="484" t="s">
        <v>999</v>
      </c>
      <c r="F8" s="490" t="s">
        <v>1000</v>
      </c>
      <c r="G8" s="490" t="s">
        <v>1001</v>
      </c>
      <c r="H8" s="490" t="s">
        <v>968</v>
      </c>
      <c r="I8" s="489" t="s">
        <v>1002</v>
      </c>
      <c r="J8" s="489" t="s">
        <v>1000</v>
      </c>
      <c r="K8" s="488" t="s">
        <v>993</v>
      </c>
      <c r="L8" s="484">
        <v>2016</v>
      </c>
      <c r="M8" s="823">
        <v>98609.066312581621</v>
      </c>
      <c r="N8" s="487" t="s">
        <v>994</v>
      </c>
      <c r="O8" s="487" t="s">
        <v>994</v>
      </c>
      <c r="P8" s="824">
        <v>87297.336761534578</v>
      </c>
      <c r="Q8" s="824">
        <v>132022.27971599301</v>
      </c>
      <c r="R8" s="824">
        <v>55212.734798799051</v>
      </c>
      <c r="S8" s="824">
        <v>49464.29529427176</v>
      </c>
      <c r="T8" s="824">
        <v>49464.29529427176</v>
      </c>
      <c r="U8" s="824">
        <v>49464.29529427176</v>
      </c>
      <c r="V8" s="824">
        <v>148392.88588281529</v>
      </c>
      <c r="W8" s="824">
        <v>105860.74954419865</v>
      </c>
      <c r="X8" s="824">
        <v>96882.204262534593</v>
      </c>
      <c r="Y8" s="486" t="s">
        <v>995</v>
      </c>
      <c r="Z8" s="486" t="s">
        <v>995</v>
      </c>
      <c r="AA8" s="485" t="s">
        <v>1003</v>
      </c>
      <c r="AB8" s="485" t="s">
        <v>1004</v>
      </c>
      <c r="AC8" s="485"/>
    </row>
    <row r="9" spans="1:29" ht="18.75" customHeight="1">
      <c r="A9" s="484">
        <v>2</v>
      </c>
      <c r="B9" s="484" t="s">
        <v>985</v>
      </c>
      <c r="C9" s="484" t="s">
        <v>998</v>
      </c>
      <c r="D9" s="484" t="s">
        <v>987</v>
      </c>
      <c r="E9" s="484" t="s">
        <v>999</v>
      </c>
      <c r="F9" s="490" t="s">
        <v>1005</v>
      </c>
      <c r="G9" s="490" t="s">
        <v>1001</v>
      </c>
      <c r="H9" s="490" t="s">
        <v>968</v>
      </c>
      <c r="I9" s="489" t="s">
        <v>1002</v>
      </c>
      <c r="J9" s="489" t="s">
        <v>1005</v>
      </c>
      <c r="K9" s="488" t="s">
        <v>993</v>
      </c>
      <c r="L9" s="484">
        <v>2016</v>
      </c>
      <c r="M9" s="823">
        <v>89176.917538019159</v>
      </c>
      <c r="N9" s="487" t="s">
        <v>994</v>
      </c>
      <c r="O9" s="487" t="s">
        <v>994</v>
      </c>
      <c r="P9" s="824">
        <v>80492.313475682531</v>
      </c>
      <c r="Q9" s="824">
        <v>129587.916603294</v>
      </c>
      <c r="R9" s="824">
        <v>53057.774834896096</v>
      </c>
      <c r="S9" s="824">
        <v>43794.82749985523</v>
      </c>
      <c r="T9" s="824">
        <v>43794.82749985523</v>
      </c>
      <c r="U9" s="824">
        <v>43794.82749985523</v>
      </c>
      <c r="V9" s="824">
        <v>131384.4824995657</v>
      </c>
      <c r="W9" s="824">
        <v>93864.431094136569</v>
      </c>
      <c r="X9" s="824">
        <v>95334.242858835059</v>
      </c>
      <c r="Y9" s="486" t="s">
        <v>995</v>
      </c>
      <c r="Z9" s="486" t="s">
        <v>995</v>
      </c>
      <c r="AA9" s="485" t="s">
        <v>1003</v>
      </c>
      <c r="AB9" s="485" t="s">
        <v>1004</v>
      </c>
      <c r="AC9" s="485"/>
    </row>
    <row r="10" spans="1:29" ht="18.75" customHeight="1">
      <c r="A10" s="484">
        <v>3</v>
      </c>
      <c r="B10" s="484" t="s">
        <v>985</v>
      </c>
      <c r="C10" s="484" t="s">
        <v>998</v>
      </c>
      <c r="D10" s="484" t="s">
        <v>987</v>
      </c>
      <c r="E10" s="484" t="s">
        <v>999</v>
      </c>
      <c r="F10" s="490" t="s">
        <v>1006</v>
      </c>
      <c r="G10" s="490" t="s">
        <v>1001</v>
      </c>
      <c r="H10" s="490" t="s">
        <v>968</v>
      </c>
      <c r="I10" s="489" t="s">
        <v>1002</v>
      </c>
      <c r="J10" s="489" t="s">
        <v>1006</v>
      </c>
      <c r="K10" s="488" t="s">
        <v>993</v>
      </c>
      <c r="L10" s="484">
        <v>2016</v>
      </c>
      <c r="M10" s="823">
        <v>372063992.70350373</v>
      </c>
      <c r="N10" s="487" t="s">
        <v>994</v>
      </c>
      <c r="O10" s="487" t="s">
        <v>994</v>
      </c>
      <c r="P10" s="824">
        <v>481703716.36790425</v>
      </c>
      <c r="Q10" s="824">
        <v>460021010.46108401</v>
      </c>
      <c r="R10" s="824">
        <v>251434561.78932336</v>
      </c>
      <c r="S10" s="824">
        <v>229181761.51960665</v>
      </c>
      <c r="T10" s="824">
        <v>229181761.51960665</v>
      </c>
      <c r="U10" s="824">
        <v>229181761.51960665</v>
      </c>
      <c r="V10" s="824">
        <v>687545284.55882001</v>
      </c>
      <c r="W10" s="824">
        <v>498393941.62049663</v>
      </c>
      <c r="X10" s="824">
        <v>582129640.340325</v>
      </c>
      <c r="Y10" s="486" t="s">
        <v>995</v>
      </c>
      <c r="Z10" s="486" t="s">
        <v>995</v>
      </c>
      <c r="AA10" s="485" t="s">
        <v>1003</v>
      </c>
      <c r="AB10" s="485" t="s">
        <v>1004</v>
      </c>
      <c r="AC10" s="485"/>
    </row>
    <row r="11" spans="1:29" ht="18.75" customHeight="1">
      <c r="A11" s="484">
        <v>4</v>
      </c>
      <c r="B11" s="484" t="s">
        <v>985</v>
      </c>
      <c r="C11" s="484" t="s">
        <v>998</v>
      </c>
      <c r="D11" s="484" t="s">
        <v>987</v>
      </c>
      <c r="E11" s="484" t="s">
        <v>999</v>
      </c>
      <c r="F11" s="490" t="s">
        <v>1007</v>
      </c>
      <c r="G11" s="490" t="s">
        <v>1001</v>
      </c>
      <c r="H11" s="490" t="s">
        <v>968</v>
      </c>
      <c r="I11" s="489" t="s">
        <v>1002</v>
      </c>
      <c r="J11" s="489" t="s">
        <v>1007</v>
      </c>
      <c r="K11" s="488" t="s">
        <v>993</v>
      </c>
      <c r="L11" s="484">
        <v>2016</v>
      </c>
      <c r="M11" s="823">
        <v>316429661.90514046</v>
      </c>
      <c r="N11" s="487" t="s">
        <v>994</v>
      </c>
      <c r="O11" s="487" t="s">
        <v>994</v>
      </c>
      <c r="P11" s="824">
        <v>440258087.60130304</v>
      </c>
      <c r="Q11" s="824">
        <v>436447653.89927298</v>
      </c>
      <c r="R11" s="824">
        <v>242605043.53007609</v>
      </c>
      <c r="S11" s="824">
        <v>201672144.38514781</v>
      </c>
      <c r="T11" s="824">
        <v>201672144.38514781</v>
      </c>
      <c r="U11" s="824">
        <v>201672144.38514781</v>
      </c>
      <c r="V11" s="824">
        <v>605016433.15544343</v>
      </c>
      <c r="W11" s="824">
        <v>439793123.47075039</v>
      </c>
      <c r="X11" s="824">
        <v>572760268.00721192</v>
      </c>
      <c r="Y11" s="486" t="s">
        <v>995</v>
      </c>
      <c r="Z11" s="486" t="s">
        <v>995</v>
      </c>
      <c r="AA11" s="485" t="s">
        <v>1003</v>
      </c>
      <c r="AB11" s="485" t="s">
        <v>1004</v>
      </c>
      <c r="AC11" s="485"/>
    </row>
    <row r="12" spans="1:29" ht="18.75" customHeight="1">
      <c r="A12" s="484">
        <v>5</v>
      </c>
      <c r="B12" s="484" t="s">
        <v>985</v>
      </c>
      <c r="C12" s="484" t="s">
        <v>998</v>
      </c>
      <c r="D12" s="484" t="s">
        <v>987</v>
      </c>
      <c r="E12" s="484" t="s">
        <v>999</v>
      </c>
      <c r="F12" s="490" t="s">
        <v>1008</v>
      </c>
      <c r="G12" s="490" t="s">
        <v>1001</v>
      </c>
      <c r="H12" s="490" t="s">
        <v>968</v>
      </c>
      <c r="I12" s="489" t="s">
        <v>1002</v>
      </c>
      <c r="J12" s="489" t="s">
        <v>1008</v>
      </c>
      <c r="K12" s="488" t="s">
        <v>993</v>
      </c>
      <c r="L12" s="484">
        <v>2016</v>
      </c>
      <c r="M12" s="823">
        <v>3668704.3719318081</v>
      </c>
      <c r="N12" s="487" t="s">
        <v>994</v>
      </c>
      <c r="O12" s="487" t="s">
        <v>994</v>
      </c>
      <c r="P12" s="824">
        <v>2102400.4276243942</v>
      </c>
      <c r="Q12" s="824">
        <v>1471491.05953998</v>
      </c>
      <c r="R12" s="824">
        <v>3446225.9504607292</v>
      </c>
      <c r="S12" s="824">
        <v>3668761.1908914447</v>
      </c>
      <c r="T12" s="824">
        <v>3668761.1908914447</v>
      </c>
      <c r="U12" s="824">
        <v>3668761.1908914447</v>
      </c>
      <c r="V12" s="824">
        <v>11006283.572674334</v>
      </c>
      <c r="W12" s="824">
        <v>7918605.3776632585</v>
      </c>
      <c r="X12" s="824">
        <v>5012591.3578928038</v>
      </c>
      <c r="Y12" s="486" t="s">
        <v>995</v>
      </c>
      <c r="Z12" s="486" t="s">
        <v>995</v>
      </c>
      <c r="AA12" s="485" t="s">
        <v>1003</v>
      </c>
      <c r="AB12" s="485" t="s">
        <v>1004</v>
      </c>
      <c r="AC12" s="485"/>
    </row>
    <row r="13" spans="1:29" ht="18.75" customHeight="1">
      <c r="A13" s="484">
        <v>6</v>
      </c>
      <c r="B13" s="484" t="s">
        <v>985</v>
      </c>
      <c r="C13" s="484" t="s">
        <v>998</v>
      </c>
      <c r="D13" s="484" t="s">
        <v>987</v>
      </c>
      <c r="E13" s="484" t="s">
        <v>999</v>
      </c>
      <c r="F13" s="490" t="s">
        <v>1009</v>
      </c>
      <c r="G13" s="490" t="s">
        <v>1001</v>
      </c>
      <c r="H13" s="490" t="s">
        <v>968</v>
      </c>
      <c r="I13" s="489" t="s">
        <v>1002</v>
      </c>
      <c r="J13" s="489" t="s">
        <v>1009</v>
      </c>
      <c r="K13" s="488" t="s">
        <v>993</v>
      </c>
      <c r="L13" s="484">
        <v>2016</v>
      </c>
      <c r="M13" s="823">
        <v>2983256.2565512066</v>
      </c>
      <c r="N13" s="487" t="s">
        <v>994</v>
      </c>
      <c r="O13" s="487" t="s">
        <v>994</v>
      </c>
      <c r="P13" s="824">
        <v>1635555.3609204872</v>
      </c>
      <c r="Q13" s="824">
        <v>1164207.7058348099</v>
      </c>
      <c r="R13" s="824">
        <v>3265339.9873080361</v>
      </c>
      <c r="S13" s="824">
        <v>3365102.6877251784</v>
      </c>
      <c r="T13" s="824">
        <v>3365102.6877251784</v>
      </c>
      <c r="U13" s="824">
        <v>3365102.6877251784</v>
      </c>
      <c r="V13" s="824">
        <v>10095308.063175535</v>
      </c>
      <c r="W13" s="824">
        <v>7204935.2608984215</v>
      </c>
      <c r="X13" s="824">
        <v>4890194.6937966952</v>
      </c>
      <c r="Y13" s="486" t="s">
        <v>995</v>
      </c>
      <c r="Z13" s="486" t="s">
        <v>995</v>
      </c>
      <c r="AA13" s="485" t="s">
        <v>1003</v>
      </c>
      <c r="AB13" s="485" t="s">
        <v>1004</v>
      </c>
      <c r="AC13" s="485"/>
    </row>
    <row r="14" spans="1:29" ht="18.75" customHeight="1">
      <c r="A14" s="484">
        <v>7</v>
      </c>
      <c r="B14" s="484" t="s">
        <v>985</v>
      </c>
      <c r="C14" s="484" t="s">
        <v>998</v>
      </c>
      <c r="D14" s="484" t="s">
        <v>987</v>
      </c>
      <c r="E14" s="484" t="s">
        <v>999</v>
      </c>
      <c r="F14" s="490" t="s">
        <v>1010</v>
      </c>
      <c r="G14" s="490" t="s">
        <v>1001</v>
      </c>
      <c r="H14" s="490" t="s">
        <v>968</v>
      </c>
      <c r="I14" s="489" t="s">
        <v>1011</v>
      </c>
      <c r="J14" s="489" t="s">
        <v>1010</v>
      </c>
      <c r="K14" s="488" t="s">
        <v>993</v>
      </c>
      <c r="L14" s="484">
        <v>2016</v>
      </c>
      <c r="M14" s="823">
        <v>862575.51838928915</v>
      </c>
      <c r="N14" s="487" t="s">
        <v>994</v>
      </c>
      <c r="O14" s="487" t="s">
        <v>994</v>
      </c>
      <c r="P14" s="824">
        <v>918866.07778339786</v>
      </c>
      <c r="Q14" s="824">
        <v>1093888.81717404</v>
      </c>
      <c r="R14" s="824">
        <v>609080.21073442069</v>
      </c>
      <c r="S14" s="824">
        <v>328863.72984065284</v>
      </c>
      <c r="T14" s="824">
        <v>328863.72984065284</v>
      </c>
      <c r="U14" s="824">
        <v>328863.72984065284</v>
      </c>
      <c r="V14" s="824">
        <v>986591.18952195859</v>
      </c>
      <c r="W14" s="824">
        <v>703815.96931118087</v>
      </c>
      <c r="X14" s="824">
        <v>1285037.666994367</v>
      </c>
      <c r="Y14" s="486" t="s">
        <v>995</v>
      </c>
      <c r="Z14" s="486" t="s">
        <v>995</v>
      </c>
      <c r="AA14" s="485" t="s">
        <v>1012</v>
      </c>
      <c r="AB14" s="485" t="s">
        <v>1004</v>
      </c>
      <c r="AC14" s="485"/>
    </row>
    <row r="15" spans="1:29" ht="18.75" customHeight="1">
      <c r="A15" s="484">
        <v>8</v>
      </c>
      <c r="B15" s="484" t="s">
        <v>985</v>
      </c>
      <c r="C15" s="484" t="s">
        <v>998</v>
      </c>
      <c r="D15" s="484" t="s">
        <v>987</v>
      </c>
      <c r="E15" s="484" t="s">
        <v>999</v>
      </c>
      <c r="F15" s="490" t="s">
        <v>1013</v>
      </c>
      <c r="G15" s="490" t="s">
        <v>1001</v>
      </c>
      <c r="H15" s="490" t="s">
        <v>968</v>
      </c>
      <c r="I15" s="489" t="s">
        <v>1002</v>
      </c>
      <c r="J15" s="489" t="s">
        <v>1013</v>
      </c>
      <c r="K15" s="488" t="s">
        <v>993</v>
      </c>
      <c r="L15" s="484">
        <v>2016</v>
      </c>
      <c r="M15" s="823">
        <v>736773.64597397426</v>
      </c>
      <c r="N15" s="487" t="s">
        <v>994</v>
      </c>
      <c r="O15" s="487" t="s">
        <v>994</v>
      </c>
      <c r="P15" s="824">
        <v>848279.64243081352</v>
      </c>
      <c r="Q15" s="824">
        <v>1054949.8861460399</v>
      </c>
      <c r="R15" s="824">
        <v>593121.48082744842</v>
      </c>
      <c r="S15" s="824">
        <v>238002.38990319974</v>
      </c>
      <c r="T15" s="824">
        <v>238002.38990319974</v>
      </c>
      <c r="U15" s="824">
        <v>238002.38990319974</v>
      </c>
      <c r="V15" s="824">
        <v>714007.16970959923</v>
      </c>
      <c r="W15" s="824">
        <v>510104.96450482804</v>
      </c>
      <c r="X15" s="824">
        <v>1269912.0767742959</v>
      </c>
      <c r="Y15" s="486" t="s">
        <v>995</v>
      </c>
      <c r="Z15" s="486" t="s">
        <v>995</v>
      </c>
      <c r="AA15" s="485" t="s">
        <v>1012</v>
      </c>
      <c r="AB15" s="485" t="s">
        <v>1004</v>
      </c>
      <c r="AC15" s="485"/>
    </row>
    <row r="16" spans="1:29" ht="18.75" customHeight="1">
      <c r="A16" s="484">
        <v>9</v>
      </c>
      <c r="B16" s="484" t="s">
        <v>985</v>
      </c>
      <c r="C16" s="484" t="s">
        <v>998</v>
      </c>
      <c r="D16" s="484" t="s">
        <v>987</v>
      </c>
      <c r="E16" s="484" t="s">
        <v>999</v>
      </c>
      <c r="F16" s="490" t="s">
        <v>1014</v>
      </c>
      <c r="G16" s="490" t="s">
        <v>1001</v>
      </c>
      <c r="H16" s="490" t="s">
        <v>968</v>
      </c>
      <c r="I16" s="489" t="s">
        <v>1002</v>
      </c>
      <c r="J16" s="489" t="s">
        <v>1014</v>
      </c>
      <c r="K16" s="488" t="s">
        <v>993</v>
      </c>
      <c r="L16" s="484">
        <v>2016</v>
      </c>
      <c r="M16" s="823">
        <v>4071541355.6978703</v>
      </c>
      <c r="N16" s="487" t="s">
        <v>994</v>
      </c>
      <c r="O16" s="487" t="s">
        <v>994</v>
      </c>
      <c r="P16" s="824">
        <v>5453328495.2566442</v>
      </c>
      <c r="Q16" s="824">
        <v>5629792057.8726797</v>
      </c>
      <c r="R16" s="824">
        <v>2641285318.7758112</v>
      </c>
      <c r="S16" s="824">
        <v>2383262773.5336137</v>
      </c>
      <c r="T16" s="824">
        <v>2383262773.5336137</v>
      </c>
      <c r="U16" s="824">
        <v>2383262773.5336137</v>
      </c>
      <c r="V16" s="824">
        <v>7149788320.6008415</v>
      </c>
      <c r="W16" s="824">
        <v>5182802155.559824</v>
      </c>
      <c r="X16" s="824">
        <v>7753377253.7211695</v>
      </c>
      <c r="Y16" s="486" t="s">
        <v>995</v>
      </c>
      <c r="Z16" s="486" t="s">
        <v>995</v>
      </c>
      <c r="AA16" s="485" t="s">
        <v>1012</v>
      </c>
      <c r="AB16" s="485" t="s">
        <v>1004</v>
      </c>
      <c r="AC16" s="485"/>
    </row>
    <row r="17" spans="1:29" ht="18.75" customHeight="1">
      <c r="A17" s="484">
        <v>10</v>
      </c>
      <c r="B17" s="484" t="s">
        <v>985</v>
      </c>
      <c r="C17" s="484" t="s">
        <v>998</v>
      </c>
      <c r="D17" s="484" t="s">
        <v>987</v>
      </c>
      <c r="E17" s="484" t="s">
        <v>999</v>
      </c>
      <c r="F17" s="490" t="s">
        <v>1015</v>
      </c>
      <c r="G17" s="490" t="s">
        <v>1001</v>
      </c>
      <c r="H17" s="490" t="s">
        <v>968</v>
      </c>
      <c r="I17" s="489" t="s">
        <v>1002</v>
      </c>
      <c r="J17" s="489" t="s">
        <v>1015</v>
      </c>
      <c r="K17" s="488" t="s">
        <v>993</v>
      </c>
      <c r="L17" s="484">
        <v>2016</v>
      </c>
      <c r="M17" s="823">
        <v>3399176958.1089969</v>
      </c>
      <c r="N17" s="487" t="s">
        <v>994</v>
      </c>
      <c r="O17" s="487" t="s">
        <v>994</v>
      </c>
      <c r="P17" s="824">
        <v>4992750889.2698755</v>
      </c>
      <c r="Q17" s="824">
        <v>5376922452.5547895</v>
      </c>
      <c r="R17" s="824">
        <v>2561567227.2157989</v>
      </c>
      <c r="S17" s="824">
        <v>1953734962.6540229</v>
      </c>
      <c r="T17" s="824">
        <v>1953734962.6540229</v>
      </c>
      <c r="U17" s="824">
        <v>1953734962.6540229</v>
      </c>
      <c r="V17" s="824">
        <v>5861204887.9620686</v>
      </c>
      <c r="W17" s="824">
        <v>4260574529.4137979</v>
      </c>
      <c r="X17" s="824">
        <v>7656685480.0510092</v>
      </c>
      <c r="Y17" s="486" t="s">
        <v>995</v>
      </c>
      <c r="Z17" s="486" t="s">
        <v>995</v>
      </c>
      <c r="AA17" s="485" t="s">
        <v>1012</v>
      </c>
      <c r="AB17" s="485" t="s">
        <v>1004</v>
      </c>
      <c r="AC17" s="485"/>
    </row>
    <row r="18" spans="1:29" ht="18.75" customHeight="1">
      <c r="A18" s="484">
        <v>11</v>
      </c>
      <c r="B18" s="484" t="s">
        <v>985</v>
      </c>
      <c r="C18" s="484" t="s">
        <v>998</v>
      </c>
      <c r="D18" s="484" t="s">
        <v>987</v>
      </c>
      <c r="E18" s="484" t="s">
        <v>999</v>
      </c>
      <c r="F18" s="490" t="s">
        <v>1016</v>
      </c>
      <c r="G18" s="490" t="s">
        <v>1001</v>
      </c>
      <c r="H18" s="490" t="s">
        <v>968</v>
      </c>
      <c r="I18" s="489" t="s">
        <v>1002</v>
      </c>
      <c r="J18" s="489" t="s">
        <v>1016</v>
      </c>
      <c r="K18" s="488" t="s">
        <v>993</v>
      </c>
      <c r="L18" s="484">
        <v>2016</v>
      </c>
      <c r="M18" s="823">
        <v>38143321.689990081</v>
      </c>
      <c r="N18" s="487" t="s">
        <v>994</v>
      </c>
      <c r="O18" s="487" t="s">
        <v>994</v>
      </c>
      <c r="P18" s="824">
        <v>12096191.348439906</v>
      </c>
      <c r="Q18" s="824">
        <v>4011449.3759458102</v>
      </c>
      <c r="R18" s="824">
        <v>33617961.590264052</v>
      </c>
      <c r="S18" s="824">
        <v>27876600.896838307</v>
      </c>
      <c r="T18" s="824">
        <v>27876600.896838307</v>
      </c>
      <c r="U18" s="824">
        <v>27876600.896838307</v>
      </c>
      <c r="V18" s="824">
        <v>83629802.690514922</v>
      </c>
      <c r="W18" s="824">
        <v>60168484.751944117</v>
      </c>
      <c r="X18" s="824">
        <v>54439559.990600072</v>
      </c>
      <c r="Y18" s="486" t="s">
        <v>995</v>
      </c>
      <c r="Z18" s="486" t="s">
        <v>995</v>
      </c>
      <c r="AA18" s="485" t="s">
        <v>1012</v>
      </c>
      <c r="AB18" s="485" t="s">
        <v>1004</v>
      </c>
      <c r="AC18" s="485"/>
    </row>
    <row r="19" spans="1:29" ht="18.75" customHeight="1">
      <c r="A19" s="484">
        <v>12</v>
      </c>
      <c r="B19" s="484" t="s">
        <v>985</v>
      </c>
      <c r="C19" s="484" t="s">
        <v>998</v>
      </c>
      <c r="D19" s="484" t="s">
        <v>987</v>
      </c>
      <c r="E19" s="484" t="s">
        <v>999</v>
      </c>
      <c r="F19" s="490" t="s">
        <v>1017</v>
      </c>
      <c r="G19" s="490" t="s">
        <v>1001</v>
      </c>
      <c r="H19" s="490" t="s">
        <v>968</v>
      </c>
      <c r="I19" s="489" t="s">
        <v>1002</v>
      </c>
      <c r="J19" s="489" t="s">
        <v>1017</v>
      </c>
      <c r="K19" s="488" t="s">
        <v>993</v>
      </c>
      <c r="L19" s="484">
        <v>2016</v>
      </c>
      <c r="M19" s="823">
        <v>31043917.99073258</v>
      </c>
      <c r="N19" s="487" t="s">
        <v>994</v>
      </c>
      <c r="O19" s="487" t="s">
        <v>994</v>
      </c>
      <c r="P19" s="824">
        <v>7509075.2939949445</v>
      </c>
      <c r="Q19" s="824">
        <v>34955.128006145897</v>
      </c>
      <c r="R19" s="824">
        <v>30776343.717361189</v>
      </c>
      <c r="S19" s="824">
        <v>21343246.462557327</v>
      </c>
      <c r="T19" s="824">
        <v>21343246.462557327</v>
      </c>
      <c r="U19" s="824">
        <v>21343246.462557327</v>
      </c>
      <c r="V19" s="824">
        <v>64029739.387671977</v>
      </c>
      <c r="W19" s="824">
        <v>45697478.885578498</v>
      </c>
      <c r="X19" s="824">
        <v>52760707.285274453</v>
      </c>
      <c r="Y19" s="486" t="s">
        <v>995</v>
      </c>
      <c r="Z19" s="486" t="s">
        <v>995</v>
      </c>
      <c r="AA19" s="485" t="s">
        <v>1012</v>
      </c>
      <c r="AB19" s="485" t="s">
        <v>1004</v>
      </c>
      <c r="AC19" s="485"/>
    </row>
    <row r="20" spans="1:29" ht="18.75" customHeight="1">
      <c r="A20" s="484">
        <v>13</v>
      </c>
      <c r="B20" s="484" t="s">
        <v>985</v>
      </c>
      <c r="C20" s="484" t="s">
        <v>998</v>
      </c>
      <c r="D20" s="484" t="s">
        <v>1018</v>
      </c>
      <c r="E20" s="484" t="s">
        <v>1019</v>
      </c>
      <c r="F20" s="490" t="s">
        <v>1000</v>
      </c>
      <c r="G20" s="490" t="s">
        <v>1020</v>
      </c>
      <c r="H20" s="490" t="s">
        <v>968</v>
      </c>
      <c r="I20" s="489" t="s">
        <v>1021</v>
      </c>
      <c r="J20" s="489" t="s">
        <v>1022</v>
      </c>
      <c r="K20" s="488" t="s">
        <v>993</v>
      </c>
      <c r="L20" s="484">
        <v>2016</v>
      </c>
      <c r="M20" s="823">
        <v>711.64776805342569</v>
      </c>
      <c r="N20" s="487" t="s">
        <v>994</v>
      </c>
      <c r="O20" s="487" t="s">
        <v>994</v>
      </c>
      <c r="P20" s="824">
        <v>4285.691113087415</v>
      </c>
      <c r="Q20" s="824">
        <v>4655.59873506039</v>
      </c>
      <c r="R20" s="824">
        <v>713.57076212154868</v>
      </c>
      <c r="S20" s="824">
        <v>744.14292880362723</v>
      </c>
      <c r="T20" s="824">
        <v>744.14292880362723</v>
      </c>
      <c r="U20" s="824">
        <v>744.14292880362723</v>
      </c>
      <c r="V20" s="824">
        <v>2232.4287864108819</v>
      </c>
      <c r="W20" s="824">
        <v>1556.2437580690003</v>
      </c>
      <c r="X20" s="824">
        <v>57.253057897312331</v>
      </c>
      <c r="Y20" s="486" t="s">
        <v>995</v>
      </c>
      <c r="Z20" s="486" t="s">
        <v>995</v>
      </c>
      <c r="AA20" s="485" t="s">
        <v>1023</v>
      </c>
      <c r="AB20" s="485" t="s">
        <v>1024</v>
      </c>
      <c r="AC20" s="485"/>
    </row>
    <row r="21" spans="1:29" ht="18.75" customHeight="1">
      <c r="A21" s="484">
        <v>14</v>
      </c>
      <c r="B21" s="484" t="s">
        <v>985</v>
      </c>
      <c r="C21" s="484" t="s">
        <v>998</v>
      </c>
      <c r="D21" s="484" t="s">
        <v>1018</v>
      </c>
      <c r="E21" s="484" t="s">
        <v>1019</v>
      </c>
      <c r="F21" s="490" t="s">
        <v>1005</v>
      </c>
      <c r="G21" s="490" t="s">
        <v>1020</v>
      </c>
      <c r="H21" s="490" t="s">
        <v>968</v>
      </c>
      <c r="I21" s="489" t="s">
        <v>1021</v>
      </c>
      <c r="J21" s="489" t="s">
        <v>1025</v>
      </c>
      <c r="K21" s="488" t="s">
        <v>993</v>
      </c>
      <c r="L21" s="484">
        <v>2016</v>
      </c>
      <c r="M21" s="823">
        <v>493.13585898078156</v>
      </c>
      <c r="N21" s="487" t="s">
        <v>994</v>
      </c>
      <c r="O21" s="487" t="s">
        <v>994</v>
      </c>
      <c r="P21" s="824">
        <v>3682.9592725007815</v>
      </c>
      <c r="Q21" s="824">
        <v>4344.5602905471906</v>
      </c>
      <c r="R21" s="824">
        <v>608.16359659272121</v>
      </c>
      <c r="S21" s="824">
        <v>516.87321544164638</v>
      </c>
      <c r="T21" s="824">
        <v>516.87321544164638</v>
      </c>
      <c r="U21" s="824">
        <v>516.87321544164638</v>
      </c>
      <c r="V21" s="824">
        <v>1550.6196463249391</v>
      </c>
      <c r="W21" s="824">
        <v>1083.5063643238261</v>
      </c>
      <c r="X21" s="824">
        <v>45.854936276289742</v>
      </c>
      <c r="Y21" s="486" t="s">
        <v>995</v>
      </c>
      <c r="Z21" s="486" t="s">
        <v>995</v>
      </c>
      <c r="AA21" s="485" t="s">
        <v>1023</v>
      </c>
      <c r="AB21" s="485" t="s">
        <v>1024</v>
      </c>
      <c r="AC21" s="485"/>
    </row>
    <row r="22" spans="1:29" ht="18.75" customHeight="1">
      <c r="A22" s="484">
        <v>15</v>
      </c>
      <c r="B22" s="484" t="s">
        <v>985</v>
      </c>
      <c r="C22" s="484" t="s">
        <v>998</v>
      </c>
      <c r="D22" s="484" t="s">
        <v>1018</v>
      </c>
      <c r="E22" s="484" t="s">
        <v>1019</v>
      </c>
      <c r="F22" s="490" t="s">
        <v>1006</v>
      </c>
      <c r="G22" s="490" t="s">
        <v>1020</v>
      </c>
      <c r="H22" s="490" t="s">
        <v>968</v>
      </c>
      <c r="I22" s="489" t="s">
        <v>1021</v>
      </c>
      <c r="J22" s="489" t="s">
        <v>1026</v>
      </c>
      <c r="K22" s="488" t="s">
        <v>993</v>
      </c>
      <c r="L22" s="484">
        <v>2016</v>
      </c>
      <c r="M22" s="823">
        <v>3541580.2167316726</v>
      </c>
      <c r="N22" s="487" t="s">
        <v>994</v>
      </c>
      <c r="O22" s="487" t="s">
        <v>994</v>
      </c>
      <c r="P22" s="824">
        <v>30399380.744004786</v>
      </c>
      <c r="Q22" s="824">
        <v>30697436.501324888</v>
      </c>
      <c r="R22" s="824">
        <v>5751271.3977047149</v>
      </c>
      <c r="S22" s="824">
        <v>3659611.5060574454</v>
      </c>
      <c r="T22" s="824">
        <v>3659611.5060574454</v>
      </c>
      <c r="U22" s="824">
        <v>3659611.5060574454</v>
      </c>
      <c r="V22" s="824">
        <v>10978834.518172337</v>
      </c>
      <c r="W22" s="824">
        <v>7563152.9180087289</v>
      </c>
      <c r="X22" s="824">
        <v>413493.28720832663</v>
      </c>
      <c r="Y22" s="486" t="s">
        <v>995</v>
      </c>
      <c r="Z22" s="486" t="s">
        <v>995</v>
      </c>
      <c r="AA22" s="485" t="s">
        <v>1023</v>
      </c>
      <c r="AB22" s="485" t="s">
        <v>1024</v>
      </c>
      <c r="AC22" s="485"/>
    </row>
    <row r="23" spans="1:29" ht="18.75" customHeight="1">
      <c r="A23" s="484">
        <v>16</v>
      </c>
      <c r="B23" s="484" t="s">
        <v>985</v>
      </c>
      <c r="C23" s="484" t="s">
        <v>998</v>
      </c>
      <c r="D23" s="484" t="s">
        <v>1018</v>
      </c>
      <c r="E23" s="484" t="s">
        <v>1019</v>
      </c>
      <c r="F23" s="490" t="s">
        <v>1007</v>
      </c>
      <c r="G23" s="490" t="s">
        <v>1020</v>
      </c>
      <c r="H23" s="490" t="s">
        <v>968</v>
      </c>
      <c r="I23" s="489" t="s">
        <v>1021</v>
      </c>
      <c r="J23" s="489" t="s">
        <v>1027</v>
      </c>
      <c r="K23" s="488" t="s">
        <v>993</v>
      </c>
      <c r="L23" s="484">
        <v>2016</v>
      </c>
      <c r="M23" s="823">
        <v>2512664.7202694882</v>
      </c>
      <c r="N23" s="487" t="s">
        <v>994</v>
      </c>
      <c r="O23" s="487" t="s">
        <v>994</v>
      </c>
      <c r="P23" s="824">
        <v>25846856.266083285</v>
      </c>
      <c r="Q23" s="824">
        <v>28907099.594247304</v>
      </c>
      <c r="R23" s="824">
        <v>5396092.1874105139</v>
      </c>
      <c r="S23" s="824">
        <v>2598006.3822410852</v>
      </c>
      <c r="T23" s="824">
        <v>2598006.3822410852</v>
      </c>
      <c r="U23" s="824">
        <v>2598006.3822410852</v>
      </c>
      <c r="V23" s="824">
        <v>7794019.1467232555</v>
      </c>
      <c r="W23" s="824">
        <v>5372493.2799163843</v>
      </c>
      <c r="X23" s="824">
        <v>328777.54607202363</v>
      </c>
      <c r="Y23" s="486" t="s">
        <v>995</v>
      </c>
      <c r="Z23" s="486" t="s">
        <v>995</v>
      </c>
      <c r="AA23" s="485" t="s">
        <v>1023</v>
      </c>
      <c r="AB23" s="485" t="s">
        <v>1024</v>
      </c>
      <c r="AC23" s="485"/>
    </row>
    <row r="24" spans="1:29" ht="18.75" customHeight="1">
      <c r="A24" s="484">
        <v>17</v>
      </c>
      <c r="B24" s="484" t="s">
        <v>985</v>
      </c>
      <c r="C24" s="484" t="s">
        <v>998</v>
      </c>
      <c r="D24" s="484" t="s">
        <v>1018</v>
      </c>
      <c r="E24" s="484" t="s">
        <v>1019</v>
      </c>
      <c r="F24" s="490" t="s">
        <v>1008</v>
      </c>
      <c r="G24" s="490" t="s">
        <v>1020</v>
      </c>
      <c r="H24" s="490" t="s">
        <v>968</v>
      </c>
      <c r="I24" s="489" t="s">
        <v>1021</v>
      </c>
      <c r="J24" s="489" t="s">
        <v>1028</v>
      </c>
      <c r="K24" s="488" t="s">
        <v>993</v>
      </c>
      <c r="L24" s="484">
        <v>2016</v>
      </c>
      <c r="M24" s="823">
        <v>-12861.305429689366</v>
      </c>
      <c r="N24" s="487" t="s">
        <v>994</v>
      </c>
      <c r="O24" s="487" t="s">
        <v>994</v>
      </c>
      <c r="P24" s="824">
        <v>-150539.52781050606</v>
      </c>
      <c r="Q24" s="824">
        <v>-326056.87371524813</v>
      </c>
      <c r="R24" s="824">
        <v>-8589.6833227240641</v>
      </c>
      <c r="S24" s="824">
        <v>37425.980072347294</v>
      </c>
      <c r="T24" s="824">
        <v>37425.980072347294</v>
      </c>
      <c r="U24" s="824">
        <v>37425.980072347294</v>
      </c>
      <c r="V24" s="824">
        <v>112277.94021704188</v>
      </c>
      <c r="W24" s="824">
        <v>80921.188666839051</v>
      </c>
      <c r="X24" s="824">
        <v>2444.8150845085443</v>
      </c>
      <c r="Y24" s="486" t="s">
        <v>995</v>
      </c>
      <c r="Z24" s="486" t="s">
        <v>995</v>
      </c>
      <c r="AA24" s="485" t="s">
        <v>1023</v>
      </c>
      <c r="AB24" s="485" t="s">
        <v>1024</v>
      </c>
      <c r="AC24" s="485"/>
    </row>
    <row r="25" spans="1:29" ht="18.75" customHeight="1">
      <c r="A25" s="484">
        <v>18</v>
      </c>
      <c r="B25" s="484" t="s">
        <v>985</v>
      </c>
      <c r="C25" s="484" t="s">
        <v>998</v>
      </c>
      <c r="D25" s="484" t="s">
        <v>1018</v>
      </c>
      <c r="E25" s="484" t="s">
        <v>1019</v>
      </c>
      <c r="F25" s="490" t="s">
        <v>1009</v>
      </c>
      <c r="G25" s="490" t="s">
        <v>1020</v>
      </c>
      <c r="H25" s="490" t="s">
        <v>968</v>
      </c>
      <c r="I25" s="489" t="s">
        <v>1021</v>
      </c>
      <c r="J25" s="489" t="s">
        <v>1029</v>
      </c>
      <c r="K25" s="488" t="s">
        <v>993</v>
      </c>
      <c r="L25" s="484">
        <v>2016</v>
      </c>
      <c r="M25" s="823">
        <v>-12501.249471554491</v>
      </c>
      <c r="N25" s="487" t="s">
        <v>994</v>
      </c>
      <c r="O25" s="487" t="s">
        <v>994</v>
      </c>
      <c r="P25" s="824">
        <v>-190556.01303688195</v>
      </c>
      <c r="Q25" s="824">
        <v>-318889.49424054869</v>
      </c>
      <c r="R25" s="824">
        <v>-6611.3009034252136</v>
      </c>
      <c r="S25" s="824">
        <v>29650.861157484051</v>
      </c>
      <c r="T25" s="824">
        <v>29650.861157484051</v>
      </c>
      <c r="U25" s="824">
        <v>29650.861157484051</v>
      </c>
      <c r="V25" s="824">
        <v>88952.583472452156</v>
      </c>
      <c r="W25" s="824">
        <v>62891.527030267047</v>
      </c>
      <c r="X25" s="824">
        <v>1643.2286886658653</v>
      </c>
      <c r="Y25" s="486" t="s">
        <v>995</v>
      </c>
      <c r="Z25" s="486" t="s">
        <v>995</v>
      </c>
      <c r="AA25" s="485" t="s">
        <v>1023</v>
      </c>
      <c r="AB25" s="485" t="s">
        <v>1024</v>
      </c>
      <c r="AC25" s="485"/>
    </row>
    <row r="26" spans="1:29" ht="18.75" customHeight="1">
      <c r="A26" s="484">
        <v>19</v>
      </c>
      <c r="B26" s="484" t="s">
        <v>985</v>
      </c>
      <c r="C26" s="484" t="s">
        <v>998</v>
      </c>
      <c r="D26" s="484" t="s">
        <v>1018</v>
      </c>
      <c r="E26" s="484" t="s">
        <v>1019</v>
      </c>
      <c r="F26" s="490" t="s">
        <v>1010</v>
      </c>
      <c r="G26" s="490" t="s">
        <v>1020</v>
      </c>
      <c r="H26" s="490" t="s">
        <v>968</v>
      </c>
      <c r="I26" s="489" t="s">
        <v>1021</v>
      </c>
      <c r="J26" s="489" t="s">
        <v>1030</v>
      </c>
      <c r="K26" s="488" t="s">
        <v>993</v>
      </c>
      <c r="L26" s="484">
        <v>2016</v>
      </c>
      <c r="M26" s="823">
        <v>7658.2336349462294</v>
      </c>
      <c r="N26" s="487" t="s">
        <v>994</v>
      </c>
      <c r="O26" s="487" t="s">
        <v>994</v>
      </c>
      <c r="P26" s="824">
        <v>49935.854901536833</v>
      </c>
      <c r="Q26" s="824">
        <v>57204.262518091404</v>
      </c>
      <c r="R26" s="824">
        <v>4101.7857173698412</v>
      </c>
      <c r="S26" s="824">
        <v>8007.9228269897449</v>
      </c>
      <c r="T26" s="824">
        <v>8007.9228269897449</v>
      </c>
      <c r="U26" s="824">
        <v>8007.9228269897449</v>
      </c>
      <c r="V26" s="824">
        <v>24023.768480969236</v>
      </c>
      <c r="W26" s="824">
        <v>16747.158955923827</v>
      </c>
      <c r="X26" s="824">
        <v>289.1129345407785</v>
      </c>
      <c r="Y26" s="486" t="s">
        <v>995</v>
      </c>
      <c r="Z26" s="486" t="s">
        <v>995</v>
      </c>
      <c r="AA26" s="485" t="s">
        <v>1023</v>
      </c>
      <c r="AB26" s="485" t="s">
        <v>1024</v>
      </c>
      <c r="AC26" s="485" t="s">
        <v>1031</v>
      </c>
    </row>
    <row r="27" spans="1:29" ht="18.75" customHeight="1">
      <c r="A27" s="484">
        <v>20</v>
      </c>
      <c r="B27" s="484" t="s">
        <v>985</v>
      </c>
      <c r="C27" s="484" t="s">
        <v>998</v>
      </c>
      <c r="D27" s="484" t="s">
        <v>1018</v>
      </c>
      <c r="E27" s="484" t="s">
        <v>1019</v>
      </c>
      <c r="F27" s="490" t="s">
        <v>1013</v>
      </c>
      <c r="G27" s="490" t="s">
        <v>1020</v>
      </c>
      <c r="H27" s="490" t="s">
        <v>968</v>
      </c>
      <c r="I27" s="489" t="s">
        <v>1021</v>
      </c>
      <c r="J27" s="489" t="s">
        <v>1032</v>
      </c>
      <c r="K27" s="488" t="s">
        <v>993</v>
      </c>
      <c r="L27" s="484">
        <v>2016</v>
      </c>
      <c r="M27" s="823">
        <v>5255.0309510069064</v>
      </c>
      <c r="N27" s="487" t="s">
        <v>994</v>
      </c>
      <c r="O27" s="487" t="s">
        <v>994</v>
      </c>
      <c r="P27" s="824">
        <v>43831.899768361509</v>
      </c>
      <c r="Q27" s="824">
        <v>54188.848009123576</v>
      </c>
      <c r="R27" s="824">
        <v>3454.0071397847041</v>
      </c>
      <c r="S27" s="824">
        <v>5507.9846566140059</v>
      </c>
      <c r="T27" s="824">
        <v>5507.9846566140059</v>
      </c>
      <c r="U27" s="824">
        <v>5507.9846566140059</v>
      </c>
      <c r="V27" s="824">
        <v>16523.953969842019</v>
      </c>
      <c r="W27" s="824">
        <v>11546.228846352407</v>
      </c>
      <c r="X27" s="824">
        <v>232.20193826509961</v>
      </c>
      <c r="Y27" s="486" t="s">
        <v>995</v>
      </c>
      <c r="Z27" s="486" t="s">
        <v>995</v>
      </c>
      <c r="AA27" s="485" t="s">
        <v>1023</v>
      </c>
      <c r="AB27" s="485" t="s">
        <v>1024</v>
      </c>
      <c r="AC27" s="485" t="s">
        <v>1033</v>
      </c>
    </row>
    <row r="28" spans="1:29" ht="18.75" customHeight="1">
      <c r="A28" s="484">
        <v>21</v>
      </c>
      <c r="B28" s="484" t="s">
        <v>985</v>
      </c>
      <c r="C28" s="484" t="s">
        <v>998</v>
      </c>
      <c r="D28" s="484" t="s">
        <v>1018</v>
      </c>
      <c r="E28" s="484" t="s">
        <v>1019</v>
      </c>
      <c r="F28" s="490" t="s">
        <v>1014</v>
      </c>
      <c r="G28" s="490" t="s">
        <v>1020</v>
      </c>
      <c r="H28" s="490" t="s">
        <v>968</v>
      </c>
      <c r="I28" s="489" t="s">
        <v>1021</v>
      </c>
      <c r="J28" s="489" t="s">
        <v>1034</v>
      </c>
      <c r="K28" s="488" t="s">
        <v>993</v>
      </c>
      <c r="L28" s="484">
        <v>2016</v>
      </c>
      <c r="M28" s="823">
        <v>38821531.701111235</v>
      </c>
      <c r="N28" s="487" t="s">
        <v>994</v>
      </c>
      <c r="O28" s="487" t="s">
        <v>994</v>
      </c>
      <c r="P28" s="824">
        <v>379473611.89551783</v>
      </c>
      <c r="Q28" s="824">
        <v>421316669.03513592</v>
      </c>
      <c r="R28" s="824">
        <v>20787082.358309519</v>
      </c>
      <c r="S28" s="824">
        <v>40115348.347882681</v>
      </c>
      <c r="T28" s="824">
        <v>40115348.347882681</v>
      </c>
      <c r="U28" s="824">
        <v>40115348.347882681</v>
      </c>
      <c r="V28" s="824">
        <v>120346045.04364803</v>
      </c>
      <c r="W28" s="824">
        <v>82904568.807928279</v>
      </c>
      <c r="X28" s="824">
        <v>2099626.6388987461</v>
      </c>
      <c r="Y28" s="486" t="s">
        <v>995</v>
      </c>
      <c r="Z28" s="486" t="s">
        <v>995</v>
      </c>
      <c r="AA28" s="485" t="s">
        <v>1023</v>
      </c>
      <c r="AB28" s="485" t="s">
        <v>1024</v>
      </c>
      <c r="AC28" s="485" t="s">
        <v>1035</v>
      </c>
    </row>
    <row r="29" spans="1:29" ht="18.75" customHeight="1">
      <c r="A29" s="484">
        <v>22</v>
      </c>
      <c r="B29" s="484" t="s">
        <v>985</v>
      </c>
      <c r="C29" s="484" t="s">
        <v>998</v>
      </c>
      <c r="D29" s="484" t="s">
        <v>1018</v>
      </c>
      <c r="E29" s="484" t="s">
        <v>1019</v>
      </c>
      <c r="F29" s="490" t="s">
        <v>1015</v>
      </c>
      <c r="G29" s="490" t="s">
        <v>1020</v>
      </c>
      <c r="H29" s="490" t="s">
        <v>968</v>
      </c>
      <c r="I29" s="489" t="s">
        <v>1021</v>
      </c>
      <c r="J29" s="489" t="s">
        <v>1036</v>
      </c>
      <c r="K29" s="488" t="s">
        <v>993</v>
      </c>
      <c r="L29" s="484">
        <v>2016</v>
      </c>
      <c r="M29" s="823">
        <v>27125921.26079388</v>
      </c>
      <c r="N29" s="487" t="s">
        <v>994</v>
      </c>
      <c r="O29" s="487" t="s">
        <v>994</v>
      </c>
      <c r="P29" s="824">
        <v>331820857.0606364</v>
      </c>
      <c r="Q29" s="824">
        <v>400887693.57401937</v>
      </c>
      <c r="R29" s="824">
        <v>18073823.016866051</v>
      </c>
      <c r="S29" s="824">
        <v>28047242.431992013</v>
      </c>
      <c r="T29" s="824">
        <v>28047242.431992013</v>
      </c>
      <c r="U29" s="824">
        <v>28047242.431992013</v>
      </c>
      <c r="V29" s="824">
        <v>84141727.295976043</v>
      </c>
      <c r="W29" s="824">
        <v>57999711.82367938</v>
      </c>
      <c r="X29" s="824">
        <v>1675038.6580146365</v>
      </c>
      <c r="Y29" s="486" t="s">
        <v>995</v>
      </c>
      <c r="Z29" s="486" t="s">
        <v>995</v>
      </c>
      <c r="AA29" s="485" t="s">
        <v>1023</v>
      </c>
      <c r="AB29" s="485" t="s">
        <v>1024</v>
      </c>
      <c r="AC29" s="485" t="s">
        <v>1037</v>
      </c>
    </row>
    <row r="30" spans="1:29" ht="18.75" customHeight="1">
      <c r="A30" s="484">
        <v>23</v>
      </c>
      <c r="B30" s="484" t="s">
        <v>985</v>
      </c>
      <c r="C30" s="484" t="s">
        <v>998</v>
      </c>
      <c r="D30" s="484" t="s">
        <v>1018</v>
      </c>
      <c r="E30" s="484" t="s">
        <v>1019</v>
      </c>
      <c r="F30" s="490" t="s">
        <v>1016</v>
      </c>
      <c r="G30" s="490" t="s">
        <v>1020</v>
      </c>
      <c r="H30" s="490" t="s">
        <v>968</v>
      </c>
      <c r="I30" s="489" t="s">
        <v>1021</v>
      </c>
      <c r="J30" s="489" t="s">
        <v>1038</v>
      </c>
      <c r="K30" s="488" t="s">
        <v>993</v>
      </c>
      <c r="L30" s="484">
        <v>2016</v>
      </c>
      <c r="M30" s="823">
        <v>-182463.67101869613</v>
      </c>
      <c r="N30" s="487" t="s">
        <v>994</v>
      </c>
      <c r="O30" s="487" t="s">
        <v>994</v>
      </c>
      <c r="P30" s="824">
        <v>-2209074.9557754756</v>
      </c>
      <c r="Q30" s="824">
        <v>-5059196.4952959334</v>
      </c>
      <c r="R30" s="824">
        <v>-21496.601848040758</v>
      </c>
      <c r="S30" s="824">
        <v>79197.589752993154</v>
      </c>
      <c r="T30" s="824">
        <v>79197.589752993154</v>
      </c>
      <c r="U30" s="824">
        <v>79197.589752993154</v>
      </c>
      <c r="V30" s="824">
        <v>237592.76925897948</v>
      </c>
      <c r="W30" s="824">
        <v>171238.35073850432</v>
      </c>
      <c r="X30" s="824">
        <v>12571.194248503609</v>
      </c>
      <c r="Y30" s="486" t="s">
        <v>995</v>
      </c>
      <c r="Z30" s="486" t="s">
        <v>995</v>
      </c>
      <c r="AA30" s="485" t="s">
        <v>1023</v>
      </c>
      <c r="AB30" s="485" t="s">
        <v>1024</v>
      </c>
      <c r="AC30" s="485"/>
    </row>
    <row r="31" spans="1:29" ht="18.75" customHeight="1">
      <c r="A31" s="484">
        <v>24</v>
      </c>
      <c r="B31" s="484" t="s">
        <v>985</v>
      </c>
      <c r="C31" s="484" t="s">
        <v>998</v>
      </c>
      <c r="D31" s="484" t="s">
        <v>1018</v>
      </c>
      <c r="E31" s="484" t="s">
        <v>1019</v>
      </c>
      <c r="F31" s="490" t="s">
        <v>1017</v>
      </c>
      <c r="G31" s="490" t="s">
        <v>1020</v>
      </c>
      <c r="H31" s="490" t="s">
        <v>968</v>
      </c>
      <c r="I31" s="489" t="s">
        <v>1021</v>
      </c>
      <c r="J31" s="489" t="s">
        <v>1039</v>
      </c>
      <c r="K31" s="488" t="s">
        <v>993</v>
      </c>
      <c r="L31" s="484">
        <v>2016</v>
      </c>
      <c r="M31" s="823">
        <v>-155482.52311888602</v>
      </c>
      <c r="N31" s="487" t="s">
        <v>994</v>
      </c>
      <c r="O31" s="487" t="s">
        <v>994</v>
      </c>
      <c r="P31" s="824">
        <v>-2829173.7813169812</v>
      </c>
      <c r="Q31" s="824">
        <v>-4936595.3158479817</v>
      </c>
      <c r="R31" s="824">
        <v>-22659.07743245137</v>
      </c>
      <c r="S31" s="824">
        <v>31994.154029110756</v>
      </c>
      <c r="T31" s="824">
        <v>31994.154029110756</v>
      </c>
      <c r="U31" s="824">
        <v>31994.154029110756</v>
      </c>
      <c r="V31" s="824">
        <v>95982.462087332271</v>
      </c>
      <c r="W31" s="824">
        <v>67861.813262191383</v>
      </c>
      <c r="X31" s="824">
        <v>8115.8526963889335</v>
      </c>
      <c r="Y31" s="486" t="s">
        <v>995</v>
      </c>
      <c r="Z31" s="486" t="s">
        <v>995</v>
      </c>
      <c r="AA31" s="485" t="s">
        <v>1023</v>
      </c>
      <c r="AB31" s="485" t="s">
        <v>1024</v>
      </c>
      <c r="AC31" s="485"/>
    </row>
    <row r="32" spans="1:29" ht="18.75" customHeight="1">
      <c r="A32" s="484">
        <v>25</v>
      </c>
      <c r="B32" s="484" t="s">
        <v>985</v>
      </c>
      <c r="C32" s="484" t="s">
        <v>998</v>
      </c>
      <c r="D32" s="484" t="s">
        <v>1040</v>
      </c>
      <c r="E32" s="484" t="s">
        <v>1041</v>
      </c>
      <c r="F32" s="490" t="s">
        <v>1000</v>
      </c>
      <c r="G32" s="490" t="s">
        <v>1042</v>
      </c>
      <c r="H32" s="490" t="s">
        <v>968</v>
      </c>
      <c r="I32" s="489" t="s">
        <v>1043</v>
      </c>
      <c r="J32" s="489" t="s">
        <v>1044</v>
      </c>
      <c r="K32" s="488" t="s">
        <v>993</v>
      </c>
      <c r="L32" s="484">
        <v>2016</v>
      </c>
      <c r="M32" s="823">
        <v>787.5783519236569</v>
      </c>
      <c r="N32" s="487" t="s">
        <v>994</v>
      </c>
      <c r="O32" s="487" t="s">
        <v>994</v>
      </c>
      <c r="P32" s="824">
        <v>1588.4303456033253</v>
      </c>
      <c r="Q32" s="824">
        <v>203.68568231666202</v>
      </c>
      <c r="R32" s="824">
        <v>214.51003992111239</v>
      </c>
      <c r="S32" s="824">
        <v>744.14292880362609</v>
      </c>
      <c r="T32" s="824">
        <v>744.14292880362609</v>
      </c>
      <c r="U32" s="824">
        <v>744.14292880362609</v>
      </c>
      <c r="V32" s="824">
        <v>2232.4287864108783</v>
      </c>
      <c r="W32" s="824">
        <v>1556.243758068998</v>
      </c>
      <c r="X32" s="824">
        <v>274.32763831806716</v>
      </c>
      <c r="Y32" s="486" t="s">
        <v>995</v>
      </c>
      <c r="Z32" s="486" t="s">
        <v>995</v>
      </c>
      <c r="AA32" s="485" t="s">
        <v>1023</v>
      </c>
      <c r="AB32" s="485" t="s">
        <v>1045</v>
      </c>
      <c r="AC32" s="485" t="s">
        <v>1046</v>
      </c>
    </row>
    <row r="33" spans="1:29" ht="18.75" customHeight="1">
      <c r="A33" s="484">
        <v>26</v>
      </c>
      <c r="B33" s="484" t="s">
        <v>985</v>
      </c>
      <c r="C33" s="484" t="s">
        <v>998</v>
      </c>
      <c r="D33" s="484" t="s">
        <v>1040</v>
      </c>
      <c r="E33" s="484" t="s">
        <v>1041</v>
      </c>
      <c r="F33" s="490" t="s">
        <v>1005</v>
      </c>
      <c r="G33" s="490" t="s">
        <v>1042</v>
      </c>
      <c r="H33" s="490" t="s">
        <v>968</v>
      </c>
      <c r="I33" s="489" t="s">
        <v>1043</v>
      </c>
      <c r="J33" s="489" t="s">
        <v>1047</v>
      </c>
      <c r="K33" s="488" t="s">
        <v>993</v>
      </c>
      <c r="L33" s="484">
        <v>2016</v>
      </c>
      <c r="M33" s="823">
        <v>542.6586265746264</v>
      </c>
      <c r="N33" s="487" t="s">
        <v>994</v>
      </c>
      <c r="O33" s="487" t="s">
        <v>994</v>
      </c>
      <c r="P33" s="824">
        <v>1405.8268413474159</v>
      </c>
      <c r="Q33" s="824">
        <v>183.31711894124086</v>
      </c>
      <c r="R33" s="824">
        <v>193.05904104331938</v>
      </c>
      <c r="S33" s="824">
        <v>516.87321544164672</v>
      </c>
      <c r="T33" s="824">
        <v>516.87321544164672</v>
      </c>
      <c r="U33" s="824">
        <v>516.87321544164672</v>
      </c>
      <c r="V33" s="824">
        <v>1550.6196463249403</v>
      </c>
      <c r="W33" s="824">
        <v>1083.506364323827</v>
      </c>
      <c r="X33" s="824">
        <v>246.89488102674073</v>
      </c>
      <c r="Y33" s="486" t="s">
        <v>995</v>
      </c>
      <c r="Z33" s="486" t="s">
        <v>995</v>
      </c>
      <c r="AA33" s="485" t="s">
        <v>1023</v>
      </c>
      <c r="AB33" s="485" t="s">
        <v>1045</v>
      </c>
      <c r="AC33" s="485" t="s">
        <v>1046</v>
      </c>
    </row>
    <row r="34" spans="1:29" ht="18.75" customHeight="1">
      <c r="A34" s="484">
        <v>27</v>
      </c>
      <c r="B34" s="484" t="s">
        <v>985</v>
      </c>
      <c r="C34" s="484" t="s">
        <v>998</v>
      </c>
      <c r="D34" s="484" t="s">
        <v>1040</v>
      </c>
      <c r="E34" s="484" t="s">
        <v>1041</v>
      </c>
      <c r="F34" s="490" t="s">
        <v>1006</v>
      </c>
      <c r="G34" s="490" t="s">
        <v>1042</v>
      </c>
      <c r="H34" s="490" t="s">
        <v>968</v>
      </c>
      <c r="I34" s="489" t="s">
        <v>1043</v>
      </c>
      <c r="J34" s="489" t="s">
        <v>1048</v>
      </c>
      <c r="K34" s="488" t="s">
        <v>993</v>
      </c>
      <c r="L34" s="484">
        <v>2016</v>
      </c>
      <c r="M34" s="823">
        <v>4154146.5130920759</v>
      </c>
      <c r="N34" s="487" t="s">
        <v>994</v>
      </c>
      <c r="O34" s="487" t="s">
        <v>994</v>
      </c>
      <c r="P34" s="824">
        <v>10289594.148304887</v>
      </c>
      <c r="Q34" s="824">
        <v>869801.07254393562</v>
      </c>
      <c r="R34" s="824">
        <v>768861.38582170778</v>
      </c>
      <c r="S34" s="824">
        <v>3659611.5060574478</v>
      </c>
      <c r="T34" s="824">
        <v>3659611.5060574478</v>
      </c>
      <c r="U34" s="824">
        <v>3659611.5060574478</v>
      </c>
      <c r="V34" s="824">
        <v>10978834.518172342</v>
      </c>
      <c r="W34" s="824">
        <v>7563152.9180087335</v>
      </c>
      <c r="X34" s="824">
        <v>803198.7375796258</v>
      </c>
      <c r="Y34" s="486" t="s">
        <v>995</v>
      </c>
      <c r="Z34" s="486" t="s">
        <v>995</v>
      </c>
      <c r="AA34" s="485" t="s">
        <v>1023</v>
      </c>
      <c r="AB34" s="485" t="s">
        <v>1045</v>
      </c>
      <c r="AC34" s="485" t="s">
        <v>1046</v>
      </c>
    </row>
    <row r="35" spans="1:29" ht="18.75" customHeight="1">
      <c r="A35" s="484">
        <v>28</v>
      </c>
      <c r="B35" s="484" t="s">
        <v>985</v>
      </c>
      <c r="C35" s="484" t="s">
        <v>998</v>
      </c>
      <c r="D35" s="484" t="s">
        <v>1040</v>
      </c>
      <c r="E35" s="484" t="s">
        <v>1041</v>
      </c>
      <c r="F35" s="490" t="s">
        <v>1007</v>
      </c>
      <c r="G35" s="490" t="s">
        <v>1042</v>
      </c>
      <c r="H35" s="490" t="s">
        <v>968</v>
      </c>
      <c r="I35" s="489" t="s">
        <v>1043</v>
      </c>
      <c r="J35" s="489" t="s">
        <v>1049</v>
      </c>
      <c r="K35" s="488" t="s">
        <v>993</v>
      </c>
      <c r="L35" s="484">
        <v>2016</v>
      </c>
      <c r="M35" s="823">
        <v>2906226.2701966031</v>
      </c>
      <c r="N35" s="487" t="s">
        <v>994</v>
      </c>
      <c r="O35" s="487" t="s">
        <v>994</v>
      </c>
      <c r="P35" s="824">
        <v>9220973.1133457366</v>
      </c>
      <c r="Q35" s="824">
        <v>782820.98602721537</v>
      </c>
      <c r="R35" s="824">
        <v>691975.26557062077</v>
      </c>
      <c r="S35" s="824">
        <v>2598006.38224108</v>
      </c>
      <c r="T35" s="824">
        <v>2598006.38224108</v>
      </c>
      <c r="U35" s="824">
        <v>2598006.38224108</v>
      </c>
      <c r="V35" s="824">
        <v>7794019.1467232406</v>
      </c>
      <c r="W35" s="824">
        <v>5372493.279916374</v>
      </c>
      <c r="X35" s="824">
        <v>722878.88297141332</v>
      </c>
      <c r="Y35" s="486" t="s">
        <v>995</v>
      </c>
      <c r="Z35" s="486" t="s">
        <v>995</v>
      </c>
      <c r="AA35" s="485" t="s">
        <v>1023</v>
      </c>
      <c r="AB35" s="485" t="s">
        <v>1045</v>
      </c>
      <c r="AC35" s="485" t="s">
        <v>1046</v>
      </c>
    </row>
    <row r="36" spans="1:29" ht="18.75" customHeight="1">
      <c r="A36" s="484">
        <v>29</v>
      </c>
      <c r="B36" s="484" t="s">
        <v>985</v>
      </c>
      <c r="C36" s="484" t="s">
        <v>998</v>
      </c>
      <c r="D36" s="484" t="s">
        <v>1040</v>
      </c>
      <c r="E36" s="484" t="s">
        <v>1041</v>
      </c>
      <c r="F36" s="490" t="s">
        <v>1008</v>
      </c>
      <c r="G36" s="490" t="s">
        <v>1042</v>
      </c>
      <c r="H36" s="490" t="s">
        <v>968</v>
      </c>
      <c r="I36" s="489" t="s">
        <v>1043</v>
      </c>
      <c r="J36" s="489" t="s">
        <v>1050</v>
      </c>
      <c r="K36" s="488" t="s">
        <v>993</v>
      </c>
      <c r="L36" s="484">
        <v>2016</v>
      </c>
      <c r="M36" s="823">
        <v>-16744.569711076456</v>
      </c>
      <c r="N36" s="487" t="s">
        <v>994</v>
      </c>
      <c r="O36" s="487" t="s">
        <v>994</v>
      </c>
      <c r="P36" s="824">
        <v>-110984.98251064183</v>
      </c>
      <c r="Q36" s="824">
        <v>-524.44432420719932</v>
      </c>
      <c r="R36" s="824">
        <v>-1506.3048092467031</v>
      </c>
      <c r="S36" s="824">
        <v>37425.980072347294</v>
      </c>
      <c r="T36" s="824">
        <v>37425.980072347294</v>
      </c>
      <c r="U36" s="824">
        <v>37425.980072347294</v>
      </c>
      <c r="V36" s="824">
        <v>112277.94021704188</v>
      </c>
      <c r="W36" s="824">
        <v>80921.188666839051</v>
      </c>
      <c r="X36" s="824">
        <v>6013.9287557817761</v>
      </c>
      <c r="Y36" s="486" t="s">
        <v>995</v>
      </c>
      <c r="Z36" s="486" t="s">
        <v>995</v>
      </c>
      <c r="AA36" s="485" t="s">
        <v>1023</v>
      </c>
      <c r="AB36" s="485" t="s">
        <v>1045</v>
      </c>
      <c r="AC36" s="485" t="s">
        <v>1046</v>
      </c>
    </row>
    <row r="37" spans="1:29" ht="18.75" customHeight="1">
      <c r="A37" s="484">
        <v>30</v>
      </c>
      <c r="B37" s="484" t="s">
        <v>985</v>
      </c>
      <c r="C37" s="484" t="s">
        <v>998</v>
      </c>
      <c r="D37" s="484" t="s">
        <v>1040</v>
      </c>
      <c r="E37" s="484" t="s">
        <v>1041</v>
      </c>
      <c r="F37" s="490" t="s">
        <v>1009</v>
      </c>
      <c r="G37" s="490" t="s">
        <v>1042</v>
      </c>
      <c r="H37" s="490" t="s">
        <v>968</v>
      </c>
      <c r="I37" s="489" t="s">
        <v>1043</v>
      </c>
      <c r="J37" s="489" t="s">
        <v>1051</v>
      </c>
      <c r="K37" s="488" t="s">
        <v>993</v>
      </c>
      <c r="L37" s="484">
        <v>2016</v>
      </c>
      <c r="M37" s="823">
        <v>-15105.782309444616</v>
      </c>
      <c r="N37" s="487" t="s">
        <v>994</v>
      </c>
      <c r="O37" s="487" t="s">
        <v>994</v>
      </c>
      <c r="P37" s="824">
        <v>-104644.40102857532</v>
      </c>
      <c r="Q37" s="824">
        <v>-471.99990429023001</v>
      </c>
      <c r="R37" s="824">
        <v>-1355.6743642351378</v>
      </c>
      <c r="S37" s="824">
        <v>29650.861157484051</v>
      </c>
      <c r="T37" s="824">
        <v>29650.861157484051</v>
      </c>
      <c r="U37" s="824">
        <v>29650.861157484051</v>
      </c>
      <c r="V37" s="824">
        <v>88952.583472452156</v>
      </c>
      <c r="W37" s="824">
        <v>62891.527030267047</v>
      </c>
      <c r="X37" s="824">
        <v>5412.5360235868357</v>
      </c>
      <c r="Y37" s="486" t="s">
        <v>995</v>
      </c>
      <c r="Z37" s="486" t="s">
        <v>995</v>
      </c>
      <c r="AA37" s="485" t="s">
        <v>1023</v>
      </c>
      <c r="AB37" s="485" t="s">
        <v>1045</v>
      </c>
      <c r="AC37" s="485" t="s">
        <v>1046</v>
      </c>
    </row>
    <row r="38" spans="1:29" ht="18.75" customHeight="1">
      <c r="A38" s="484">
        <v>31</v>
      </c>
      <c r="B38" s="484" t="s">
        <v>985</v>
      </c>
      <c r="C38" s="484" t="s">
        <v>998</v>
      </c>
      <c r="D38" s="484" t="s">
        <v>1040</v>
      </c>
      <c r="E38" s="484" t="s">
        <v>1041</v>
      </c>
      <c r="F38" s="490" t="s">
        <v>1010</v>
      </c>
      <c r="G38" s="490" t="s">
        <v>1042</v>
      </c>
      <c r="H38" s="490" t="s">
        <v>968</v>
      </c>
      <c r="I38" s="489" t="s">
        <v>1043</v>
      </c>
      <c r="J38" s="489" t="s">
        <v>1052</v>
      </c>
      <c r="K38" s="488" t="s">
        <v>993</v>
      </c>
      <c r="L38" s="484">
        <v>2016</v>
      </c>
      <c r="M38" s="823">
        <v>8400.9467557914049</v>
      </c>
      <c r="N38" s="487" t="s">
        <v>994</v>
      </c>
      <c r="O38" s="487" t="s">
        <v>994</v>
      </c>
      <c r="P38" s="824">
        <v>18147.892622313058</v>
      </c>
      <c r="Q38" s="824">
        <v>1123.4651062340597</v>
      </c>
      <c r="R38" s="824">
        <v>1142.0903837244618</v>
      </c>
      <c r="S38" s="824">
        <v>8007.9228269897503</v>
      </c>
      <c r="T38" s="824">
        <v>8007.9228269897503</v>
      </c>
      <c r="U38" s="824">
        <v>8007.9228269897503</v>
      </c>
      <c r="V38" s="824">
        <v>24023.768480969251</v>
      </c>
      <c r="W38" s="824">
        <v>16747.158955923838</v>
      </c>
      <c r="X38" s="824">
        <v>1110.0082738198946</v>
      </c>
      <c r="Y38" s="486" t="s">
        <v>995</v>
      </c>
      <c r="Z38" s="486" t="s">
        <v>995</v>
      </c>
      <c r="AA38" s="485" t="s">
        <v>1023</v>
      </c>
      <c r="AB38" s="485" t="s">
        <v>1045</v>
      </c>
      <c r="AC38" s="485" t="s">
        <v>1053</v>
      </c>
    </row>
    <row r="39" spans="1:29" ht="18.75" customHeight="1">
      <c r="A39" s="484">
        <v>32</v>
      </c>
      <c r="B39" s="484" t="s">
        <v>985</v>
      </c>
      <c r="C39" s="484" t="s">
        <v>998</v>
      </c>
      <c r="D39" s="484" t="s">
        <v>1040</v>
      </c>
      <c r="E39" s="484" t="s">
        <v>1041</v>
      </c>
      <c r="F39" s="490" t="s">
        <v>1013</v>
      </c>
      <c r="G39" s="490" t="s">
        <v>1042</v>
      </c>
      <c r="H39" s="490" t="s">
        <v>968</v>
      </c>
      <c r="I39" s="489" t="s">
        <v>1043</v>
      </c>
      <c r="J39" s="489" t="s">
        <v>1054</v>
      </c>
      <c r="K39" s="488" t="s">
        <v>993</v>
      </c>
      <c r="L39" s="484">
        <v>2016</v>
      </c>
      <c r="M39" s="823">
        <v>5711.3254016515839</v>
      </c>
      <c r="N39" s="487" t="s">
        <v>994</v>
      </c>
      <c r="O39" s="487" t="s">
        <v>994</v>
      </c>
      <c r="P39" s="824">
        <v>16486.053892001019</v>
      </c>
      <c r="Q39" s="824">
        <v>1011.1186223961486</v>
      </c>
      <c r="R39" s="824">
        <v>1027.8813725815721</v>
      </c>
      <c r="S39" s="824">
        <v>5507.9846566140022</v>
      </c>
      <c r="T39" s="824">
        <v>5507.9846566140022</v>
      </c>
      <c r="U39" s="824">
        <v>5507.9846566140022</v>
      </c>
      <c r="V39" s="824">
        <v>16523.953969842005</v>
      </c>
      <c r="W39" s="824">
        <v>11546.2288463524</v>
      </c>
      <c r="X39" s="824">
        <v>999.00747290256629</v>
      </c>
      <c r="Y39" s="486" t="s">
        <v>995</v>
      </c>
      <c r="Z39" s="486" t="s">
        <v>995</v>
      </c>
      <c r="AA39" s="485" t="s">
        <v>1023</v>
      </c>
      <c r="AB39" s="485" t="s">
        <v>1045</v>
      </c>
      <c r="AC39" s="485" t="s">
        <v>1055</v>
      </c>
    </row>
    <row r="40" spans="1:29" ht="18.75" customHeight="1">
      <c r="A40" s="484">
        <v>33</v>
      </c>
      <c r="B40" s="484" t="s">
        <v>985</v>
      </c>
      <c r="C40" s="484" t="s">
        <v>998</v>
      </c>
      <c r="D40" s="484" t="s">
        <v>1040</v>
      </c>
      <c r="E40" s="484" t="s">
        <v>1041</v>
      </c>
      <c r="F40" s="490" t="s">
        <v>1014</v>
      </c>
      <c r="G40" s="490" t="s">
        <v>1042</v>
      </c>
      <c r="H40" s="490" t="s">
        <v>968</v>
      </c>
      <c r="I40" s="489" t="s">
        <v>1043</v>
      </c>
      <c r="J40" s="489" t="s">
        <v>1056</v>
      </c>
      <c r="K40" s="488" t="s">
        <v>993</v>
      </c>
      <c r="L40" s="484">
        <v>2016</v>
      </c>
      <c r="M40" s="823">
        <v>45824586.977097183</v>
      </c>
      <c r="N40" s="487" t="s">
        <v>994</v>
      </c>
      <c r="O40" s="487" t="s">
        <v>994</v>
      </c>
      <c r="P40" s="824">
        <v>133922082.97886318</v>
      </c>
      <c r="Q40" s="824">
        <v>4982089.2948363777</v>
      </c>
      <c r="R40" s="824">
        <v>4241739.1991328923</v>
      </c>
      <c r="S40" s="824">
        <v>40115348.347882621</v>
      </c>
      <c r="T40" s="824">
        <v>40115348.347882621</v>
      </c>
      <c r="U40" s="824">
        <v>40115348.347882621</v>
      </c>
      <c r="V40" s="824">
        <v>120346045.04364786</v>
      </c>
      <c r="W40" s="824">
        <v>82904568.80792816</v>
      </c>
      <c r="X40" s="824">
        <v>4092674.0239007822</v>
      </c>
      <c r="Y40" s="486" t="s">
        <v>995</v>
      </c>
      <c r="Z40" s="486" t="s">
        <v>995</v>
      </c>
      <c r="AA40" s="485" t="s">
        <v>1023</v>
      </c>
      <c r="AB40" s="485" t="s">
        <v>1045</v>
      </c>
      <c r="AC40" s="485" t="s">
        <v>1057</v>
      </c>
    </row>
    <row r="41" spans="1:29" ht="18.75" customHeight="1">
      <c r="A41" s="484">
        <v>34</v>
      </c>
      <c r="B41" s="484" t="s">
        <v>985</v>
      </c>
      <c r="C41" s="484" t="s">
        <v>998</v>
      </c>
      <c r="D41" s="484" t="s">
        <v>1040</v>
      </c>
      <c r="E41" s="484" t="s">
        <v>1041</v>
      </c>
      <c r="F41" s="490" t="s">
        <v>1015</v>
      </c>
      <c r="G41" s="490" t="s">
        <v>1042</v>
      </c>
      <c r="H41" s="490" t="s">
        <v>968</v>
      </c>
      <c r="I41" s="489" t="s">
        <v>1043</v>
      </c>
      <c r="J41" s="489" t="s">
        <v>1058</v>
      </c>
      <c r="K41" s="488" t="s">
        <v>993</v>
      </c>
      <c r="L41" s="484">
        <v>2016</v>
      </c>
      <c r="M41" s="823">
        <v>31600403.454184487</v>
      </c>
      <c r="N41" s="487" t="s">
        <v>994</v>
      </c>
      <c r="O41" s="487" t="s">
        <v>994</v>
      </c>
      <c r="P41" s="824">
        <v>122257999.19741485</v>
      </c>
      <c r="Q41" s="824">
        <v>4483880.4841350066</v>
      </c>
      <c r="R41" s="824">
        <v>3817565.380350546</v>
      </c>
      <c r="S41" s="824">
        <v>28047242.431991916</v>
      </c>
      <c r="T41" s="824">
        <v>28047242.431991916</v>
      </c>
      <c r="U41" s="824">
        <v>28047242.431991916</v>
      </c>
      <c r="V41" s="824">
        <v>84141727.295975745</v>
      </c>
      <c r="W41" s="824">
        <v>57999711.823679179</v>
      </c>
      <c r="X41" s="824">
        <v>3683406.7190876557</v>
      </c>
      <c r="Y41" s="486" t="s">
        <v>995</v>
      </c>
      <c r="Z41" s="486" t="s">
        <v>995</v>
      </c>
      <c r="AA41" s="485" t="s">
        <v>1023</v>
      </c>
      <c r="AB41" s="485" t="s">
        <v>1045</v>
      </c>
      <c r="AC41" s="485" t="s">
        <v>1059</v>
      </c>
    </row>
    <row r="42" spans="1:29" ht="18.75" customHeight="1">
      <c r="A42" s="484">
        <v>35</v>
      </c>
      <c r="B42" s="484" t="s">
        <v>985</v>
      </c>
      <c r="C42" s="484" t="s">
        <v>998</v>
      </c>
      <c r="D42" s="484" t="s">
        <v>1040</v>
      </c>
      <c r="E42" s="484" t="s">
        <v>1041</v>
      </c>
      <c r="F42" s="490" t="s">
        <v>1016</v>
      </c>
      <c r="G42" s="490" t="s">
        <v>1042</v>
      </c>
      <c r="H42" s="490" t="s">
        <v>968</v>
      </c>
      <c r="I42" s="489" t="s">
        <v>1043</v>
      </c>
      <c r="J42" s="489" t="s">
        <v>1060</v>
      </c>
      <c r="K42" s="488" t="s">
        <v>993</v>
      </c>
      <c r="L42" s="484">
        <v>2016</v>
      </c>
      <c r="M42" s="823">
        <v>-156970.38357559391</v>
      </c>
      <c r="N42" s="487" t="s">
        <v>994</v>
      </c>
      <c r="O42" s="487" t="s">
        <v>994</v>
      </c>
      <c r="P42" s="824">
        <v>-1677049.759178228</v>
      </c>
      <c r="Q42" s="824">
        <v>-13188.591060963503</v>
      </c>
      <c r="R42" s="824">
        <v>9607.369357042222</v>
      </c>
      <c r="S42" s="824">
        <v>79197.589752993154</v>
      </c>
      <c r="T42" s="824">
        <v>79197.589752993154</v>
      </c>
      <c r="U42" s="824">
        <v>79197.589752993154</v>
      </c>
      <c r="V42" s="824">
        <v>237592.76925897948</v>
      </c>
      <c r="W42" s="824">
        <v>171238.35073850432</v>
      </c>
      <c r="X42" s="824">
        <v>37061.967562241553</v>
      </c>
      <c r="Y42" s="486" t="s">
        <v>995</v>
      </c>
      <c r="Z42" s="486" t="s">
        <v>995</v>
      </c>
      <c r="AA42" s="485" t="s">
        <v>1023</v>
      </c>
      <c r="AB42" s="485" t="s">
        <v>1045</v>
      </c>
      <c r="AC42" s="485" t="s">
        <v>1046</v>
      </c>
    </row>
    <row r="43" spans="1:29" ht="18.75" customHeight="1">
      <c r="A43" s="484">
        <v>36</v>
      </c>
      <c r="B43" s="484" t="s">
        <v>985</v>
      </c>
      <c r="C43" s="484" t="s">
        <v>998</v>
      </c>
      <c r="D43" s="484" t="s">
        <v>1040</v>
      </c>
      <c r="E43" s="484" t="s">
        <v>1041</v>
      </c>
      <c r="F43" s="490" t="s">
        <v>1017</v>
      </c>
      <c r="G43" s="490" t="s">
        <v>1042</v>
      </c>
      <c r="H43" s="490" t="s">
        <v>968</v>
      </c>
      <c r="I43" s="489" t="s">
        <v>1043</v>
      </c>
      <c r="J43" s="489" t="s">
        <v>1061</v>
      </c>
      <c r="K43" s="488" t="s">
        <v>993</v>
      </c>
      <c r="L43" s="484">
        <v>2016</v>
      </c>
      <c r="M43" s="823">
        <v>-140163.27495328779</v>
      </c>
      <c r="N43" s="487" t="s">
        <v>994</v>
      </c>
      <c r="O43" s="487" t="s">
        <v>994</v>
      </c>
      <c r="P43" s="824">
        <v>-1581163.2365073944</v>
      </c>
      <c r="Q43" s="824">
        <v>-11869.732269307806</v>
      </c>
      <c r="R43" s="824">
        <v>8646.6326503955333</v>
      </c>
      <c r="S43" s="824">
        <v>31994.154029110756</v>
      </c>
      <c r="T43" s="824">
        <v>31994.154029110756</v>
      </c>
      <c r="U43" s="824">
        <v>31994.154029110756</v>
      </c>
      <c r="V43" s="824">
        <v>95982.462087332271</v>
      </c>
      <c r="W43" s="824">
        <v>67861.813262191383</v>
      </c>
      <c r="X43" s="824">
        <v>33355.771689643567</v>
      </c>
      <c r="Y43" s="486" t="s">
        <v>995</v>
      </c>
      <c r="Z43" s="486" t="s">
        <v>995</v>
      </c>
      <c r="AA43" s="485" t="s">
        <v>1023</v>
      </c>
      <c r="AB43" s="485" t="s">
        <v>1045</v>
      </c>
      <c r="AC43" s="485" t="s">
        <v>1046</v>
      </c>
    </row>
    <row r="44" spans="1:29" ht="18.75" customHeight="1">
      <c r="A44" s="484">
        <v>37</v>
      </c>
      <c r="B44" s="484" t="s">
        <v>985</v>
      </c>
      <c r="C44" s="484" t="s">
        <v>998</v>
      </c>
      <c r="D44" s="484" t="s">
        <v>1062</v>
      </c>
      <c r="E44" s="484" t="s">
        <v>1063</v>
      </c>
      <c r="F44" s="490" t="s">
        <v>1064</v>
      </c>
      <c r="G44" s="490" t="s">
        <v>1065</v>
      </c>
      <c r="H44" s="490" t="s">
        <v>968</v>
      </c>
      <c r="I44" s="489" t="s">
        <v>1066</v>
      </c>
      <c r="J44" s="489" t="s">
        <v>1064</v>
      </c>
      <c r="K44" s="488" t="s">
        <v>993</v>
      </c>
      <c r="L44" s="484">
        <v>2016</v>
      </c>
      <c r="M44" s="823">
        <v>299.22560289557811</v>
      </c>
      <c r="N44" s="487">
        <v>91039941.198558286</v>
      </c>
      <c r="O44" s="487">
        <v>304251.84314969479</v>
      </c>
      <c r="P44" s="824">
        <v>185.867699815739</v>
      </c>
      <c r="Q44" s="824">
        <v>95.02296044661847</v>
      </c>
      <c r="R44" s="824">
        <v>442.41093104497247</v>
      </c>
      <c r="S44" s="824">
        <v>290.537060458459</v>
      </c>
      <c r="T44" s="824">
        <v>290.537060458459</v>
      </c>
      <c r="U44" s="824">
        <v>290.537060458459</v>
      </c>
      <c r="V44" s="824">
        <v>871.61118137537699</v>
      </c>
      <c r="W44" s="824">
        <v>578.16875031233337</v>
      </c>
      <c r="X44" s="824">
        <v>38.187030879415758</v>
      </c>
      <c r="Y44" s="486">
        <v>24433043.440647863</v>
      </c>
      <c r="Z44" s="486">
        <v>639825.69154959335</v>
      </c>
      <c r="AA44" s="485" t="s">
        <v>1067</v>
      </c>
      <c r="AB44" s="485" t="s">
        <v>1068</v>
      </c>
      <c r="AC44" s="485"/>
    </row>
    <row r="45" spans="1:29" ht="18.75" customHeight="1">
      <c r="A45" s="484">
        <v>38</v>
      </c>
      <c r="B45" s="484" t="s">
        <v>985</v>
      </c>
      <c r="C45" s="484" t="s">
        <v>998</v>
      </c>
      <c r="D45" s="484" t="s">
        <v>1062</v>
      </c>
      <c r="E45" s="484" t="s">
        <v>1063</v>
      </c>
      <c r="F45" s="490" t="s">
        <v>1069</v>
      </c>
      <c r="G45" s="490" t="s">
        <v>1065</v>
      </c>
      <c r="H45" s="490" t="s">
        <v>968</v>
      </c>
      <c r="I45" s="489" t="s">
        <v>1066</v>
      </c>
      <c r="J45" s="489" t="s">
        <v>1069</v>
      </c>
      <c r="K45" s="488" t="s">
        <v>993</v>
      </c>
      <c r="L45" s="484">
        <v>2016</v>
      </c>
      <c r="M45" s="825">
        <v>6.5983874556443195E-2</v>
      </c>
      <c r="N45" s="487">
        <v>91039941.265597492</v>
      </c>
      <c r="O45" s="487">
        <v>1379730151.9134212</v>
      </c>
      <c r="P45" s="826">
        <v>2.6670905663994444E-2</v>
      </c>
      <c r="Q45" s="826">
        <v>1.5040071603837258E-2</v>
      </c>
      <c r="R45" s="826">
        <v>0.12039327439739812</v>
      </c>
      <c r="S45" s="826">
        <v>6.3296106683271139E-2</v>
      </c>
      <c r="T45" s="826">
        <v>6.3296106683271139E-2</v>
      </c>
      <c r="U45" s="826">
        <v>6.3296106683271139E-2</v>
      </c>
      <c r="V45" s="826">
        <v>0.18988832004981343</v>
      </c>
      <c r="W45" s="826">
        <v>0.12595925229970956</v>
      </c>
      <c r="X45" s="826">
        <v>7.742125191806469E-3</v>
      </c>
      <c r="Y45" s="486">
        <v>24433043.440647874</v>
      </c>
      <c r="Z45" s="486">
        <v>3155857446.8035583</v>
      </c>
      <c r="AA45" s="485" t="s">
        <v>1070</v>
      </c>
      <c r="AB45" s="485" t="s">
        <v>1068</v>
      </c>
      <c r="AC45" s="485"/>
    </row>
    <row r="46" spans="1:29" ht="18.75" customHeight="1">
      <c r="A46" s="484">
        <v>39</v>
      </c>
      <c r="B46" s="484" t="s">
        <v>985</v>
      </c>
      <c r="C46" s="484" t="s">
        <v>998</v>
      </c>
      <c r="D46" s="484" t="s">
        <v>1062</v>
      </c>
      <c r="E46" s="484" t="s">
        <v>1063</v>
      </c>
      <c r="F46" s="490" t="s">
        <v>1071</v>
      </c>
      <c r="G46" s="490" t="s">
        <v>1065</v>
      </c>
      <c r="H46" s="490" t="s">
        <v>968</v>
      </c>
      <c r="I46" s="489" t="s">
        <v>1066</v>
      </c>
      <c r="J46" s="489" t="s">
        <v>1071</v>
      </c>
      <c r="K46" s="488" t="s">
        <v>993</v>
      </c>
      <c r="L46" s="484">
        <v>2016</v>
      </c>
      <c r="M46" s="825">
        <v>0.52573295173332313</v>
      </c>
      <c r="N46" s="487">
        <v>5583512.8085025204</v>
      </c>
      <c r="O46" s="487">
        <v>10620435.318147501</v>
      </c>
      <c r="P46" s="826">
        <v>0.19863807912374151</v>
      </c>
      <c r="Q46" s="826">
        <v>3.3116917337878429E-2</v>
      </c>
      <c r="R46" s="826">
        <v>1.06881631989195</v>
      </c>
      <c r="S46" s="826">
        <v>0.41563700720718572</v>
      </c>
      <c r="T46" s="826">
        <v>0.41563700720718572</v>
      </c>
      <c r="U46" s="826">
        <v>0.41563700720718572</v>
      </c>
      <c r="V46" s="826">
        <v>1.2469110216215571</v>
      </c>
      <c r="W46" s="826">
        <v>0.82711764434229962</v>
      </c>
      <c r="X46" s="826">
        <v>9.7724503578921096E-2</v>
      </c>
      <c r="Y46" s="486">
        <v>1592612.0445172032</v>
      </c>
      <c r="Z46" s="486">
        <v>16296957.121209927</v>
      </c>
      <c r="AA46" s="485" t="s">
        <v>1072</v>
      </c>
      <c r="AB46" s="485" t="s">
        <v>1068</v>
      </c>
      <c r="AC46" s="485"/>
    </row>
    <row r="47" spans="1:29" ht="18.75" customHeight="1">
      <c r="A47" s="484">
        <v>40</v>
      </c>
      <c r="B47" s="484" t="s">
        <v>985</v>
      </c>
      <c r="C47" s="484" t="s">
        <v>998</v>
      </c>
      <c r="D47" s="484" t="s">
        <v>1062</v>
      </c>
      <c r="E47" s="484" t="s">
        <v>1063</v>
      </c>
      <c r="F47" s="490" t="s">
        <v>1073</v>
      </c>
      <c r="G47" s="490" t="s">
        <v>1065</v>
      </c>
      <c r="H47" s="490" t="s">
        <v>968</v>
      </c>
      <c r="I47" s="489" t="s">
        <v>1066</v>
      </c>
      <c r="J47" s="489" t="s">
        <v>1073</v>
      </c>
      <c r="K47" s="488" t="s">
        <v>993</v>
      </c>
      <c r="L47" s="484">
        <v>2016</v>
      </c>
      <c r="M47" s="823">
        <v>420.38822782558418</v>
      </c>
      <c r="N47" s="487">
        <v>127903893.1543678</v>
      </c>
      <c r="O47" s="487">
        <v>304251.84314969479</v>
      </c>
      <c r="P47" s="824">
        <v>381.82048624610803</v>
      </c>
      <c r="Q47" s="824">
        <v>159.34630053275419</v>
      </c>
      <c r="R47" s="824">
        <v>538.62799204923965</v>
      </c>
      <c r="S47" s="824">
        <v>409.29856805963675</v>
      </c>
      <c r="T47" s="824">
        <v>409.29856805963675</v>
      </c>
      <c r="U47" s="824">
        <v>409.29856805963675</v>
      </c>
      <c r="V47" s="824">
        <v>1227.8957041789104</v>
      </c>
      <c r="W47" s="824">
        <v>814.50415043867713</v>
      </c>
      <c r="X47" s="824">
        <v>167.9982447322794</v>
      </c>
      <c r="Y47" s="486">
        <v>107489593.11494845</v>
      </c>
      <c r="Z47" s="486">
        <v>639825.69154959312</v>
      </c>
      <c r="AA47" s="485" t="s">
        <v>1074</v>
      </c>
      <c r="AB47" s="485" t="s">
        <v>1068</v>
      </c>
      <c r="AC47" s="485"/>
    </row>
    <row r="48" spans="1:29" ht="18.75" customHeight="1">
      <c r="A48" s="484">
        <v>41</v>
      </c>
      <c r="B48" s="484" t="s">
        <v>985</v>
      </c>
      <c r="C48" s="484" t="s">
        <v>998</v>
      </c>
      <c r="D48" s="484" t="s">
        <v>1062</v>
      </c>
      <c r="E48" s="484" t="s">
        <v>1063</v>
      </c>
      <c r="F48" s="490" t="s">
        <v>1075</v>
      </c>
      <c r="G48" s="490" t="s">
        <v>1065</v>
      </c>
      <c r="H48" s="490" t="s">
        <v>968</v>
      </c>
      <c r="I48" s="489" t="s">
        <v>1066</v>
      </c>
      <c r="J48" s="489" t="s">
        <v>1075</v>
      </c>
      <c r="K48" s="488" t="s">
        <v>993</v>
      </c>
      <c r="L48" s="484">
        <v>2016</v>
      </c>
      <c r="M48" s="825">
        <v>9.2702107710692289E-2</v>
      </c>
      <c r="N48" s="487">
        <v>127903893.1543678</v>
      </c>
      <c r="O48" s="487">
        <v>1379730151.9134212</v>
      </c>
      <c r="P48" s="826">
        <v>5.4788961069329976E-2</v>
      </c>
      <c r="Q48" s="826">
        <v>2.5221059821279014E-2</v>
      </c>
      <c r="R48" s="826">
        <v>0.14657682054043045</v>
      </c>
      <c r="S48" s="826">
        <v>8.9169367199944768E-2</v>
      </c>
      <c r="T48" s="826">
        <v>8.9169367199944768E-2</v>
      </c>
      <c r="U48" s="826">
        <v>8.9169367199944768E-2</v>
      </c>
      <c r="V48" s="826">
        <v>0.26750810159983429</v>
      </c>
      <c r="W48" s="826">
        <v>0.17744704072789008</v>
      </c>
      <c r="X48" s="826">
        <v>3.4060344906839936E-2</v>
      </c>
      <c r="Y48" s="486">
        <v>107489593.11494845</v>
      </c>
      <c r="Z48" s="486">
        <v>3155857446.8035583</v>
      </c>
      <c r="AA48" s="485" t="s">
        <v>1076</v>
      </c>
      <c r="AB48" s="485" t="s">
        <v>1068</v>
      </c>
      <c r="AC48" s="485"/>
    </row>
    <row r="49" spans="1:29" ht="18.75" customHeight="1">
      <c r="A49" s="484">
        <v>42</v>
      </c>
      <c r="B49" s="484" t="s">
        <v>985</v>
      </c>
      <c r="C49" s="484" t="s">
        <v>998</v>
      </c>
      <c r="D49" s="484" t="s">
        <v>1062</v>
      </c>
      <c r="E49" s="484" t="s">
        <v>1063</v>
      </c>
      <c r="F49" s="490" t="s">
        <v>1077</v>
      </c>
      <c r="G49" s="490" t="s">
        <v>1065</v>
      </c>
      <c r="H49" s="490" t="s">
        <v>968</v>
      </c>
      <c r="I49" s="489" t="s">
        <v>1066</v>
      </c>
      <c r="J49" s="489" t="s">
        <v>1077</v>
      </c>
      <c r="K49" s="488" t="s">
        <v>993</v>
      </c>
      <c r="L49" s="484">
        <v>2016</v>
      </c>
      <c r="M49" s="825">
        <v>0.7386130785174343</v>
      </c>
      <c r="N49" s="487">
        <v>7844392.4255322125</v>
      </c>
      <c r="O49" s="487">
        <v>10620435.318147501</v>
      </c>
      <c r="P49" s="826">
        <v>0.40805415913151299</v>
      </c>
      <c r="Q49" s="826">
        <v>5.5534559626822765E-2</v>
      </c>
      <c r="R49" s="826">
        <v>1.3012661936111558</v>
      </c>
      <c r="S49" s="826">
        <v>0.58553504883008811</v>
      </c>
      <c r="T49" s="826">
        <v>0.58553504883008811</v>
      </c>
      <c r="U49" s="826">
        <v>0.58553504883008811</v>
      </c>
      <c r="V49" s="826">
        <v>1.7566051464902643</v>
      </c>
      <c r="W49" s="826">
        <v>1.1652147471718752</v>
      </c>
      <c r="X49" s="826">
        <v>0.4299246286110649</v>
      </c>
      <c r="Y49" s="486">
        <v>7006463.2378266267</v>
      </c>
      <c r="Z49" s="486">
        <v>16296957.121209927</v>
      </c>
      <c r="AA49" s="485" t="s">
        <v>1078</v>
      </c>
      <c r="AB49" s="485" t="s">
        <v>1068</v>
      </c>
      <c r="AC49" s="485"/>
    </row>
    <row r="50" spans="1:29" ht="18.75" customHeight="1">
      <c r="A50" s="484">
        <v>43</v>
      </c>
      <c r="B50" s="484" t="s">
        <v>985</v>
      </c>
      <c r="C50" s="484" t="s">
        <v>998</v>
      </c>
      <c r="D50" s="484" t="s">
        <v>1079</v>
      </c>
      <c r="E50" s="484" t="s">
        <v>999</v>
      </c>
      <c r="F50" s="490" t="s">
        <v>1000</v>
      </c>
      <c r="G50" s="490" t="s">
        <v>1001</v>
      </c>
      <c r="H50" s="490" t="s">
        <v>968</v>
      </c>
      <c r="I50" s="489" t="s">
        <v>1080</v>
      </c>
      <c r="J50" s="489" t="s">
        <v>1000</v>
      </c>
      <c r="K50" s="488" t="s">
        <v>1081</v>
      </c>
      <c r="L50" s="484">
        <v>2016</v>
      </c>
      <c r="M50" s="823">
        <v>37359.942249947097</v>
      </c>
      <c r="N50" s="487" t="s">
        <v>994</v>
      </c>
      <c r="O50" s="487" t="s">
        <v>994</v>
      </c>
      <c r="P50" s="824">
        <v>28969.162092688963</v>
      </c>
      <c r="Q50" s="824">
        <v>66741.149765853857</v>
      </c>
      <c r="R50" s="824">
        <v>111.749128412769</v>
      </c>
      <c r="S50" s="824">
        <v>38055.983396743606</v>
      </c>
      <c r="T50" s="824">
        <v>38055.983396743606</v>
      </c>
      <c r="U50" s="824">
        <v>38055.983396743606</v>
      </c>
      <c r="V50" s="824">
        <v>114167.95019023083</v>
      </c>
      <c r="W50" s="824">
        <v>79587.380765111782</v>
      </c>
      <c r="X50" s="824">
        <v>5310.0314466642203</v>
      </c>
      <c r="Y50" s="486" t="s">
        <v>995</v>
      </c>
      <c r="Z50" s="486" t="s">
        <v>995</v>
      </c>
      <c r="AA50" s="485" t="s">
        <v>1082</v>
      </c>
      <c r="AB50" s="485" t="s">
        <v>1083</v>
      </c>
      <c r="AC50" s="485"/>
    </row>
    <row r="51" spans="1:29" ht="18.75" customHeight="1">
      <c r="A51" s="484">
        <v>44</v>
      </c>
      <c r="B51" s="484" t="s">
        <v>985</v>
      </c>
      <c r="C51" s="484" t="s">
        <v>998</v>
      </c>
      <c r="D51" s="484" t="s">
        <v>1079</v>
      </c>
      <c r="E51" s="484" t="s">
        <v>999</v>
      </c>
      <c r="F51" s="490" t="s">
        <v>1005</v>
      </c>
      <c r="G51" s="490" t="s">
        <v>1001</v>
      </c>
      <c r="H51" s="490" t="s">
        <v>968</v>
      </c>
      <c r="I51" s="489" t="s">
        <v>1080</v>
      </c>
      <c r="J51" s="489" t="s">
        <v>1005</v>
      </c>
      <c r="K51" s="488" t="s">
        <v>1081</v>
      </c>
      <c r="L51" s="484">
        <v>2016</v>
      </c>
      <c r="M51" s="823">
        <v>36438.311610215598</v>
      </c>
      <c r="N51" s="487" t="s">
        <v>994</v>
      </c>
      <c r="O51" s="487" t="s">
        <v>994</v>
      </c>
      <c r="P51" s="824">
        <v>26882.147796141435</v>
      </c>
      <c r="Q51" s="824">
        <v>68352.677258835494</v>
      </c>
      <c r="R51" s="824">
        <v>74.695319897478598</v>
      </c>
      <c r="S51" s="824">
        <v>35093.260469887748</v>
      </c>
      <c r="T51" s="824">
        <v>35093.260469887748</v>
      </c>
      <c r="U51" s="824">
        <v>35093.260469887748</v>
      </c>
      <c r="V51" s="824">
        <v>105279.78140966324</v>
      </c>
      <c r="W51" s="824">
        <v>73564.986399048386</v>
      </c>
      <c r="X51" s="824">
        <v>5518.9322076968392</v>
      </c>
      <c r="Y51" s="486" t="s">
        <v>995</v>
      </c>
      <c r="Z51" s="486" t="s">
        <v>995</v>
      </c>
      <c r="AA51" s="485" t="s">
        <v>1082</v>
      </c>
      <c r="AB51" s="485" t="s">
        <v>1083</v>
      </c>
      <c r="AC51" s="485"/>
    </row>
    <row r="52" spans="1:29" ht="18.75" customHeight="1">
      <c r="A52" s="484">
        <v>45</v>
      </c>
      <c r="B52" s="484" t="s">
        <v>985</v>
      </c>
      <c r="C52" s="484" t="s">
        <v>998</v>
      </c>
      <c r="D52" s="484" t="s">
        <v>1079</v>
      </c>
      <c r="E52" s="484" t="s">
        <v>999</v>
      </c>
      <c r="F52" s="490" t="s">
        <v>1006</v>
      </c>
      <c r="G52" s="490" t="s">
        <v>1001</v>
      </c>
      <c r="H52" s="490" t="s">
        <v>968</v>
      </c>
      <c r="I52" s="489" t="s">
        <v>1080</v>
      </c>
      <c r="J52" s="489" t="s">
        <v>1006</v>
      </c>
      <c r="K52" s="488" t="s">
        <v>1081</v>
      </c>
      <c r="L52" s="484">
        <v>2016</v>
      </c>
      <c r="M52" s="823">
        <v>67699410.8394586</v>
      </c>
      <c r="N52" s="487" t="s">
        <v>994</v>
      </c>
      <c r="O52" s="487" t="s">
        <v>994</v>
      </c>
      <c r="P52" s="824">
        <v>172800465.07203701</v>
      </c>
      <c r="Q52" s="824">
        <v>172460845.21371642</v>
      </c>
      <c r="R52" s="824">
        <v>1032489.93762617</v>
      </c>
      <c r="S52" s="824">
        <v>70479219.393036798</v>
      </c>
      <c r="T52" s="824">
        <v>70479219.393036798</v>
      </c>
      <c r="U52" s="824">
        <v>70479219.393036798</v>
      </c>
      <c r="V52" s="824">
        <v>211437658.17911041</v>
      </c>
      <c r="W52" s="824">
        <v>145656202.28516582</v>
      </c>
      <c r="X52" s="824">
        <v>33263728.448498197</v>
      </c>
      <c r="Y52" s="486" t="s">
        <v>995</v>
      </c>
      <c r="Z52" s="486" t="s">
        <v>995</v>
      </c>
      <c r="AA52" s="485" t="s">
        <v>1082</v>
      </c>
      <c r="AB52" s="485" t="s">
        <v>1083</v>
      </c>
      <c r="AC52" s="485"/>
    </row>
    <row r="53" spans="1:29" ht="18.75" customHeight="1">
      <c r="A53" s="484">
        <v>46</v>
      </c>
      <c r="B53" s="484" t="s">
        <v>985</v>
      </c>
      <c r="C53" s="484" t="s">
        <v>998</v>
      </c>
      <c r="D53" s="484" t="s">
        <v>1079</v>
      </c>
      <c r="E53" s="484" t="s">
        <v>999</v>
      </c>
      <c r="F53" s="490" t="s">
        <v>1007</v>
      </c>
      <c r="G53" s="490" t="s">
        <v>1001</v>
      </c>
      <c r="H53" s="490" t="s">
        <v>968</v>
      </c>
      <c r="I53" s="489" t="s">
        <v>1080</v>
      </c>
      <c r="J53" s="489" t="s">
        <v>1007</v>
      </c>
      <c r="K53" s="488" t="s">
        <v>1081</v>
      </c>
      <c r="L53" s="484">
        <v>2016</v>
      </c>
      <c r="M53" s="823">
        <v>54672508.702405602</v>
      </c>
      <c r="N53" s="487" t="s">
        <v>994</v>
      </c>
      <c r="O53" s="487" t="s">
        <v>994</v>
      </c>
      <c r="P53" s="824">
        <v>158258802.05444619</v>
      </c>
      <c r="Q53" s="824">
        <v>167737013.89033544</v>
      </c>
      <c r="R53" s="824">
        <v>624041.56883064599</v>
      </c>
      <c r="S53" s="824">
        <v>53104884.395673916</v>
      </c>
      <c r="T53" s="824">
        <v>53104884.395673916</v>
      </c>
      <c r="U53" s="824">
        <v>53104884.395673916</v>
      </c>
      <c r="V53" s="824">
        <v>159314653.18702173</v>
      </c>
      <c r="W53" s="824">
        <v>109817141.51925409</v>
      </c>
      <c r="X53" s="824">
        <v>33868101.648062274</v>
      </c>
      <c r="Y53" s="486" t="s">
        <v>995</v>
      </c>
      <c r="Z53" s="486" t="s">
        <v>995</v>
      </c>
      <c r="AA53" s="485" t="s">
        <v>1082</v>
      </c>
      <c r="AB53" s="485" t="s">
        <v>1083</v>
      </c>
      <c r="AC53" s="485"/>
    </row>
    <row r="54" spans="1:29" ht="18.75" customHeight="1">
      <c r="A54" s="484">
        <v>47</v>
      </c>
      <c r="B54" s="484" t="s">
        <v>985</v>
      </c>
      <c r="C54" s="484" t="s">
        <v>998</v>
      </c>
      <c r="D54" s="484" t="s">
        <v>1079</v>
      </c>
      <c r="E54" s="484" t="s">
        <v>999</v>
      </c>
      <c r="F54" s="490" t="s">
        <v>1008</v>
      </c>
      <c r="G54" s="490" t="s">
        <v>1001</v>
      </c>
      <c r="H54" s="490" t="s">
        <v>968</v>
      </c>
      <c r="I54" s="489" t="s">
        <v>1080</v>
      </c>
      <c r="J54" s="489" t="s">
        <v>1008</v>
      </c>
      <c r="K54" s="488" t="s">
        <v>1081</v>
      </c>
      <c r="L54" s="484">
        <v>2016</v>
      </c>
      <c r="M54" s="823">
        <v>822665.18352141499</v>
      </c>
      <c r="N54" s="487" t="s">
        <v>994</v>
      </c>
      <c r="O54" s="487" t="s">
        <v>994</v>
      </c>
      <c r="P54" s="824">
        <v>-933885.90742931678</v>
      </c>
      <c r="Q54" s="824">
        <v>-780082.90165939706</v>
      </c>
      <c r="R54" s="824">
        <v>67210.402317334898</v>
      </c>
      <c r="S54" s="824">
        <v>885322.77227546775</v>
      </c>
      <c r="T54" s="824">
        <v>885322.77227546775</v>
      </c>
      <c r="U54" s="824">
        <v>885322.77227546775</v>
      </c>
      <c r="V54" s="824">
        <v>2655968.3168264031</v>
      </c>
      <c r="W54" s="824">
        <v>1914214.9637194227</v>
      </c>
      <c r="X54" s="824">
        <v>836574.30775762093</v>
      </c>
      <c r="Y54" s="486" t="s">
        <v>995</v>
      </c>
      <c r="Z54" s="486" t="s">
        <v>995</v>
      </c>
      <c r="AA54" s="485" t="s">
        <v>1082</v>
      </c>
      <c r="AB54" s="485" t="s">
        <v>1083</v>
      </c>
      <c r="AC54" s="485"/>
    </row>
    <row r="55" spans="1:29" ht="18.75" customHeight="1">
      <c r="A55" s="484">
        <v>48</v>
      </c>
      <c r="B55" s="484" t="s">
        <v>985</v>
      </c>
      <c r="C55" s="484" t="s">
        <v>998</v>
      </c>
      <c r="D55" s="484" t="s">
        <v>1079</v>
      </c>
      <c r="E55" s="484" t="s">
        <v>999</v>
      </c>
      <c r="F55" s="490" t="s">
        <v>1009</v>
      </c>
      <c r="G55" s="490" t="s">
        <v>1001</v>
      </c>
      <c r="H55" s="490" t="s">
        <v>968</v>
      </c>
      <c r="I55" s="489" t="s">
        <v>1080</v>
      </c>
      <c r="J55" s="489" t="s">
        <v>1009</v>
      </c>
      <c r="K55" s="488" t="s">
        <v>1081</v>
      </c>
      <c r="L55" s="484">
        <v>2016</v>
      </c>
      <c r="M55" s="823">
        <v>716993.593016561</v>
      </c>
      <c r="N55" s="487" t="s">
        <v>994</v>
      </c>
      <c r="O55" s="487" t="s">
        <v>994</v>
      </c>
      <c r="P55" s="824">
        <v>-835957.48843687319</v>
      </c>
      <c r="Q55" s="824">
        <v>-790274.81353473954</v>
      </c>
      <c r="R55" s="824">
        <v>38763.076341592903</v>
      </c>
      <c r="S55" s="824">
        <v>701654.88071326318</v>
      </c>
      <c r="T55" s="824">
        <v>701654.88071326318</v>
      </c>
      <c r="U55" s="824">
        <v>701654.88071326318</v>
      </c>
      <c r="V55" s="824">
        <v>2104964.6421397896</v>
      </c>
      <c r="W55" s="824">
        <v>1488258.5251713269</v>
      </c>
      <c r="X55" s="824">
        <v>845800.47900917358</v>
      </c>
      <c r="Y55" s="486" t="s">
        <v>995</v>
      </c>
      <c r="Z55" s="486" t="s">
        <v>995</v>
      </c>
      <c r="AA55" s="485" t="s">
        <v>1082</v>
      </c>
      <c r="AB55" s="485" t="s">
        <v>1083</v>
      </c>
      <c r="AC55" s="485"/>
    </row>
    <row r="56" spans="1:29" ht="18.75" customHeight="1">
      <c r="A56" s="484">
        <v>49</v>
      </c>
      <c r="B56" s="484" t="s">
        <v>985</v>
      </c>
      <c r="C56" s="484" t="s">
        <v>998</v>
      </c>
      <c r="D56" s="484" t="s">
        <v>1079</v>
      </c>
      <c r="E56" s="484" t="s">
        <v>999</v>
      </c>
      <c r="F56" s="490" t="s">
        <v>1010</v>
      </c>
      <c r="G56" s="490" t="s">
        <v>1001</v>
      </c>
      <c r="H56" s="490" t="s">
        <v>968</v>
      </c>
      <c r="I56" s="489" t="s">
        <v>1080</v>
      </c>
      <c r="J56" s="489" t="s">
        <v>1010</v>
      </c>
      <c r="K56" s="488" t="s">
        <v>1081</v>
      </c>
      <c r="L56" s="484">
        <v>2016</v>
      </c>
      <c r="M56" s="823">
        <v>128250.001890332</v>
      </c>
      <c r="N56" s="487" t="s">
        <v>994</v>
      </c>
      <c r="O56" s="487" t="s">
        <v>994</v>
      </c>
      <c r="P56" s="824">
        <v>269132.43180932821</v>
      </c>
      <c r="Q56" s="824">
        <v>296697.17006932048</v>
      </c>
      <c r="R56" s="824">
        <v>1260.8270398638001</v>
      </c>
      <c r="S56" s="824">
        <v>141338.4441734117</v>
      </c>
      <c r="T56" s="824">
        <v>141338.4441734117</v>
      </c>
      <c r="U56" s="824">
        <v>141338.4441734117</v>
      </c>
      <c r="V56" s="824">
        <v>424015.3325202351</v>
      </c>
      <c r="W56" s="824">
        <v>295584.44084617589</v>
      </c>
      <c r="X56" s="824">
        <v>6442.0477026642202</v>
      </c>
      <c r="Y56" s="486" t="s">
        <v>995</v>
      </c>
      <c r="Z56" s="486" t="s">
        <v>995</v>
      </c>
      <c r="AA56" s="485" t="s">
        <v>1084</v>
      </c>
      <c r="AB56" s="485" t="s">
        <v>1083</v>
      </c>
      <c r="AC56" s="485"/>
    </row>
    <row r="57" spans="1:29" ht="18.75" customHeight="1">
      <c r="A57" s="484">
        <v>50</v>
      </c>
      <c r="B57" s="484" t="s">
        <v>985</v>
      </c>
      <c r="C57" s="484" t="s">
        <v>998</v>
      </c>
      <c r="D57" s="484" t="s">
        <v>1079</v>
      </c>
      <c r="E57" s="484" t="s">
        <v>999</v>
      </c>
      <c r="F57" s="490" t="s">
        <v>1013</v>
      </c>
      <c r="G57" s="490" t="s">
        <v>1001</v>
      </c>
      <c r="H57" s="490" t="s">
        <v>968</v>
      </c>
      <c r="I57" s="489" t="s">
        <v>1080</v>
      </c>
      <c r="J57" s="489" t="s">
        <v>1013</v>
      </c>
      <c r="K57" s="488" t="s">
        <v>1081</v>
      </c>
      <c r="L57" s="484">
        <v>2016</v>
      </c>
      <c r="M57" s="823">
        <v>97804.343194222107</v>
      </c>
      <c r="N57" s="487" t="s">
        <v>994</v>
      </c>
      <c r="O57" s="487" t="s">
        <v>994</v>
      </c>
      <c r="P57" s="824">
        <v>236796.75498653812</v>
      </c>
      <c r="Q57" s="824">
        <v>287151.68807807314</v>
      </c>
      <c r="R57" s="824">
        <v>825.33274796973899</v>
      </c>
      <c r="S57" s="824">
        <v>100926.04588659786</v>
      </c>
      <c r="T57" s="824">
        <v>100926.04588659786</v>
      </c>
      <c r="U57" s="824">
        <v>100926.04588659786</v>
      </c>
      <c r="V57" s="824">
        <v>302778.1376597936</v>
      </c>
      <c r="W57" s="824">
        <v>211568.34940794698</v>
      </c>
      <c r="X57" s="824">
        <v>6198.1419747915243</v>
      </c>
      <c r="Y57" s="486" t="s">
        <v>995</v>
      </c>
      <c r="Z57" s="486" t="s">
        <v>995</v>
      </c>
      <c r="AA57" s="485" t="s">
        <v>1085</v>
      </c>
      <c r="AB57" s="485" t="s">
        <v>1083</v>
      </c>
      <c r="AC57" s="485"/>
    </row>
    <row r="58" spans="1:29" ht="18.75" customHeight="1">
      <c r="A58" s="484">
        <v>51</v>
      </c>
      <c r="B58" s="484" t="s">
        <v>985</v>
      </c>
      <c r="C58" s="484" t="s">
        <v>998</v>
      </c>
      <c r="D58" s="484" t="s">
        <v>1079</v>
      </c>
      <c r="E58" s="484" t="s">
        <v>999</v>
      </c>
      <c r="F58" s="490" t="s">
        <v>1014</v>
      </c>
      <c r="G58" s="490" t="s">
        <v>1001</v>
      </c>
      <c r="H58" s="490" t="s">
        <v>968</v>
      </c>
      <c r="I58" s="489" t="s">
        <v>1080</v>
      </c>
      <c r="J58" s="489" t="s">
        <v>1014</v>
      </c>
      <c r="K58" s="488" t="s">
        <v>1081</v>
      </c>
      <c r="L58" s="484">
        <v>2016</v>
      </c>
      <c r="M58" s="823">
        <v>622467999.60087097</v>
      </c>
      <c r="N58" s="487" t="s">
        <v>994</v>
      </c>
      <c r="O58" s="487" t="s">
        <v>994</v>
      </c>
      <c r="P58" s="824">
        <v>2169183161.5208969</v>
      </c>
      <c r="Q58" s="824">
        <v>2170897257.3384709</v>
      </c>
      <c r="R58" s="824">
        <v>11133227.128706099</v>
      </c>
      <c r="S58" s="824">
        <v>669008045.25631535</v>
      </c>
      <c r="T58" s="824">
        <v>669008045.25631535</v>
      </c>
      <c r="U58" s="824">
        <v>669008045.25631535</v>
      </c>
      <c r="V58" s="824">
        <v>2007024135.7689462</v>
      </c>
      <c r="W58" s="824">
        <v>1382608547.7315123</v>
      </c>
      <c r="X58" s="824">
        <v>53946269.870446295</v>
      </c>
      <c r="Y58" s="486" t="s">
        <v>995</v>
      </c>
      <c r="Z58" s="486" t="s">
        <v>995</v>
      </c>
      <c r="AA58" s="485" t="s">
        <v>1085</v>
      </c>
      <c r="AB58" s="485" t="s">
        <v>1083</v>
      </c>
      <c r="AC58" s="485"/>
    </row>
    <row r="59" spans="1:29" ht="18.75" customHeight="1">
      <c r="A59" s="484">
        <v>52</v>
      </c>
      <c r="B59" s="484" t="s">
        <v>985</v>
      </c>
      <c r="C59" s="484" t="s">
        <v>998</v>
      </c>
      <c r="D59" s="484" t="s">
        <v>1079</v>
      </c>
      <c r="E59" s="484" t="s">
        <v>999</v>
      </c>
      <c r="F59" s="490" t="s">
        <v>1015</v>
      </c>
      <c r="G59" s="490" t="s">
        <v>1001</v>
      </c>
      <c r="H59" s="490" t="s">
        <v>968</v>
      </c>
      <c r="I59" s="489" t="s">
        <v>1080</v>
      </c>
      <c r="J59" s="489" t="s">
        <v>1015</v>
      </c>
      <c r="K59" s="488" t="s">
        <v>1081</v>
      </c>
      <c r="L59" s="484">
        <v>2016</v>
      </c>
      <c r="M59" s="823">
        <v>424281432.92512399</v>
      </c>
      <c r="N59" s="487" t="s">
        <v>994</v>
      </c>
      <c r="O59" s="487" t="s">
        <v>994</v>
      </c>
      <c r="P59" s="824">
        <v>1934264941.6334074</v>
      </c>
      <c r="Q59" s="824">
        <v>2075911835.8221164</v>
      </c>
      <c r="R59" s="824">
        <v>6751199.06814628</v>
      </c>
      <c r="S59" s="824">
        <v>424986810.56923443</v>
      </c>
      <c r="T59" s="824">
        <v>424986810.56923443</v>
      </c>
      <c r="U59" s="824">
        <v>424986810.56923443</v>
      </c>
      <c r="V59" s="824">
        <v>1274960431.7077034</v>
      </c>
      <c r="W59" s="824">
        <v>878842638.51066768</v>
      </c>
      <c r="X59" s="824">
        <v>46277626.747786298</v>
      </c>
      <c r="Y59" s="486" t="s">
        <v>995</v>
      </c>
      <c r="Z59" s="486" t="s">
        <v>995</v>
      </c>
      <c r="AA59" s="485" t="s">
        <v>1085</v>
      </c>
      <c r="AB59" s="485" t="s">
        <v>1083</v>
      </c>
      <c r="AC59" s="485"/>
    </row>
    <row r="60" spans="1:29" ht="18.75" customHeight="1">
      <c r="A60" s="484">
        <v>53</v>
      </c>
      <c r="B60" s="484" t="s">
        <v>985</v>
      </c>
      <c r="C60" s="484" t="s">
        <v>998</v>
      </c>
      <c r="D60" s="484" t="s">
        <v>1079</v>
      </c>
      <c r="E60" s="484" t="s">
        <v>999</v>
      </c>
      <c r="F60" s="490" t="s">
        <v>1016</v>
      </c>
      <c r="G60" s="490" t="s">
        <v>1001</v>
      </c>
      <c r="H60" s="490" t="s">
        <v>968</v>
      </c>
      <c r="I60" s="489" t="s">
        <v>1080</v>
      </c>
      <c r="J60" s="489" t="s">
        <v>1016</v>
      </c>
      <c r="K60" s="488" t="s">
        <v>1081</v>
      </c>
      <c r="L60" s="484">
        <v>2016</v>
      </c>
      <c r="M60" s="823">
        <v>1238409.8967502301</v>
      </c>
      <c r="N60" s="487" t="s">
        <v>994</v>
      </c>
      <c r="O60" s="487" t="s">
        <v>994</v>
      </c>
      <c r="P60" s="824">
        <v>-28473475.208798978</v>
      </c>
      <c r="Q60" s="824">
        <v>-29464988.738078784</v>
      </c>
      <c r="R60" s="824">
        <v>806223.21620807797</v>
      </c>
      <c r="S60" s="824">
        <v>1784810.1444445392</v>
      </c>
      <c r="T60" s="824">
        <v>1784810.1444445392</v>
      </c>
      <c r="U60" s="824">
        <v>1784810.1444445392</v>
      </c>
      <c r="V60" s="824">
        <v>5354430.4333336176</v>
      </c>
      <c r="W60" s="824">
        <v>3859056.1463959673</v>
      </c>
      <c r="X60" s="824">
        <v>1486699.8226902529</v>
      </c>
      <c r="Y60" s="486" t="s">
        <v>995</v>
      </c>
      <c r="Z60" s="486" t="s">
        <v>995</v>
      </c>
      <c r="AA60" s="485" t="s">
        <v>1085</v>
      </c>
      <c r="AB60" s="485" t="s">
        <v>1083</v>
      </c>
      <c r="AC60" s="485"/>
    </row>
    <row r="61" spans="1:29" ht="18.75" customHeight="1">
      <c r="A61" s="484">
        <v>54</v>
      </c>
      <c r="B61" s="484" t="s">
        <v>985</v>
      </c>
      <c r="C61" s="484" t="s">
        <v>998</v>
      </c>
      <c r="D61" s="484" t="s">
        <v>1079</v>
      </c>
      <c r="E61" s="484" t="s">
        <v>999</v>
      </c>
      <c r="F61" s="490" t="s">
        <v>1017</v>
      </c>
      <c r="G61" s="490" t="s">
        <v>1001</v>
      </c>
      <c r="H61" s="490" t="s">
        <v>968</v>
      </c>
      <c r="I61" s="489" t="s">
        <v>1080</v>
      </c>
      <c r="J61" s="489" t="s">
        <v>1017</v>
      </c>
      <c r="K61" s="488" t="s">
        <v>1081</v>
      </c>
      <c r="L61" s="484">
        <v>2016</v>
      </c>
      <c r="M61" s="823">
        <v>451045.580858309</v>
      </c>
      <c r="N61" s="487" t="s">
        <v>994</v>
      </c>
      <c r="O61" s="487" t="s">
        <v>994</v>
      </c>
      <c r="P61" s="824">
        <v>-26334895.867990877</v>
      </c>
      <c r="Q61" s="824">
        <v>-29056739.574923828</v>
      </c>
      <c r="R61" s="824">
        <v>462418.04391632299</v>
      </c>
      <c r="S61" s="824">
        <v>679849.33936842519</v>
      </c>
      <c r="T61" s="824">
        <v>679849.33936842519</v>
      </c>
      <c r="U61" s="824">
        <v>679849.33936842519</v>
      </c>
      <c r="V61" s="824">
        <v>2039548.0181052755</v>
      </c>
      <c r="W61" s="824">
        <v>1442007.4640094039</v>
      </c>
      <c r="X61" s="824">
        <v>1235875.7957188531</v>
      </c>
      <c r="Y61" s="486" t="s">
        <v>995</v>
      </c>
      <c r="Z61" s="486" t="s">
        <v>995</v>
      </c>
      <c r="AA61" s="485" t="s">
        <v>1085</v>
      </c>
      <c r="AB61" s="485" t="s">
        <v>1083</v>
      </c>
      <c r="AC61" s="485"/>
    </row>
    <row r="62" spans="1:29" ht="18.75" customHeight="1">
      <c r="A62" s="484">
        <v>55</v>
      </c>
      <c r="B62" s="484" t="s">
        <v>985</v>
      </c>
      <c r="C62" s="484" t="s">
        <v>986</v>
      </c>
      <c r="D62" s="484" t="s">
        <v>1086</v>
      </c>
      <c r="E62" s="484" t="s">
        <v>988</v>
      </c>
      <c r="F62" s="490" t="s">
        <v>989</v>
      </c>
      <c r="G62" s="490" t="s">
        <v>1087</v>
      </c>
      <c r="H62" s="490" t="s">
        <v>968</v>
      </c>
      <c r="I62" s="489" t="s">
        <v>991</v>
      </c>
      <c r="J62" s="489" t="s">
        <v>992</v>
      </c>
      <c r="K62" s="488" t="s">
        <v>1081</v>
      </c>
      <c r="L62" s="484">
        <v>2016</v>
      </c>
      <c r="M62" s="823">
        <v>42453.529695588535</v>
      </c>
      <c r="N62" s="487" t="s">
        <v>994</v>
      </c>
      <c r="O62" s="487" t="s">
        <v>994</v>
      </c>
      <c r="P62" s="824">
        <v>107458.39836377802</v>
      </c>
      <c r="Q62" s="824">
        <v>114401.61230873302</v>
      </c>
      <c r="R62" s="824">
        <v>646.64169377370911</v>
      </c>
      <c r="S62" s="824">
        <v>25311.150040951987</v>
      </c>
      <c r="T62" s="824">
        <v>25311.150040951987</v>
      </c>
      <c r="U62" s="824">
        <v>25311.150040951987</v>
      </c>
      <c r="V62" s="824">
        <v>75933.450122855953</v>
      </c>
      <c r="W62" s="824">
        <v>52309.404419983221</v>
      </c>
      <c r="X62" s="824">
        <v>28427.490403928648</v>
      </c>
      <c r="Y62" s="486" t="s">
        <v>995</v>
      </c>
      <c r="Z62" s="486" t="s">
        <v>995</v>
      </c>
      <c r="AA62" s="485" t="s">
        <v>1088</v>
      </c>
      <c r="AB62" s="485" t="s">
        <v>1089</v>
      </c>
      <c r="AC62" s="485"/>
    </row>
    <row r="63" spans="1:29" ht="18.75" customHeight="1">
      <c r="A63" s="484">
        <v>56</v>
      </c>
      <c r="B63" s="484" t="s">
        <v>985</v>
      </c>
      <c r="C63" s="484" t="s">
        <v>986</v>
      </c>
      <c r="D63" s="484" t="s">
        <v>1090</v>
      </c>
      <c r="E63" s="484" t="s">
        <v>1091</v>
      </c>
      <c r="F63" s="490" t="s">
        <v>1092</v>
      </c>
      <c r="G63" s="490" t="s">
        <v>1093</v>
      </c>
      <c r="H63" s="490" t="s">
        <v>968</v>
      </c>
      <c r="I63" s="489" t="s">
        <v>1094</v>
      </c>
      <c r="J63" s="489" t="s">
        <v>1095</v>
      </c>
      <c r="K63" s="488" t="s">
        <v>1081</v>
      </c>
      <c r="L63" s="499">
        <v>2016</v>
      </c>
      <c r="M63" s="826">
        <v>3.7510014566642389</v>
      </c>
      <c r="N63" s="487">
        <v>82402</v>
      </c>
      <c r="O63" s="487">
        <v>21968</v>
      </c>
      <c r="P63" s="826">
        <v>7.3340558175075525</v>
      </c>
      <c r="Q63" s="826">
        <v>13.499810030395137</v>
      </c>
      <c r="R63" s="826">
        <v>0.70816317545376795</v>
      </c>
      <c r="S63" s="826">
        <v>0.4587736522038085</v>
      </c>
      <c r="T63" s="826">
        <v>0.4587736522038085</v>
      </c>
      <c r="U63" s="826">
        <v>0.4587736522038085</v>
      </c>
      <c r="V63" s="826">
        <v>1.3763209566114254</v>
      </c>
      <c r="W63" s="826">
        <v>0.94812667427335662</v>
      </c>
      <c r="X63" s="826">
        <v>0.96906534940455347</v>
      </c>
      <c r="Y63" s="486">
        <v>6198.1419747915243</v>
      </c>
      <c r="Z63" s="486">
        <v>6396</v>
      </c>
      <c r="AA63" s="485" t="s">
        <v>1096</v>
      </c>
      <c r="AB63" s="485" t="s">
        <v>1097</v>
      </c>
      <c r="AC63" s="485"/>
    </row>
    <row r="64" spans="1:29" ht="18.75" customHeight="1">
      <c r="A64" s="484">
        <v>57</v>
      </c>
      <c r="B64" s="484" t="s">
        <v>985</v>
      </c>
      <c r="C64" s="484" t="s">
        <v>986</v>
      </c>
      <c r="D64" s="484" t="s">
        <v>1090</v>
      </c>
      <c r="E64" s="484" t="s">
        <v>1091</v>
      </c>
      <c r="F64" s="490" t="s">
        <v>1098</v>
      </c>
      <c r="G64" s="490" t="s">
        <v>1093</v>
      </c>
      <c r="H64" s="490" t="s">
        <v>968</v>
      </c>
      <c r="I64" s="489" t="s">
        <v>1094</v>
      </c>
      <c r="J64" s="489" t="s">
        <v>1099</v>
      </c>
      <c r="K64" s="488" t="s">
        <v>1081</v>
      </c>
      <c r="L64" s="499">
        <v>2016</v>
      </c>
      <c r="M64" s="824">
        <v>17791.417197742172</v>
      </c>
      <c r="N64" s="487">
        <v>390841853</v>
      </c>
      <c r="O64" s="487">
        <v>21968</v>
      </c>
      <c r="P64" s="824">
        <v>61441.877780799441</v>
      </c>
      <c r="Q64" s="824">
        <v>98316.27268759931</v>
      </c>
      <c r="R64" s="824">
        <v>3845.101555649735</v>
      </c>
      <c r="S64" s="824">
        <v>3288.086214407957</v>
      </c>
      <c r="T64" s="824">
        <v>3288.086214407957</v>
      </c>
      <c r="U64" s="824">
        <v>3288.086214407957</v>
      </c>
      <c r="V64" s="824">
        <v>9864.2586432238713</v>
      </c>
      <c r="W64" s="824">
        <v>6795.3384685782694</v>
      </c>
      <c r="X64" s="824">
        <v>7235.4013051573329</v>
      </c>
      <c r="Y64" s="486">
        <v>46277626.747786298</v>
      </c>
      <c r="Z64" s="486">
        <v>6396</v>
      </c>
      <c r="AA64" s="485" t="s">
        <v>1096</v>
      </c>
      <c r="AB64" s="485" t="s">
        <v>1097</v>
      </c>
      <c r="AC64" s="485"/>
    </row>
    <row r="65" spans="1:29" ht="18.75" customHeight="1">
      <c r="A65" s="484">
        <v>58</v>
      </c>
      <c r="B65" s="484" t="s">
        <v>985</v>
      </c>
      <c r="C65" s="484" t="s">
        <v>986</v>
      </c>
      <c r="D65" s="484" t="s">
        <v>1090</v>
      </c>
      <c r="E65" s="484" t="s">
        <v>1091</v>
      </c>
      <c r="F65" s="490" t="s">
        <v>1100</v>
      </c>
      <c r="G65" s="490" t="s">
        <v>1093</v>
      </c>
      <c r="H65" s="490" t="s">
        <v>968</v>
      </c>
      <c r="I65" s="489" t="s">
        <v>1094</v>
      </c>
      <c r="J65" s="489" t="s">
        <v>1101</v>
      </c>
      <c r="K65" s="488" t="s">
        <v>1081</v>
      </c>
      <c r="L65" s="499">
        <v>2016</v>
      </c>
      <c r="M65" s="824">
        <v>3.8351758779093545</v>
      </c>
      <c r="N65" s="487">
        <v>84251.143685912699</v>
      </c>
      <c r="O65" s="487">
        <v>21968</v>
      </c>
      <c r="P65" s="824">
        <v>-854.08657015297149</v>
      </c>
      <c r="Q65" s="824">
        <v>-1395.6140195788223</v>
      </c>
      <c r="R65" s="824">
        <v>132.09404088456441</v>
      </c>
      <c r="S65" s="824">
        <v>-5.4602621085363587</v>
      </c>
      <c r="T65" s="824">
        <v>-5.4602621085363587</v>
      </c>
      <c r="U65" s="824">
        <v>-5.4602621085363587</v>
      </c>
      <c r="V65" s="824">
        <v>-16.380786325609076</v>
      </c>
      <c r="W65" s="824">
        <v>-11.284475751296048</v>
      </c>
      <c r="X65" s="824">
        <v>193.22635955579318</v>
      </c>
      <c r="Y65" s="486">
        <v>1235875.7957188531</v>
      </c>
      <c r="Z65" s="486">
        <v>6396</v>
      </c>
      <c r="AA65" s="485" t="s">
        <v>1096</v>
      </c>
      <c r="AB65" s="485" t="s">
        <v>1097</v>
      </c>
      <c r="AC65" s="485"/>
    </row>
    <row r="66" spans="1:29" ht="18.75" customHeight="1">
      <c r="A66" s="484">
        <v>59</v>
      </c>
      <c r="B66" s="484" t="s">
        <v>985</v>
      </c>
      <c r="C66" s="484" t="s">
        <v>986</v>
      </c>
      <c r="D66" s="484" t="s">
        <v>1090</v>
      </c>
      <c r="E66" s="484" t="s">
        <v>1102</v>
      </c>
      <c r="F66" s="490" t="s">
        <v>1092</v>
      </c>
      <c r="G66" s="490" t="s">
        <v>1103</v>
      </c>
      <c r="H66" s="490" t="s">
        <v>968</v>
      </c>
      <c r="I66" s="489" t="s">
        <v>1094</v>
      </c>
      <c r="J66" s="489" t="s">
        <v>1104</v>
      </c>
      <c r="K66" s="488" t="s">
        <v>1081</v>
      </c>
      <c r="L66" s="499">
        <v>2016</v>
      </c>
      <c r="M66" s="826">
        <v>3.2393629493648981</v>
      </c>
      <c r="N66" s="487">
        <v>43967.87331172976</v>
      </c>
      <c r="O66" s="487">
        <v>13573</v>
      </c>
      <c r="P66" s="826">
        <v>0</v>
      </c>
      <c r="Q66" s="826">
        <v>16.91622014213597</v>
      </c>
      <c r="R66" s="826">
        <v>1.8624585434977029E-2</v>
      </c>
      <c r="S66" s="824" t="s">
        <v>1105</v>
      </c>
      <c r="T66" s="824" t="s">
        <v>1105</v>
      </c>
      <c r="U66" s="824" t="s">
        <v>1105</v>
      </c>
      <c r="V66" s="824" t="s">
        <v>1105</v>
      </c>
      <c r="W66" s="824" t="s">
        <v>1105</v>
      </c>
      <c r="X66" s="826">
        <v>0.11933547106168485</v>
      </c>
      <c r="Y66" s="486">
        <v>754.67751899409495</v>
      </c>
      <c r="Z66" s="486">
        <v>6324</v>
      </c>
      <c r="AA66" s="485" t="s">
        <v>1106</v>
      </c>
      <c r="AB66" s="485" t="s">
        <v>1107</v>
      </c>
      <c r="AC66" s="485"/>
    </row>
    <row r="67" spans="1:29" ht="18.75" customHeight="1">
      <c r="A67" s="484">
        <v>60</v>
      </c>
      <c r="B67" s="484" t="s">
        <v>985</v>
      </c>
      <c r="C67" s="484" t="s">
        <v>986</v>
      </c>
      <c r="D67" s="484" t="s">
        <v>1090</v>
      </c>
      <c r="E67" s="484" t="s">
        <v>1102</v>
      </c>
      <c r="F67" s="490" t="s">
        <v>1098</v>
      </c>
      <c r="G67" s="490" t="s">
        <v>1103</v>
      </c>
      <c r="H67" s="490" t="s">
        <v>968</v>
      </c>
      <c r="I67" s="489" t="s">
        <v>1094</v>
      </c>
      <c r="J67" s="489" t="s">
        <v>1108</v>
      </c>
      <c r="K67" s="488" t="s">
        <v>1081</v>
      </c>
      <c r="L67" s="499">
        <v>2016</v>
      </c>
      <c r="M67" s="824">
        <v>26408.666304034865</v>
      </c>
      <c r="N67" s="487">
        <v>358444827.74466521</v>
      </c>
      <c r="O67" s="487">
        <v>13573</v>
      </c>
      <c r="P67" s="824">
        <v>65949.398012764752</v>
      </c>
      <c r="Q67" s="824">
        <v>150255.9347505201</v>
      </c>
      <c r="R67" s="824">
        <v>824.67508692301249</v>
      </c>
      <c r="S67" s="824" t="s">
        <v>1105</v>
      </c>
      <c r="T67" s="824" t="s">
        <v>1105</v>
      </c>
      <c r="U67" s="824" t="s">
        <v>1105</v>
      </c>
      <c r="V67" s="824" t="s">
        <v>1105</v>
      </c>
      <c r="W67" s="824" t="s">
        <v>1105</v>
      </c>
      <c r="X67" s="824">
        <v>2185.5275346277672</v>
      </c>
      <c r="Y67" s="486">
        <v>13821276.128985999</v>
      </c>
      <c r="Z67" s="486">
        <v>6324</v>
      </c>
      <c r="AA67" s="485" t="s">
        <v>1106</v>
      </c>
      <c r="AB67" s="485" t="s">
        <v>1107</v>
      </c>
      <c r="AC67" s="485"/>
    </row>
    <row r="68" spans="1:29" ht="18.75" customHeight="1">
      <c r="A68" s="484">
        <v>61</v>
      </c>
      <c r="B68" s="484" t="s">
        <v>985</v>
      </c>
      <c r="C68" s="484" t="s">
        <v>986</v>
      </c>
      <c r="D68" s="484" t="s">
        <v>1090</v>
      </c>
      <c r="E68" s="484" t="s">
        <v>1102</v>
      </c>
      <c r="F68" s="490" t="s">
        <v>1100</v>
      </c>
      <c r="G68" s="490" t="s">
        <v>1103</v>
      </c>
      <c r="H68" s="490" t="s">
        <v>968</v>
      </c>
      <c r="I68" s="489" t="s">
        <v>1094</v>
      </c>
      <c r="J68" s="489" t="s">
        <v>1109</v>
      </c>
      <c r="K68" s="488" t="s">
        <v>1081</v>
      </c>
      <c r="L68" s="499">
        <v>2016</v>
      </c>
      <c r="M68" s="824">
        <v>-75.019524055109414</v>
      </c>
      <c r="N68" s="487">
        <v>-1018240</v>
      </c>
      <c r="O68" s="487">
        <v>13573</v>
      </c>
      <c r="P68" s="824">
        <v>-968.65441579763183</v>
      </c>
      <c r="Q68" s="824">
        <v>-2253.965942153563</v>
      </c>
      <c r="R68" s="824">
        <v>52.180663016717212</v>
      </c>
      <c r="S68" s="824" t="s">
        <v>1105</v>
      </c>
      <c r="T68" s="824" t="s">
        <v>1105</v>
      </c>
      <c r="U68" s="824" t="s">
        <v>1105</v>
      </c>
      <c r="V68" s="824" t="s">
        <v>1105</v>
      </c>
      <c r="W68" s="824" t="s">
        <v>1105</v>
      </c>
      <c r="X68" s="824">
        <v>68.555562551130933</v>
      </c>
      <c r="Y68" s="486">
        <v>433545.37757335202</v>
      </c>
      <c r="Z68" s="486">
        <v>6324</v>
      </c>
      <c r="AA68" s="485" t="s">
        <v>1106</v>
      </c>
      <c r="AB68" s="485" t="s">
        <v>1107</v>
      </c>
      <c r="AC68" s="485"/>
    </row>
    <row r="69" spans="1:29" ht="18.75" customHeight="1">
      <c r="A69" s="484">
        <v>62</v>
      </c>
      <c r="B69" s="484" t="s">
        <v>985</v>
      </c>
      <c r="C69" s="484" t="s">
        <v>986</v>
      </c>
      <c r="D69" s="484" t="s">
        <v>1090</v>
      </c>
      <c r="E69" s="484" t="s">
        <v>1110</v>
      </c>
      <c r="F69" s="490" t="s">
        <v>1092</v>
      </c>
      <c r="G69" s="490" t="s">
        <v>1111</v>
      </c>
      <c r="H69" s="490" t="s">
        <v>968</v>
      </c>
      <c r="I69" s="489" t="s">
        <v>1094</v>
      </c>
      <c r="J69" s="489" t="s">
        <v>1112</v>
      </c>
      <c r="K69" s="488" t="s">
        <v>1081</v>
      </c>
      <c r="L69" s="499">
        <v>2016</v>
      </c>
      <c r="M69" s="824">
        <v>0</v>
      </c>
      <c r="N69" s="487" t="s">
        <v>994</v>
      </c>
      <c r="O69" s="487" t="s">
        <v>994</v>
      </c>
      <c r="P69" s="824" t="s">
        <v>1113</v>
      </c>
      <c r="Q69" s="824" t="s">
        <v>1113</v>
      </c>
      <c r="R69" s="824" t="s">
        <v>1113</v>
      </c>
      <c r="S69" s="824">
        <v>1.47</v>
      </c>
      <c r="T69" s="824">
        <v>1.47</v>
      </c>
      <c r="U69" s="824">
        <v>1.47</v>
      </c>
      <c r="V69" s="824">
        <v>4.41</v>
      </c>
      <c r="W69" s="824">
        <v>2.96</v>
      </c>
      <c r="X69" s="824">
        <v>0</v>
      </c>
      <c r="Y69" s="486" t="s">
        <v>995</v>
      </c>
      <c r="Z69" s="486" t="s">
        <v>995</v>
      </c>
      <c r="AA69" s="485" t="s">
        <v>1114</v>
      </c>
      <c r="AB69" s="485" t="s">
        <v>1115</v>
      </c>
      <c r="AC69" s="485"/>
    </row>
    <row r="70" spans="1:29" ht="18.75" customHeight="1">
      <c r="A70" s="484">
        <v>63</v>
      </c>
      <c r="B70" s="484" t="s">
        <v>985</v>
      </c>
      <c r="C70" s="484" t="s">
        <v>986</v>
      </c>
      <c r="D70" s="484" t="s">
        <v>1090</v>
      </c>
      <c r="E70" s="484" t="s">
        <v>1110</v>
      </c>
      <c r="F70" s="490" t="s">
        <v>1098</v>
      </c>
      <c r="G70" s="490" t="s">
        <v>1111</v>
      </c>
      <c r="H70" s="490" t="s">
        <v>968</v>
      </c>
      <c r="I70" s="489" t="s">
        <v>1094</v>
      </c>
      <c r="J70" s="489" t="s">
        <v>1116</v>
      </c>
      <c r="K70" s="488" t="s">
        <v>1081</v>
      </c>
      <c r="L70" s="499">
        <v>2016</v>
      </c>
      <c r="M70" s="824">
        <v>0</v>
      </c>
      <c r="N70" s="487" t="s">
        <v>994</v>
      </c>
      <c r="O70" s="487" t="s">
        <v>994</v>
      </c>
      <c r="P70" s="824">
        <v>0</v>
      </c>
      <c r="Q70" s="824">
        <v>0</v>
      </c>
      <c r="R70" s="824">
        <v>0</v>
      </c>
      <c r="S70" s="824">
        <v>70.650000000000006</v>
      </c>
      <c r="T70" s="824">
        <v>70.650000000000006</v>
      </c>
      <c r="U70" s="824">
        <v>70.650000000000006</v>
      </c>
      <c r="V70" s="824">
        <v>211.95000000000002</v>
      </c>
      <c r="W70" s="824">
        <v>153.78</v>
      </c>
      <c r="X70" s="824">
        <v>0</v>
      </c>
      <c r="Y70" s="486" t="s">
        <v>995</v>
      </c>
      <c r="Z70" s="486" t="s">
        <v>995</v>
      </c>
      <c r="AA70" s="485" t="s">
        <v>1114</v>
      </c>
      <c r="AB70" s="485" t="s">
        <v>1115</v>
      </c>
      <c r="AC70" s="485"/>
    </row>
    <row r="71" spans="1:29" ht="18.75" customHeight="1">
      <c r="A71" s="484">
        <v>64</v>
      </c>
      <c r="B71" s="484" t="s">
        <v>985</v>
      </c>
      <c r="C71" s="484" t="s">
        <v>986</v>
      </c>
      <c r="D71" s="484" t="s">
        <v>1090</v>
      </c>
      <c r="E71" s="484" t="s">
        <v>1110</v>
      </c>
      <c r="F71" s="490" t="s">
        <v>1100</v>
      </c>
      <c r="G71" s="490" t="s">
        <v>1111</v>
      </c>
      <c r="H71" s="490" t="s">
        <v>968</v>
      </c>
      <c r="I71" s="489" t="s">
        <v>1094</v>
      </c>
      <c r="J71" s="489" t="s">
        <v>1117</v>
      </c>
      <c r="K71" s="488" t="s">
        <v>1081</v>
      </c>
      <c r="L71" s="484">
        <v>2016</v>
      </c>
      <c r="M71" s="823">
        <v>0</v>
      </c>
      <c r="N71" s="487" t="s">
        <v>994</v>
      </c>
      <c r="O71" s="487" t="s">
        <v>994</v>
      </c>
      <c r="P71" s="824">
        <v>0</v>
      </c>
      <c r="Q71" s="824">
        <v>0</v>
      </c>
      <c r="R71" s="824">
        <v>0</v>
      </c>
      <c r="S71" s="824">
        <v>2.06</v>
      </c>
      <c r="T71" s="824">
        <v>2.06</v>
      </c>
      <c r="U71" s="824">
        <v>2.06</v>
      </c>
      <c r="V71" s="824">
        <v>6.18</v>
      </c>
      <c r="W71" s="824">
        <v>4.32</v>
      </c>
      <c r="X71" s="824">
        <v>0</v>
      </c>
      <c r="Y71" s="486" t="s">
        <v>995</v>
      </c>
      <c r="Z71" s="486" t="s">
        <v>995</v>
      </c>
      <c r="AA71" s="485" t="s">
        <v>1114</v>
      </c>
      <c r="AB71" s="485" t="s">
        <v>1115</v>
      </c>
      <c r="AC71" s="485"/>
    </row>
    <row r="72" spans="1:29" ht="18.75" customHeight="1">
      <c r="A72" s="484">
        <v>65</v>
      </c>
      <c r="B72" s="484" t="s">
        <v>985</v>
      </c>
      <c r="C72" s="484" t="s">
        <v>986</v>
      </c>
      <c r="D72" s="484" t="s">
        <v>1090</v>
      </c>
      <c r="E72" s="484" t="s">
        <v>1118</v>
      </c>
      <c r="F72" s="490" t="s">
        <v>1092</v>
      </c>
      <c r="G72" s="490" t="s">
        <v>1119</v>
      </c>
      <c r="H72" s="490" t="s">
        <v>968</v>
      </c>
      <c r="I72" s="489" t="s">
        <v>1094</v>
      </c>
      <c r="J72" s="489" t="s">
        <v>1120</v>
      </c>
      <c r="K72" s="488" t="s">
        <v>1081</v>
      </c>
      <c r="L72" s="484">
        <v>2016</v>
      </c>
      <c r="M72" s="825">
        <v>3.5477427511241526</v>
      </c>
      <c r="N72" s="487">
        <v>47983.220708954163</v>
      </c>
      <c r="O72" s="487">
        <v>13525</v>
      </c>
      <c r="P72" s="826">
        <v>7.5891127354438295</v>
      </c>
      <c r="Q72" s="826">
        <v>3.5473660611335993</v>
      </c>
      <c r="R72" s="826">
        <v>8.1899694272682635E-2</v>
      </c>
      <c r="S72" s="824" t="s">
        <v>1105</v>
      </c>
      <c r="T72" s="824" t="s">
        <v>1105</v>
      </c>
      <c r="U72" s="824" t="s">
        <v>1105</v>
      </c>
      <c r="V72" s="824" t="s">
        <v>1105</v>
      </c>
      <c r="W72" s="824" t="s">
        <v>1105</v>
      </c>
      <c r="X72" s="826">
        <v>0.11933547106168485</v>
      </c>
      <c r="Y72" s="486">
        <v>754.67751899409495</v>
      </c>
      <c r="Z72" s="486">
        <v>6324</v>
      </c>
      <c r="AA72" s="485" t="s">
        <v>1121</v>
      </c>
      <c r="AB72" s="485" t="s">
        <v>1122</v>
      </c>
      <c r="AC72" s="485"/>
    </row>
    <row r="73" spans="1:29" ht="18.75" customHeight="1">
      <c r="A73" s="484">
        <v>66</v>
      </c>
      <c r="B73" s="484" t="s">
        <v>985</v>
      </c>
      <c r="C73" s="484" t="s">
        <v>986</v>
      </c>
      <c r="D73" s="484" t="s">
        <v>1090</v>
      </c>
      <c r="E73" s="484" t="s">
        <v>1118</v>
      </c>
      <c r="F73" s="490" t="s">
        <v>1098</v>
      </c>
      <c r="G73" s="490" t="s">
        <v>1119</v>
      </c>
      <c r="H73" s="490" t="s">
        <v>968</v>
      </c>
      <c r="I73" s="489" t="s">
        <v>1094</v>
      </c>
      <c r="J73" s="489" t="s">
        <v>1123</v>
      </c>
      <c r="K73" s="488" t="s">
        <v>1081</v>
      </c>
      <c r="L73" s="484">
        <v>2016</v>
      </c>
      <c r="M73" s="823">
        <v>26921.303517263077</v>
      </c>
      <c r="N73" s="487">
        <v>364110630.07098311</v>
      </c>
      <c r="O73" s="487">
        <v>13525</v>
      </c>
      <c r="P73" s="824">
        <v>66208.753183408335</v>
      </c>
      <c r="Q73" s="824">
        <v>26917.323284614697</v>
      </c>
      <c r="R73" s="824">
        <v>761.27707542182577</v>
      </c>
      <c r="S73" s="824" t="s">
        <v>1105</v>
      </c>
      <c r="T73" s="824" t="s">
        <v>1105</v>
      </c>
      <c r="U73" s="824" t="s">
        <v>1105</v>
      </c>
      <c r="V73" s="824" t="s">
        <v>1105</v>
      </c>
      <c r="W73" s="824" t="s">
        <v>1105</v>
      </c>
      <c r="X73" s="824">
        <v>2185.5275346277672</v>
      </c>
      <c r="Y73" s="486">
        <v>13821276.128985999</v>
      </c>
      <c r="Z73" s="486">
        <v>6324</v>
      </c>
      <c r="AA73" s="485" t="s">
        <v>1121</v>
      </c>
      <c r="AB73" s="485" t="s">
        <v>1122</v>
      </c>
      <c r="AC73" s="485"/>
    </row>
    <row r="74" spans="1:29" ht="18.75" customHeight="1">
      <c r="A74" s="484">
        <v>67</v>
      </c>
      <c r="B74" s="484" t="s">
        <v>985</v>
      </c>
      <c r="C74" s="484" t="s">
        <v>986</v>
      </c>
      <c r="D74" s="484" t="s">
        <v>1090</v>
      </c>
      <c r="E74" s="484" t="s">
        <v>1118</v>
      </c>
      <c r="F74" s="490" t="s">
        <v>1100</v>
      </c>
      <c r="G74" s="490" t="s">
        <v>1119</v>
      </c>
      <c r="H74" s="490" t="s">
        <v>968</v>
      </c>
      <c r="I74" s="489" t="s">
        <v>1094</v>
      </c>
      <c r="J74" s="489" t="s">
        <v>1124</v>
      </c>
      <c r="K74" s="488" t="s">
        <v>1081</v>
      </c>
      <c r="L74" s="484">
        <v>2016</v>
      </c>
      <c r="M74" s="823">
        <v>-44.401914902810184</v>
      </c>
      <c r="N74" s="487">
        <v>-600535.89906050777</v>
      </c>
      <c r="O74" s="487">
        <v>13525</v>
      </c>
      <c r="P74" s="824">
        <v>-964.44774937687782</v>
      </c>
      <c r="Q74" s="824">
        <v>-44.395202118763066</v>
      </c>
      <c r="R74" s="824">
        <v>54.528459728478438</v>
      </c>
      <c r="S74" s="824" t="s">
        <v>1105</v>
      </c>
      <c r="T74" s="824" t="s">
        <v>1105</v>
      </c>
      <c r="U74" s="824" t="s">
        <v>1105</v>
      </c>
      <c r="V74" s="824" t="s">
        <v>1105</v>
      </c>
      <c r="W74" s="824" t="s">
        <v>1105</v>
      </c>
      <c r="X74" s="824">
        <v>68.555562551130933</v>
      </c>
      <c r="Y74" s="486">
        <v>433545.37757335202</v>
      </c>
      <c r="Z74" s="486">
        <v>6324</v>
      </c>
      <c r="AA74" s="485" t="s">
        <v>1121</v>
      </c>
      <c r="AB74" s="485" t="s">
        <v>1122</v>
      </c>
      <c r="AC74" s="485"/>
    </row>
    <row r="75" spans="1:29" ht="18.75" customHeight="1">
      <c r="A75" s="484">
        <v>68</v>
      </c>
      <c r="B75" s="484" t="s">
        <v>985</v>
      </c>
      <c r="C75" s="484" t="s">
        <v>986</v>
      </c>
      <c r="D75" s="484" t="s">
        <v>1125</v>
      </c>
      <c r="E75" s="484" t="s">
        <v>1126</v>
      </c>
      <c r="F75" s="490" t="s">
        <v>1127</v>
      </c>
      <c r="G75" s="490" t="s">
        <v>1128</v>
      </c>
      <c r="H75" s="490" t="s">
        <v>968</v>
      </c>
      <c r="I75" s="489" t="s">
        <v>1129</v>
      </c>
      <c r="J75" s="489" t="s">
        <v>1129</v>
      </c>
      <c r="K75" s="488" t="s">
        <v>1081</v>
      </c>
      <c r="L75" s="484">
        <v>2016</v>
      </c>
      <c r="M75" s="825">
        <v>2.6745722060229009E-2</v>
      </c>
      <c r="N75" s="487">
        <v>21968</v>
      </c>
      <c r="O75" s="487">
        <v>821365</v>
      </c>
      <c r="P75" s="827">
        <v>3.7552926231167474E-2</v>
      </c>
      <c r="Q75" s="827">
        <v>4.1519488924159326E-2</v>
      </c>
      <c r="R75" s="827">
        <v>7.7566998391272058E-3</v>
      </c>
      <c r="S75" s="824">
        <v>0.7</v>
      </c>
      <c r="T75" s="824">
        <v>0.7</v>
      </c>
      <c r="U75" s="824">
        <v>0.7</v>
      </c>
      <c r="V75" s="824">
        <v>2.0999999999999996</v>
      </c>
      <c r="W75" s="824">
        <v>1.42</v>
      </c>
      <c r="X75" s="827">
        <v>6.4650270942856886E-3</v>
      </c>
      <c r="Y75" s="486">
        <v>6396</v>
      </c>
      <c r="Z75" s="486">
        <v>989323</v>
      </c>
      <c r="AA75" s="485" t="s">
        <v>1130</v>
      </c>
      <c r="AB75" s="485" t="s">
        <v>1131</v>
      </c>
      <c r="AC75" s="485"/>
    </row>
    <row r="76" spans="1:29" ht="18.75" customHeight="1">
      <c r="A76" s="484">
        <v>69</v>
      </c>
      <c r="B76" s="484" t="s">
        <v>985</v>
      </c>
      <c r="C76" s="484" t="s">
        <v>986</v>
      </c>
      <c r="D76" s="484" t="s">
        <v>1125</v>
      </c>
      <c r="E76" s="484" t="s">
        <v>1132</v>
      </c>
      <c r="F76" s="490" t="s">
        <v>1127</v>
      </c>
      <c r="G76" s="490" t="s">
        <v>1133</v>
      </c>
      <c r="H76" s="490" t="s">
        <v>968</v>
      </c>
      <c r="I76" s="489" t="s">
        <v>1134</v>
      </c>
      <c r="J76" s="489" t="s">
        <v>1134</v>
      </c>
      <c r="K76" s="488" t="s">
        <v>1081</v>
      </c>
      <c r="L76" s="484">
        <v>2016</v>
      </c>
      <c r="M76" s="825">
        <v>1.6742897906088707E-2</v>
      </c>
      <c r="N76" s="487">
        <v>399</v>
      </c>
      <c r="O76" s="487">
        <v>23831</v>
      </c>
      <c r="P76" s="827">
        <v>1.8132975151108125E-2</v>
      </c>
      <c r="Q76" s="827">
        <v>4.1752339389870337E-2</v>
      </c>
      <c r="R76" s="827">
        <v>1.3302034428794992E-3</v>
      </c>
      <c r="S76" s="824">
        <v>8.1084387646647351E-3</v>
      </c>
      <c r="T76" s="824">
        <v>8.1084387646647351E-3</v>
      </c>
      <c r="U76" s="824">
        <v>8.1084387646647351E-3</v>
      </c>
      <c r="V76" s="824">
        <v>2.4325316293994204E-2</v>
      </c>
      <c r="W76" s="824">
        <v>1.6757342193826446E-2</v>
      </c>
      <c r="X76" s="827">
        <v>0</v>
      </c>
      <c r="Y76" s="486">
        <v>0</v>
      </c>
      <c r="Z76" s="486">
        <v>25819</v>
      </c>
      <c r="AA76" s="485" t="s">
        <v>1135</v>
      </c>
      <c r="AB76" s="485" t="s">
        <v>1136</v>
      </c>
      <c r="AC76" s="485"/>
    </row>
    <row r="77" spans="1:29" ht="18.75" customHeight="1">
      <c r="A77" s="484">
        <v>70</v>
      </c>
      <c r="B77" s="484" t="s">
        <v>985</v>
      </c>
      <c r="C77" s="484" t="s">
        <v>986</v>
      </c>
      <c r="D77" s="484" t="s">
        <v>1125</v>
      </c>
      <c r="E77" s="484" t="s">
        <v>1137</v>
      </c>
      <c r="F77" s="490" t="s">
        <v>1127</v>
      </c>
      <c r="G77" s="490" t="s">
        <v>1138</v>
      </c>
      <c r="H77" s="490" t="s">
        <v>968</v>
      </c>
      <c r="I77" s="489" t="s">
        <v>1139</v>
      </c>
      <c r="J77" s="489" t="s">
        <v>1139</v>
      </c>
      <c r="K77" s="488" t="s">
        <v>1081</v>
      </c>
      <c r="L77" s="484">
        <v>2016</v>
      </c>
      <c r="M77" s="825">
        <v>1.8295677799607071E-2</v>
      </c>
      <c r="N77" s="487">
        <v>298</v>
      </c>
      <c r="O77" s="487">
        <v>16288</v>
      </c>
      <c r="P77" s="827">
        <v>2.6755852842809364E-2</v>
      </c>
      <c r="Q77" s="827">
        <v>5.9709586069771649E-2</v>
      </c>
      <c r="R77" s="827">
        <v>4.2153438516198964E-4</v>
      </c>
      <c r="S77" s="824">
        <v>8.1084387646647351E-3</v>
      </c>
      <c r="T77" s="824">
        <v>8.1084387646647351E-3</v>
      </c>
      <c r="U77" s="824">
        <v>8.1084387646647351E-3</v>
      </c>
      <c r="V77" s="824">
        <v>2.4325316293994204E-2</v>
      </c>
      <c r="W77" s="824">
        <v>1.6757342193826446E-2</v>
      </c>
      <c r="X77" s="827">
        <v>0</v>
      </c>
      <c r="Y77" s="486">
        <v>0</v>
      </c>
      <c r="Z77" s="486">
        <v>17611</v>
      </c>
      <c r="AA77" s="485" t="s">
        <v>1140</v>
      </c>
      <c r="AB77" s="485" t="s">
        <v>1141</v>
      </c>
      <c r="AC77" s="485" t="s">
        <v>1142</v>
      </c>
    </row>
    <row r="78" spans="1:29" ht="18.75" customHeight="1">
      <c r="A78" s="484">
        <v>71</v>
      </c>
      <c r="B78" s="484" t="s">
        <v>985</v>
      </c>
      <c r="C78" s="484" t="s">
        <v>986</v>
      </c>
      <c r="D78" s="484" t="s">
        <v>1143</v>
      </c>
      <c r="E78" s="484" t="s">
        <v>1063</v>
      </c>
      <c r="F78" s="490" t="s">
        <v>1064</v>
      </c>
      <c r="G78" s="490" t="s">
        <v>1065</v>
      </c>
      <c r="H78" s="490" t="s">
        <v>968</v>
      </c>
      <c r="I78" s="489" t="s">
        <v>1066</v>
      </c>
      <c r="J78" s="489" t="s">
        <v>1064</v>
      </c>
      <c r="K78" s="488" t="s">
        <v>1081</v>
      </c>
      <c r="L78" s="484">
        <v>2016</v>
      </c>
      <c r="M78" s="823">
        <v>254.14889648737142</v>
      </c>
      <c r="N78" s="487">
        <v>24856865.894483704</v>
      </c>
      <c r="O78" s="487">
        <v>97804.343194222107</v>
      </c>
      <c r="P78" s="824">
        <v>185.09887405791844</v>
      </c>
      <c r="Q78" s="824">
        <v>119.32561930251238</v>
      </c>
      <c r="R78" s="824">
        <v>962.76142935991925</v>
      </c>
      <c r="S78" s="824">
        <v>233.49104225851681</v>
      </c>
      <c r="T78" s="824">
        <v>233.49104225851681</v>
      </c>
      <c r="U78" s="824">
        <v>233.49104225851681</v>
      </c>
      <c r="V78" s="824">
        <v>700.47312677555044</v>
      </c>
      <c r="W78" s="824">
        <v>464.64717409444847</v>
      </c>
      <c r="X78" s="824">
        <v>791.68698077758927</v>
      </c>
      <c r="Y78" s="486">
        <v>4906988.3064535465</v>
      </c>
      <c r="Z78" s="486">
        <v>6198.1419747915243</v>
      </c>
      <c r="AA78" s="485" t="s">
        <v>1144</v>
      </c>
      <c r="AB78" s="485" t="s">
        <v>1145</v>
      </c>
      <c r="AC78" s="485"/>
    </row>
    <row r="79" spans="1:29" ht="18.75" customHeight="1">
      <c r="A79" s="484">
        <v>72</v>
      </c>
      <c r="B79" s="484" t="s">
        <v>985</v>
      </c>
      <c r="C79" s="484" t="s">
        <v>986</v>
      </c>
      <c r="D79" s="484" t="s">
        <v>1143</v>
      </c>
      <c r="E79" s="484" t="s">
        <v>1063</v>
      </c>
      <c r="F79" s="490" t="s">
        <v>1069</v>
      </c>
      <c r="G79" s="490" t="s">
        <v>1065</v>
      </c>
      <c r="H79" s="490" t="s">
        <v>968</v>
      </c>
      <c r="I79" s="489" t="s">
        <v>1066</v>
      </c>
      <c r="J79" s="489" t="s">
        <v>1069</v>
      </c>
      <c r="K79" s="488" t="s">
        <v>1081</v>
      </c>
      <c r="L79" s="484">
        <v>2016</v>
      </c>
      <c r="M79" s="825">
        <v>5.8585796986478963E-2</v>
      </c>
      <c r="N79" s="487">
        <v>24856865.894483704</v>
      </c>
      <c r="O79" s="487">
        <v>424281432.92512399</v>
      </c>
      <c r="P79" s="826">
        <v>2.2660190848293814E-2</v>
      </c>
      <c r="Q79" s="826">
        <v>1.6505784312419156E-2</v>
      </c>
      <c r="R79" s="826">
        <v>0.19222505797688974</v>
      </c>
      <c r="S79" s="824">
        <v>5.1659215319599487E-2</v>
      </c>
      <c r="T79" s="824">
        <v>5.1659215319599487E-2</v>
      </c>
      <c r="U79" s="824">
        <v>5.1659215319599487E-2</v>
      </c>
      <c r="V79" s="824">
        <v>0.15497764595879845</v>
      </c>
      <c r="W79" s="824">
        <v>0.10280183848600298</v>
      </c>
      <c r="X79" s="826">
        <v>0.10603370681034921</v>
      </c>
      <c r="Y79" s="486">
        <v>4906988.3064535465</v>
      </c>
      <c r="Z79" s="486">
        <v>46277626.747786298</v>
      </c>
      <c r="AA79" s="485" t="s">
        <v>1146</v>
      </c>
      <c r="AB79" s="485" t="s">
        <v>1145</v>
      </c>
      <c r="AC79" s="485"/>
    </row>
    <row r="80" spans="1:29" ht="18.75" customHeight="1">
      <c r="A80" s="484">
        <v>73</v>
      </c>
      <c r="B80" s="484" t="s">
        <v>985</v>
      </c>
      <c r="C80" s="484" t="s">
        <v>986</v>
      </c>
      <c r="D80" s="484" t="s">
        <v>1143</v>
      </c>
      <c r="E80" s="484" t="s">
        <v>1063</v>
      </c>
      <c r="F80" s="490" t="s">
        <v>1071</v>
      </c>
      <c r="G80" s="490" t="s">
        <v>1065</v>
      </c>
      <c r="H80" s="490" t="s">
        <v>968</v>
      </c>
      <c r="I80" s="489" t="s">
        <v>1066</v>
      </c>
      <c r="J80" s="489" t="s">
        <v>1071</v>
      </c>
      <c r="K80" s="488" t="s">
        <v>1081</v>
      </c>
      <c r="L80" s="484">
        <v>2016</v>
      </c>
      <c r="M80" s="825">
        <v>0.90336078837294476</v>
      </c>
      <c r="N80" s="487">
        <v>407456.89151629503</v>
      </c>
      <c r="O80" s="487">
        <v>451045.580858309</v>
      </c>
      <c r="P80" s="826">
        <v>0.19256602471479006</v>
      </c>
      <c r="Q80" s="826">
        <v>0.15518995573662073</v>
      </c>
      <c r="R80" s="826">
        <v>2.2174402850636699</v>
      </c>
      <c r="S80" s="824">
        <v>0.13266795330321654</v>
      </c>
      <c r="T80" s="824">
        <v>0.13266795330321654</v>
      </c>
      <c r="U80" s="824">
        <v>0.13266795330321654</v>
      </c>
      <c r="V80" s="824">
        <v>0.39800385990964959</v>
      </c>
      <c r="W80" s="824">
        <v>0.26400922707340091</v>
      </c>
      <c r="X80" s="826">
        <v>1.0162588104301145</v>
      </c>
      <c r="Y80" s="486">
        <v>1255969.6659966127</v>
      </c>
      <c r="Z80" s="486">
        <v>1235875.7957188531</v>
      </c>
      <c r="AA80" s="485" t="s">
        <v>1147</v>
      </c>
      <c r="AB80" s="485" t="s">
        <v>1145</v>
      </c>
      <c r="AC80" s="485"/>
    </row>
    <row r="81" spans="1:29" ht="18.75" customHeight="1">
      <c r="A81" s="484">
        <v>74</v>
      </c>
      <c r="B81" s="484" t="s">
        <v>985</v>
      </c>
      <c r="C81" s="484" t="s">
        <v>986</v>
      </c>
      <c r="D81" s="484" t="s">
        <v>1143</v>
      </c>
      <c r="E81" s="484" t="s">
        <v>1063</v>
      </c>
      <c r="F81" s="490" t="s">
        <v>1073</v>
      </c>
      <c r="G81" s="490" t="s">
        <v>1065</v>
      </c>
      <c r="H81" s="490" t="s">
        <v>968</v>
      </c>
      <c r="I81" s="489" t="s">
        <v>1066</v>
      </c>
      <c r="J81" s="489" t="s">
        <v>1073</v>
      </c>
      <c r="K81" s="488" t="s">
        <v>1081</v>
      </c>
      <c r="L81" s="484">
        <v>2016</v>
      </c>
      <c r="M81" s="823">
        <v>384.07231652920501</v>
      </c>
      <c r="N81" s="487">
        <v>37563940.657222301</v>
      </c>
      <c r="O81" s="487">
        <v>97804.343194222107</v>
      </c>
      <c r="P81" s="824">
        <v>413.22048092535744</v>
      </c>
      <c r="Q81" s="824">
        <v>276.57103073558193</v>
      </c>
      <c r="R81" s="824">
        <v>1078.0793842289152</v>
      </c>
      <c r="S81" s="824">
        <v>357.02014108757282</v>
      </c>
      <c r="T81" s="824">
        <v>357.02014108757282</v>
      </c>
      <c r="U81" s="824">
        <v>357.02014108757282</v>
      </c>
      <c r="V81" s="824">
        <v>1071.0604232627184</v>
      </c>
      <c r="W81" s="824">
        <v>710.47008076426994</v>
      </c>
      <c r="X81" s="824">
        <v>839.00673256190248</v>
      </c>
      <c r="Y81" s="486">
        <v>5200282.8462246144</v>
      </c>
      <c r="Z81" s="486">
        <v>6198.1419747915243</v>
      </c>
      <c r="AA81" s="485" t="s">
        <v>1148</v>
      </c>
      <c r="AB81" s="485" t="s">
        <v>1145</v>
      </c>
      <c r="AC81" s="485"/>
    </row>
    <row r="82" spans="1:29" ht="18.75" customHeight="1">
      <c r="A82" s="484">
        <v>75</v>
      </c>
      <c r="B82" s="484" t="s">
        <v>985</v>
      </c>
      <c r="C82" s="484" t="s">
        <v>986</v>
      </c>
      <c r="D82" s="484" t="s">
        <v>1143</v>
      </c>
      <c r="E82" s="484" t="s">
        <v>1063</v>
      </c>
      <c r="F82" s="490" t="s">
        <v>1075</v>
      </c>
      <c r="G82" s="490" t="s">
        <v>1065</v>
      </c>
      <c r="H82" s="490" t="s">
        <v>968</v>
      </c>
      <c r="I82" s="489" t="s">
        <v>1066</v>
      </c>
      <c r="J82" s="489" t="s">
        <v>1075</v>
      </c>
      <c r="K82" s="488" t="s">
        <v>1081</v>
      </c>
      <c r="L82" s="484">
        <v>2016</v>
      </c>
      <c r="M82" s="825">
        <v>8.8535433658374227E-2</v>
      </c>
      <c r="N82" s="487">
        <v>37563940.657222301</v>
      </c>
      <c r="O82" s="487">
        <v>424281432.92512399</v>
      </c>
      <c r="P82" s="826">
        <v>5.0587314525005783E-2</v>
      </c>
      <c r="Q82" s="826">
        <v>3.8256845487738847E-2</v>
      </c>
      <c r="R82" s="826">
        <v>0.21524945414033653</v>
      </c>
      <c r="S82" s="824">
        <v>7.8989669854043293E-2</v>
      </c>
      <c r="T82" s="824">
        <v>7.8989669854043293E-2</v>
      </c>
      <c r="U82" s="824">
        <v>7.8989669854043293E-2</v>
      </c>
      <c r="V82" s="824">
        <v>0.23696900956212988</v>
      </c>
      <c r="W82" s="824">
        <v>0.15718944300954615</v>
      </c>
      <c r="X82" s="826">
        <v>0.11237142463173895</v>
      </c>
      <c r="Y82" s="486">
        <v>5200282.8462246144</v>
      </c>
      <c r="Z82" s="486">
        <v>46277626.747786298</v>
      </c>
      <c r="AA82" s="485" t="s">
        <v>1149</v>
      </c>
      <c r="AB82" s="485" t="s">
        <v>1145</v>
      </c>
      <c r="AC82" s="485"/>
    </row>
    <row r="83" spans="1:29" ht="18.75" customHeight="1">
      <c r="A83" s="484">
        <v>76</v>
      </c>
      <c r="B83" s="484" t="s">
        <v>985</v>
      </c>
      <c r="C83" s="484" t="s">
        <v>986</v>
      </c>
      <c r="D83" s="484" t="s">
        <v>1143</v>
      </c>
      <c r="E83" s="484" t="s">
        <v>1063</v>
      </c>
      <c r="F83" s="490" t="s">
        <v>1077</v>
      </c>
      <c r="G83" s="490" t="s">
        <v>1065</v>
      </c>
      <c r="H83" s="490" t="s">
        <v>968</v>
      </c>
      <c r="I83" s="489" t="s">
        <v>1066</v>
      </c>
      <c r="J83" s="489" t="s">
        <v>1077</v>
      </c>
      <c r="K83" s="488" t="s">
        <v>1081</v>
      </c>
      <c r="L83" s="484">
        <v>2016</v>
      </c>
      <c r="M83" s="825">
        <v>1.3651677243040317</v>
      </c>
      <c r="N83" s="487">
        <v>615752.86917772784</v>
      </c>
      <c r="O83" s="487">
        <v>451045.580858309</v>
      </c>
      <c r="P83" s="826">
        <v>0.42989038019556641</v>
      </c>
      <c r="Q83" s="826">
        <v>0.35969682176192008</v>
      </c>
      <c r="R83" s="826">
        <v>2.4830415762243181</v>
      </c>
      <c r="S83" s="824">
        <v>0.20285631066596607</v>
      </c>
      <c r="T83" s="824">
        <v>0.20285631066596607</v>
      </c>
      <c r="U83" s="824">
        <v>0.20285631066596607</v>
      </c>
      <c r="V83" s="824">
        <v>0.60856893199789819</v>
      </c>
      <c r="W83" s="824">
        <v>0.40368405822527248</v>
      </c>
      <c r="X83" s="826">
        <v>1.0770013966110084</v>
      </c>
      <c r="Y83" s="486">
        <v>1331039.9580269461</v>
      </c>
      <c r="Z83" s="486">
        <v>1235875.7957188531</v>
      </c>
      <c r="AA83" s="485" t="s">
        <v>1150</v>
      </c>
      <c r="AB83" s="485" t="s">
        <v>1145</v>
      </c>
      <c r="AC83" s="485"/>
    </row>
    <row r="84" spans="1:29" ht="18.75" customHeight="1">
      <c r="A84" s="484">
        <v>77</v>
      </c>
      <c r="B84" s="484" t="s">
        <v>985</v>
      </c>
      <c r="C84" s="484" t="s">
        <v>986</v>
      </c>
      <c r="D84" s="484" t="s">
        <v>1151</v>
      </c>
      <c r="E84" s="484" t="s">
        <v>1152</v>
      </c>
      <c r="F84" s="490" t="s">
        <v>1153</v>
      </c>
      <c r="G84" s="490" t="s">
        <v>1154</v>
      </c>
      <c r="H84" s="490" t="s">
        <v>1155</v>
      </c>
      <c r="I84" s="489" t="s">
        <v>1156</v>
      </c>
      <c r="J84" s="489" t="s">
        <v>1157</v>
      </c>
      <c r="K84" s="488" t="s">
        <v>1081</v>
      </c>
      <c r="L84" s="484" t="s">
        <v>1158</v>
      </c>
      <c r="M84" s="823">
        <v>0</v>
      </c>
      <c r="N84" s="487" t="s">
        <v>994</v>
      </c>
      <c r="O84" s="487" t="s">
        <v>994</v>
      </c>
      <c r="P84" s="824">
        <v>19533.959284520995</v>
      </c>
      <c r="Q84" s="824">
        <v>18683.521073355674</v>
      </c>
      <c r="R84" s="824">
        <v>36845.376452039825</v>
      </c>
      <c r="S84" s="824" t="s">
        <v>1158</v>
      </c>
      <c r="T84" s="824" t="s">
        <v>1158</v>
      </c>
      <c r="U84" s="824" t="s">
        <v>1158</v>
      </c>
      <c r="V84" s="824" t="e">
        <v>#VALUE!</v>
      </c>
      <c r="W84" s="824" t="e">
        <v>#VALUE!</v>
      </c>
      <c r="X84" s="824">
        <v>37390.980254976144</v>
      </c>
      <c r="Y84" s="486" t="s">
        <v>995</v>
      </c>
      <c r="Z84" s="486" t="s">
        <v>995</v>
      </c>
      <c r="AA84" s="485" t="s">
        <v>1159</v>
      </c>
      <c r="AB84" s="485" t="s">
        <v>1160</v>
      </c>
      <c r="AC84" s="485"/>
    </row>
    <row r="85" spans="1:29" ht="18.75" customHeight="1">
      <c r="A85" s="484">
        <v>78</v>
      </c>
      <c r="B85" s="484" t="s">
        <v>985</v>
      </c>
      <c r="C85" s="484" t="s">
        <v>986</v>
      </c>
      <c r="D85" s="484" t="s">
        <v>1161</v>
      </c>
      <c r="E85" s="484" t="s">
        <v>1162</v>
      </c>
      <c r="F85" s="490" t="s">
        <v>1000</v>
      </c>
      <c r="G85" s="490" t="s">
        <v>1001</v>
      </c>
      <c r="H85" s="490" t="s">
        <v>968</v>
      </c>
      <c r="I85" s="489" t="s">
        <v>1163</v>
      </c>
      <c r="J85" s="489" t="s">
        <v>1164</v>
      </c>
      <c r="K85" s="488" t="s">
        <v>1165</v>
      </c>
      <c r="L85" s="484">
        <v>2016</v>
      </c>
      <c r="M85" s="823">
        <v>929.27079517745756</v>
      </c>
      <c r="N85" s="487" t="s">
        <v>994</v>
      </c>
      <c r="O85" s="487" t="s">
        <v>994</v>
      </c>
      <c r="P85" s="824">
        <v>491.41787051347353</v>
      </c>
      <c r="Q85" s="824">
        <v>219.03197422503709</v>
      </c>
      <c r="R85" s="824">
        <v>472.46451493200942</v>
      </c>
      <c r="S85" s="824">
        <v>2045.6073286677167</v>
      </c>
      <c r="T85" s="824">
        <v>2045.6073286677167</v>
      </c>
      <c r="U85" s="824">
        <v>2045.6073286677167</v>
      </c>
      <c r="V85" s="824">
        <v>6136.8219860031504</v>
      </c>
      <c r="W85" s="824">
        <v>4278.0271282258254</v>
      </c>
      <c r="X85" s="824">
        <v>2846.1503726502024</v>
      </c>
      <c r="Y85" s="486" t="s">
        <v>995</v>
      </c>
      <c r="Z85" s="486" t="s">
        <v>995</v>
      </c>
      <c r="AA85" s="485" t="s">
        <v>1082</v>
      </c>
      <c r="AB85" s="485" t="s">
        <v>1166</v>
      </c>
      <c r="AC85" s="498"/>
    </row>
    <row r="86" spans="1:29" ht="18.75" customHeight="1">
      <c r="A86" s="484">
        <v>79</v>
      </c>
      <c r="B86" s="484" t="s">
        <v>985</v>
      </c>
      <c r="C86" s="484" t="s">
        <v>986</v>
      </c>
      <c r="D86" s="484" t="s">
        <v>1161</v>
      </c>
      <c r="E86" s="484" t="s">
        <v>1162</v>
      </c>
      <c r="F86" s="490" t="s">
        <v>1005</v>
      </c>
      <c r="G86" s="490" t="s">
        <v>1001</v>
      </c>
      <c r="H86" s="490" t="s">
        <v>968</v>
      </c>
      <c r="I86" s="489" t="s">
        <v>1163</v>
      </c>
      <c r="J86" s="489" t="s">
        <v>1167</v>
      </c>
      <c r="K86" s="488" t="s">
        <v>1165</v>
      </c>
      <c r="L86" s="484">
        <v>2016</v>
      </c>
      <c r="M86" s="823">
        <v>740.14404512616363</v>
      </c>
      <c r="N86" s="487" t="s">
        <v>994</v>
      </c>
      <c r="O86" s="487" t="s">
        <v>994</v>
      </c>
      <c r="P86" s="824">
        <v>318.91910754790689</v>
      </c>
      <c r="Q86" s="824">
        <v>142.14357720803355</v>
      </c>
      <c r="R86" s="824">
        <v>375.30491883338573</v>
      </c>
      <c r="S86" s="824">
        <v>1879.2156065807903</v>
      </c>
      <c r="T86" s="824">
        <v>1879.2156065807903</v>
      </c>
      <c r="U86" s="824">
        <v>1879.2156065807903</v>
      </c>
      <c r="V86" s="824">
        <v>5637.646819742371</v>
      </c>
      <c r="W86" s="824">
        <v>3939.3452955908119</v>
      </c>
      <c r="X86" s="824">
        <v>2834.2529214697938</v>
      </c>
      <c r="Y86" s="486" t="s">
        <v>995</v>
      </c>
      <c r="Z86" s="486" t="s">
        <v>995</v>
      </c>
      <c r="AA86" s="485" t="s">
        <v>1082</v>
      </c>
      <c r="AB86" s="485" t="s">
        <v>1166</v>
      </c>
      <c r="AC86" s="485"/>
    </row>
    <row r="87" spans="1:29" ht="18.75" customHeight="1">
      <c r="A87" s="484">
        <v>80</v>
      </c>
      <c r="B87" s="484" t="s">
        <v>985</v>
      </c>
      <c r="C87" s="484" t="s">
        <v>986</v>
      </c>
      <c r="D87" s="484" t="s">
        <v>1161</v>
      </c>
      <c r="E87" s="484" t="s">
        <v>1162</v>
      </c>
      <c r="F87" s="490" t="s">
        <v>1006</v>
      </c>
      <c r="G87" s="490" t="s">
        <v>1001</v>
      </c>
      <c r="H87" s="490" t="s">
        <v>968</v>
      </c>
      <c r="I87" s="489" t="s">
        <v>1163</v>
      </c>
      <c r="J87" s="489" t="s">
        <v>1168</v>
      </c>
      <c r="K87" s="488" t="s">
        <v>1165</v>
      </c>
      <c r="L87" s="484">
        <v>2016</v>
      </c>
      <c r="M87" s="823">
        <v>3515134.8480861313</v>
      </c>
      <c r="N87" s="487" t="s">
        <v>994</v>
      </c>
      <c r="O87" s="487" t="s">
        <v>994</v>
      </c>
      <c r="P87" s="824">
        <v>1927660.3566466852</v>
      </c>
      <c r="Q87" s="824">
        <v>1278348.796947879</v>
      </c>
      <c r="R87" s="824">
        <v>2351367.3470587926</v>
      </c>
      <c r="S87" s="824">
        <v>4163975.6682137055</v>
      </c>
      <c r="T87" s="824">
        <v>4163975.6682137055</v>
      </c>
      <c r="U87" s="824">
        <v>4163975.6682137055</v>
      </c>
      <c r="V87" s="824">
        <v>12491927.004641116</v>
      </c>
      <c r="W87" s="824">
        <v>8605499.4289531801</v>
      </c>
      <c r="X87" s="824">
        <v>15494532.942354519</v>
      </c>
      <c r="Y87" s="486" t="s">
        <v>995</v>
      </c>
      <c r="Z87" s="486" t="s">
        <v>995</v>
      </c>
      <c r="AA87" s="485" t="s">
        <v>1082</v>
      </c>
      <c r="AB87" s="485" t="s">
        <v>1166</v>
      </c>
      <c r="AC87" s="485"/>
    </row>
    <row r="88" spans="1:29" ht="18.75" customHeight="1">
      <c r="A88" s="484">
        <v>81</v>
      </c>
      <c r="B88" s="484" t="s">
        <v>985</v>
      </c>
      <c r="C88" s="484" t="s">
        <v>986</v>
      </c>
      <c r="D88" s="484" t="s">
        <v>1161</v>
      </c>
      <c r="E88" s="484" t="s">
        <v>1162</v>
      </c>
      <c r="F88" s="490" t="s">
        <v>1007</v>
      </c>
      <c r="G88" s="490" t="s">
        <v>1001</v>
      </c>
      <c r="H88" s="490" t="s">
        <v>968</v>
      </c>
      <c r="I88" s="489" t="s">
        <v>1163</v>
      </c>
      <c r="J88" s="489" t="s">
        <v>1169</v>
      </c>
      <c r="K88" s="488" t="s">
        <v>1165</v>
      </c>
      <c r="L88" s="484">
        <v>2016</v>
      </c>
      <c r="M88" s="823">
        <v>2625359.8568609315</v>
      </c>
      <c r="N88" s="487" t="s">
        <v>994</v>
      </c>
      <c r="O88" s="487" t="s">
        <v>994</v>
      </c>
      <c r="P88" s="824">
        <v>1313895.7263670263</v>
      </c>
      <c r="Q88" s="824">
        <v>825918.07880019047</v>
      </c>
      <c r="R88" s="824">
        <v>1668325.764766549</v>
      </c>
      <c r="S88" s="824">
        <v>3152613.0685632708</v>
      </c>
      <c r="T88" s="824">
        <v>3152613.0685632708</v>
      </c>
      <c r="U88" s="824">
        <v>3152613.0685632708</v>
      </c>
      <c r="V88" s="824">
        <v>9457839.2056898121</v>
      </c>
      <c r="W88" s="824">
        <v>6519380.6454094453</v>
      </c>
      <c r="X88" s="824">
        <v>15890094.776891826</v>
      </c>
      <c r="Y88" s="486" t="s">
        <v>995</v>
      </c>
      <c r="Z88" s="486" t="s">
        <v>995</v>
      </c>
      <c r="AA88" s="485" t="s">
        <v>1082</v>
      </c>
      <c r="AB88" s="485" t="s">
        <v>1166</v>
      </c>
      <c r="AC88" s="485"/>
    </row>
    <row r="89" spans="1:29" ht="18.75" customHeight="1">
      <c r="A89" s="484">
        <v>82</v>
      </c>
      <c r="B89" s="484" t="s">
        <v>985</v>
      </c>
      <c r="C89" s="484" t="s">
        <v>986</v>
      </c>
      <c r="D89" s="484" t="s">
        <v>1161</v>
      </c>
      <c r="E89" s="484" t="s">
        <v>1162</v>
      </c>
      <c r="F89" s="490" t="s">
        <v>1008</v>
      </c>
      <c r="G89" s="490" t="s">
        <v>1001</v>
      </c>
      <c r="H89" s="490" t="s">
        <v>968</v>
      </c>
      <c r="I89" s="489" t="s">
        <v>1163</v>
      </c>
      <c r="J89" s="489" t="s">
        <v>1170</v>
      </c>
      <c r="K89" s="488" t="s">
        <v>1165</v>
      </c>
      <c r="L89" s="484">
        <v>2016</v>
      </c>
      <c r="M89" s="823">
        <v>40721.875985925755</v>
      </c>
      <c r="N89" s="487" t="s">
        <v>994</v>
      </c>
      <c r="O89" s="487" t="s">
        <v>994</v>
      </c>
      <c r="P89" s="824">
        <v>36224.955523545803</v>
      </c>
      <c r="Q89" s="824">
        <v>10484.676605899693</v>
      </c>
      <c r="R89" s="824">
        <v>24608.467718135285</v>
      </c>
      <c r="S89" s="824">
        <v>50326.729533214566</v>
      </c>
      <c r="T89" s="824">
        <v>50326.729533214566</v>
      </c>
      <c r="U89" s="824">
        <v>50326.729533214566</v>
      </c>
      <c r="V89" s="824">
        <v>150980.1885996437</v>
      </c>
      <c r="W89" s="824">
        <v>108814.75295155354</v>
      </c>
      <c r="X89" s="824">
        <v>374173.23724446661</v>
      </c>
      <c r="Y89" s="486" t="s">
        <v>995</v>
      </c>
      <c r="Z89" s="486" t="s">
        <v>995</v>
      </c>
      <c r="AA89" s="485" t="s">
        <v>1082</v>
      </c>
      <c r="AB89" s="485" t="s">
        <v>1166</v>
      </c>
      <c r="AC89" s="485"/>
    </row>
    <row r="90" spans="1:29" ht="18.75" customHeight="1">
      <c r="A90" s="484">
        <v>83</v>
      </c>
      <c r="B90" s="484" t="s">
        <v>985</v>
      </c>
      <c r="C90" s="484" t="s">
        <v>986</v>
      </c>
      <c r="D90" s="484" t="s">
        <v>1161</v>
      </c>
      <c r="E90" s="484" t="s">
        <v>1162</v>
      </c>
      <c r="F90" s="490" t="s">
        <v>1009</v>
      </c>
      <c r="G90" s="490" t="s">
        <v>1001</v>
      </c>
      <c r="H90" s="490" t="s">
        <v>968</v>
      </c>
      <c r="I90" s="489" t="s">
        <v>1163</v>
      </c>
      <c r="J90" s="489" t="s">
        <v>1171</v>
      </c>
      <c r="K90" s="488" t="s">
        <v>1165</v>
      </c>
      <c r="L90" s="484">
        <v>2016</v>
      </c>
      <c r="M90" s="823">
        <v>25268.224979089129</v>
      </c>
      <c r="N90" s="487" t="s">
        <v>994</v>
      </c>
      <c r="O90" s="487" t="s">
        <v>994</v>
      </c>
      <c r="P90" s="824">
        <v>24024.130264612726</v>
      </c>
      <c r="Q90" s="824">
        <v>5865.7814489256234</v>
      </c>
      <c r="R90" s="824">
        <v>13695.783272898685</v>
      </c>
      <c r="S90" s="824">
        <v>39616.648223838019</v>
      </c>
      <c r="T90" s="824">
        <v>39616.648223838019</v>
      </c>
      <c r="U90" s="824">
        <v>39616.648223838019</v>
      </c>
      <c r="V90" s="824">
        <v>118849.94467151407</v>
      </c>
      <c r="W90" s="824">
        <v>84029.650585349285</v>
      </c>
      <c r="X90" s="824">
        <v>387621.69002220535</v>
      </c>
      <c r="Y90" s="486" t="s">
        <v>995</v>
      </c>
      <c r="Z90" s="486" t="s">
        <v>995</v>
      </c>
      <c r="AA90" s="485" t="s">
        <v>1082</v>
      </c>
      <c r="AB90" s="485" t="s">
        <v>1166</v>
      </c>
      <c r="AC90" s="485"/>
    </row>
    <row r="91" spans="1:29" ht="18.75" customHeight="1">
      <c r="A91" s="484">
        <v>84</v>
      </c>
      <c r="B91" s="484" t="s">
        <v>985</v>
      </c>
      <c r="C91" s="484" t="s">
        <v>986</v>
      </c>
      <c r="D91" s="484" t="s">
        <v>1161</v>
      </c>
      <c r="E91" s="484" t="s">
        <v>1162</v>
      </c>
      <c r="F91" s="490" t="s">
        <v>1010</v>
      </c>
      <c r="G91" s="490" t="s">
        <v>1001</v>
      </c>
      <c r="H91" s="490" t="s">
        <v>968</v>
      </c>
      <c r="I91" s="489" t="s">
        <v>1163</v>
      </c>
      <c r="J91" s="489" t="s">
        <v>1172</v>
      </c>
      <c r="K91" s="488" t="s">
        <v>1165</v>
      </c>
      <c r="L91" s="484">
        <v>2016</v>
      </c>
      <c r="M91" s="823">
        <v>12212.805663345569</v>
      </c>
      <c r="N91" s="487" t="s">
        <v>994</v>
      </c>
      <c r="O91" s="487" t="s">
        <v>994</v>
      </c>
      <c r="P91" s="824">
        <v>6857.0031069133192</v>
      </c>
      <c r="Q91" s="824">
        <v>2944.1001747175792</v>
      </c>
      <c r="R91" s="824">
        <v>1509.0301823954469</v>
      </c>
      <c r="S91" s="824">
        <v>7306.4063528787756</v>
      </c>
      <c r="T91" s="824">
        <v>7306.4063528787756</v>
      </c>
      <c r="U91" s="824">
        <v>7306.4063528787756</v>
      </c>
      <c r="V91" s="824">
        <v>21919.219058636329</v>
      </c>
      <c r="W91" s="824">
        <v>15280.060913652613</v>
      </c>
      <c r="X91" s="824">
        <v>4054.2623407428978</v>
      </c>
      <c r="Y91" s="486" t="s">
        <v>995</v>
      </c>
      <c r="Z91" s="486" t="s">
        <v>995</v>
      </c>
      <c r="AA91" s="485" t="s">
        <v>1173</v>
      </c>
      <c r="AB91" s="485" t="s">
        <v>1166</v>
      </c>
      <c r="AC91" s="485"/>
    </row>
    <row r="92" spans="1:29" ht="18.75" customHeight="1">
      <c r="A92" s="484">
        <v>85</v>
      </c>
      <c r="B92" s="484" t="s">
        <v>985</v>
      </c>
      <c r="C92" s="484" t="s">
        <v>986</v>
      </c>
      <c r="D92" s="484" t="s">
        <v>1161</v>
      </c>
      <c r="E92" s="484" t="s">
        <v>1162</v>
      </c>
      <c r="F92" s="490" t="s">
        <v>1013</v>
      </c>
      <c r="G92" s="490" t="s">
        <v>1001</v>
      </c>
      <c r="H92" s="490" t="s">
        <v>968</v>
      </c>
      <c r="I92" s="489" t="s">
        <v>1163</v>
      </c>
      <c r="J92" s="489" t="s">
        <v>1174</v>
      </c>
      <c r="K92" s="488" t="s">
        <v>1165</v>
      </c>
      <c r="L92" s="484">
        <v>2016</v>
      </c>
      <c r="M92" s="823">
        <v>9561.106466467374</v>
      </c>
      <c r="N92" s="487" t="s">
        <v>994</v>
      </c>
      <c r="O92" s="487" t="s">
        <v>994</v>
      </c>
      <c r="P92" s="824">
        <v>4339.8669662691809</v>
      </c>
      <c r="Q92" s="824">
        <v>1803.5670695796587</v>
      </c>
      <c r="R92" s="824">
        <v>1186.4867226503263</v>
      </c>
      <c r="S92" s="824">
        <v>5396.1399023338818</v>
      </c>
      <c r="T92" s="824">
        <v>5396.1399023338818</v>
      </c>
      <c r="U92" s="824">
        <v>5396.1399023338818</v>
      </c>
      <c r="V92" s="824">
        <v>16188.419707001645</v>
      </c>
      <c r="W92" s="824">
        <v>11311.771924503202</v>
      </c>
      <c r="X92" s="824">
        <v>3637.1866576251391</v>
      </c>
      <c r="Y92" s="486" t="s">
        <v>995</v>
      </c>
      <c r="Z92" s="486" t="s">
        <v>995</v>
      </c>
      <c r="AA92" s="485" t="s">
        <v>1173</v>
      </c>
      <c r="AB92" s="485" t="s">
        <v>1166</v>
      </c>
      <c r="AC92" s="485"/>
    </row>
    <row r="93" spans="1:29" ht="18.75" customHeight="1">
      <c r="A93" s="484">
        <v>86</v>
      </c>
      <c r="B93" s="484" t="s">
        <v>985</v>
      </c>
      <c r="C93" s="484" t="s">
        <v>986</v>
      </c>
      <c r="D93" s="484" t="s">
        <v>1161</v>
      </c>
      <c r="E93" s="484" t="s">
        <v>1162</v>
      </c>
      <c r="F93" s="490" t="s">
        <v>1014</v>
      </c>
      <c r="G93" s="490" t="s">
        <v>1001</v>
      </c>
      <c r="H93" s="490" t="s">
        <v>968</v>
      </c>
      <c r="I93" s="489" t="s">
        <v>1163</v>
      </c>
      <c r="J93" s="489" t="s">
        <v>1175</v>
      </c>
      <c r="K93" s="488" t="s">
        <v>1165</v>
      </c>
      <c r="L93" s="484">
        <v>2016</v>
      </c>
      <c r="M93" s="823">
        <v>46049141.974360339</v>
      </c>
      <c r="N93" s="487" t="s">
        <v>994</v>
      </c>
      <c r="O93" s="487" t="s">
        <v>994</v>
      </c>
      <c r="P93" s="824">
        <v>25237042.285346583</v>
      </c>
      <c r="Q93" s="824">
        <v>16714964.959891923</v>
      </c>
      <c r="R93" s="824">
        <v>14804156.202913992</v>
      </c>
      <c r="S93" s="824">
        <v>34835587.671396069</v>
      </c>
      <c r="T93" s="824">
        <v>34835587.671396069</v>
      </c>
      <c r="U93" s="824">
        <v>34835587.671396069</v>
      </c>
      <c r="V93" s="824">
        <v>104506763.0141882</v>
      </c>
      <c r="W93" s="824">
        <v>71993127.169748381</v>
      </c>
      <c r="X93" s="824">
        <v>20109152.663810141</v>
      </c>
      <c r="Y93" s="486" t="s">
        <v>995</v>
      </c>
      <c r="Z93" s="486" t="s">
        <v>995</v>
      </c>
      <c r="AA93" s="485" t="s">
        <v>1173</v>
      </c>
      <c r="AB93" s="485" t="s">
        <v>1166</v>
      </c>
      <c r="AC93" s="485"/>
    </row>
    <row r="94" spans="1:29" ht="18.75" customHeight="1">
      <c r="A94" s="484">
        <v>87</v>
      </c>
      <c r="B94" s="484" t="s">
        <v>985</v>
      </c>
      <c r="C94" s="484" t="s">
        <v>986</v>
      </c>
      <c r="D94" s="484" t="s">
        <v>1161</v>
      </c>
      <c r="E94" s="484" t="s">
        <v>1162</v>
      </c>
      <c r="F94" s="490" t="s">
        <v>1015</v>
      </c>
      <c r="G94" s="490" t="s">
        <v>1001</v>
      </c>
      <c r="H94" s="490" t="s">
        <v>968</v>
      </c>
      <c r="I94" s="489" t="s">
        <v>1163</v>
      </c>
      <c r="J94" s="489" t="s">
        <v>1176</v>
      </c>
      <c r="K94" s="488" t="s">
        <v>1165</v>
      </c>
      <c r="L94" s="484">
        <v>2016</v>
      </c>
      <c r="M94" s="823">
        <v>33164544.343028806</v>
      </c>
      <c r="N94" s="487" t="s">
        <v>994</v>
      </c>
      <c r="O94" s="487" t="s">
        <v>994</v>
      </c>
      <c r="P94" s="824">
        <v>16538879.534338683</v>
      </c>
      <c r="Q94" s="824">
        <v>10317369.910208927</v>
      </c>
      <c r="R94" s="824">
        <v>10036625.689705309</v>
      </c>
      <c r="S94" s="824">
        <v>21815455.059507266</v>
      </c>
      <c r="T94" s="824">
        <v>21815455.059507266</v>
      </c>
      <c r="U94" s="824">
        <v>21815455.059507266</v>
      </c>
      <c r="V94" s="824">
        <v>65446365.178521797</v>
      </c>
      <c r="W94" s="824">
        <v>45112816.699248835</v>
      </c>
      <c r="X94" s="824">
        <v>18847541.687370114</v>
      </c>
      <c r="Y94" s="486" t="s">
        <v>995</v>
      </c>
      <c r="Z94" s="486" t="s">
        <v>995</v>
      </c>
      <c r="AA94" s="485" t="s">
        <v>1173</v>
      </c>
      <c r="AB94" s="485" t="s">
        <v>1166</v>
      </c>
      <c r="AC94" s="485"/>
    </row>
    <row r="95" spans="1:29" ht="18.75" customHeight="1">
      <c r="A95" s="484">
        <v>88</v>
      </c>
      <c r="B95" s="484" t="s">
        <v>985</v>
      </c>
      <c r="C95" s="484" t="s">
        <v>986</v>
      </c>
      <c r="D95" s="484" t="s">
        <v>1161</v>
      </c>
      <c r="E95" s="484" t="s">
        <v>1162</v>
      </c>
      <c r="F95" s="490" t="s">
        <v>1016</v>
      </c>
      <c r="G95" s="490" t="s">
        <v>1001</v>
      </c>
      <c r="H95" s="490" t="s">
        <v>968</v>
      </c>
      <c r="I95" s="489" t="s">
        <v>1163</v>
      </c>
      <c r="J95" s="489" t="s">
        <v>1177</v>
      </c>
      <c r="K95" s="488" t="s">
        <v>1165</v>
      </c>
      <c r="L95" s="484">
        <v>2016</v>
      </c>
      <c r="M95" s="823">
        <v>560964.19382027769</v>
      </c>
      <c r="N95" s="487" t="s">
        <v>994</v>
      </c>
      <c r="O95" s="487" t="s">
        <v>994</v>
      </c>
      <c r="P95" s="824">
        <v>525635.65437626862</v>
      </c>
      <c r="Q95" s="824">
        <v>167769.44976755657</v>
      </c>
      <c r="R95" s="824">
        <v>345872.63006051077</v>
      </c>
      <c r="S95" s="824">
        <v>195129.59938028964</v>
      </c>
      <c r="T95" s="824">
        <v>195129.59938028964</v>
      </c>
      <c r="U95" s="824">
        <v>195129.59938028964</v>
      </c>
      <c r="V95" s="824">
        <v>585388.79814086889</v>
      </c>
      <c r="W95" s="824">
        <v>421902.62206663995</v>
      </c>
      <c r="X95" s="824">
        <v>463920.78687777388</v>
      </c>
      <c r="Y95" s="486" t="s">
        <v>995</v>
      </c>
      <c r="Z95" s="486" t="s">
        <v>995</v>
      </c>
      <c r="AA95" s="485" t="s">
        <v>1173</v>
      </c>
      <c r="AB95" s="485" t="s">
        <v>1166</v>
      </c>
      <c r="AC95" s="485"/>
    </row>
    <row r="96" spans="1:29" ht="18.75" customHeight="1">
      <c r="A96" s="484">
        <v>89</v>
      </c>
      <c r="B96" s="484" t="s">
        <v>985</v>
      </c>
      <c r="C96" s="484" t="s">
        <v>986</v>
      </c>
      <c r="D96" s="484" t="s">
        <v>1161</v>
      </c>
      <c r="E96" s="484" t="s">
        <v>1162</v>
      </c>
      <c r="F96" s="490" t="s">
        <v>1017</v>
      </c>
      <c r="G96" s="490" t="s">
        <v>1001</v>
      </c>
      <c r="H96" s="490" t="s">
        <v>968</v>
      </c>
      <c r="I96" s="489" t="s">
        <v>1163</v>
      </c>
      <c r="J96" s="489" t="s">
        <v>1178</v>
      </c>
      <c r="K96" s="488" t="s">
        <v>1165</v>
      </c>
      <c r="L96" s="484">
        <v>2016</v>
      </c>
      <c r="M96" s="823">
        <v>371293.58326287294</v>
      </c>
      <c r="N96" s="487" t="s">
        <v>994</v>
      </c>
      <c r="O96" s="487" t="s">
        <v>994</v>
      </c>
      <c r="P96" s="824">
        <v>349439.29916558019</v>
      </c>
      <c r="Q96" s="824">
        <v>99843.581838185171</v>
      </c>
      <c r="R96" s="824">
        <v>200510.07670012189</v>
      </c>
      <c r="S96" s="824">
        <v>120004.51135934365</v>
      </c>
      <c r="T96" s="824">
        <v>120004.51135934365</v>
      </c>
      <c r="U96" s="824">
        <v>120004.51135934365</v>
      </c>
      <c r="V96" s="824">
        <v>360013.53407803096</v>
      </c>
      <c r="W96" s="824">
        <v>254537.86754538078</v>
      </c>
      <c r="X96" s="824">
        <v>447181.16146424651</v>
      </c>
      <c r="Y96" s="486" t="s">
        <v>995</v>
      </c>
      <c r="Z96" s="486" t="s">
        <v>995</v>
      </c>
      <c r="AA96" s="485" t="s">
        <v>1173</v>
      </c>
      <c r="AB96" s="485" t="s">
        <v>1166</v>
      </c>
      <c r="AC96" s="485"/>
    </row>
    <row r="97" spans="1:29" ht="18.75" customHeight="1">
      <c r="A97" s="484">
        <v>90</v>
      </c>
      <c r="B97" s="484" t="s">
        <v>985</v>
      </c>
      <c r="C97" s="484" t="s">
        <v>986</v>
      </c>
      <c r="D97" s="484" t="s">
        <v>1161</v>
      </c>
      <c r="E97" s="484" t="s">
        <v>1179</v>
      </c>
      <c r="F97" s="490" t="s">
        <v>1000</v>
      </c>
      <c r="G97" s="490" t="s">
        <v>1001</v>
      </c>
      <c r="H97" s="490" t="s">
        <v>968</v>
      </c>
      <c r="I97" s="489" t="s">
        <v>1163</v>
      </c>
      <c r="J97" s="489" t="s">
        <v>1180</v>
      </c>
      <c r="K97" s="488" t="s">
        <v>1165</v>
      </c>
      <c r="L97" s="484">
        <v>2016</v>
      </c>
      <c r="M97" s="823">
        <v>179.66311391256937</v>
      </c>
      <c r="N97" s="487" t="s">
        <v>994</v>
      </c>
      <c r="O97" s="487" t="s">
        <v>994</v>
      </c>
      <c r="P97" s="824">
        <v>3.2145977314806737</v>
      </c>
      <c r="Q97" s="824">
        <v>0</v>
      </c>
      <c r="R97" s="824">
        <v>612.81753846723996</v>
      </c>
      <c r="S97" s="824">
        <v>174.5346430703155</v>
      </c>
      <c r="T97" s="824">
        <v>174.5346430703155</v>
      </c>
      <c r="U97" s="824">
        <v>174.5346430703155</v>
      </c>
      <c r="V97" s="824">
        <v>523.60392921094649</v>
      </c>
      <c r="W97" s="824">
        <v>365.00843901273851</v>
      </c>
      <c r="X97" s="824">
        <v>473.23329797333901</v>
      </c>
      <c r="Y97" s="486" t="s">
        <v>995</v>
      </c>
      <c r="Z97" s="486" t="s">
        <v>995</v>
      </c>
      <c r="AA97" s="485" t="s">
        <v>1181</v>
      </c>
      <c r="AB97" s="485"/>
      <c r="AC97" s="485" t="s">
        <v>1182</v>
      </c>
    </row>
    <row r="98" spans="1:29" ht="18.75" customHeight="1">
      <c r="A98" s="484">
        <v>91</v>
      </c>
      <c r="B98" s="484" t="s">
        <v>985</v>
      </c>
      <c r="C98" s="484" t="s">
        <v>986</v>
      </c>
      <c r="D98" s="484" t="s">
        <v>1161</v>
      </c>
      <c r="E98" s="484" t="s">
        <v>1179</v>
      </c>
      <c r="F98" s="490" t="s">
        <v>1005</v>
      </c>
      <c r="G98" s="490" t="s">
        <v>1001</v>
      </c>
      <c r="H98" s="490" t="s">
        <v>968</v>
      </c>
      <c r="I98" s="489" t="s">
        <v>1163</v>
      </c>
      <c r="J98" s="489" t="s">
        <v>1183</v>
      </c>
      <c r="K98" s="488" t="s">
        <v>1165</v>
      </c>
      <c r="L98" s="484">
        <v>2016</v>
      </c>
      <c r="M98" s="823">
        <v>136.97370720813427</v>
      </c>
      <c r="N98" s="487" t="s">
        <v>994</v>
      </c>
      <c r="O98" s="487" t="s">
        <v>994</v>
      </c>
      <c r="P98" s="824">
        <v>2.4964126509166493</v>
      </c>
      <c r="Q98" s="824">
        <v>0</v>
      </c>
      <c r="R98" s="824">
        <v>466.77326383783571</v>
      </c>
      <c r="S98" s="824">
        <v>160.33782268484541</v>
      </c>
      <c r="T98" s="824">
        <v>160.33782268484541</v>
      </c>
      <c r="U98" s="824">
        <v>160.33782268484541</v>
      </c>
      <c r="V98" s="824">
        <v>481.01346805453625</v>
      </c>
      <c r="W98" s="824">
        <v>336.11153786023272</v>
      </c>
      <c r="X98" s="824">
        <v>317.6270806321217</v>
      </c>
      <c r="Y98" s="486" t="s">
        <v>995</v>
      </c>
      <c r="Z98" s="486" t="s">
        <v>995</v>
      </c>
      <c r="AA98" s="485" t="s">
        <v>1181</v>
      </c>
      <c r="AB98" s="485"/>
      <c r="AC98" s="485" t="s">
        <v>1182</v>
      </c>
    </row>
    <row r="99" spans="1:29" ht="18.75" customHeight="1">
      <c r="A99" s="484">
        <v>92</v>
      </c>
      <c r="B99" s="484" t="s">
        <v>985</v>
      </c>
      <c r="C99" s="484" t="s">
        <v>986</v>
      </c>
      <c r="D99" s="484" t="s">
        <v>1161</v>
      </c>
      <c r="E99" s="484" t="s">
        <v>1179</v>
      </c>
      <c r="F99" s="490" t="s">
        <v>1006</v>
      </c>
      <c r="G99" s="490" t="s">
        <v>1001</v>
      </c>
      <c r="H99" s="490" t="s">
        <v>968</v>
      </c>
      <c r="I99" s="489" t="s">
        <v>1163</v>
      </c>
      <c r="J99" s="489" t="s">
        <v>1184</v>
      </c>
      <c r="K99" s="488" t="s">
        <v>1165</v>
      </c>
      <c r="L99" s="484">
        <v>2016</v>
      </c>
      <c r="M99" s="823">
        <v>964484.10927345138</v>
      </c>
      <c r="N99" s="487" t="s">
        <v>994</v>
      </c>
      <c r="O99" s="487" t="s">
        <v>994</v>
      </c>
      <c r="P99" s="824">
        <v>75731.238205650938</v>
      </c>
      <c r="Q99" s="824">
        <v>0</v>
      </c>
      <c r="R99" s="824">
        <v>1505805.4656984</v>
      </c>
      <c r="S99" s="824">
        <v>355277.37744197831</v>
      </c>
      <c r="T99" s="824">
        <v>355277.37744197831</v>
      </c>
      <c r="U99" s="824">
        <v>355277.37744197831</v>
      </c>
      <c r="V99" s="824">
        <v>1065832.1323259349</v>
      </c>
      <c r="W99" s="824">
        <v>734235.62294937449</v>
      </c>
      <c r="X99" s="824">
        <v>894302.95553985599</v>
      </c>
      <c r="Y99" s="486" t="s">
        <v>995</v>
      </c>
      <c r="Z99" s="486" t="s">
        <v>995</v>
      </c>
      <c r="AA99" s="485" t="s">
        <v>1181</v>
      </c>
      <c r="AB99" s="485"/>
      <c r="AC99" s="485" t="s">
        <v>1182</v>
      </c>
    </row>
    <row r="100" spans="1:29" ht="18.75" customHeight="1">
      <c r="A100" s="484">
        <v>93</v>
      </c>
      <c r="B100" s="484" t="s">
        <v>985</v>
      </c>
      <c r="C100" s="484" t="s">
        <v>986</v>
      </c>
      <c r="D100" s="484" t="s">
        <v>1161</v>
      </c>
      <c r="E100" s="484" t="s">
        <v>1179</v>
      </c>
      <c r="F100" s="490" t="s">
        <v>1007</v>
      </c>
      <c r="G100" s="490" t="s">
        <v>1001</v>
      </c>
      <c r="H100" s="490" t="s">
        <v>968</v>
      </c>
      <c r="I100" s="489" t="s">
        <v>1163</v>
      </c>
      <c r="J100" s="489" t="s">
        <v>1185</v>
      </c>
      <c r="K100" s="488" t="s">
        <v>1165</v>
      </c>
      <c r="L100" s="484">
        <v>2016</v>
      </c>
      <c r="M100" s="823">
        <v>695274.22810670407</v>
      </c>
      <c r="N100" s="487" t="s">
        <v>994</v>
      </c>
      <c r="O100" s="487" t="s">
        <v>994</v>
      </c>
      <c r="P100" s="824">
        <v>51888.273623867812</v>
      </c>
      <c r="Q100" s="824">
        <v>0</v>
      </c>
      <c r="R100" s="824">
        <v>996265.9581351541</v>
      </c>
      <c r="S100" s="824">
        <v>268986.22670601611</v>
      </c>
      <c r="T100" s="824">
        <v>268986.22670601611</v>
      </c>
      <c r="U100" s="824">
        <v>268986.22670601611</v>
      </c>
      <c r="V100" s="824">
        <v>806958.68011804833</v>
      </c>
      <c r="W100" s="824">
        <v>556244.47470430972</v>
      </c>
      <c r="X100" s="824">
        <v>597915.3801314208</v>
      </c>
      <c r="Y100" s="486" t="s">
        <v>995</v>
      </c>
      <c r="Z100" s="486" t="s">
        <v>995</v>
      </c>
      <c r="AA100" s="485" t="s">
        <v>1181</v>
      </c>
      <c r="AB100" s="485"/>
      <c r="AC100" s="485" t="s">
        <v>1182</v>
      </c>
    </row>
    <row r="101" spans="1:29" ht="18.75" customHeight="1">
      <c r="A101" s="484">
        <v>94</v>
      </c>
      <c r="B101" s="484" t="s">
        <v>985</v>
      </c>
      <c r="C101" s="484" t="s">
        <v>986</v>
      </c>
      <c r="D101" s="484" t="s">
        <v>1161</v>
      </c>
      <c r="E101" s="484" t="s">
        <v>1179</v>
      </c>
      <c r="F101" s="490" t="s">
        <v>1008</v>
      </c>
      <c r="G101" s="490" t="s">
        <v>1001</v>
      </c>
      <c r="H101" s="490" t="s">
        <v>968</v>
      </c>
      <c r="I101" s="489" t="s">
        <v>1163</v>
      </c>
      <c r="J101" s="489" t="s">
        <v>1186</v>
      </c>
      <c r="K101" s="488" t="s">
        <v>1165</v>
      </c>
      <c r="L101" s="484">
        <v>2016</v>
      </c>
      <c r="M101" s="823">
        <v>8792.2766963747308</v>
      </c>
      <c r="N101" s="487" t="s">
        <v>994</v>
      </c>
      <c r="O101" s="487" t="s">
        <v>994</v>
      </c>
      <c r="P101" s="824">
        <v>340.85037339717735</v>
      </c>
      <c r="Q101" s="824">
        <v>0</v>
      </c>
      <c r="R101" s="824">
        <v>47831.746023068205</v>
      </c>
      <c r="S101" s="824">
        <v>4293.9608461887365</v>
      </c>
      <c r="T101" s="824">
        <v>4293.9608461887365</v>
      </c>
      <c r="U101" s="824">
        <v>4293.9608461887365</v>
      </c>
      <c r="V101" s="824">
        <v>12881.882538566209</v>
      </c>
      <c r="W101" s="824">
        <v>9284.2569544142261</v>
      </c>
      <c r="X101" s="824">
        <v>24000.382445871961</v>
      </c>
      <c r="Y101" s="486" t="s">
        <v>995</v>
      </c>
      <c r="Z101" s="486" t="s">
        <v>995</v>
      </c>
      <c r="AA101" s="485" t="s">
        <v>1181</v>
      </c>
      <c r="AB101" s="485"/>
      <c r="AC101" s="485" t="s">
        <v>1182</v>
      </c>
    </row>
    <row r="102" spans="1:29" ht="18.75" customHeight="1">
      <c r="A102" s="484">
        <v>95</v>
      </c>
      <c r="B102" s="484" t="s">
        <v>985</v>
      </c>
      <c r="C102" s="484" t="s">
        <v>986</v>
      </c>
      <c r="D102" s="484" t="s">
        <v>1161</v>
      </c>
      <c r="E102" s="484" t="s">
        <v>1179</v>
      </c>
      <c r="F102" s="490" t="s">
        <v>1009</v>
      </c>
      <c r="G102" s="490" t="s">
        <v>1001</v>
      </c>
      <c r="H102" s="490" t="s">
        <v>968</v>
      </c>
      <c r="I102" s="489" t="s">
        <v>1163</v>
      </c>
      <c r="J102" s="489" t="s">
        <v>1187</v>
      </c>
      <c r="K102" s="488" t="s">
        <v>1165</v>
      </c>
      <c r="L102" s="484">
        <v>2016</v>
      </c>
      <c r="M102" s="823">
        <v>5543.2893819244573</v>
      </c>
      <c r="N102" s="487" t="s">
        <v>994</v>
      </c>
      <c r="O102" s="487" t="s">
        <v>994</v>
      </c>
      <c r="P102" s="824">
        <v>246.90576695026056</v>
      </c>
      <c r="Q102" s="824">
        <v>0</v>
      </c>
      <c r="R102" s="824">
        <v>29610.004248709818</v>
      </c>
      <c r="S102" s="824">
        <v>3380.1587726482899</v>
      </c>
      <c r="T102" s="824">
        <v>3380.1587726482899</v>
      </c>
      <c r="U102" s="824">
        <v>3380.1587726482899</v>
      </c>
      <c r="V102" s="824">
        <v>10140.476317944869</v>
      </c>
      <c r="W102" s="824">
        <v>7169.5505128000968</v>
      </c>
      <c r="X102" s="824">
        <v>16742.97437430673</v>
      </c>
      <c r="Y102" s="486" t="s">
        <v>995</v>
      </c>
      <c r="Z102" s="486" t="s">
        <v>995</v>
      </c>
      <c r="AA102" s="485" t="s">
        <v>1181</v>
      </c>
      <c r="AB102" s="485"/>
      <c r="AC102" s="485" t="s">
        <v>1182</v>
      </c>
    </row>
    <row r="103" spans="1:29" ht="18.75" customHeight="1">
      <c r="A103" s="484">
        <v>96</v>
      </c>
      <c r="B103" s="484" t="s">
        <v>985</v>
      </c>
      <c r="C103" s="484" t="s">
        <v>986</v>
      </c>
      <c r="D103" s="484" t="s">
        <v>1161</v>
      </c>
      <c r="E103" s="484" t="s">
        <v>1179</v>
      </c>
      <c r="F103" s="490" t="s">
        <v>1010</v>
      </c>
      <c r="G103" s="490" t="s">
        <v>1001</v>
      </c>
      <c r="H103" s="490" t="s">
        <v>968</v>
      </c>
      <c r="I103" s="489" t="s">
        <v>1163</v>
      </c>
      <c r="J103" s="489" t="s">
        <v>1188</v>
      </c>
      <c r="K103" s="488" t="s">
        <v>1165</v>
      </c>
      <c r="L103" s="484">
        <v>2016</v>
      </c>
      <c r="M103" s="823">
        <v>1816.6152161294369</v>
      </c>
      <c r="N103" s="487" t="s">
        <v>994</v>
      </c>
      <c r="O103" s="487" t="s">
        <v>994</v>
      </c>
      <c r="P103" s="824">
        <v>22.772752313722378</v>
      </c>
      <c r="Q103" s="824">
        <v>0</v>
      </c>
      <c r="R103" s="824">
        <v>2334.8742633611901</v>
      </c>
      <c r="S103" s="824">
        <v>623.39482610131301</v>
      </c>
      <c r="T103" s="824">
        <v>623.39482610131301</v>
      </c>
      <c r="U103" s="824">
        <v>623.39482610131301</v>
      </c>
      <c r="V103" s="824">
        <v>1870.1844783039392</v>
      </c>
      <c r="W103" s="824">
        <v>1303.7203867440007</v>
      </c>
      <c r="X103" s="824">
        <v>1911.6941065122201</v>
      </c>
      <c r="Y103" s="486" t="s">
        <v>995</v>
      </c>
      <c r="Z103" s="486" t="s">
        <v>995</v>
      </c>
      <c r="AA103" s="485" t="s">
        <v>1181</v>
      </c>
      <c r="AB103" s="485"/>
      <c r="AC103" s="485" t="s">
        <v>1182</v>
      </c>
    </row>
    <row r="104" spans="1:29" ht="18.75" customHeight="1">
      <c r="A104" s="484">
        <v>97</v>
      </c>
      <c r="B104" s="484" t="s">
        <v>985</v>
      </c>
      <c r="C104" s="484" t="s">
        <v>986</v>
      </c>
      <c r="D104" s="484" t="s">
        <v>1161</v>
      </c>
      <c r="E104" s="484" t="s">
        <v>1179</v>
      </c>
      <c r="F104" s="490" t="s">
        <v>1013</v>
      </c>
      <c r="G104" s="490" t="s">
        <v>1001</v>
      </c>
      <c r="H104" s="490" t="s">
        <v>968</v>
      </c>
      <c r="I104" s="489" t="s">
        <v>1163</v>
      </c>
      <c r="J104" s="489" t="s">
        <v>1189</v>
      </c>
      <c r="K104" s="488" t="s">
        <v>1165</v>
      </c>
      <c r="L104" s="484">
        <v>2016</v>
      </c>
      <c r="M104" s="823">
        <v>1316.9663351064876</v>
      </c>
      <c r="N104" s="487" t="s">
        <v>994</v>
      </c>
      <c r="O104" s="487" t="s">
        <v>994</v>
      </c>
      <c r="P104" s="824">
        <v>19.052256035260427</v>
      </c>
      <c r="Q104" s="824">
        <v>0</v>
      </c>
      <c r="R104" s="824">
        <v>1697.2428099729545</v>
      </c>
      <c r="S104" s="824">
        <v>460.40769340845327</v>
      </c>
      <c r="T104" s="824">
        <v>460.40769340845327</v>
      </c>
      <c r="U104" s="824">
        <v>460.40769340845327</v>
      </c>
      <c r="V104" s="824">
        <v>1381.2230802253598</v>
      </c>
      <c r="W104" s="824">
        <v>965.13932447720617</v>
      </c>
      <c r="X104" s="824">
        <v>1273.0910692480127</v>
      </c>
      <c r="Y104" s="486" t="s">
        <v>995</v>
      </c>
      <c r="Z104" s="486" t="s">
        <v>995</v>
      </c>
      <c r="AA104" s="485" t="s">
        <v>1181</v>
      </c>
      <c r="AB104" s="485"/>
      <c r="AC104" s="485" t="s">
        <v>1182</v>
      </c>
    </row>
    <row r="105" spans="1:29" ht="18.75" customHeight="1">
      <c r="A105" s="484">
        <v>98</v>
      </c>
      <c r="B105" s="484" t="s">
        <v>985</v>
      </c>
      <c r="C105" s="484" t="s">
        <v>986</v>
      </c>
      <c r="D105" s="484" t="s">
        <v>1161</v>
      </c>
      <c r="E105" s="484" t="s">
        <v>1179</v>
      </c>
      <c r="F105" s="490" t="s">
        <v>1014</v>
      </c>
      <c r="G105" s="490" t="s">
        <v>1001</v>
      </c>
      <c r="H105" s="490" t="s">
        <v>968</v>
      </c>
      <c r="I105" s="489" t="s">
        <v>1163</v>
      </c>
      <c r="J105" s="489" t="s">
        <v>1190</v>
      </c>
      <c r="K105" s="488" t="s">
        <v>1165</v>
      </c>
      <c r="L105" s="484">
        <v>2016</v>
      </c>
      <c r="M105" s="823">
        <v>10981626.05236597</v>
      </c>
      <c r="N105" s="487" t="s">
        <v>994</v>
      </c>
      <c r="O105" s="487" t="s">
        <v>994</v>
      </c>
      <c r="P105" s="824">
        <v>931764.26533041103</v>
      </c>
      <c r="Q105" s="824">
        <v>0</v>
      </c>
      <c r="R105" s="824">
        <v>9862738.1381028295</v>
      </c>
      <c r="S105" s="824">
        <v>2972230.6794489478</v>
      </c>
      <c r="T105" s="824">
        <v>2972230.6794489478</v>
      </c>
      <c r="U105" s="824">
        <v>2972230.6794489478</v>
      </c>
      <c r="V105" s="824">
        <v>8916692.0383468438</v>
      </c>
      <c r="W105" s="824">
        <v>6142574.1773576429</v>
      </c>
      <c r="X105" s="824">
        <v>4947734.3823678801</v>
      </c>
      <c r="Y105" s="486" t="s">
        <v>995</v>
      </c>
      <c r="Z105" s="486" t="s">
        <v>995</v>
      </c>
      <c r="AA105" s="485" t="s">
        <v>1181</v>
      </c>
      <c r="AB105" s="485"/>
      <c r="AC105" s="485" t="s">
        <v>1182</v>
      </c>
    </row>
    <row r="106" spans="1:29" ht="18.75" customHeight="1">
      <c r="A106" s="484">
        <v>99</v>
      </c>
      <c r="B106" s="484" t="s">
        <v>985</v>
      </c>
      <c r="C106" s="484" t="s">
        <v>986</v>
      </c>
      <c r="D106" s="484" t="s">
        <v>1161</v>
      </c>
      <c r="E106" s="484" t="s">
        <v>1179</v>
      </c>
      <c r="F106" s="490" t="s">
        <v>1015</v>
      </c>
      <c r="G106" s="490" t="s">
        <v>1001</v>
      </c>
      <c r="H106" s="490" t="s">
        <v>968</v>
      </c>
      <c r="I106" s="489" t="s">
        <v>1163</v>
      </c>
      <c r="J106" s="489" t="s">
        <v>1191</v>
      </c>
      <c r="K106" s="488" t="s">
        <v>1165</v>
      </c>
      <c r="L106" s="484">
        <v>2016</v>
      </c>
      <c r="M106" s="823">
        <v>7486838.00215948</v>
      </c>
      <c r="N106" s="487" t="s">
        <v>994</v>
      </c>
      <c r="O106" s="487" t="s">
        <v>994</v>
      </c>
      <c r="P106" s="824">
        <v>629953.80776272097</v>
      </c>
      <c r="Q106" s="824">
        <v>0</v>
      </c>
      <c r="R106" s="824">
        <v>6193583.0252720006</v>
      </c>
      <c r="S106" s="824">
        <v>1861331.1601241818</v>
      </c>
      <c r="T106" s="824">
        <v>1861331.1601241818</v>
      </c>
      <c r="U106" s="824">
        <v>1861331.1601241818</v>
      </c>
      <c r="V106" s="824">
        <v>5583993.4803725453</v>
      </c>
      <c r="W106" s="824">
        <v>3849101.0714299981</v>
      </c>
      <c r="X106" s="824">
        <v>3292261.1533036013</v>
      </c>
      <c r="Y106" s="486" t="s">
        <v>995</v>
      </c>
      <c r="Z106" s="486" t="s">
        <v>995</v>
      </c>
      <c r="AA106" s="485" t="s">
        <v>1181</v>
      </c>
      <c r="AB106" s="485"/>
      <c r="AC106" s="485" t="s">
        <v>1182</v>
      </c>
    </row>
    <row r="107" spans="1:29" ht="18.75" customHeight="1">
      <c r="A107" s="484">
        <v>100</v>
      </c>
      <c r="B107" s="484" t="s">
        <v>985</v>
      </c>
      <c r="C107" s="484" t="s">
        <v>986</v>
      </c>
      <c r="D107" s="484" t="s">
        <v>1161</v>
      </c>
      <c r="E107" s="484" t="s">
        <v>1179</v>
      </c>
      <c r="F107" s="490" t="s">
        <v>1016</v>
      </c>
      <c r="G107" s="490" t="s">
        <v>1001</v>
      </c>
      <c r="H107" s="490" t="s">
        <v>968</v>
      </c>
      <c r="I107" s="489" t="s">
        <v>1163</v>
      </c>
      <c r="J107" s="489" t="s">
        <v>1192</v>
      </c>
      <c r="K107" s="488" t="s">
        <v>1165</v>
      </c>
      <c r="L107" s="484">
        <v>2016</v>
      </c>
      <c r="M107" s="823">
        <v>89746.586656676416</v>
      </c>
      <c r="N107" s="487" t="s">
        <v>994</v>
      </c>
      <c r="O107" s="487" t="s">
        <v>994</v>
      </c>
      <c r="P107" s="824">
        <v>-288.13398167120465</v>
      </c>
      <c r="Q107" s="824">
        <v>0</v>
      </c>
      <c r="R107" s="824">
        <v>491198.30008748802</v>
      </c>
      <c r="S107" s="824">
        <v>16648.784203600502</v>
      </c>
      <c r="T107" s="824">
        <v>16648.784203600502</v>
      </c>
      <c r="U107" s="824">
        <v>16648.784203600502</v>
      </c>
      <c r="V107" s="824">
        <v>49946.352610801507</v>
      </c>
      <c r="W107" s="824">
        <v>35997.438277066591</v>
      </c>
      <c r="X107" s="824">
        <v>174837.23265558452</v>
      </c>
      <c r="Y107" s="486" t="s">
        <v>995</v>
      </c>
      <c r="Z107" s="486" t="s">
        <v>995</v>
      </c>
      <c r="AA107" s="485" t="s">
        <v>1181</v>
      </c>
      <c r="AB107" s="485"/>
      <c r="AC107" s="485" t="s">
        <v>1182</v>
      </c>
    </row>
    <row r="108" spans="1:29" ht="18.75" customHeight="1">
      <c r="A108" s="484">
        <v>101</v>
      </c>
      <c r="B108" s="484" t="s">
        <v>985</v>
      </c>
      <c r="C108" s="484" t="s">
        <v>986</v>
      </c>
      <c r="D108" s="484" t="s">
        <v>1161</v>
      </c>
      <c r="E108" s="484" t="s">
        <v>1179</v>
      </c>
      <c r="F108" s="490" t="s">
        <v>1017</v>
      </c>
      <c r="G108" s="490" t="s">
        <v>1001</v>
      </c>
      <c r="H108" s="490" t="s">
        <v>968</v>
      </c>
      <c r="I108" s="489" t="s">
        <v>1163</v>
      </c>
      <c r="J108" s="489" t="s">
        <v>1193</v>
      </c>
      <c r="K108" s="488" t="s">
        <v>1165</v>
      </c>
      <c r="L108" s="484">
        <v>2016</v>
      </c>
      <c r="M108" s="823">
        <v>63474.740110751896</v>
      </c>
      <c r="N108" s="487" t="s">
        <v>994</v>
      </c>
      <c r="O108" s="487" t="s">
        <v>994</v>
      </c>
      <c r="P108" s="824">
        <v>-432.3494416749736</v>
      </c>
      <c r="Q108" s="824">
        <v>0</v>
      </c>
      <c r="R108" s="824">
        <v>300691.72016428836</v>
      </c>
      <c r="S108" s="824">
        <v>10238.98588130885</v>
      </c>
      <c r="T108" s="824">
        <v>10238.98588130885</v>
      </c>
      <c r="U108" s="824">
        <v>10238.98588130885</v>
      </c>
      <c r="V108" s="824">
        <v>30716.957643926551</v>
      </c>
      <c r="W108" s="824">
        <v>21717.597134757172</v>
      </c>
      <c r="X108" s="824">
        <v>117291.16209752079</v>
      </c>
      <c r="Y108" s="486" t="s">
        <v>995</v>
      </c>
      <c r="Z108" s="486" t="s">
        <v>995</v>
      </c>
      <c r="AA108" s="485" t="s">
        <v>1181</v>
      </c>
      <c r="AB108" s="485"/>
      <c r="AC108" s="485" t="s">
        <v>1182</v>
      </c>
    </row>
    <row r="109" spans="1:29" ht="18.75" customHeight="1">
      <c r="A109" s="484">
        <v>102</v>
      </c>
      <c r="B109" s="484" t="s">
        <v>985</v>
      </c>
      <c r="C109" s="484" t="s">
        <v>986</v>
      </c>
      <c r="D109" s="484" t="s">
        <v>1161</v>
      </c>
      <c r="E109" s="484" t="s">
        <v>1194</v>
      </c>
      <c r="F109" s="490" t="s">
        <v>1000</v>
      </c>
      <c r="G109" s="490" t="s">
        <v>1001</v>
      </c>
      <c r="H109" s="490" t="s">
        <v>968</v>
      </c>
      <c r="I109" s="489" t="s">
        <v>1163</v>
      </c>
      <c r="J109" s="489" t="s">
        <v>1195</v>
      </c>
      <c r="K109" s="488" t="s">
        <v>1165</v>
      </c>
      <c r="L109" s="484">
        <v>2016</v>
      </c>
      <c r="M109" s="823">
        <v>2.2948559936257622</v>
      </c>
      <c r="N109" s="487" t="s">
        <v>994</v>
      </c>
      <c r="O109" s="487" t="s">
        <v>994</v>
      </c>
      <c r="P109" s="824">
        <v>759.07662427382411</v>
      </c>
      <c r="Q109" s="824">
        <v>532.70939885066502</v>
      </c>
      <c r="R109" s="824">
        <v>295.83382005334192</v>
      </c>
      <c r="S109" s="824">
        <v>2220.1419717380322</v>
      </c>
      <c r="T109" s="824">
        <v>2220.1419717380322</v>
      </c>
      <c r="U109" s="824">
        <v>2220.1419717380322</v>
      </c>
      <c r="V109" s="824">
        <v>6660.4259152140967</v>
      </c>
      <c r="W109" s="824">
        <v>4643.035567238564</v>
      </c>
      <c r="X109" s="824">
        <v>44.203631837464549</v>
      </c>
      <c r="Y109" s="486" t="s">
        <v>995</v>
      </c>
      <c r="Z109" s="486" t="s">
        <v>995</v>
      </c>
      <c r="AA109" s="485" t="s">
        <v>1181</v>
      </c>
      <c r="AB109" s="485"/>
      <c r="AC109" s="485" t="s">
        <v>1182</v>
      </c>
    </row>
    <row r="110" spans="1:29" ht="18.75" customHeight="1">
      <c r="A110" s="484">
        <v>103</v>
      </c>
      <c r="B110" s="484" t="s">
        <v>985</v>
      </c>
      <c r="C110" s="484" t="s">
        <v>986</v>
      </c>
      <c r="D110" s="484" t="s">
        <v>1161</v>
      </c>
      <c r="E110" s="484" t="s">
        <v>1194</v>
      </c>
      <c r="F110" s="490" t="s">
        <v>1005</v>
      </c>
      <c r="G110" s="490" t="s">
        <v>1001</v>
      </c>
      <c r="H110" s="490" t="s">
        <v>968</v>
      </c>
      <c r="I110" s="489" t="s">
        <v>1163</v>
      </c>
      <c r="J110" s="489" t="s">
        <v>1196</v>
      </c>
      <c r="K110" s="488" t="s">
        <v>1165</v>
      </c>
      <c r="L110" s="484">
        <v>2016</v>
      </c>
      <c r="M110" s="823">
        <v>1.8141154684596772</v>
      </c>
      <c r="N110" s="487" t="s">
        <v>994</v>
      </c>
      <c r="O110" s="487" t="s">
        <v>994</v>
      </c>
      <c r="P110" s="824">
        <v>549.99555323302025</v>
      </c>
      <c r="Q110" s="824">
        <v>404.66758912006918</v>
      </c>
      <c r="R110" s="824">
        <v>239.66784916986686</v>
      </c>
      <c r="S110" s="824">
        <v>2039.5534292656355</v>
      </c>
      <c r="T110" s="824">
        <v>2039.5534292656355</v>
      </c>
      <c r="U110" s="824">
        <v>2039.5534292656355</v>
      </c>
      <c r="V110" s="824">
        <v>6118.6602877969062</v>
      </c>
      <c r="W110" s="824">
        <v>4275.4568334510441</v>
      </c>
      <c r="X110" s="824">
        <v>26.522179629427182</v>
      </c>
      <c r="Y110" s="486" t="s">
        <v>995</v>
      </c>
      <c r="Z110" s="486" t="s">
        <v>995</v>
      </c>
      <c r="AA110" s="485" t="s">
        <v>1181</v>
      </c>
      <c r="AB110" s="485"/>
      <c r="AC110" s="485" t="s">
        <v>1182</v>
      </c>
    </row>
    <row r="111" spans="1:29" ht="18.75" customHeight="1">
      <c r="A111" s="484">
        <v>104</v>
      </c>
      <c r="B111" s="484" t="s">
        <v>985</v>
      </c>
      <c r="C111" s="484" t="s">
        <v>986</v>
      </c>
      <c r="D111" s="484" t="s">
        <v>1161</v>
      </c>
      <c r="E111" s="484" t="s">
        <v>1194</v>
      </c>
      <c r="F111" s="490" t="s">
        <v>1006</v>
      </c>
      <c r="G111" s="490" t="s">
        <v>1001</v>
      </c>
      <c r="H111" s="490" t="s">
        <v>968</v>
      </c>
      <c r="I111" s="489" t="s">
        <v>1163</v>
      </c>
      <c r="J111" s="489" t="s">
        <v>1197</v>
      </c>
      <c r="K111" s="488" t="s">
        <v>1165</v>
      </c>
      <c r="L111" s="484">
        <v>2016</v>
      </c>
      <c r="M111" s="823">
        <v>9437.3598381299926</v>
      </c>
      <c r="N111" s="487" t="s">
        <v>994</v>
      </c>
      <c r="O111" s="487" t="s">
        <v>994</v>
      </c>
      <c r="P111" s="824">
        <v>7483086.972370836</v>
      </c>
      <c r="Q111" s="824">
        <v>1810305.6616795</v>
      </c>
      <c r="R111" s="824">
        <v>945388.48241063219</v>
      </c>
      <c r="S111" s="824">
        <v>4519253.0456556836</v>
      </c>
      <c r="T111" s="824">
        <v>4519253.0456556836</v>
      </c>
      <c r="U111" s="824">
        <v>4519253.0456556836</v>
      </c>
      <c r="V111" s="824">
        <v>13557759.136967052</v>
      </c>
      <c r="W111" s="824">
        <v>9339735.0519025531</v>
      </c>
      <c r="X111" s="824">
        <v>142106.93686552515</v>
      </c>
      <c r="Y111" s="486" t="s">
        <v>995</v>
      </c>
      <c r="Z111" s="486" t="s">
        <v>995</v>
      </c>
      <c r="AA111" s="485" t="s">
        <v>1181</v>
      </c>
      <c r="AB111" s="485"/>
      <c r="AC111" s="485" t="s">
        <v>1182</v>
      </c>
    </row>
    <row r="112" spans="1:29" ht="18.75" customHeight="1">
      <c r="A112" s="484">
        <v>105</v>
      </c>
      <c r="B112" s="484" t="s">
        <v>985</v>
      </c>
      <c r="C112" s="484" t="s">
        <v>986</v>
      </c>
      <c r="D112" s="484" t="s">
        <v>1161</v>
      </c>
      <c r="E112" s="484" t="s">
        <v>1194</v>
      </c>
      <c r="F112" s="490" t="s">
        <v>1007</v>
      </c>
      <c r="G112" s="490" t="s">
        <v>1001</v>
      </c>
      <c r="H112" s="490" t="s">
        <v>968</v>
      </c>
      <c r="I112" s="489" t="s">
        <v>1163</v>
      </c>
      <c r="J112" s="489" t="s">
        <v>1198</v>
      </c>
      <c r="K112" s="488" t="s">
        <v>1165</v>
      </c>
      <c r="L112" s="484">
        <v>2016</v>
      </c>
      <c r="M112" s="823">
        <v>7067.957955825831</v>
      </c>
      <c r="N112" s="487" t="s">
        <v>994</v>
      </c>
      <c r="O112" s="487" t="s">
        <v>994</v>
      </c>
      <c r="P112" s="824">
        <v>5348025.2220682688</v>
      </c>
      <c r="Q112" s="824">
        <v>1229103.758879758</v>
      </c>
      <c r="R112" s="824">
        <v>683328.81799301051</v>
      </c>
      <c r="S112" s="824">
        <v>3421599.2952692867</v>
      </c>
      <c r="T112" s="824">
        <v>3421599.2952692867</v>
      </c>
      <c r="U112" s="824">
        <v>3421599.2952692867</v>
      </c>
      <c r="V112" s="824">
        <v>10264797.885807861</v>
      </c>
      <c r="W112" s="824">
        <v>7075625.1201137546</v>
      </c>
      <c r="X112" s="824">
        <v>85264.163813361665</v>
      </c>
      <c r="Y112" s="486" t="s">
        <v>995</v>
      </c>
      <c r="Z112" s="486" t="s">
        <v>995</v>
      </c>
      <c r="AA112" s="485" t="s">
        <v>1181</v>
      </c>
      <c r="AB112" s="485"/>
      <c r="AC112" s="485" t="s">
        <v>1182</v>
      </c>
    </row>
    <row r="113" spans="1:29" ht="18.75" customHeight="1">
      <c r="A113" s="484">
        <v>106</v>
      </c>
      <c r="B113" s="484" t="s">
        <v>985</v>
      </c>
      <c r="C113" s="484" t="s">
        <v>986</v>
      </c>
      <c r="D113" s="484" t="s">
        <v>1161</v>
      </c>
      <c r="E113" s="484" t="s">
        <v>1194</v>
      </c>
      <c r="F113" s="490" t="s">
        <v>1008</v>
      </c>
      <c r="G113" s="490" t="s">
        <v>1001</v>
      </c>
      <c r="H113" s="490" t="s">
        <v>968</v>
      </c>
      <c r="I113" s="489" t="s">
        <v>1163</v>
      </c>
      <c r="J113" s="489" t="s">
        <v>1199</v>
      </c>
      <c r="K113" s="488" t="s">
        <v>1165</v>
      </c>
      <c r="L113" s="484">
        <v>2016</v>
      </c>
      <c r="M113" s="823">
        <v>347.53545859703235</v>
      </c>
      <c r="N113" s="487" t="s">
        <v>994</v>
      </c>
      <c r="O113" s="487" t="s">
        <v>994</v>
      </c>
      <c r="P113" s="824">
        <v>62430.278941530822</v>
      </c>
      <c r="Q113" s="824">
        <v>183358.90166458068</v>
      </c>
      <c r="R113" s="824">
        <v>15979.783781101989</v>
      </c>
      <c r="S113" s="824">
        <v>54620.690379403299</v>
      </c>
      <c r="T113" s="824">
        <v>54620.690379403299</v>
      </c>
      <c r="U113" s="824">
        <v>54620.690379403299</v>
      </c>
      <c r="V113" s="824">
        <v>163862.0711382099</v>
      </c>
      <c r="W113" s="824">
        <v>118099.00990596776</v>
      </c>
      <c r="X113" s="824">
        <v>5203.5126562540627</v>
      </c>
      <c r="Y113" s="486" t="s">
        <v>995</v>
      </c>
      <c r="Z113" s="486" t="s">
        <v>995</v>
      </c>
      <c r="AA113" s="485" t="s">
        <v>1181</v>
      </c>
      <c r="AB113" s="485"/>
      <c r="AC113" s="485" t="s">
        <v>1182</v>
      </c>
    </row>
    <row r="114" spans="1:29" ht="18.75" customHeight="1">
      <c r="A114" s="484">
        <v>107</v>
      </c>
      <c r="B114" s="484" t="s">
        <v>985</v>
      </c>
      <c r="C114" s="484" t="s">
        <v>986</v>
      </c>
      <c r="D114" s="484" t="s">
        <v>1161</v>
      </c>
      <c r="E114" s="484" t="s">
        <v>1194</v>
      </c>
      <c r="F114" s="490" t="s">
        <v>1009</v>
      </c>
      <c r="G114" s="490" t="s">
        <v>1001</v>
      </c>
      <c r="H114" s="490" t="s">
        <v>968</v>
      </c>
      <c r="I114" s="489" t="s">
        <v>1163</v>
      </c>
      <c r="J114" s="489" t="s">
        <v>1200</v>
      </c>
      <c r="K114" s="488" t="s">
        <v>1165</v>
      </c>
      <c r="L114" s="484">
        <v>2016</v>
      </c>
      <c r="M114" s="823">
        <v>205.89504009842426</v>
      </c>
      <c r="N114" s="487" t="s">
        <v>994</v>
      </c>
      <c r="O114" s="487" t="s">
        <v>994</v>
      </c>
      <c r="P114" s="824">
        <v>41800.438527461592</v>
      </c>
      <c r="Q114" s="824">
        <v>114802.08959769846</v>
      </c>
      <c r="R114" s="824">
        <v>10023.095131716365</v>
      </c>
      <c r="S114" s="824">
        <v>42996.806996486303</v>
      </c>
      <c r="T114" s="824">
        <v>42996.806996486303</v>
      </c>
      <c r="U114" s="824">
        <v>42996.806996486303</v>
      </c>
      <c r="V114" s="824">
        <v>128990.42098945891</v>
      </c>
      <c r="W114" s="824">
        <v>91199.201098149366</v>
      </c>
      <c r="X114" s="824">
        <v>3525.9652979913144</v>
      </c>
      <c r="Y114" s="486" t="s">
        <v>995</v>
      </c>
      <c r="Z114" s="486" t="s">
        <v>995</v>
      </c>
      <c r="AA114" s="485" t="s">
        <v>1181</v>
      </c>
      <c r="AB114" s="485"/>
      <c r="AC114" s="485" t="s">
        <v>1182</v>
      </c>
    </row>
    <row r="115" spans="1:29" ht="18.75" customHeight="1">
      <c r="A115" s="484">
        <v>108</v>
      </c>
      <c r="B115" s="484" t="s">
        <v>985</v>
      </c>
      <c r="C115" s="484" t="s">
        <v>986</v>
      </c>
      <c r="D115" s="484" t="s">
        <v>1161</v>
      </c>
      <c r="E115" s="484" t="s">
        <v>1194</v>
      </c>
      <c r="F115" s="490" t="s">
        <v>1010</v>
      </c>
      <c r="G115" s="490" t="s">
        <v>1001</v>
      </c>
      <c r="H115" s="490" t="s">
        <v>968</v>
      </c>
      <c r="I115" s="489" t="s">
        <v>1163</v>
      </c>
      <c r="J115" s="489" t="s">
        <v>1201</v>
      </c>
      <c r="K115" s="488" t="s">
        <v>1165</v>
      </c>
      <c r="L115" s="484">
        <v>2016</v>
      </c>
      <c r="M115" s="823">
        <v>21.021047825213778</v>
      </c>
      <c r="N115" s="487" t="s">
        <v>994</v>
      </c>
      <c r="O115" s="487" t="s">
        <v>994</v>
      </c>
      <c r="P115" s="824">
        <v>5467.4462053439074</v>
      </c>
      <c r="Q115" s="824">
        <v>3226.0769265078825</v>
      </c>
      <c r="R115" s="824">
        <v>927.19700802013165</v>
      </c>
      <c r="S115" s="824">
        <v>7929.8011789800885</v>
      </c>
      <c r="T115" s="824">
        <v>7929.8011789800885</v>
      </c>
      <c r="U115" s="824">
        <v>7929.8011789800885</v>
      </c>
      <c r="V115" s="824">
        <v>23789.403536940266</v>
      </c>
      <c r="W115" s="824">
        <v>16583.781300396615</v>
      </c>
      <c r="X115" s="824">
        <v>175.62397211619006</v>
      </c>
      <c r="Y115" s="486" t="s">
        <v>995</v>
      </c>
      <c r="Z115" s="486" t="s">
        <v>995</v>
      </c>
      <c r="AA115" s="485" t="s">
        <v>1181</v>
      </c>
      <c r="AB115" s="485"/>
      <c r="AC115" s="485" t="s">
        <v>1182</v>
      </c>
    </row>
    <row r="116" spans="1:29" ht="18.75" customHeight="1">
      <c r="A116" s="484">
        <v>109</v>
      </c>
      <c r="B116" s="484" t="s">
        <v>985</v>
      </c>
      <c r="C116" s="484" t="s">
        <v>986</v>
      </c>
      <c r="D116" s="484" t="s">
        <v>1161</v>
      </c>
      <c r="E116" s="484" t="s">
        <v>1194</v>
      </c>
      <c r="F116" s="490" t="s">
        <v>1013</v>
      </c>
      <c r="G116" s="490" t="s">
        <v>1001</v>
      </c>
      <c r="H116" s="490" t="s">
        <v>968</v>
      </c>
      <c r="I116" s="489" t="s">
        <v>1163</v>
      </c>
      <c r="J116" s="489" t="s">
        <v>1202</v>
      </c>
      <c r="K116" s="488" t="s">
        <v>1165</v>
      </c>
      <c r="L116" s="484">
        <v>2016</v>
      </c>
      <c r="M116" s="823">
        <v>15.484829734260011</v>
      </c>
      <c r="N116" s="487" t="s">
        <v>994</v>
      </c>
      <c r="O116" s="487" t="s">
        <v>994</v>
      </c>
      <c r="P116" s="824">
        <v>4077.0401928630044</v>
      </c>
      <c r="Q116" s="824">
        <v>2224.0404643668626</v>
      </c>
      <c r="R116" s="824">
        <v>744.71766701418085</v>
      </c>
      <c r="S116" s="824">
        <v>5856.5475957423359</v>
      </c>
      <c r="T116" s="824">
        <v>5856.5475957423359</v>
      </c>
      <c r="U116" s="824">
        <v>5856.5475957423359</v>
      </c>
      <c r="V116" s="824">
        <v>17569.642787227007</v>
      </c>
      <c r="W116" s="824">
        <v>12276.91124898041</v>
      </c>
      <c r="X116" s="824">
        <v>105.37438536331554</v>
      </c>
      <c r="Y116" s="486" t="s">
        <v>995</v>
      </c>
      <c r="Z116" s="486" t="s">
        <v>995</v>
      </c>
      <c r="AA116" s="485" t="s">
        <v>1181</v>
      </c>
      <c r="AB116" s="485"/>
      <c r="AC116" s="485" t="s">
        <v>1182</v>
      </c>
    </row>
    <row r="117" spans="1:29" ht="18.75" customHeight="1">
      <c r="A117" s="484">
        <v>110</v>
      </c>
      <c r="B117" s="484" t="s">
        <v>985</v>
      </c>
      <c r="C117" s="484" t="s">
        <v>986</v>
      </c>
      <c r="D117" s="484" t="s">
        <v>1161</v>
      </c>
      <c r="E117" s="484" t="s">
        <v>1194</v>
      </c>
      <c r="F117" s="490" t="s">
        <v>1014</v>
      </c>
      <c r="G117" s="490" t="s">
        <v>1001</v>
      </c>
      <c r="H117" s="490" t="s">
        <v>968</v>
      </c>
      <c r="I117" s="489" t="s">
        <v>1163</v>
      </c>
      <c r="J117" s="489" t="s">
        <v>1203</v>
      </c>
      <c r="K117" s="488" t="s">
        <v>1165</v>
      </c>
      <c r="L117" s="484">
        <v>2016</v>
      </c>
      <c r="M117" s="823">
        <v>88531.347012777289</v>
      </c>
      <c r="N117" s="487" t="s">
        <v>994</v>
      </c>
      <c r="O117" s="487" t="s">
        <v>994</v>
      </c>
      <c r="P117" s="824">
        <v>90435276.594303176</v>
      </c>
      <c r="Q117" s="824">
        <v>15192873.811917851</v>
      </c>
      <c r="R117" s="824">
        <v>5200166.6123276148</v>
      </c>
      <c r="S117" s="824">
        <v>3419490.3110347735</v>
      </c>
      <c r="T117" s="824">
        <v>3419490.3110347735</v>
      </c>
      <c r="U117" s="824">
        <v>3419490.3110347735</v>
      </c>
      <c r="V117" s="824">
        <v>10258470.933104321</v>
      </c>
      <c r="W117" s="824">
        <v>7066905.3480670908</v>
      </c>
      <c r="X117" s="824">
        <v>872214.08680340752</v>
      </c>
      <c r="Y117" s="486" t="s">
        <v>995</v>
      </c>
      <c r="Z117" s="486" t="s">
        <v>995</v>
      </c>
      <c r="AA117" s="485" t="s">
        <v>1181</v>
      </c>
      <c r="AB117" s="485"/>
      <c r="AC117" s="485" t="s">
        <v>1182</v>
      </c>
    </row>
    <row r="118" spans="1:29" ht="18.75" customHeight="1">
      <c r="A118" s="484">
        <v>111</v>
      </c>
      <c r="B118" s="484" t="s">
        <v>985</v>
      </c>
      <c r="C118" s="484" t="s">
        <v>986</v>
      </c>
      <c r="D118" s="484" t="s">
        <v>1161</v>
      </c>
      <c r="E118" s="484" t="s">
        <v>1194</v>
      </c>
      <c r="F118" s="490" t="s">
        <v>1015</v>
      </c>
      <c r="G118" s="490" t="s">
        <v>1001</v>
      </c>
      <c r="H118" s="490" t="s">
        <v>968</v>
      </c>
      <c r="I118" s="489" t="s">
        <v>1163</v>
      </c>
      <c r="J118" s="489" t="s">
        <v>1204</v>
      </c>
      <c r="K118" s="488" t="s">
        <v>1165</v>
      </c>
      <c r="L118" s="484">
        <v>2016</v>
      </c>
      <c r="M118" s="823">
        <v>57968.140250054239</v>
      </c>
      <c r="N118" s="487" t="s">
        <v>994</v>
      </c>
      <c r="O118" s="487" t="s">
        <v>994</v>
      </c>
      <c r="P118" s="824">
        <v>63306957.689823508</v>
      </c>
      <c r="Q118" s="824">
        <v>9857099.3366330154</v>
      </c>
      <c r="R118" s="824">
        <v>3609567.1005901182</v>
      </c>
      <c r="S118" s="824">
        <v>23676786.219631448</v>
      </c>
      <c r="T118" s="824">
        <v>23676786.219631448</v>
      </c>
      <c r="U118" s="824">
        <v>23676786.219631448</v>
      </c>
      <c r="V118" s="824">
        <v>71030358.658894345</v>
      </c>
      <c r="W118" s="824">
        <v>48961917.770678833</v>
      </c>
      <c r="X118" s="824">
        <v>523328.46247964632</v>
      </c>
      <c r="Y118" s="486" t="s">
        <v>995</v>
      </c>
      <c r="Z118" s="486" t="s">
        <v>995</v>
      </c>
      <c r="AA118" s="485" t="s">
        <v>1181</v>
      </c>
      <c r="AB118" s="485"/>
      <c r="AC118" s="485" t="s">
        <v>1182</v>
      </c>
    </row>
    <row r="119" spans="1:29" ht="18.75" customHeight="1">
      <c r="A119" s="484">
        <v>112</v>
      </c>
      <c r="B119" s="484" t="s">
        <v>985</v>
      </c>
      <c r="C119" s="484" t="s">
        <v>986</v>
      </c>
      <c r="D119" s="484" t="s">
        <v>1161</v>
      </c>
      <c r="E119" s="484" t="s">
        <v>1194</v>
      </c>
      <c r="F119" s="490" t="s">
        <v>1016</v>
      </c>
      <c r="G119" s="490" t="s">
        <v>1001</v>
      </c>
      <c r="H119" s="490" t="s">
        <v>968</v>
      </c>
      <c r="I119" s="489" t="s">
        <v>1163</v>
      </c>
      <c r="J119" s="489" t="s">
        <v>1205</v>
      </c>
      <c r="K119" s="488" t="s">
        <v>1165</v>
      </c>
      <c r="L119" s="484">
        <v>2016</v>
      </c>
      <c r="M119" s="823">
        <v>3071.8387393744697</v>
      </c>
      <c r="N119" s="487" t="s">
        <v>994</v>
      </c>
      <c r="O119" s="487" t="s">
        <v>994</v>
      </c>
      <c r="P119" s="824">
        <v>893955.50610527652</v>
      </c>
      <c r="Q119" s="824">
        <v>2695915.4186337399</v>
      </c>
      <c r="R119" s="824">
        <v>124550.1004654429</v>
      </c>
      <c r="S119" s="824">
        <v>211778.38358389013</v>
      </c>
      <c r="T119" s="824">
        <v>211778.38358389013</v>
      </c>
      <c r="U119" s="824">
        <v>211778.38358389013</v>
      </c>
      <c r="V119" s="824">
        <v>635335.15075167036</v>
      </c>
      <c r="W119" s="824">
        <v>457900.06034370651</v>
      </c>
      <c r="X119" s="824">
        <v>26231.327729491735</v>
      </c>
      <c r="Y119" s="486" t="s">
        <v>995</v>
      </c>
      <c r="Z119" s="486" t="s">
        <v>995</v>
      </c>
      <c r="AA119" s="485" t="s">
        <v>1181</v>
      </c>
      <c r="AB119" s="485"/>
      <c r="AC119" s="485" t="s">
        <v>1182</v>
      </c>
    </row>
    <row r="120" spans="1:29" ht="18.75" customHeight="1">
      <c r="A120" s="484">
        <v>113</v>
      </c>
      <c r="B120" s="484" t="s">
        <v>985</v>
      </c>
      <c r="C120" s="484" t="s">
        <v>986</v>
      </c>
      <c r="D120" s="484" t="s">
        <v>1161</v>
      </c>
      <c r="E120" s="484" t="s">
        <v>1194</v>
      </c>
      <c r="F120" s="490" t="s">
        <v>1017</v>
      </c>
      <c r="G120" s="490" t="s">
        <v>1001</v>
      </c>
      <c r="H120" s="490" t="s">
        <v>968</v>
      </c>
      <c r="I120" s="489" t="s">
        <v>1163</v>
      </c>
      <c r="J120" s="489" t="s">
        <v>1206</v>
      </c>
      <c r="K120" s="488" t="s">
        <v>1165</v>
      </c>
      <c r="L120" s="484">
        <v>2016</v>
      </c>
      <c r="M120" s="823">
        <v>1843.4718773657135</v>
      </c>
      <c r="N120" s="487" t="s">
        <v>994</v>
      </c>
      <c r="O120" s="487" t="s">
        <v>994</v>
      </c>
      <c r="P120" s="824">
        <v>584625.52379133052</v>
      </c>
      <c r="Q120" s="824">
        <v>1668568.3275053771</v>
      </c>
      <c r="R120" s="824">
        <v>74877.554785553308</v>
      </c>
      <c r="S120" s="824">
        <v>130243.4972406525</v>
      </c>
      <c r="T120" s="824">
        <v>130243.4972406525</v>
      </c>
      <c r="U120" s="824">
        <v>130243.4972406525</v>
      </c>
      <c r="V120" s="824">
        <v>390730.49172195751</v>
      </c>
      <c r="W120" s="824">
        <v>276255.46468013799</v>
      </c>
      <c r="X120" s="824">
        <v>17232.474361115539</v>
      </c>
      <c r="Y120" s="486" t="s">
        <v>995</v>
      </c>
      <c r="Z120" s="486" t="s">
        <v>995</v>
      </c>
      <c r="AA120" s="485" t="s">
        <v>1181</v>
      </c>
      <c r="AB120" s="485"/>
      <c r="AC120" s="485" t="s">
        <v>1182</v>
      </c>
    </row>
    <row r="121" spans="1:29" ht="18.75" customHeight="1">
      <c r="A121" s="484">
        <v>114</v>
      </c>
      <c r="B121" s="484" t="s">
        <v>985</v>
      </c>
      <c r="C121" s="484" t="s">
        <v>986</v>
      </c>
      <c r="D121" s="484" t="s">
        <v>1207</v>
      </c>
      <c r="E121" s="484" t="s">
        <v>988</v>
      </c>
      <c r="F121" s="490" t="s">
        <v>989</v>
      </c>
      <c r="G121" s="490" t="s">
        <v>1087</v>
      </c>
      <c r="H121" s="490" t="s">
        <v>968</v>
      </c>
      <c r="I121" s="489" t="s">
        <v>991</v>
      </c>
      <c r="J121" s="489" t="s">
        <v>992</v>
      </c>
      <c r="K121" s="488" t="s">
        <v>1165</v>
      </c>
      <c r="L121" s="484">
        <v>2016</v>
      </c>
      <c r="M121" s="823">
        <v>2517.0776141727811</v>
      </c>
      <c r="N121" s="487" t="s">
        <v>994</v>
      </c>
      <c r="O121" s="487" t="s">
        <v>994</v>
      </c>
      <c r="P121" s="824">
        <v>5096.8419351586581</v>
      </c>
      <c r="Q121" s="824">
        <v>2092.4401557868309</v>
      </c>
      <c r="R121" s="824">
        <v>2649.622900475184</v>
      </c>
      <c r="S121" s="824">
        <v>1756.6706579150623</v>
      </c>
      <c r="T121" s="824">
        <v>1756.6706579150623</v>
      </c>
      <c r="U121" s="824">
        <v>1756.6706579150623</v>
      </c>
      <c r="V121" s="824">
        <v>5270.0119737451869</v>
      </c>
      <c r="W121" s="824">
        <v>3630.4314789696873</v>
      </c>
      <c r="X121" s="824">
        <v>13879.125282212352</v>
      </c>
      <c r="Y121" s="486" t="s">
        <v>995</v>
      </c>
      <c r="Z121" s="486" t="s">
        <v>995</v>
      </c>
      <c r="AA121" s="485" t="s">
        <v>1088</v>
      </c>
      <c r="AB121" s="485" t="s">
        <v>1089</v>
      </c>
      <c r="AC121" s="485"/>
    </row>
    <row r="122" spans="1:29" ht="18.75" customHeight="1">
      <c r="A122" s="484">
        <v>115</v>
      </c>
      <c r="B122" s="484" t="s">
        <v>985</v>
      </c>
      <c r="C122" s="484" t="s">
        <v>1208</v>
      </c>
      <c r="D122" s="484" t="s">
        <v>1209</v>
      </c>
      <c r="E122" s="484" t="s">
        <v>1210</v>
      </c>
      <c r="F122" s="490" t="s">
        <v>1092</v>
      </c>
      <c r="G122" s="490" t="s">
        <v>1211</v>
      </c>
      <c r="H122" s="490" t="s">
        <v>968</v>
      </c>
      <c r="I122" s="489" t="s">
        <v>1212</v>
      </c>
      <c r="J122" s="489" t="s">
        <v>1213</v>
      </c>
      <c r="K122" s="488" t="s">
        <v>1165</v>
      </c>
      <c r="L122" s="484">
        <v>2016</v>
      </c>
      <c r="M122" s="825">
        <v>1.4341758820431807</v>
      </c>
      <c r="N122" s="487">
        <v>10894</v>
      </c>
      <c r="O122" s="487">
        <v>7596</v>
      </c>
      <c r="P122" s="826">
        <v>3.3838585700631554</v>
      </c>
      <c r="Q122" s="826">
        <v>2.3069873997709047</v>
      </c>
      <c r="R122" s="826">
        <v>0.26884430299462286</v>
      </c>
      <c r="S122" s="824">
        <v>5.9191732809693987</v>
      </c>
      <c r="T122" s="824">
        <v>5.9191732809693987</v>
      </c>
      <c r="U122" s="824">
        <v>5.9191732809693987</v>
      </c>
      <c r="V122" s="824">
        <v>17.757519842908195</v>
      </c>
      <c r="W122" s="824">
        <v>12.232886632382417</v>
      </c>
      <c r="X122" s="826">
        <v>0.26225631959406365</v>
      </c>
      <c r="Y122" s="486">
        <v>5015.6521122364675</v>
      </c>
      <c r="Z122" s="486">
        <v>19125</v>
      </c>
      <c r="AA122" s="485" t="s">
        <v>1214</v>
      </c>
      <c r="AB122" s="485" t="s">
        <v>1215</v>
      </c>
      <c r="AC122" s="485" t="s">
        <v>1216</v>
      </c>
    </row>
    <row r="123" spans="1:29" ht="18.75" customHeight="1">
      <c r="A123" s="484">
        <v>116</v>
      </c>
      <c r="B123" s="484" t="s">
        <v>985</v>
      </c>
      <c r="C123" s="484" t="s">
        <v>1208</v>
      </c>
      <c r="D123" s="484" t="s">
        <v>1209</v>
      </c>
      <c r="E123" s="484" t="s">
        <v>1210</v>
      </c>
      <c r="F123" s="490" t="s">
        <v>1098</v>
      </c>
      <c r="G123" s="490" t="s">
        <v>1211</v>
      </c>
      <c r="H123" s="490" t="s">
        <v>968</v>
      </c>
      <c r="I123" s="489" t="s">
        <v>1212</v>
      </c>
      <c r="J123" s="489" t="s">
        <v>1217</v>
      </c>
      <c r="K123" s="488" t="s">
        <v>1165</v>
      </c>
      <c r="L123" s="484">
        <v>2016</v>
      </c>
      <c r="M123" s="823">
        <v>5359.3141126908895</v>
      </c>
      <c r="N123" s="487">
        <v>40709350</v>
      </c>
      <c r="O123" s="487">
        <v>7596</v>
      </c>
      <c r="P123" s="824">
        <v>32280.702379432401</v>
      </c>
      <c r="Q123" s="824">
        <v>11554.678835533767</v>
      </c>
      <c r="R123" s="824">
        <v>1365.2271913067175</v>
      </c>
      <c r="S123" s="824">
        <v>22756.948852021575</v>
      </c>
      <c r="T123" s="824">
        <v>22756.948852021575</v>
      </c>
      <c r="U123" s="824">
        <v>22756.948852021575</v>
      </c>
      <c r="V123" s="824">
        <v>68270.846556064731</v>
      </c>
      <c r="W123" s="824">
        <v>47030.752808120793</v>
      </c>
      <c r="X123" s="824">
        <v>1185.0003295766467</v>
      </c>
      <c r="Y123" s="486">
        <v>22663131.303153366</v>
      </c>
      <c r="Z123" s="486">
        <v>19125</v>
      </c>
      <c r="AA123" s="485" t="s">
        <v>1214</v>
      </c>
      <c r="AB123" s="485" t="s">
        <v>1215</v>
      </c>
      <c r="AC123" s="485" t="s">
        <v>1216</v>
      </c>
    </row>
    <row r="124" spans="1:29" ht="18.75" customHeight="1">
      <c r="A124" s="484">
        <v>117</v>
      </c>
      <c r="B124" s="484" t="s">
        <v>985</v>
      </c>
      <c r="C124" s="484" t="s">
        <v>1208</v>
      </c>
      <c r="D124" s="484" t="s">
        <v>1209</v>
      </c>
      <c r="E124" s="484" t="s">
        <v>1210</v>
      </c>
      <c r="F124" s="490" t="s">
        <v>1100</v>
      </c>
      <c r="G124" s="490" t="s">
        <v>1211</v>
      </c>
      <c r="H124" s="490" t="s">
        <v>968</v>
      </c>
      <c r="I124" s="489" t="s">
        <v>1212</v>
      </c>
      <c r="J124" s="489" t="s">
        <v>1218</v>
      </c>
      <c r="K124" s="488" t="s">
        <v>1165</v>
      </c>
      <c r="L124" s="484">
        <v>2016</v>
      </c>
      <c r="M124" s="823">
        <v>57.479199578725648</v>
      </c>
      <c r="N124" s="487">
        <v>436612</v>
      </c>
      <c r="O124" s="487">
        <v>7596</v>
      </c>
      <c r="P124" s="824">
        <v>374.50159386892693</v>
      </c>
      <c r="Q124" s="824">
        <v>1012.8361450994053</v>
      </c>
      <c r="R124" s="824">
        <v>38.795446822207033</v>
      </c>
      <c r="S124" s="824">
        <v>227.57675605417438</v>
      </c>
      <c r="T124" s="824">
        <v>227.57675605417438</v>
      </c>
      <c r="U124" s="824">
        <v>227.57675605417438</v>
      </c>
      <c r="V124" s="824">
        <v>682.73026816252309</v>
      </c>
      <c r="W124" s="824">
        <v>470.32254756362431</v>
      </c>
      <c r="X124" s="824">
        <v>30.415937146294521</v>
      </c>
      <c r="Y124" s="486">
        <v>581704.79792288272</v>
      </c>
      <c r="Z124" s="486">
        <v>19125</v>
      </c>
      <c r="AA124" s="485" t="s">
        <v>1214</v>
      </c>
      <c r="AB124" s="485" t="s">
        <v>1215</v>
      </c>
      <c r="AC124" s="485" t="s">
        <v>1216</v>
      </c>
    </row>
    <row r="125" spans="1:29" ht="18.75" customHeight="1">
      <c r="A125" s="484">
        <v>118</v>
      </c>
      <c r="B125" s="484" t="s">
        <v>985</v>
      </c>
      <c r="C125" s="484" t="s">
        <v>1208</v>
      </c>
      <c r="D125" s="484" t="s">
        <v>1209</v>
      </c>
      <c r="E125" s="484" t="s">
        <v>1219</v>
      </c>
      <c r="F125" s="490" t="s">
        <v>1092</v>
      </c>
      <c r="G125" s="490" t="s">
        <v>1220</v>
      </c>
      <c r="H125" s="490" t="s">
        <v>968</v>
      </c>
      <c r="I125" s="489" t="s">
        <v>1221</v>
      </c>
      <c r="J125" s="489" t="s">
        <v>1222</v>
      </c>
      <c r="K125" s="488" t="s">
        <v>1165</v>
      </c>
      <c r="L125" s="484">
        <v>2016</v>
      </c>
      <c r="M125" s="823">
        <v>11.26777251184834</v>
      </c>
      <c r="N125" s="487">
        <v>9510</v>
      </c>
      <c r="O125" s="487">
        <v>844</v>
      </c>
      <c r="P125" s="824">
        <v>17.906423626106665</v>
      </c>
      <c r="Q125" s="824">
        <v>12.24668734474648</v>
      </c>
      <c r="R125" s="824">
        <v>2.438675637506734</v>
      </c>
      <c r="S125" s="824">
        <v>10.789542905182435</v>
      </c>
      <c r="T125" s="824">
        <v>10.789542905182435</v>
      </c>
      <c r="U125" s="824">
        <v>10.789542905182435</v>
      </c>
      <c r="V125" s="824">
        <v>32.368628715547302</v>
      </c>
      <c r="W125" s="824">
        <v>22.298258373119776</v>
      </c>
      <c r="X125" s="824">
        <v>2.3603068763465731</v>
      </c>
      <c r="Y125" s="486">
        <v>5015.6521122364675</v>
      </c>
      <c r="Z125" s="486">
        <v>2125</v>
      </c>
      <c r="AA125" s="485" t="s">
        <v>1223</v>
      </c>
      <c r="AB125" s="485" t="s">
        <v>1215</v>
      </c>
      <c r="AC125" s="485"/>
    </row>
    <row r="126" spans="1:29" ht="18.75" customHeight="1">
      <c r="A126" s="484">
        <v>119</v>
      </c>
      <c r="B126" s="484" t="s">
        <v>985</v>
      </c>
      <c r="C126" s="484" t="s">
        <v>1208</v>
      </c>
      <c r="D126" s="484" t="s">
        <v>1209</v>
      </c>
      <c r="E126" s="484" t="s">
        <v>1219</v>
      </c>
      <c r="F126" s="490" t="s">
        <v>1098</v>
      </c>
      <c r="G126" s="490" t="s">
        <v>1220</v>
      </c>
      <c r="H126" s="490" t="s">
        <v>968</v>
      </c>
      <c r="I126" s="489" t="s">
        <v>1221</v>
      </c>
      <c r="J126" s="489" t="s">
        <v>1224</v>
      </c>
      <c r="K126" s="488" t="s">
        <v>1165</v>
      </c>
      <c r="L126" s="484">
        <v>2016</v>
      </c>
      <c r="M126" s="823">
        <v>42129.538929510527</v>
      </c>
      <c r="N126" s="487">
        <v>35557330.856506884</v>
      </c>
      <c r="O126" s="487">
        <v>844</v>
      </c>
      <c r="P126" s="824">
        <v>264147.81464039435</v>
      </c>
      <c r="Q126" s="824">
        <v>60820.487255878936</v>
      </c>
      <c r="R126" s="824">
        <v>11858.389836685174</v>
      </c>
      <c r="S126" s="824">
        <v>41669.508633721016</v>
      </c>
      <c r="T126" s="824">
        <v>41669.508633721016</v>
      </c>
      <c r="U126" s="824">
        <v>41669.508633721016</v>
      </c>
      <c r="V126" s="824">
        <v>125008.52590116306</v>
      </c>
      <c r="W126" s="824">
        <v>86116.48129684561</v>
      </c>
      <c r="X126" s="824">
        <v>10665.002966189819</v>
      </c>
      <c r="Y126" s="486">
        <v>22663131.303153366</v>
      </c>
      <c r="Z126" s="486">
        <v>2125</v>
      </c>
      <c r="AA126" s="485" t="s">
        <v>1223</v>
      </c>
      <c r="AB126" s="485" t="s">
        <v>1215</v>
      </c>
      <c r="AC126" s="485"/>
    </row>
    <row r="127" spans="1:29" ht="18.75" customHeight="1">
      <c r="A127" s="484">
        <v>120</v>
      </c>
      <c r="B127" s="484" t="s">
        <v>985</v>
      </c>
      <c r="C127" s="484" t="s">
        <v>1208</v>
      </c>
      <c r="D127" s="484" t="s">
        <v>1209</v>
      </c>
      <c r="E127" s="484" t="s">
        <v>1219</v>
      </c>
      <c r="F127" s="490" t="s">
        <v>1100</v>
      </c>
      <c r="G127" s="490" t="s">
        <v>1220</v>
      </c>
      <c r="H127" s="490" t="s">
        <v>968</v>
      </c>
      <c r="I127" s="489" t="s">
        <v>1221</v>
      </c>
      <c r="J127" s="489" t="s">
        <v>1225</v>
      </c>
      <c r="K127" s="488" t="s">
        <v>1165</v>
      </c>
      <c r="L127" s="484">
        <v>2016</v>
      </c>
      <c r="M127" s="823">
        <v>304.37886208823659</v>
      </c>
      <c r="N127" s="487">
        <v>256895.75960247169</v>
      </c>
      <c r="O127" s="487">
        <v>844</v>
      </c>
      <c r="P127" s="824">
        <v>2683.0776137754438</v>
      </c>
      <c r="Q127" s="824">
        <v>9099.5842183728782</v>
      </c>
      <c r="R127" s="824">
        <v>310.47414957462883</v>
      </c>
      <c r="S127" s="824">
        <v>274.11790952173322</v>
      </c>
      <c r="T127" s="824">
        <v>274.11790952173322</v>
      </c>
      <c r="U127" s="824">
        <v>274.11790952173322</v>
      </c>
      <c r="V127" s="824">
        <v>822.35372856519962</v>
      </c>
      <c r="W127" s="824">
        <v>566.50703601903206</v>
      </c>
      <c r="X127" s="824">
        <v>273.74343431665068</v>
      </c>
      <c r="Y127" s="486">
        <v>581704.79792288272</v>
      </c>
      <c r="Z127" s="486">
        <v>2125</v>
      </c>
      <c r="AA127" s="485" t="s">
        <v>1226</v>
      </c>
      <c r="AB127" s="485" t="s">
        <v>1215</v>
      </c>
      <c r="AC127" s="485"/>
    </row>
    <row r="128" spans="1:29" ht="18.75" customHeight="1">
      <c r="A128" s="484">
        <v>121</v>
      </c>
      <c r="B128" s="484" t="s">
        <v>985</v>
      </c>
      <c r="C128" s="484" t="s">
        <v>1208</v>
      </c>
      <c r="D128" s="484" t="s">
        <v>1209</v>
      </c>
      <c r="E128" s="484" t="s">
        <v>1227</v>
      </c>
      <c r="F128" s="490" t="s">
        <v>1092</v>
      </c>
      <c r="G128" s="490" t="s">
        <v>1228</v>
      </c>
      <c r="H128" s="490" t="s">
        <v>968</v>
      </c>
      <c r="I128" s="489" t="s">
        <v>1229</v>
      </c>
      <c r="J128" s="489" t="s">
        <v>1230</v>
      </c>
      <c r="K128" s="488" t="s">
        <v>1165</v>
      </c>
      <c r="L128" s="484">
        <v>2016</v>
      </c>
      <c r="M128" s="825">
        <v>1.3624876072368007E-2</v>
      </c>
      <c r="N128" s="487">
        <v>9510</v>
      </c>
      <c r="O128" s="487">
        <v>697988</v>
      </c>
      <c r="P128" s="826">
        <v>2.1652265569657395E-2</v>
      </c>
      <c r="Q128" s="826">
        <v>1.4808569945279902E-2</v>
      </c>
      <c r="R128" s="826">
        <v>2.948821810769932E-3</v>
      </c>
      <c r="S128" s="824">
        <v>6.9596880192404446E-4</v>
      </c>
      <c r="T128" s="824">
        <v>6.9596880192404446E-4</v>
      </c>
      <c r="U128" s="824">
        <v>6.9596880192404446E-4</v>
      </c>
      <c r="V128" s="824">
        <v>2.0879064057721334E-3</v>
      </c>
      <c r="W128" s="824">
        <v>1.4383271192590491E-3</v>
      </c>
      <c r="X128" s="826">
        <v>2.8540591007818294E-3</v>
      </c>
      <c r="Y128" s="486">
        <v>5015.6521122364675</v>
      </c>
      <c r="Z128" s="486">
        <v>1757375</v>
      </c>
      <c r="AA128" s="485" t="s">
        <v>1231</v>
      </c>
      <c r="AB128" s="485" t="s">
        <v>1232</v>
      </c>
      <c r="AC128" s="485" t="s">
        <v>1233</v>
      </c>
    </row>
    <row r="129" spans="1:29" ht="18.75" customHeight="1">
      <c r="A129" s="484">
        <v>122</v>
      </c>
      <c r="B129" s="484" t="s">
        <v>985</v>
      </c>
      <c r="C129" s="484" t="s">
        <v>1208</v>
      </c>
      <c r="D129" s="484" t="s">
        <v>1209</v>
      </c>
      <c r="E129" s="484" t="s">
        <v>1227</v>
      </c>
      <c r="F129" s="490" t="s">
        <v>1098</v>
      </c>
      <c r="G129" s="490" t="s">
        <v>1228</v>
      </c>
      <c r="H129" s="490" t="s">
        <v>968</v>
      </c>
      <c r="I129" s="489" t="s">
        <v>1229</v>
      </c>
      <c r="J129" s="489" t="s">
        <v>1234</v>
      </c>
      <c r="K129" s="488" t="s">
        <v>1165</v>
      </c>
      <c r="L129" s="484">
        <v>2016</v>
      </c>
      <c r="M129" s="823">
        <v>50.942610555635461</v>
      </c>
      <c r="N129" s="487">
        <v>35557330.856506884</v>
      </c>
      <c r="O129" s="487">
        <v>697988</v>
      </c>
      <c r="P129" s="824">
        <v>319.40485446238733</v>
      </c>
      <c r="Q129" s="824">
        <v>73.543515424279249</v>
      </c>
      <c r="R129" s="824">
        <v>14.339044542545555</v>
      </c>
      <c r="S129" s="824">
        <v>2.687850472946804</v>
      </c>
      <c r="T129" s="824">
        <v>2.687850472946804</v>
      </c>
      <c r="U129" s="824">
        <v>2.687850472946804</v>
      </c>
      <c r="V129" s="824">
        <v>8.0635514188404116</v>
      </c>
      <c r="W129" s="824">
        <v>5.5548585181761796</v>
      </c>
      <c r="X129" s="824">
        <v>12.896013260205343</v>
      </c>
      <c r="Y129" s="486">
        <v>22663131.303153366</v>
      </c>
      <c r="Z129" s="486">
        <v>1757375</v>
      </c>
      <c r="AA129" s="485" t="s">
        <v>1231</v>
      </c>
      <c r="AB129" s="485" t="s">
        <v>1232</v>
      </c>
      <c r="AC129" s="485" t="s">
        <v>1233</v>
      </c>
    </row>
    <row r="130" spans="1:29" ht="18.75" customHeight="1">
      <c r="A130" s="484">
        <v>123</v>
      </c>
      <c r="B130" s="484" t="s">
        <v>985</v>
      </c>
      <c r="C130" s="484" t="s">
        <v>1208</v>
      </c>
      <c r="D130" s="484" t="s">
        <v>1209</v>
      </c>
      <c r="E130" s="484" t="s">
        <v>1227</v>
      </c>
      <c r="F130" s="490" t="s">
        <v>1100</v>
      </c>
      <c r="G130" s="490" t="s">
        <v>1228</v>
      </c>
      <c r="H130" s="490" t="s">
        <v>968</v>
      </c>
      <c r="I130" s="489" t="s">
        <v>1229</v>
      </c>
      <c r="J130" s="489" t="s">
        <v>1235</v>
      </c>
      <c r="K130" s="488" t="s">
        <v>1165</v>
      </c>
      <c r="L130" s="484">
        <v>2016</v>
      </c>
      <c r="M130" s="825">
        <v>0.36805217281672464</v>
      </c>
      <c r="N130" s="487">
        <v>256896</v>
      </c>
      <c r="O130" s="487">
        <v>697988</v>
      </c>
      <c r="P130" s="826">
        <v>3.2443501980356029</v>
      </c>
      <c r="Q130" s="826">
        <v>11.003124810608076</v>
      </c>
      <c r="R130" s="826">
        <v>0.37542218811926098</v>
      </c>
      <c r="S130" s="824">
        <v>1.7681704846285007E-2</v>
      </c>
      <c r="T130" s="824">
        <v>1.7681704846285007E-2</v>
      </c>
      <c r="U130" s="824">
        <v>1.7681704846285007E-2</v>
      </c>
      <c r="V130" s="824">
        <v>5.304511453885502E-2</v>
      </c>
      <c r="W130" s="824">
        <v>3.654197648635614E-2</v>
      </c>
      <c r="X130" s="826">
        <v>0.33100778031033939</v>
      </c>
      <c r="Y130" s="486">
        <v>581704.79792288272</v>
      </c>
      <c r="Z130" s="486">
        <v>1757375</v>
      </c>
      <c r="AA130" s="485" t="s">
        <v>1231</v>
      </c>
      <c r="AB130" s="485" t="s">
        <v>1232</v>
      </c>
      <c r="AC130" s="485" t="s">
        <v>1233</v>
      </c>
    </row>
    <row r="131" spans="1:29" ht="18.75" customHeight="1">
      <c r="A131" s="484">
        <v>124</v>
      </c>
      <c r="B131" s="484" t="s">
        <v>985</v>
      </c>
      <c r="C131" s="484" t="s">
        <v>1208</v>
      </c>
      <c r="D131" s="484" t="s">
        <v>1236</v>
      </c>
      <c r="E131" s="484" t="s">
        <v>1237</v>
      </c>
      <c r="F131" s="490" t="s">
        <v>1127</v>
      </c>
      <c r="G131" s="490" t="s">
        <v>1128</v>
      </c>
      <c r="H131" s="490" t="s">
        <v>968</v>
      </c>
      <c r="I131" s="489" t="s">
        <v>1238</v>
      </c>
      <c r="J131" s="489" t="s">
        <v>1239</v>
      </c>
      <c r="K131" s="488" t="s">
        <v>1165</v>
      </c>
      <c r="L131" s="484">
        <v>2016</v>
      </c>
      <c r="M131" s="828">
        <v>1.784727291138386E-3</v>
      </c>
      <c r="N131" s="487">
        <v>846</v>
      </c>
      <c r="O131" s="487">
        <v>474022</v>
      </c>
      <c r="P131" s="827">
        <v>5.7633289986996103E-4</v>
      </c>
      <c r="Q131" s="827">
        <v>3.4948027582373115E-4</v>
      </c>
      <c r="R131" s="827">
        <v>5.1885327214244914E-3</v>
      </c>
      <c r="S131" s="824">
        <v>3.7685926059003345E-2</v>
      </c>
      <c r="T131" s="824">
        <v>3.7685926059003345E-2</v>
      </c>
      <c r="U131" s="824">
        <v>3.7685926059003345E-2</v>
      </c>
      <c r="V131" s="824">
        <v>0.11305777817701004</v>
      </c>
      <c r="W131" s="824">
        <v>7.7883792082639236E-2</v>
      </c>
      <c r="X131" s="827">
        <v>4.2100299754134251E-3</v>
      </c>
      <c r="Y131" s="486">
        <v>2125</v>
      </c>
      <c r="Z131" s="486">
        <v>504747</v>
      </c>
      <c r="AA131" s="485" t="s">
        <v>1240</v>
      </c>
      <c r="AB131" s="485" t="s">
        <v>1241</v>
      </c>
      <c r="AC131" s="485" t="s">
        <v>1242</v>
      </c>
    </row>
    <row r="132" spans="1:29" ht="18.75" customHeight="1">
      <c r="A132" s="484">
        <v>125</v>
      </c>
      <c r="B132" s="484" t="s">
        <v>985</v>
      </c>
      <c r="C132" s="484" t="s">
        <v>1208</v>
      </c>
      <c r="D132" s="484" t="s">
        <v>1236</v>
      </c>
      <c r="E132" s="484" t="s">
        <v>1243</v>
      </c>
      <c r="F132" s="490" t="s">
        <v>1127</v>
      </c>
      <c r="G132" s="490" t="s">
        <v>1128</v>
      </c>
      <c r="H132" s="490" t="s">
        <v>968</v>
      </c>
      <c r="I132" s="489" t="s">
        <v>1238</v>
      </c>
      <c r="J132" s="489" t="s">
        <v>1244</v>
      </c>
      <c r="K132" s="488" t="s">
        <v>1165</v>
      </c>
      <c r="L132" s="484">
        <v>2016</v>
      </c>
      <c r="M132" s="828">
        <v>1.5543325580859833E-3</v>
      </c>
      <c r="N132" s="487">
        <v>675</v>
      </c>
      <c r="O132" s="487">
        <v>434270</v>
      </c>
      <c r="P132" s="827">
        <v>1.6561512406387753E-4</v>
      </c>
      <c r="Q132" s="827">
        <v>8.2360588010079149E-5</v>
      </c>
      <c r="R132" s="827">
        <v>4.6253895407677584E-3</v>
      </c>
      <c r="S132" s="824">
        <v>3.7685926059003345E-2</v>
      </c>
      <c r="T132" s="824">
        <v>3.7685926059003345E-2</v>
      </c>
      <c r="U132" s="824">
        <v>3.7685926059003345E-2</v>
      </c>
      <c r="V132" s="824">
        <v>0.11305777817701004</v>
      </c>
      <c r="W132" s="824">
        <v>7.7883792082639236E-2</v>
      </c>
      <c r="X132" s="827">
        <v>3.9306821041036402E-3</v>
      </c>
      <c r="Y132" s="486">
        <v>1984</v>
      </c>
      <c r="Z132" s="486">
        <v>504747</v>
      </c>
      <c r="AA132" s="485" t="s">
        <v>1245</v>
      </c>
      <c r="AB132" s="485" t="s">
        <v>1246</v>
      </c>
      <c r="AC132" s="485" t="s">
        <v>1247</v>
      </c>
    </row>
    <row r="133" spans="1:29" ht="18.75" customHeight="1">
      <c r="A133" s="484">
        <v>126</v>
      </c>
      <c r="B133" s="484" t="s">
        <v>985</v>
      </c>
      <c r="C133" s="484" t="s">
        <v>1208</v>
      </c>
      <c r="D133" s="484" t="s">
        <v>1236</v>
      </c>
      <c r="E133" s="484" t="s">
        <v>1248</v>
      </c>
      <c r="F133" s="490" t="s">
        <v>1127</v>
      </c>
      <c r="G133" s="490" t="s">
        <v>1249</v>
      </c>
      <c r="H133" s="490" t="s">
        <v>968</v>
      </c>
      <c r="I133" s="489" t="s">
        <v>1250</v>
      </c>
      <c r="J133" s="489" t="s">
        <v>1251</v>
      </c>
      <c r="K133" s="488" t="s">
        <v>1165</v>
      </c>
      <c r="L133" s="484">
        <v>2016</v>
      </c>
      <c r="M133" s="828">
        <v>1.4239845408019038E-3</v>
      </c>
      <c r="N133" s="487">
        <v>558225</v>
      </c>
      <c r="O133" s="487">
        <v>392016194</v>
      </c>
      <c r="P133" s="827">
        <v>1.6561512406387753E-4</v>
      </c>
      <c r="Q133" s="827">
        <v>8.2360588010079149E-5</v>
      </c>
      <c r="R133" s="827">
        <v>4.6253895407677584E-3</v>
      </c>
      <c r="S133" s="824">
        <v>3.7685926059003345E-2</v>
      </c>
      <c r="T133" s="824">
        <v>3.7685926059003345E-2</v>
      </c>
      <c r="U133" s="824">
        <v>3.7685926059003345E-2</v>
      </c>
      <c r="V133" s="824">
        <v>0.11305777817701004</v>
      </c>
      <c r="W133" s="824">
        <v>7.7883792082639236E-2</v>
      </c>
      <c r="X133" s="827">
        <v>3.9306821041036402E-3</v>
      </c>
      <c r="Y133" s="486">
        <v>1640768</v>
      </c>
      <c r="Z133" s="486">
        <v>417425769</v>
      </c>
      <c r="AA133" s="485" t="s">
        <v>1252</v>
      </c>
      <c r="AB133" s="485"/>
      <c r="AC133" s="485" t="s">
        <v>1253</v>
      </c>
    </row>
    <row r="134" spans="1:29" ht="18.75" customHeight="1">
      <c r="A134" s="484">
        <v>127</v>
      </c>
      <c r="B134" s="484" t="s">
        <v>985</v>
      </c>
      <c r="C134" s="484" t="s">
        <v>1208</v>
      </c>
      <c r="D134" s="484" t="s">
        <v>1236</v>
      </c>
      <c r="E134" s="484" t="s">
        <v>1254</v>
      </c>
      <c r="F134" s="490" t="s">
        <v>1127</v>
      </c>
      <c r="G134" s="490" t="s">
        <v>1133</v>
      </c>
      <c r="H134" s="490" t="s">
        <v>968</v>
      </c>
      <c r="I134" s="489" t="s">
        <v>1134</v>
      </c>
      <c r="J134" s="489" t="s">
        <v>1134</v>
      </c>
      <c r="K134" s="488" t="s">
        <v>1165</v>
      </c>
      <c r="L134" s="484">
        <v>2016</v>
      </c>
      <c r="M134" s="828">
        <v>2.4184587227923395E-3</v>
      </c>
      <c r="N134" s="487">
        <v>74</v>
      </c>
      <c r="O134" s="487">
        <v>30598</v>
      </c>
      <c r="P134" s="827">
        <v>3.2623234267445275E-4</v>
      </c>
      <c r="Q134" s="827">
        <v>2.6106252447461169E-4</v>
      </c>
      <c r="R134" s="827">
        <v>2.9874009611637873E-3</v>
      </c>
      <c r="S134" s="824">
        <v>2.563167023549051E-3</v>
      </c>
      <c r="T134" s="824">
        <v>2.563167023549051E-3</v>
      </c>
      <c r="U134" s="824">
        <v>2.563167023549051E-3</v>
      </c>
      <c r="V134" s="824">
        <v>7.6895010706471527E-3</v>
      </c>
      <c r="W134" s="824">
        <v>5.297180895133642E-3</v>
      </c>
      <c r="X134" s="827">
        <v>3.2559502490801943E-5</v>
      </c>
      <c r="Y134" s="486">
        <v>1</v>
      </c>
      <c r="Z134" s="486">
        <v>30713</v>
      </c>
      <c r="AA134" s="485" t="s">
        <v>1255</v>
      </c>
      <c r="AB134" s="485" t="s">
        <v>1136</v>
      </c>
      <c r="AC134" s="485"/>
    </row>
    <row r="135" spans="1:29" ht="18.75" customHeight="1">
      <c r="A135" s="484">
        <v>128</v>
      </c>
      <c r="B135" s="484" t="s">
        <v>985</v>
      </c>
      <c r="C135" s="484" t="s">
        <v>1208</v>
      </c>
      <c r="D135" s="484" t="s">
        <v>1236</v>
      </c>
      <c r="E135" s="484" t="s">
        <v>1137</v>
      </c>
      <c r="F135" s="490" t="s">
        <v>1127</v>
      </c>
      <c r="G135" s="490" t="s">
        <v>1138</v>
      </c>
      <c r="H135" s="490" t="s">
        <v>968</v>
      </c>
      <c r="I135" s="489" t="s">
        <v>1139</v>
      </c>
      <c r="J135" s="489" t="s">
        <v>1256</v>
      </c>
      <c r="K135" s="488" t="s">
        <v>1165</v>
      </c>
      <c r="L135" s="484">
        <v>2016</v>
      </c>
      <c r="M135" s="828">
        <v>1.7736248999632297E-3</v>
      </c>
      <c r="N135" s="487">
        <v>82</v>
      </c>
      <c r="O135" s="487">
        <v>46233</v>
      </c>
      <c r="P135" s="827">
        <v>1.5955749388362939E-4</v>
      </c>
      <c r="Q135" s="827">
        <v>1.0761366693570084E-4</v>
      </c>
      <c r="R135" s="827">
        <v>2.2228448678434671E-3</v>
      </c>
      <c r="S135" s="824">
        <v>2.563167023549051E-3</v>
      </c>
      <c r="T135" s="824">
        <v>2.563167023549051E-3</v>
      </c>
      <c r="U135" s="824">
        <v>2.563167023549051E-3</v>
      </c>
      <c r="V135" s="824">
        <v>7.6895010706471527E-3</v>
      </c>
      <c r="W135" s="824">
        <v>5.297180895133642E-3</v>
      </c>
      <c r="X135" s="827">
        <v>5.8146036005814602E-3</v>
      </c>
      <c r="Y135" s="486">
        <v>312</v>
      </c>
      <c r="Z135" s="486">
        <v>53658</v>
      </c>
      <c r="AA135" s="485" t="s">
        <v>1257</v>
      </c>
      <c r="AB135" s="485" t="s">
        <v>1141</v>
      </c>
      <c r="AC135" s="485" t="s">
        <v>1258</v>
      </c>
    </row>
    <row r="136" spans="1:29" ht="18.75" customHeight="1">
      <c r="A136" s="484">
        <v>129</v>
      </c>
      <c r="B136" s="484" t="s">
        <v>985</v>
      </c>
      <c r="C136" s="484" t="s">
        <v>1208</v>
      </c>
      <c r="D136" s="484" t="s">
        <v>1259</v>
      </c>
      <c r="E136" s="484" t="s">
        <v>1260</v>
      </c>
      <c r="F136" s="490" t="s">
        <v>1127</v>
      </c>
      <c r="G136" s="490" t="s">
        <v>1261</v>
      </c>
      <c r="H136" s="490" t="s">
        <v>968</v>
      </c>
      <c r="I136" s="489" t="s">
        <v>1262</v>
      </c>
      <c r="J136" s="489" t="s">
        <v>1262</v>
      </c>
      <c r="K136" s="488" t="s">
        <v>1165</v>
      </c>
      <c r="L136" s="484">
        <v>2016</v>
      </c>
      <c r="M136" s="828">
        <v>2.3909472531483848E-2</v>
      </c>
      <c r="N136" s="487">
        <v>262</v>
      </c>
      <c r="O136" s="487">
        <v>10958</v>
      </c>
      <c r="P136" s="827">
        <v>2.3909472531483848E-2</v>
      </c>
      <c r="Q136" s="827">
        <v>4.7545172476729333E-2</v>
      </c>
      <c r="R136" s="827">
        <v>8.2588063515240007E-2</v>
      </c>
      <c r="S136" s="824">
        <v>1.0628323603292654E-2</v>
      </c>
      <c r="T136" s="824">
        <v>1.0628323603292654E-2</v>
      </c>
      <c r="U136" s="824">
        <v>1.0628323603292654E-2</v>
      </c>
      <c r="V136" s="824">
        <v>3.1884970809877962E-2</v>
      </c>
      <c r="W136" s="824">
        <v>2.1965073762811062E-2</v>
      </c>
      <c r="X136" s="827">
        <v>1.1589706150757438E-2</v>
      </c>
      <c r="Y136" s="486">
        <v>127</v>
      </c>
      <c r="Z136" s="486">
        <v>10958</v>
      </c>
      <c r="AA136" s="498" t="s">
        <v>1263</v>
      </c>
      <c r="AB136" s="485" t="s">
        <v>1264</v>
      </c>
      <c r="AC136" s="485" t="s">
        <v>1265</v>
      </c>
    </row>
    <row r="137" spans="1:29" ht="18.75" customHeight="1">
      <c r="A137" s="484">
        <v>130</v>
      </c>
      <c r="B137" s="484" t="s">
        <v>985</v>
      </c>
      <c r="C137" s="484" t="s">
        <v>1208</v>
      </c>
      <c r="D137" s="484" t="s">
        <v>1259</v>
      </c>
      <c r="E137" s="484" t="s">
        <v>1266</v>
      </c>
      <c r="F137" s="490" t="s">
        <v>1127</v>
      </c>
      <c r="G137" s="490" t="s">
        <v>1267</v>
      </c>
      <c r="H137" s="490" t="s">
        <v>968</v>
      </c>
      <c r="I137" s="489" t="s">
        <v>1268</v>
      </c>
      <c r="J137" s="489" t="s">
        <v>1268</v>
      </c>
      <c r="K137" s="488" t="s">
        <v>1165</v>
      </c>
      <c r="L137" s="484">
        <v>2016</v>
      </c>
      <c r="M137" s="828">
        <v>3.1512605042016806E-2</v>
      </c>
      <c r="N137" s="487">
        <v>45</v>
      </c>
      <c r="O137" s="487">
        <v>1428</v>
      </c>
      <c r="P137" s="827">
        <v>6.9961977186311794E-2</v>
      </c>
      <c r="Q137" s="827">
        <v>8.2892255277727075E-2</v>
      </c>
      <c r="R137" s="827">
        <v>9.2415464143912537E-2</v>
      </c>
      <c r="S137" s="824">
        <v>1.8235122434762659E-2</v>
      </c>
      <c r="T137" s="824">
        <v>1.8235122434762659E-2</v>
      </c>
      <c r="U137" s="824">
        <v>1.8235122434762659E-2</v>
      </c>
      <c r="V137" s="824">
        <v>5.4705367304287975E-2</v>
      </c>
      <c r="W137" s="824">
        <v>3.7685699485981661E-2</v>
      </c>
      <c r="X137" s="827">
        <v>1.2875536480686695E-2</v>
      </c>
      <c r="Y137" s="486">
        <v>15</v>
      </c>
      <c r="Z137" s="486">
        <v>1165</v>
      </c>
      <c r="AA137" s="498" t="s">
        <v>1269</v>
      </c>
      <c r="AB137" s="485" t="s">
        <v>1264</v>
      </c>
      <c r="AC137" s="485" t="s">
        <v>1270</v>
      </c>
    </row>
    <row r="138" spans="1:29" ht="18.75" customHeight="1">
      <c r="A138" s="484">
        <v>131</v>
      </c>
      <c r="B138" s="484" t="s">
        <v>985</v>
      </c>
      <c r="C138" s="484" t="s">
        <v>1208</v>
      </c>
      <c r="D138" s="484" t="s">
        <v>1271</v>
      </c>
      <c r="E138" s="484" t="s">
        <v>1063</v>
      </c>
      <c r="F138" s="490" t="s">
        <v>1064</v>
      </c>
      <c r="G138" s="490" t="s">
        <v>1065</v>
      </c>
      <c r="H138" s="490" t="s">
        <v>968</v>
      </c>
      <c r="I138" s="489" t="s">
        <v>1066</v>
      </c>
      <c r="J138" s="489" t="s">
        <v>1064</v>
      </c>
      <c r="K138" s="488" t="s">
        <v>1165</v>
      </c>
      <c r="L138" s="484">
        <v>2016</v>
      </c>
      <c r="M138" s="823">
        <v>562.91022488755902</v>
      </c>
      <c r="N138" s="487">
        <v>6132094.9760652361</v>
      </c>
      <c r="O138" s="487">
        <v>10893.557631308116</v>
      </c>
      <c r="P138" s="824">
        <v>1143.591522911428</v>
      </c>
      <c r="Q138" s="824">
        <v>1065.2143373617291</v>
      </c>
      <c r="R138" s="824">
        <v>792.43577081304625</v>
      </c>
      <c r="S138" s="824">
        <v>587.08961251266157</v>
      </c>
      <c r="T138" s="824">
        <v>587.08961251266157</v>
      </c>
      <c r="U138" s="824">
        <v>587.08961251266157</v>
      </c>
      <c r="V138" s="824">
        <v>1761.2688375379848</v>
      </c>
      <c r="W138" s="824">
        <v>1168.3083289001966</v>
      </c>
      <c r="X138" s="824">
        <v>568.14453336652525</v>
      </c>
      <c r="Y138" s="486">
        <v>2849812.9793664906</v>
      </c>
      <c r="Z138" s="486">
        <v>5016</v>
      </c>
      <c r="AA138" s="485" t="s">
        <v>1144</v>
      </c>
      <c r="AB138" s="485" t="s">
        <v>1145</v>
      </c>
      <c r="AC138" s="485"/>
    </row>
    <row r="139" spans="1:29" ht="18.75" customHeight="1">
      <c r="A139" s="484">
        <v>132</v>
      </c>
      <c r="B139" s="484" t="s">
        <v>985</v>
      </c>
      <c r="C139" s="484" t="s">
        <v>1208</v>
      </c>
      <c r="D139" s="484" t="s">
        <v>1271</v>
      </c>
      <c r="E139" s="484" t="s">
        <v>1063</v>
      </c>
      <c r="F139" s="490" t="s">
        <v>1069</v>
      </c>
      <c r="G139" s="490" t="s">
        <v>1065</v>
      </c>
      <c r="H139" s="490" t="s">
        <v>968</v>
      </c>
      <c r="I139" s="489" t="s">
        <v>1066</v>
      </c>
      <c r="J139" s="489" t="s">
        <v>1069</v>
      </c>
      <c r="K139" s="488" t="s">
        <v>1165</v>
      </c>
      <c r="L139" s="484">
        <v>2016</v>
      </c>
      <c r="M139" s="825">
        <v>0.15063111798501147</v>
      </c>
      <c r="N139" s="487">
        <v>6132094.9760652361</v>
      </c>
      <c r="O139" s="487">
        <v>40709350.485438272</v>
      </c>
      <c r="P139" s="826">
        <v>0.11987818387498918</v>
      </c>
      <c r="Q139" s="826">
        <v>0.21265814916531481</v>
      </c>
      <c r="R139" s="826">
        <v>0.15604863705382885</v>
      </c>
      <c r="S139" s="824">
        <v>0.1527043528777331</v>
      </c>
      <c r="T139" s="824">
        <v>0.1527043528777331</v>
      </c>
      <c r="U139" s="824">
        <v>0.1527043528777331</v>
      </c>
      <c r="V139" s="824">
        <v>0.45811305863319929</v>
      </c>
      <c r="W139" s="824">
        <v>0.30388166222668889</v>
      </c>
      <c r="X139" s="826">
        <v>0.12574665615470207</v>
      </c>
      <c r="Y139" s="486">
        <v>2849812.9793664906</v>
      </c>
      <c r="Z139" s="486">
        <v>22663131.303153358</v>
      </c>
      <c r="AA139" s="485" t="s">
        <v>1147</v>
      </c>
      <c r="AB139" s="485" t="s">
        <v>1145</v>
      </c>
      <c r="AC139" s="485"/>
    </row>
    <row r="140" spans="1:29" ht="18.75" customHeight="1">
      <c r="A140" s="484">
        <v>133</v>
      </c>
      <c r="B140" s="484" t="s">
        <v>985</v>
      </c>
      <c r="C140" s="484" t="s">
        <v>1208</v>
      </c>
      <c r="D140" s="484" t="s">
        <v>1271</v>
      </c>
      <c r="E140" s="484" t="s">
        <v>1063</v>
      </c>
      <c r="F140" s="490" t="s">
        <v>1071</v>
      </c>
      <c r="G140" s="490" t="s">
        <v>1065</v>
      </c>
      <c r="H140" s="490" t="s">
        <v>968</v>
      </c>
      <c r="I140" s="489" t="s">
        <v>1066</v>
      </c>
      <c r="J140" s="489" t="s">
        <v>1071</v>
      </c>
      <c r="K140" s="488" t="s">
        <v>1165</v>
      </c>
      <c r="L140" s="484">
        <v>2016</v>
      </c>
      <c r="M140" s="825">
        <v>0.95696816915946536</v>
      </c>
      <c r="N140" s="487">
        <v>417823.59033476323</v>
      </c>
      <c r="O140" s="487">
        <v>436611.79525098577</v>
      </c>
      <c r="P140" s="826">
        <v>0.96858686993274801</v>
      </c>
      <c r="Q140" s="826">
        <v>-5.9101710527065938</v>
      </c>
      <c r="R140" s="826">
        <v>1.5369808598382564</v>
      </c>
      <c r="S140" s="824">
        <v>0.98469522173561042</v>
      </c>
      <c r="T140" s="824">
        <v>0.98469522173561042</v>
      </c>
      <c r="U140" s="824">
        <v>0.98469522173561042</v>
      </c>
      <c r="V140" s="824">
        <v>2.954085665206831</v>
      </c>
      <c r="W140" s="824">
        <v>1.9595434912538647</v>
      </c>
      <c r="X140" s="826">
        <v>1.0939585071675992</v>
      </c>
      <c r="Y140" s="486">
        <v>636360.9123479469</v>
      </c>
      <c r="Z140" s="486">
        <v>581704.79792288283</v>
      </c>
      <c r="AA140" s="485" t="s">
        <v>1146</v>
      </c>
      <c r="AB140" s="485" t="s">
        <v>1145</v>
      </c>
      <c r="AC140" s="485"/>
    </row>
    <row r="141" spans="1:29" ht="18.75" customHeight="1">
      <c r="A141" s="484">
        <v>134</v>
      </c>
      <c r="B141" s="484" t="s">
        <v>985</v>
      </c>
      <c r="C141" s="484" t="s">
        <v>1208</v>
      </c>
      <c r="D141" s="484" t="s">
        <v>1271</v>
      </c>
      <c r="E141" s="484" t="s">
        <v>1063</v>
      </c>
      <c r="F141" s="490" t="s">
        <v>1073</v>
      </c>
      <c r="G141" s="490" t="s">
        <v>1065</v>
      </c>
      <c r="H141" s="490" t="s">
        <v>968</v>
      </c>
      <c r="I141" s="489" t="s">
        <v>1066</v>
      </c>
      <c r="J141" s="489" t="s">
        <v>1073</v>
      </c>
      <c r="K141" s="488" t="s">
        <v>1165</v>
      </c>
      <c r="L141" s="484">
        <v>2016</v>
      </c>
      <c r="M141" s="823">
        <v>694.25857685114306</v>
      </c>
      <c r="N141" s="487">
        <v>7562945.8179578818</v>
      </c>
      <c r="O141" s="487">
        <v>10893.557631308116</v>
      </c>
      <c r="P141" s="824">
        <v>1404.4703619909544</v>
      </c>
      <c r="Q141" s="824">
        <v>1217.9598725917929</v>
      </c>
      <c r="R141" s="824">
        <v>825.28937287500628</v>
      </c>
      <c r="S141" s="824">
        <v>716.45269077123089</v>
      </c>
      <c r="T141" s="824">
        <v>716.45269077123089</v>
      </c>
      <c r="U141" s="824">
        <v>716.45269077123089</v>
      </c>
      <c r="V141" s="824">
        <v>2149.3580723136929</v>
      </c>
      <c r="W141" s="824">
        <v>1425.7408546347494</v>
      </c>
      <c r="X141" s="824">
        <v>584.35540495313512</v>
      </c>
      <c r="Y141" s="486">
        <v>2930923.4211499877</v>
      </c>
      <c r="Z141" s="486">
        <v>5015.6521122364666</v>
      </c>
      <c r="AA141" s="485" t="s">
        <v>1272</v>
      </c>
      <c r="AB141" s="485" t="s">
        <v>1145</v>
      </c>
      <c r="AC141" s="485"/>
    </row>
    <row r="142" spans="1:29" ht="18.75" customHeight="1">
      <c r="A142" s="484">
        <v>135</v>
      </c>
      <c r="B142" s="484" t="s">
        <v>985</v>
      </c>
      <c r="C142" s="484" t="s">
        <v>1208</v>
      </c>
      <c r="D142" s="484" t="s">
        <v>1271</v>
      </c>
      <c r="E142" s="484" t="s">
        <v>1063</v>
      </c>
      <c r="F142" s="490" t="s">
        <v>1075</v>
      </c>
      <c r="G142" s="490" t="s">
        <v>1065</v>
      </c>
      <c r="H142" s="490" t="s">
        <v>968</v>
      </c>
      <c r="I142" s="489" t="s">
        <v>1066</v>
      </c>
      <c r="J142" s="489" t="s">
        <v>1075</v>
      </c>
      <c r="K142" s="488" t="s">
        <v>1165</v>
      </c>
      <c r="L142" s="484">
        <v>2016</v>
      </c>
      <c r="M142" s="825">
        <v>0.18577908337454674</v>
      </c>
      <c r="N142" s="487">
        <v>7562945.8179578818</v>
      </c>
      <c r="O142" s="487">
        <v>40709350.485438272</v>
      </c>
      <c r="P142" s="826">
        <v>0.14722508249544294</v>
      </c>
      <c r="Q142" s="826">
        <v>0.24315208984559331</v>
      </c>
      <c r="R142" s="826">
        <v>0.16251825896251382</v>
      </c>
      <c r="S142" s="824">
        <v>0.18635220617086276</v>
      </c>
      <c r="T142" s="824">
        <v>0.18635220617086276</v>
      </c>
      <c r="U142" s="824">
        <v>0.18635220617086276</v>
      </c>
      <c r="V142" s="824">
        <v>0.55905661851258825</v>
      </c>
      <c r="W142" s="824">
        <v>0.37084089028001688</v>
      </c>
      <c r="X142" s="826">
        <v>0.12932561621536287</v>
      </c>
      <c r="Y142" s="486">
        <v>2930923.4211499877</v>
      </c>
      <c r="Z142" s="486">
        <v>22663131.303153358</v>
      </c>
      <c r="AA142" s="485" t="s">
        <v>1273</v>
      </c>
      <c r="AB142" s="485" t="s">
        <v>1145</v>
      </c>
      <c r="AC142" s="485"/>
    </row>
    <row r="143" spans="1:29" ht="18.75" customHeight="1">
      <c r="A143" s="484">
        <v>136</v>
      </c>
      <c r="B143" s="484" t="s">
        <v>985</v>
      </c>
      <c r="C143" s="484" t="s">
        <v>1208</v>
      </c>
      <c r="D143" s="484" t="s">
        <v>1271</v>
      </c>
      <c r="E143" s="484" t="s">
        <v>1063</v>
      </c>
      <c r="F143" s="490" t="s">
        <v>1077</v>
      </c>
      <c r="G143" s="490" t="s">
        <v>1065</v>
      </c>
      <c r="H143" s="490" t="s">
        <v>968</v>
      </c>
      <c r="I143" s="489" t="s">
        <v>1066</v>
      </c>
      <c r="J143" s="489" t="s">
        <v>1077</v>
      </c>
      <c r="K143" s="488" t="s">
        <v>1165</v>
      </c>
      <c r="L143" s="484">
        <v>2016</v>
      </c>
      <c r="M143" s="825">
        <v>1.1802652178599251</v>
      </c>
      <c r="N143" s="487">
        <v>515317.71564211778</v>
      </c>
      <c r="O143" s="487">
        <v>436611.79525098577</v>
      </c>
      <c r="P143" s="826">
        <v>1.1895432281369684</v>
      </c>
      <c r="Q143" s="826">
        <v>1.626305568224182</v>
      </c>
      <c r="R143" s="826">
        <v>1.6007025637363108</v>
      </c>
      <c r="S143" s="824">
        <v>1.2016692616697195</v>
      </c>
      <c r="T143" s="824">
        <v>1.2016692616697195</v>
      </c>
      <c r="U143" s="824">
        <v>1.2016692616697195</v>
      </c>
      <c r="V143" s="824">
        <v>3.6050077850091586</v>
      </c>
      <c r="W143" s="824">
        <v>2.3913218307227417</v>
      </c>
      <c r="X143" s="826">
        <v>1.1250943951895929</v>
      </c>
      <c r="Y143" s="486">
        <v>654472.8077979302</v>
      </c>
      <c r="Z143" s="486">
        <v>581704.79792288283</v>
      </c>
      <c r="AA143" s="485" t="s">
        <v>1150</v>
      </c>
      <c r="AB143" s="485" t="s">
        <v>1145</v>
      </c>
      <c r="AC143" s="485"/>
    </row>
    <row r="144" spans="1:29" ht="18.75" customHeight="1">
      <c r="A144" s="484">
        <v>137</v>
      </c>
      <c r="B144" s="484" t="s">
        <v>985</v>
      </c>
      <c r="C144" s="484" t="s">
        <v>1208</v>
      </c>
      <c r="D144" s="484" t="s">
        <v>1274</v>
      </c>
      <c r="E144" s="484" t="s">
        <v>1275</v>
      </c>
      <c r="F144" s="490" t="s">
        <v>1153</v>
      </c>
      <c r="G144" s="490" t="s">
        <v>1276</v>
      </c>
      <c r="H144" s="490" t="s">
        <v>1155</v>
      </c>
      <c r="I144" s="489" t="s">
        <v>1277</v>
      </c>
      <c r="J144" s="489" t="s">
        <v>1278</v>
      </c>
      <c r="K144" s="488" t="s">
        <v>1165</v>
      </c>
      <c r="L144" s="484" t="s">
        <v>994</v>
      </c>
      <c r="M144" s="497" t="s">
        <v>994</v>
      </c>
      <c r="N144" s="497" t="s">
        <v>994</v>
      </c>
      <c r="O144" s="497" t="s">
        <v>994</v>
      </c>
      <c r="P144" s="497" t="s">
        <v>994</v>
      </c>
      <c r="Q144" s="824">
        <v>11337.076056072163</v>
      </c>
      <c r="R144" s="824">
        <v>19111.341880527707</v>
      </c>
      <c r="S144" s="824" t="s">
        <v>1158</v>
      </c>
      <c r="T144" s="824" t="s">
        <v>1158</v>
      </c>
      <c r="U144" s="824" t="s">
        <v>1158</v>
      </c>
      <c r="V144" s="824" t="s">
        <v>1158</v>
      </c>
      <c r="W144" s="824" t="s">
        <v>1158</v>
      </c>
      <c r="X144" s="824">
        <v>20105.600659819589</v>
      </c>
      <c r="Y144" s="486">
        <v>9355296831.819334</v>
      </c>
      <c r="Z144" s="486">
        <v>465308</v>
      </c>
      <c r="AA144" s="485" t="s">
        <v>1279</v>
      </c>
      <c r="AB144" s="485"/>
      <c r="AC144" s="485" t="s">
        <v>1280</v>
      </c>
    </row>
    <row r="145" spans="1:29" ht="18.75" customHeight="1">
      <c r="A145" s="484">
        <v>138</v>
      </c>
      <c r="B145" s="484" t="s">
        <v>985</v>
      </c>
      <c r="C145" s="484" t="s">
        <v>1208</v>
      </c>
      <c r="D145" s="484" t="s">
        <v>1274</v>
      </c>
      <c r="E145" s="484" t="s">
        <v>1281</v>
      </c>
      <c r="F145" s="490" t="s">
        <v>1153</v>
      </c>
      <c r="G145" s="490" t="s">
        <v>1282</v>
      </c>
      <c r="H145" s="490" t="s">
        <v>1155</v>
      </c>
      <c r="I145" s="489" t="s">
        <v>1283</v>
      </c>
      <c r="J145" s="489" t="s">
        <v>1284</v>
      </c>
      <c r="K145" s="488" t="s">
        <v>1165</v>
      </c>
      <c r="L145" s="484" t="s">
        <v>994</v>
      </c>
      <c r="M145" s="497" t="s">
        <v>994</v>
      </c>
      <c r="N145" s="497" t="s">
        <v>994</v>
      </c>
      <c r="O145" s="497" t="s">
        <v>994</v>
      </c>
      <c r="P145" s="497" t="s">
        <v>994</v>
      </c>
      <c r="Q145" s="824">
        <v>13.708677214113861</v>
      </c>
      <c r="R145" s="824">
        <v>23.109240484314036</v>
      </c>
      <c r="S145" s="824" t="s">
        <v>1158</v>
      </c>
      <c r="T145" s="824" t="s">
        <v>1158</v>
      </c>
      <c r="U145" s="824" t="s">
        <v>1158</v>
      </c>
      <c r="V145" s="824" t="s">
        <v>1158</v>
      </c>
      <c r="W145" s="824" t="s">
        <v>1158</v>
      </c>
      <c r="X145" s="824">
        <v>24.311488101353799</v>
      </c>
      <c r="Y145" s="486">
        <v>9355296831.819334</v>
      </c>
      <c r="Z145" s="486">
        <v>384809716</v>
      </c>
      <c r="AA145" s="485" t="s">
        <v>1285</v>
      </c>
      <c r="AB145" s="485"/>
      <c r="AC145" s="485" t="s">
        <v>1286</v>
      </c>
    </row>
    <row r="146" spans="1:29" ht="18.75" customHeight="1">
      <c r="A146" s="484">
        <v>139</v>
      </c>
      <c r="B146" s="484" t="s">
        <v>985</v>
      </c>
      <c r="C146" s="484" t="s">
        <v>1287</v>
      </c>
      <c r="D146" s="484" t="s">
        <v>1288</v>
      </c>
      <c r="E146" s="484" t="s">
        <v>999</v>
      </c>
      <c r="F146" s="490" t="s">
        <v>1289</v>
      </c>
      <c r="G146" s="490" t="s">
        <v>1001</v>
      </c>
      <c r="H146" s="490" t="s">
        <v>968</v>
      </c>
      <c r="I146" s="489" t="s">
        <v>1002</v>
      </c>
      <c r="J146" s="489" t="s">
        <v>1000</v>
      </c>
      <c r="K146" s="488" t="s">
        <v>1290</v>
      </c>
      <c r="L146" s="484">
        <v>2016</v>
      </c>
      <c r="M146" s="823">
        <v>20942.4105399621</v>
      </c>
      <c r="N146" s="484" t="s">
        <v>994</v>
      </c>
      <c r="O146" s="484" t="s">
        <v>994</v>
      </c>
      <c r="P146" s="824">
        <v>18761.921947046667</v>
      </c>
      <c r="Q146" s="824">
        <v>17977.164602045003</v>
      </c>
      <c r="R146" s="824">
        <v>6510.3059570831938</v>
      </c>
      <c r="S146" s="824">
        <v>20052.897097934729</v>
      </c>
      <c r="T146" s="824">
        <v>20052.897097934729</v>
      </c>
      <c r="U146" s="824">
        <v>20052.897097934729</v>
      </c>
      <c r="V146" s="824">
        <v>60158.691293804186</v>
      </c>
      <c r="W146" s="824">
        <v>41937.099355406484</v>
      </c>
      <c r="X146" s="824">
        <v>45438.025563202362</v>
      </c>
      <c r="Y146" s="486" t="s">
        <v>995</v>
      </c>
      <c r="Z146" s="486" t="s">
        <v>995</v>
      </c>
      <c r="AA146" s="485" t="s">
        <v>1291</v>
      </c>
      <c r="AB146" s="485" t="s">
        <v>1292</v>
      </c>
      <c r="AC146" s="485" t="s">
        <v>1293</v>
      </c>
    </row>
    <row r="147" spans="1:29" ht="18.75" customHeight="1">
      <c r="A147" s="484">
        <v>140</v>
      </c>
      <c r="B147" s="484" t="s">
        <v>985</v>
      </c>
      <c r="C147" s="484" t="s">
        <v>1287</v>
      </c>
      <c r="D147" s="484" t="s">
        <v>1288</v>
      </c>
      <c r="E147" s="484" t="s">
        <v>999</v>
      </c>
      <c r="F147" s="490" t="s">
        <v>1289</v>
      </c>
      <c r="G147" s="490" t="s">
        <v>1001</v>
      </c>
      <c r="H147" s="490" t="s">
        <v>968</v>
      </c>
      <c r="I147" s="489" t="s">
        <v>1002</v>
      </c>
      <c r="J147" s="489" t="s">
        <v>1005</v>
      </c>
      <c r="K147" s="488" t="s">
        <v>1290</v>
      </c>
      <c r="L147" s="484">
        <v>2016</v>
      </c>
      <c r="M147" s="823">
        <v>13928.8118527406</v>
      </c>
      <c r="N147" s="484" t="s">
        <v>994</v>
      </c>
      <c r="O147" s="484" t="s">
        <v>994</v>
      </c>
      <c r="P147" s="824">
        <v>14976.994338750063</v>
      </c>
      <c r="Q147" s="824">
        <v>15325.22723764494</v>
      </c>
      <c r="R147" s="824">
        <v>4797.0181701636484</v>
      </c>
      <c r="S147" s="824">
        <v>12754.842387079609</v>
      </c>
      <c r="T147" s="824">
        <v>12754.842387079609</v>
      </c>
      <c r="U147" s="824">
        <v>12754.842387079609</v>
      </c>
      <c r="V147" s="824">
        <v>38264.527161238824</v>
      </c>
      <c r="W147" s="824">
        <v>26737.606998148458</v>
      </c>
      <c r="X147" s="824">
        <v>44723.25293662685</v>
      </c>
      <c r="Y147" s="486" t="s">
        <v>995</v>
      </c>
      <c r="Z147" s="486" t="s">
        <v>995</v>
      </c>
      <c r="AA147" s="485" t="s">
        <v>1291</v>
      </c>
      <c r="AB147" s="485" t="s">
        <v>1292</v>
      </c>
      <c r="AC147" s="485" t="s">
        <v>1293</v>
      </c>
    </row>
    <row r="148" spans="1:29" ht="18.75" customHeight="1">
      <c r="A148" s="484">
        <v>141</v>
      </c>
      <c r="B148" s="484" t="s">
        <v>985</v>
      </c>
      <c r="C148" s="484" t="s">
        <v>1287</v>
      </c>
      <c r="D148" s="484" t="s">
        <v>1288</v>
      </c>
      <c r="E148" s="484" t="s">
        <v>999</v>
      </c>
      <c r="F148" s="490" t="s">
        <v>1294</v>
      </c>
      <c r="G148" s="490" t="s">
        <v>1001</v>
      </c>
      <c r="H148" s="490" t="s">
        <v>968</v>
      </c>
      <c r="I148" s="489" t="s">
        <v>1002</v>
      </c>
      <c r="J148" s="489" t="s">
        <v>1006</v>
      </c>
      <c r="K148" s="488" t="s">
        <v>1290</v>
      </c>
      <c r="L148" s="484">
        <v>2016</v>
      </c>
      <c r="M148" s="823">
        <v>104208248.482759</v>
      </c>
      <c r="N148" s="484" t="s">
        <v>994</v>
      </c>
      <c r="O148" s="484" t="s">
        <v>994</v>
      </c>
      <c r="P148" s="824">
        <v>88627172.775303721</v>
      </c>
      <c r="Q148" s="824">
        <v>71809803.551935911</v>
      </c>
      <c r="R148" s="824">
        <v>28749606.09597994</v>
      </c>
      <c r="S148" s="824">
        <v>94291378.792599902</v>
      </c>
      <c r="T148" s="824">
        <v>94291378.792599902</v>
      </c>
      <c r="U148" s="824">
        <v>94291378.792599902</v>
      </c>
      <c r="V148" s="824">
        <v>282874136.37779969</v>
      </c>
      <c r="W148" s="824">
        <v>194867710.81518292</v>
      </c>
      <c r="X148" s="824">
        <v>218445474.01682308</v>
      </c>
      <c r="Y148" s="486" t="s">
        <v>995</v>
      </c>
      <c r="Z148" s="486" t="s">
        <v>995</v>
      </c>
      <c r="AA148" s="485" t="s">
        <v>1291</v>
      </c>
      <c r="AB148" s="485" t="s">
        <v>1292</v>
      </c>
      <c r="AC148" s="485" t="s">
        <v>1293</v>
      </c>
    </row>
    <row r="149" spans="1:29" ht="18.75" customHeight="1">
      <c r="A149" s="484">
        <v>142</v>
      </c>
      <c r="B149" s="484" t="s">
        <v>985</v>
      </c>
      <c r="C149" s="484" t="s">
        <v>1287</v>
      </c>
      <c r="D149" s="484" t="s">
        <v>1288</v>
      </c>
      <c r="E149" s="484" t="s">
        <v>999</v>
      </c>
      <c r="F149" s="490" t="s">
        <v>1294</v>
      </c>
      <c r="G149" s="490" t="s">
        <v>1001</v>
      </c>
      <c r="H149" s="490" t="s">
        <v>968</v>
      </c>
      <c r="I149" s="489" t="s">
        <v>1002</v>
      </c>
      <c r="J149" s="489" t="s">
        <v>1007</v>
      </c>
      <c r="K149" s="488" t="s">
        <v>1290</v>
      </c>
      <c r="L149" s="484">
        <v>2016</v>
      </c>
      <c r="M149" s="823">
        <v>68461323.543331504</v>
      </c>
      <c r="N149" s="484" t="s">
        <v>994</v>
      </c>
      <c r="O149" s="484" t="s">
        <v>994</v>
      </c>
      <c r="P149" s="824">
        <v>68056876.459394991</v>
      </c>
      <c r="Q149" s="824">
        <v>60445200.336516038</v>
      </c>
      <c r="R149" s="824">
        <v>22083697.691690225</v>
      </c>
      <c r="S149" s="824">
        <v>58318476.793748207</v>
      </c>
      <c r="T149" s="824">
        <v>58318476.793748207</v>
      </c>
      <c r="U149" s="824">
        <v>58318476.793748207</v>
      </c>
      <c r="V149" s="824">
        <v>174955430.38124463</v>
      </c>
      <c r="W149" s="824">
        <v>120598481.51685461</v>
      </c>
      <c r="X149" s="824">
        <v>214485632.11924869</v>
      </c>
      <c r="Y149" s="486" t="s">
        <v>995</v>
      </c>
      <c r="Z149" s="486" t="s">
        <v>995</v>
      </c>
      <c r="AA149" s="485" t="s">
        <v>1291</v>
      </c>
      <c r="AB149" s="485" t="s">
        <v>1292</v>
      </c>
      <c r="AC149" s="485" t="s">
        <v>1293</v>
      </c>
    </row>
    <row r="150" spans="1:29" ht="18.75" customHeight="1">
      <c r="A150" s="484">
        <v>143</v>
      </c>
      <c r="B150" s="484" t="s">
        <v>985</v>
      </c>
      <c r="C150" s="484" t="s">
        <v>1287</v>
      </c>
      <c r="D150" s="484" t="s">
        <v>1288</v>
      </c>
      <c r="E150" s="484" t="s">
        <v>999</v>
      </c>
      <c r="F150" s="490" t="s">
        <v>1295</v>
      </c>
      <c r="G150" s="490" t="s">
        <v>1001</v>
      </c>
      <c r="H150" s="490" t="s">
        <v>968</v>
      </c>
      <c r="I150" s="489" t="s">
        <v>1002</v>
      </c>
      <c r="J150" s="489" t="s">
        <v>1008</v>
      </c>
      <c r="K150" s="488" t="s">
        <v>1290</v>
      </c>
      <c r="L150" s="484">
        <v>2016</v>
      </c>
      <c r="M150" s="823">
        <v>651631.97110123001</v>
      </c>
      <c r="N150" s="484" t="s">
        <v>994</v>
      </c>
      <c r="O150" s="484" t="s">
        <v>994</v>
      </c>
      <c r="P150" s="824">
        <v>430579.00311940245</v>
      </c>
      <c r="Q150" s="824">
        <v>197407.13417670046</v>
      </c>
      <c r="R150" s="824">
        <v>616067.34714183549</v>
      </c>
      <c r="S150" s="824">
        <v>1067270.5304584501</v>
      </c>
      <c r="T150" s="824">
        <v>1067270.5304584501</v>
      </c>
      <c r="U150" s="824">
        <v>1067270.5304584501</v>
      </c>
      <c r="V150" s="824">
        <v>3201811.59137535</v>
      </c>
      <c r="W150" s="824">
        <v>2307616.2544530788</v>
      </c>
      <c r="X150" s="824">
        <v>864068.43125482777</v>
      </c>
      <c r="Y150" s="486" t="s">
        <v>995</v>
      </c>
      <c r="Z150" s="486" t="s">
        <v>995</v>
      </c>
      <c r="AA150" s="485" t="s">
        <v>1291</v>
      </c>
      <c r="AB150" s="485" t="s">
        <v>1292</v>
      </c>
      <c r="AC150" s="485" t="s">
        <v>1293</v>
      </c>
    </row>
    <row r="151" spans="1:29" ht="18.75" customHeight="1">
      <c r="A151" s="484">
        <v>144</v>
      </c>
      <c r="B151" s="484" t="s">
        <v>985</v>
      </c>
      <c r="C151" s="484" t="s">
        <v>1287</v>
      </c>
      <c r="D151" s="484" t="s">
        <v>1288</v>
      </c>
      <c r="E151" s="484" t="s">
        <v>999</v>
      </c>
      <c r="F151" s="490" t="s">
        <v>1295</v>
      </c>
      <c r="G151" s="490" t="s">
        <v>1001</v>
      </c>
      <c r="H151" s="490" t="s">
        <v>968</v>
      </c>
      <c r="I151" s="489" t="s">
        <v>1002</v>
      </c>
      <c r="J151" s="489" t="s">
        <v>1009</v>
      </c>
      <c r="K151" s="488" t="s">
        <v>1290</v>
      </c>
      <c r="L151" s="484">
        <v>2016</v>
      </c>
      <c r="M151" s="823">
        <v>398717.23456308001</v>
      </c>
      <c r="N151" s="484" t="s">
        <v>994</v>
      </c>
      <c r="O151" s="484" t="s">
        <v>994</v>
      </c>
      <c r="P151" s="824">
        <v>197874.57642467719</v>
      </c>
      <c r="Q151" s="824">
        <v>38041.337353056893</v>
      </c>
      <c r="R151" s="824">
        <v>474473.34083773254</v>
      </c>
      <c r="S151" s="824">
        <v>582666.69684346463</v>
      </c>
      <c r="T151" s="824">
        <v>582666.69684346463</v>
      </c>
      <c r="U151" s="824">
        <v>582666.69684346463</v>
      </c>
      <c r="V151" s="824">
        <v>1748000.0905303939</v>
      </c>
      <c r="W151" s="824">
        <v>1235876.3585157397</v>
      </c>
      <c r="X151" s="824">
        <v>837746.72519605723</v>
      </c>
      <c r="Y151" s="486" t="s">
        <v>995</v>
      </c>
      <c r="Z151" s="486" t="s">
        <v>995</v>
      </c>
      <c r="AA151" s="485" t="s">
        <v>1291</v>
      </c>
      <c r="AB151" s="485" t="s">
        <v>1292</v>
      </c>
      <c r="AC151" s="485" t="s">
        <v>1293</v>
      </c>
    </row>
    <row r="152" spans="1:29" ht="18.75" customHeight="1">
      <c r="A152" s="484">
        <v>145</v>
      </c>
      <c r="B152" s="484" t="s">
        <v>985</v>
      </c>
      <c r="C152" s="484" t="s">
        <v>1287</v>
      </c>
      <c r="D152" s="484" t="s">
        <v>1288</v>
      </c>
      <c r="E152" s="484" t="s">
        <v>999</v>
      </c>
      <c r="F152" s="490" t="s">
        <v>1289</v>
      </c>
      <c r="G152" s="490" t="s">
        <v>1001</v>
      </c>
      <c r="H152" s="490" t="s">
        <v>968</v>
      </c>
      <c r="I152" s="489" t="s">
        <v>1002</v>
      </c>
      <c r="J152" s="489" t="s">
        <v>1010</v>
      </c>
      <c r="K152" s="488" t="s">
        <v>1290</v>
      </c>
      <c r="L152" s="484">
        <v>2016</v>
      </c>
      <c r="M152" s="823">
        <v>224342.18687198</v>
      </c>
      <c r="N152" s="484" t="s">
        <v>994</v>
      </c>
      <c r="O152" s="484" t="s">
        <v>994</v>
      </c>
      <c r="P152" s="824">
        <v>149417.58976452262</v>
      </c>
      <c r="Q152" s="824">
        <v>130331.78629003785</v>
      </c>
      <c r="R152" s="824">
        <v>40559.444891439853</v>
      </c>
      <c r="S152" s="824">
        <v>219568.99472999151</v>
      </c>
      <c r="T152" s="824">
        <v>219568.99472999151</v>
      </c>
      <c r="U152" s="824">
        <v>219568.99472999151</v>
      </c>
      <c r="V152" s="824">
        <v>658706.98418997449</v>
      </c>
      <c r="W152" s="824">
        <v>459189.84685293824</v>
      </c>
      <c r="X152" s="824">
        <v>615972.39399536699</v>
      </c>
      <c r="Y152" s="486" t="s">
        <v>995</v>
      </c>
      <c r="Z152" s="486" t="s">
        <v>995</v>
      </c>
      <c r="AA152" s="485" t="s">
        <v>1291</v>
      </c>
      <c r="AB152" s="485" t="s">
        <v>1292</v>
      </c>
      <c r="AC152" s="485" t="s">
        <v>1293</v>
      </c>
    </row>
    <row r="153" spans="1:29" ht="18.75" customHeight="1">
      <c r="A153" s="484">
        <v>146</v>
      </c>
      <c r="B153" s="484" t="s">
        <v>985</v>
      </c>
      <c r="C153" s="484" t="s">
        <v>1287</v>
      </c>
      <c r="D153" s="484" t="s">
        <v>1288</v>
      </c>
      <c r="E153" s="484" t="s">
        <v>999</v>
      </c>
      <c r="F153" s="490" t="s">
        <v>1289</v>
      </c>
      <c r="G153" s="490" t="s">
        <v>1001</v>
      </c>
      <c r="H153" s="490" t="s">
        <v>968</v>
      </c>
      <c r="I153" s="489" t="s">
        <v>1002</v>
      </c>
      <c r="J153" s="489" t="s">
        <v>1013</v>
      </c>
      <c r="K153" s="488" t="s">
        <v>1290</v>
      </c>
      <c r="L153" s="484">
        <v>2016</v>
      </c>
      <c r="M153" s="823">
        <v>148324.13226125401</v>
      </c>
      <c r="N153" s="484" t="s">
        <v>994</v>
      </c>
      <c r="O153" s="484" t="s">
        <v>994</v>
      </c>
      <c r="P153" s="824">
        <v>120354.98574719284</v>
      </c>
      <c r="Q153" s="824">
        <v>113966.1670359182</v>
      </c>
      <c r="R153" s="824">
        <v>29725.930234849329</v>
      </c>
      <c r="S153" s="824">
        <v>138643.0601826249</v>
      </c>
      <c r="T153" s="824">
        <v>138643.0601826249</v>
      </c>
      <c r="U153" s="824">
        <v>138643.0601826249</v>
      </c>
      <c r="V153" s="824">
        <v>415929.18054787471</v>
      </c>
      <c r="W153" s="824">
        <v>290633.43502690142</v>
      </c>
      <c r="X153" s="824">
        <v>610341.06724811811</v>
      </c>
      <c r="Y153" s="486" t="s">
        <v>995</v>
      </c>
      <c r="Z153" s="486" t="s">
        <v>995</v>
      </c>
      <c r="AA153" s="485" t="s">
        <v>1291</v>
      </c>
      <c r="AB153" s="485" t="s">
        <v>1292</v>
      </c>
      <c r="AC153" s="485" t="s">
        <v>1293</v>
      </c>
    </row>
    <row r="154" spans="1:29" ht="18.75" customHeight="1">
      <c r="A154" s="484">
        <v>147</v>
      </c>
      <c r="B154" s="484" t="s">
        <v>985</v>
      </c>
      <c r="C154" s="484" t="s">
        <v>1287</v>
      </c>
      <c r="D154" s="484" t="s">
        <v>1288</v>
      </c>
      <c r="E154" s="484" t="s">
        <v>999</v>
      </c>
      <c r="F154" s="490" t="s">
        <v>1294</v>
      </c>
      <c r="G154" s="490" t="s">
        <v>1001</v>
      </c>
      <c r="H154" s="490" t="s">
        <v>968</v>
      </c>
      <c r="I154" s="489" t="s">
        <v>1002</v>
      </c>
      <c r="J154" s="489" t="s">
        <v>1014</v>
      </c>
      <c r="K154" s="488" t="s">
        <v>1290</v>
      </c>
      <c r="L154" s="484">
        <v>2016</v>
      </c>
      <c r="M154" s="823">
        <v>1116254876.27507</v>
      </c>
      <c r="N154" s="484" t="s">
        <v>994</v>
      </c>
      <c r="O154" s="484" t="s">
        <v>994</v>
      </c>
      <c r="P154" s="824">
        <v>714402971.23290229</v>
      </c>
      <c r="Q154" s="824">
        <v>550622819.52010953</v>
      </c>
      <c r="R154" s="824">
        <v>183084252.36191565</v>
      </c>
      <c r="S154" s="824">
        <v>1031060456.3078518</v>
      </c>
      <c r="T154" s="824">
        <v>1031060456.3078518</v>
      </c>
      <c r="U154" s="824">
        <v>1031060456.3078518</v>
      </c>
      <c r="V154" s="824">
        <v>3093181368.9235554</v>
      </c>
      <c r="W154" s="824">
        <v>2130845824.990073</v>
      </c>
      <c r="X154" s="824">
        <v>2986538274.5260029</v>
      </c>
      <c r="Y154" s="486" t="s">
        <v>995</v>
      </c>
      <c r="Z154" s="486" t="s">
        <v>995</v>
      </c>
      <c r="AA154" s="485" t="s">
        <v>1291</v>
      </c>
      <c r="AB154" s="485" t="s">
        <v>1292</v>
      </c>
      <c r="AC154" s="485" t="s">
        <v>1293</v>
      </c>
    </row>
    <row r="155" spans="1:29" ht="18.75" customHeight="1">
      <c r="A155" s="484">
        <v>148</v>
      </c>
      <c r="B155" s="484" t="s">
        <v>985</v>
      </c>
      <c r="C155" s="484" t="s">
        <v>1287</v>
      </c>
      <c r="D155" s="484" t="s">
        <v>1288</v>
      </c>
      <c r="E155" s="484" t="s">
        <v>999</v>
      </c>
      <c r="F155" s="490" t="s">
        <v>1294</v>
      </c>
      <c r="G155" s="490" t="s">
        <v>1001</v>
      </c>
      <c r="H155" s="490" t="s">
        <v>968</v>
      </c>
      <c r="I155" s="489" t="s">
        <v>1002</v>
      </c>
      <c r="J155" s="489" t="s">
        <v>1015</v>
      </c>
      <c r="K155" s="488" t="s">
        <v>1290</v>
      </c>
      <c r="L155" s="484">
        <v>2016</v>
      </c>
      <c r="M155" s="823">
        <v>731257355.60763001</v>
      </c>
      <c r="N155" s="484" t="s">
        <v>994</v>
      </c>
      <c r="O155" s="484" t="s">
        <v>994</v>
      </c>
      <c r="P155" s="824">
        <v>555559482.41726136</v>
      </c>
      <c r="Q155" s="824">
        <v>471792053.97521979</v>
      </c>
      <c r="R155" s="824">
        <v>135568225.40911594</v>
      </c>
      <c r="S155" s="824">
        <v>635527368.02568662</v>
      </c>
      <c r="T155" s="824">
        <v>635527368.02568662</v>
      </c>
      <c r="U155" s="824">
        <v>635527368.02568662</v>
      </c>
      <c r="V155" s="824">
        <v>1906582104.0770597</v>
      </c>
      <c r="W155" s="824">
        <v>1314225606.7037282</v>
      </c>
      <c r="X155" s="824">
        <v>2958404550.9717913</v>
      </c>
      <c r="Y155" s="486" t="s">
        <v>995</v>
      </c>
      <c r="Z155" s="486" t="s">
        <v>995</v>
      </c>
      <c r="AA155" s="485" t="s">
        <v>1291</v>
      </c>
      <c r="AB155" s="485" t="s">
        <v>1292</v>
      </c>
      <c r="AC155" s="485" t="s">
        <v>1293</v>
      </c>
    </row>
    <row r="156" spans="1:29" ht="18.75" customHeight="1">
      <c r="A156" s="484">
        <v>149</v>
      </c>
      <c r="B156" s="484" t="s">
        <v>985</v>
      </c>
      <c r="C156" s="484" t="s">
        <v>1287</v>
      </c>
      <c r="D156" s="484" t="s">
        <v>1288</v>
      </c>
      <c r="E156" s="484" t="s">
        <v>999</v>
      </c>
      <c r="F156" s="490" t="s">
        <v>1295</v>
      </c>
      <c r="G156" s="490" t="s">
        <v>1001</v>
      </c>
      <c r="H156" s="490" t="s">
        <v>968</v>
      </c>
      <c r="I156" s="489" t="s">
        <v>1002</v>
      </c>
      <c r="J156" s="489" t="s">
        <v>1016</v>
      </c>
      <c r="K156" s="488" t="s">
        <v>1290</v>
      </c>
      <c r="L156" s="484">
        <v>2016</v>
      </c>
      <c r="M156" s="823">
        <v>5043399.1145049604</v>
      </c>
      <c r="N156" s="484" t="s">
        <v>994</v>
      </c>
      <c r="O156" s="484" t="s">
        <v>994</v>
      </c>
      <c r="P156" s="824">
        <v>6182563.9187383074</v>
      </c>
      <c r="Q156" s="824">
        <v>4996277.7143258769</v>
      </c>
      <c r="R156" s="824">
        <v>5614471.9602228571</v>
      </c>
      <c r="S156" s="824">
        <v>12146941.391164841</v>
      </c>
      <c r="T156" s="824">
        <v>12146941.391164841</v>
      </c>
      <c r="U156" s="824">
        <v>12146941.391164841</v>
      </c>
      <c r="V156" s="824">
        <v>36440824.173494525</v>
      </c>
      <c r="W156" s="824">
        <v>26263705.964129154</v>
      </c>
      <c r="X156" s="824">
        <v>12536115.539130589</v>
      </c>
      <c r="Y156" s="486" t="s">
        <v>995</v>
      </c>
      <c r="Z156" s="486" t="s">
        <v>995</v>
      </c>
      <c r="AA156" s="485" t="s">
        <v>1291</v>
      </c>
      <c r="AB156" s="485" t="s">
        <v>1292</v>
      </c>
      <c r="AC156" s="485" t="s">
        <v>1293</v>
      </c>
    </row>
    <row r="157" spans="1:29" ht="18.75" customHeight="1">
      <c r="A157" s="484">
        <v>150</v>
      </c>
      <c r="B157" s="484" t="s">
        <v>985</v>
      </c>
      <c r="C157" s="484" t="s">
        <v>1287</v>
      </c>
      <c r="D157" s="484" t="s">
        <v>1288</v>
      </c>
      <c r="E157" s="484" t="s">
        <v>999</v>
      </c>
      <c r="F157" s="490" t="s">
        <v>1295</v>
      </c>
      <c r="G157" s="490" t="s">
        <v>1001</v>
      </c>
      <c r="H157" s="490" t="s">
        <v>968</v>
      </c>
      <c r="I157" s="489" t="s">
        <v>1002</v>
      </c>
      <c r="J157" s="489" t="s">
        <v>1017</v>
      </c>
      <c r="K157" s="488" t="s">
        <v>1290</v>
      </c>
      <c r="L157" s="484">
        <v>2016</v>
      </c>
      <c r="M157" s="823">
        <v>3035633.0210892698</v>
      </c>
      <c r="N157" s="484" t="s">
        <v>994</v>
      </c>
      <c r="O157" s="484" t="s">
        <v>994</v>
      </c>
      <c r="P157" s="824">
        <v>3074276.4533362603</v>
      </c>
      <c r="Q157" s="824">
        <v>2254121.2592335637</v>
      </c>
      <c r="R157" s="824">
        <v>3790809.3088417328</v>
      </c>
      <c r="S157" s="824">
        <v>6637439.1637243759</v>
      </c>
      <c r="T157" s="824">
        <v>6637439.1637243759</v>
      </c>
      <c r="U157" s="824">
        <v>6637439.1637243759</v>
      </c>
      <c r="V157" s="824">
        <v>19912317.491173126</v>
      </c>
      <c r="W157" s="824">
        <v>14078467.480589878</v>
      </c>
      <c r="X157" s="824">
        <v>12209712.680286963</v>
      </c>
      <c r="Y157" s="486" t="s">
        <v>995</v>
      </c>
      <c r="Z157" s="486" t="s">
        <v>995</v>
      </c>
      <c r="AA157" s="485" t="s">
        <v>1291</v>
      </c>
      <c r="AB157" s="485" t="s">
        <v>1292</v>
      </c>
      <c r="AC157" s="485" t="s">
        <v>1293</v>
      </c>
    </row>
    <row r="158" spans="1:29" ht="18.75" customHeight="1">
      <c r="A158" s="484">
        <v>151</v>
      </c>
      <c r="B158" s="484" t="s">
        <v>985</v>
      </c>
      <c r="C158" s="484" t="s">
        <v>1287</v>
      </c>
      <c r="D158" s="484" t="s">
        <v>1288</v>
      </c>
      <c r="E158" s="484" t="s">
        <v>1296</v>
      </c>
      <c r="F158" s="490" t="s">
        <v>1127</v>
      </c>
      <c r="G158" s="490" t="s">
        <v>1297</v>
      </c>
      <c r="H158" s="490" t="s">
        <v>968</v>
      </c>
      <c r="I158" s="489" t="s">
        <v>1298</v>
      </c>
      <c r="J158" s="489" t="s">
        <v>1299</v>
      </c>
      <c r="K158" s="488" t="s">
        <v>1290</v>
      </c>
      <c r="L158" s="484">
        <v>2016</v>
      </c>
      <c r="M158" s="828">
        <v>1.5334391610619742E-2</v>
      </c>
      <c r="N158" s="487">
        <v>20942.4105399621</v>
      </c>
      <c r="O158" s="487">
        <v>1365715.1240000001</v>
      </c>
      <c r="P158" s="827">
        <v>1.2124181897873013E-2</v>
      </c>
      <c r="Q158" s="827">
        <v>1.3093636258644636E-2</v>
      </c>
      <c r="R158" s="827">
        <v>4.4015053740937993E-3</v>
      </c>
      <c r="S158" s="824">
        <v>1.4509873965698979E-2</v>
      </c>
      <c r="T158" s="824">
        <v>1.4509873965698979E-2</v>
      </c>
      <c r="U158" s="824">
        <v>1.4509873965698979E-2</v>
      </c>
      <c r="V158" s="824">
        <v>4.3529621897096936E-2</v>
      </c>
      <c r="W158" s="824">
        <v>2.9986897637077358E-2</v>
      </c>
      <c r="X158" s="827">
        <v>4.1220283694966046E-2</v>
      </c>
      <c r="Y158" s="486">
        <v>45438.025563202362</v>
      </c>
      <c r="Z158" s="486">
        <v>1102322</v>
      </c>
      <c r="AA158" s="485" t="s">
        <v>1300</v>
      </c>
      <c r="AB158" s="485" t="s">
        <v>1292</v>
      </c>
      <c r="AC158" s="485"/>
    </row>
    <row r="159" spans="1:29" ht="18.75" customHeight="1">
      <c r="A159" s="484">
        <v>152</v>
      </c>
      <c r="B159" s="484" t="s">
        <v>985</v>
      </c>
      <c r="C159" s="484" t="s">
        <v>1287</v>
      </c>
      <c r="D159" s="484" t="s">
        <v>1288</v>
      </c>
      <c r="E159" s="484" t="s">
        <v>1296</v>
      </c>
      <c r="F159" s="490" t="s">
        <v>1127</v>
      </c>
      <c r="G159" s="490" t="s">
        <v>1297</v>
      </c>
      <c r="H159" s="490" t="s">
        <v>968</v>
      </c>
      <c r="I159" s="489" t="s">
        <v>1298</v>
      </c>
      <c r="J159" s="489" t="s">
        <v>1301</v>
      </c>
      <c r="K159" s="488" t="s">
        <v>1290</v>
      </c>
      <c r="L159" s="484">
        <v>2016</v>
      </c>
      <c r="M159" s="828">
        <v>1.0198914552505607E-2</v>
      </c>
      <c r="N159" s="487">
        <v>13928.8118527406</v>
      </c>
      <c r="O159" s="487">
        <v>1365715.1240000001</v>
      </c>
      <c r="P159" s="827">
        <v>9.6783156948909172E-3</v>
      </c>
      <c r="Q159" s="827">
        <v>1.116210233776074E-2</v>
      </c>
      <c r="R159" s="827">
        <v>3.2431811031290812E-3</v>
      </c>
      <c r="S159" s="824">
        <v>9.2073666006794209E-3</v>
      </c>
      <c r="T159" s="824">
        <v>9.2073666006794209E-3</v>
      </c>
      <c r="U159" s="824">
        <v>9.2073666006794209E-3</v>
      </c>
      <c r="V159" s="824">
        <v>2.7622099802038263E-2</v>
      </c>
      <c r="W159" s="824">
        <v>1.9028446450624858E-2</v>
      </c>
      <c r="X159" s="827">
        <v>4.057185916331784E-2</v>
      </c>
      <c r="Y159" s="486">
        <v>44723.25293662685</v>
      </c>
      <c r="Z159" s="486">
        <v>1102322</v>
      </c>
      <c r="AA159" s="485" t="s">
        <v>1300</v>
      </c>
      <c r="AB159" s="485" t="s">
        <v>1292</v>
      </c>
      <c r="AC159" s="485"/>
    </row>
    <row r="160" spans="1:29" ht="18.75" customHeight="1">
      <c r="A160" s="484">
        <v>153</v>
      </c>
      <c r="B160" s="484" t="s">
        <v>985</v>
      </c>
      <c r="C160" s="484" t="s">
        <v>1287</v>
      </c>
      <c r="D160" s="484" t="s">
        <v>1288</v>
      </c>
      <c r="E160" s="484" t="s">
        <v>1296</v>
      </c>
      <c r="F160" s="490" t="s">
        <v>1127</v>
      </c>
      <c r="G160" s="490" t="s">
        <v>1297</v>
      </c>
      <c r="H160" s="490" t="s">
        <v>968</v>
      </c>
      <c r="I160" s="489" t="s">
        <v>1298</v>
      </c>
      <c r="J160" s="489" t="s">
        <v>1302</v>
      </c>
      <c r="K160" s="488" t="s">
        <v>1290</v>
      </c>
      <c r="L160" s="484">
        <v>2016</v>
      </c>
      <c r="M160" s="828">
        <v>1.3939495285402873E-2</v>
      </c>
      <c r="N160" s="487">
        <v>104208248.482759</v>
      </c>
      <c r="O160" s="487">
        <v>7475754778</v>
      </c>
      <c r="P160" s="827">
        <v>1.3110647112169228E-2</v>
      </c>
      <c r="Q160" s="827">
        <v>1.0701845320799602E-2</v>
      </c>
      <c r="R160" s="827">
        <v>4.4642806229253928E-3</v>
      </c>
      <c r="S160" s="824">
        <v>1.2685712635121599E-2</v>
      </c>
      <c r="T160" s="824">
        <v>1.2685712635121599E-2</v>
      </c>
      <c r="U160" s="824">
        <v>1.2685712635121599E-2</v>
      </c>
      <c r="V160" s="824">
        <v>3.8057137905364802E-2</v>
      </c>
      <c r="W160" s="824">
        <v>2.6216986249642117E-2</v>
      </c>
      <c r="X160" s="827">
        <v>3.6402213219502724E-2</v>
      </c>
      <c r="Y160" s="486">
        <v>218445474.01682308</v>
      </c>
      <c r="Z160" s="486">
        <v>6000884416</v>
      </c>
      <c r="AA160" s="485" t="s">
        <v>1300</v>
      </c>
      <c r="AB160" s="485" t="s">
        <v>1292</v>
      </c>
      <c r="AC160" s="485"/>
    </row>
    <row r="161" spans="1:29" ht="18.75" customHeight="1">
      <c r="A161" s="484">
        <v>154</v>
      </c>
      <c r="B161" s="484" t="s">
        <v>985</v>
      </c>
      <c r="C161" s="484" t="s">
        <v>1287</v>
      </c>
      <c r="D161" s="484" t="s">
        <v>1288</v>
      </c>
      <c r="E161" s="484" t="s">
        <v>1296</v>
      </c>
      <c r="F161" s="490" t="s">
        <v>1127</v>
      </c>
      <c r="G161" s="490" t="s">
        <v>1297</v>
      </c>
      <c r="H161" s="490" t="s">
        <v>968</v>
      </c>
      <c r="I161" s="489" t="s">
        <v>1298</v>
      </c>
      <c r="J161" s="489" t="s">
        <v>1303</v>
      </c>
      <c r="K161" s="488" t="s">
        <v>1290</v>
      </c>
      <c r="L161" s="484">
        <v>2016</v>
      </c>
      <c r="M161" s="828">
        <v>9.1577807962351411E-3</v>
      </c>
      <c r="N161" s="487">
        <v>68461323.543331504</v>
      </c>
      <c r="O161" s="487">
        <v>7475754778</v>
      </c>
      <c r="P161" s="827">
        <v>1.0067676344339612E-2</v>
      </c>
      <c r="Q161" s="827">
        <v>9.0081737087372889E-3</v>
      </c>
      <c r="R161" s="827">
        <v>3.4291886768264431E-3</v>
      </c>
      <c r="S161" s="824">
        <v>7.8411774966861674E-3</v>
      </c>
      <c r="T161" s="824">
        <v>7.8411774966861674E-3</v>
      </c>
      <c r="U161" s="824">
        <v>7.8411774966861674E-3</v>
      </c>
      <c r="V161" s="824">
        <v>2.35235324900585E-2</v>
      </c>
      <c r="W161" s="824">
        <v>1.6205005467527202E-2</v>
      </c>
      <c r="X161" s="827">
        <v>3.5742336837445376E-2</v>
      </c>
      <c r="Y161" s="486">
        <v>214485632.11924869</v>
      </c>
      <c r="Z161" s="486">
        <v>6000884416</v>
      </c>
      <c r="AA161" s="485" t="s">
        <v>1300</v>
      </c>
      <c r="AB161" s="485" t="s">
        <v>1292</v>
      </c>
      <c r="AC161" s="485"/>
    </row>
    <row r="162" spans="1:29" ht="18.75" customHeight="1">
      <c r="A162" s="484">
        <v>155</v>
      </c>
      <c r="B162" s="484" t="s">
        <v>985</v>
      </c>
      <c r="C162" s="484" t="s">
        <v>1287</v>
      </c>
      <c r="D162" s="484" t="s">
        <v>1288</v>
      </c>
      <c r="E162" s="484" t="s">
        <v>1296</v>
      </c>
      <c r="F162" s="490" t="s">
        <v>1127</v>
      </c>
      <c r="G162" s="490" t="s">
        <v>1297</v>
      </c>
      <c r="H162" s="490" t="s">
        <v>968</v>
      </c>
      <c r="I162" s="489" t="s">
        <v>1298</v>
      </c>
      <c r="J162" s="489" t="s">
        <v>1304</v>
      </c>
      <c r="K162" s="488" t="s">
        <v>1290</v>
      </c>
      <c r="L162" s="484">
        <v>2016</v>
      </c>
      <c r="M162" s="828">
        <v>3.3800781417530033E-3</v>
      </c>
      <c r="N162" s="487">
        <v>651631.97110123001</v>
      </c>
      <c r="O162" s="487">
        <v>192786067</v>
      </c>
      <c r="P162" s="827">
        <v>2.1891780141682338E-3</v>
      </c>
      <c r="Q162" s="827">
        <v>9.6261642648832763E-4</v>
      </c>
      <c r="R162" s="827">
        <v>3.4058499977849773E-3</v>
      </c>
      <c r="S162" s="824">
        <v>5.2914865898880054E-3</v>
      </c>
      <c r="T162" s="824">
        <v>5.2914865898880054E-3</v>
      </c>
      <c r="U162" s="824">
        <v>5.2914865898880054E-3</v>
      </c>
      <c r="V162" s="824">
        <v>1.5874459769664017E-2</v>
      </c>
      <c r="W162" s="824">
        <v>1.0935675050937311E-2</v>
      </c>
      <c r="X162" s="827">
        <v>4.6692231732876214E-3</v>
      </c>
      <c r="Y162" s="486">
        <v>864068.43125482777</v>
      </c>
      <c r="Z162" s="486">
        <v>185056143</v>
      </c>
      <c r="AA162" s="485" t="s">
        <v>1300</v>
      </c>
      <c r="AB162" s="485" t="s">
        <v>1292</v>
      </c>
      <c r="AC162" s="485"/>
    </row>
    <row r="163" spans="1:29" ht="18.75" customHeight="1">
      <c r="A163" s="484">
        <v>156</v>
      </c>
      <c r="B163" s="484" t="s">
        <v>985</v>
      </c>
      <c r="C163" s="484" t="s">
        <v>1287</v>
      </c>
      <c r="D163" s="484" t="s">
        <v>1288</v>
      </c>
      <c r="E163" s="484" t="s">
        <v>1296</v>
      </c>
      <c r="F163" s="490" t="s">
        <v>1127</v>
      </c>
      <c r="G163" s="490" t="s">
        <v>1297</v>
      </c>
      <c r="H163" s="490" t="s">
        <v>968</v>
      </c>
      <c r="I163" s="489" t="s">
        <v>1298</v>
      </c>
      <c r="J163" s="489" t="s">
        <v>1305</v>
      </c>
      <c r="K163" s="488" t="s">
        <v>1290</v>
      </c>
      <c r="L163" s="484">
        <v>2016</v>
      </c>
      <c r="M163" s="828">
        <v>2.0681849096650744E-3</v>
      </c>
      <c r="N163" s="487">
        <v>398717.23456308001</v>
      </c>
      <c r="O163" s="487">
        <v>192786067</v>
      </c>
      <c r="P163" s="827">
        <v>1.006046902272266E-3</v>
      </c>
      <c r="Q163" s="827">
        <v>1.8550097682314994E-4</v>
      </c>
      <c r="R163" s="827">
        <v>2.6230655371338456E-3</v>
      </c>
      <c r="S163" s="824">
        <v>2.9448123186480548E-3</v>
      </c>
      <c r="T163" s="824">
        <v>2.9448123186480548E-3</v>
      </c>
      <c r="U163" s="824">
        <v>2.9448123186480548E-3</v>
      </c>
      <c r="V163" s="824">
        <v>8.8344369559441652E-3</v>
      </c>
      <c r="W163" s="824">
        <v>6.0859098961477242E-3</v>
      </c>
      <c r="X163" s="827">
        <v>4.5269868463434755E-3</v>
      </c>
      <c r="Y163" s="486">
        <v>837746.72519605723</v>
      </c>
      <c r="Z163" s="486">
        <v>186158465</v>
      </c>
      <c r="AA163" s="485" t="s">
        <v>1300</v>
      </c>
      <c r="AB163" s="485" t="s">
        <v>1292</v>
      </c>
      <c r="AC163" s="485"/>
    </row>
    <row r="164" spans="1:29" ht="18.75" customHeight="1">
      <c r="A164" s="484">
        <v>157</v>
      </c>
      <c r="B164" s="484" t="s">
        <v>985</v>
      </c>
      <c r="C164" s="484" t="s">
        <v>1287</v>
      </c>
      <c r="D164" s="484" t="s">
        <v>1288</v>
      </c>
      <c r="E164" s="484" t="s">
        <v>1296</v>
      </c>
      <c r="F164" s="490" t="s">
        <v>1127</v>
      </c>
      <c r="G164" s="490" t="s">
        <v>1297</v>
      </c>
      <c r="H164" s="490" t="s">
        <v>968</v>
      </c>
      <c r="I164" s="489" t="s">
        <v>1298</v>
      </c>
      <c r="J164" s="489" t="s">
        <v>1306</v>
      </c>
      <c r="K164" s="488" t="s">
        <v>1290</v>
      </c>
      <c r="L164" s="484">
        <v>2016</v>
      </c>
      <c r="M164" s="828">
        <v>0.16426719081422428</v>
      </c>
      <c r="N164" s="487">
        <v>224342.18687198</v>
      </c>
      <c r="O164" s="487">
        <v>1365715.1240000001</v>
      </c>
      <c r="P164" s="827">
        <v>9.6555461757051056E-2</v>
      </c>
      <c r="Q164" s="827">
        <v>9.4926927599418967E-2</v>
      </c>
      <c r="R164" s="827">
        <v>2.7421539914833301E-2</v>
      </c>
      <c r="S164" s="824">
        <v>0.158875718792549</v>
      </c>
      <c r="T164" s="824">
        <v>0.158875718792549</v>
      </c>
      <c r="U164" s="824">
        <v>0.158875718792549</v>
      </c>
      <c r="V164" s="824">
        <v>0.47662715637764697</v>
      </c>
      <c r="W164" s="824">
        <v>0.32834123354287525</v>
      </c>
      <c r="X164" s="827">
        <v>0.55879533747431964</v>
      </c>
      <c r="Y164" s="486">
        <v>615972.39399536699</v>
      </c>
      <c r="Z164" s="486">
        <v>0</v>
      </c>
      <c r="AA164" s="485" t="s">
        <v>1300</v>
      </c>
      <c r="AB164" s="485" t="s">
        <v>1292</v>
      </c>
      <c r="AC164" s="485"/>
    </row>
    <row r="165" spans="1:29" ht="18.75" customHeight="1">
      <c r="A165" s="484">
        <v>158</v>
      </c>
      <c r="B165" s="484" t="s">
        <v>985</v>
      </c>
      <c r="C165" s="484" t="s">
        <v>1287</v>
      </c>
      <c r="D165" s="484" t="s">
        <v>1288</v>
      </c>
      <c r="E165" s="484" t="s">
        <v>1296</v>
      </c>
      <c r="F165" s="490" t="s">
        <v>1127</v>
      </c>
      <c r="G165" s="490" t="s">
        <v>1297</v>
      </c>
      <c r="H165" s="490" t="s">
        <v>968</v>
      </c>
      <c r="I165" s="489" t="s">
        <v>1298</v>
      </c>
      <c r="J165" s="489" t="s">
        <v>1307</v>
      </c>
      <c r="K165" s="488" t="s">
        <v>1290</v>
      </c>
      <c r="L165" s="484">
        <v>2016</v>
      </c>
      <c r="M165" s="828">
        <v>0.10860546951170323</v>
      </c>
      <c r="N165" s="487">
        <v>148324.13226125401</v>
      </c>
      <c r="O165" s="487">
        <v>1365715.1240000001</v>
      </c>
      <c r="P165" s="827">
        <v>7.7774853963965829E-2</v>
      </c>
      <c r="Q165" s="827">
        <v>8.3007057564044334E-2</v>
      </c>
      <c r="R165" s="827">
        <v>2.0097187834355833E-2</v>
      </c>
      <c r="S165" s="824">
        <v>0.10008257593481465</v>
      </c>
      <c r="T165" s="824">
        <v>0.10008257593481465</v>
      </c>
      <c r="U165" s="824">
        <v>0.10008257593481465</v>
      </c>
      <c r="V165" s="824">
        <v>0.30024772780444398</v>
      </c>
      <c r="W165" s="824">
        <v>0.20683611497294865</v>
      </c>
      <c r="X165" s="827">
        <v>0.55368673332122387</v>
      </c>
      <c r="Y165" s="486">
        <v>610341.06724811811</v>
      </c>
      <c r="Z165" s="486">
        <v>1102322</v>
      </c>
      <c r="AA165" s="485" t="s">
        <v>1300</v>
      </c>
      <c r="AB165" s="485" t="s">
        <v>1292</v>
      </c>
      <c r="AC165" s="485"/>
    </row>
    <row r="166" spans="1:29" ht="18.75" customHeight="1">
      <c r="A166" s="484">
        <v>159</v>
      </c>
      <c r="B166" s="484" t="s">
        <v>985</v>
      </c>
      <c r="C166" s="484" t="s">
        <v>1287</v>
      </c>
      <c r="D166" s="484" t="s">
        <v>1288</v>
      </c>
      <c r="E166" s="484" t="s">
        <v>1296</v>
      </c>
      <c r="F166" s="490" t="s">
        <v>1127</v>
      </c>
      <c r="G166" s="490" t="s">
        <v>1297</v>
      </c>
      <c r="H166" s="490" t="s">
        <v>968</v>
      </c>
      <c r="I166" s="489" t="s">
        <v>1298</v>
      </c>
      <c r="J166" s="489" t="s">
        <v>1308</v>
      </c>
      <c r="K166" s="488" t="s">
        <v>1290</v>
      </c>
      <c r="L166" s="484">
        <v>2016</v>
      </c>
      <c r="M166" s="828">
        <v>0.14931667897401302</v>
      </c>
      <c r="N166" s="487">
        <v>1116254876.27507</v>
      </c>
      <c r="O166" s="487">
        <v>7475754778</v>
      </c>
      <c r="P166" s="827">
        <v>0.10568186887181981</v>
      </c>
      <c r="Q166" s="827">
        <v>8.2059551107738798E-2</v>
      </c>
      <c r="R166" s="827">
        <v>2.8429588824744671E-2</v>
      </c>
      <c r="S166" s="824">
        <v>0.13871614590479686</v>
      </c>
      <c r="T166" s="824">
        <v>0.13871614590479686</v>
      </c>
      <c r="U166" s="824">
        <v>0.13871614590479686</v>
      </c>
      <c r="V166" s="824">
        <v>0.41614843771439058</v>
      </c>
      <c r="W166" s="824">
        <v>0.28667835969426003</v>
      </c>
      <c r="X166" s="827">
        <v>0.49768301928347003</v>
      </c>
      <c r="Y166" s="486">
        <v>2986538274.5260029</v>
      </c>
      <c r="Z166" s="486">
        <v>6000884416</v>
      </c>
      <c r="AA166" s="485" t="s">
        <v>1300</v>
      </c>
      <c r="AB166" s="485" t="s">
        <v>1292</v>
      </c>
      <c r="AC166" s="485"/>
    </row>
    <row r="167" spans="1:29" ht="18.75" customHeight="1">
      <c r="A167" s="484">
        <v>160</v>
      </c>
      <c r="B167" s="484" t="s">
        <v>985</v>
      </c>
      <c r="C167" s="484" t="s">
        <v>1287</v>
      </c>
      <c r="D167" s="484" t="s">
        <v>1288</v>
      </c>
      <c r="E167" s="484" t="s">
        <v>1296</v>
      </c>
      <c r="F167" s="490" t="s">
        <v>1127</v>
      </c>
      <c r="G167" s="490" t="s">
        <v>1297</v>
      </c>
      <c r="H167" s="490" t="s">
        <v>968</v>
      </c>
      <c r="I167" s="489" t="s">
        <v>1298</v>
      </c>
      <c r="J167" s="489" t="s">
        <v>1309</v>
      </c>
      <c r="K167" s="488" t="s">
        <v>1290</v>
      </c>
      <c r="L167" s="484">
        <v>2016</v>
      </c>
      <c r="M167" s="828">
        <v>9.7817194025626455E-2</v>
      </c>
      <c r="N167" s="487">
        <v>731257355.60763001</v>
      </c>
      <c r="O167" s="487">
        <v>7475754778</v>
      </c>
      <c r="P167" s="827">
        <v>8.2184098800698061E-2</v>
      </c>
      <c r="Q167" s="827">
        <v>7.0311368858897577E-2</v>
      </c>
      <c r="R167" s="827">
        <v>2.1051231093664458E-2</v>
      </c>
      <c r="S167" s="824">
        <v>8.5449469373408152E-2</v>
      </c>
      <c r="T167" s="824">
        <v>8.5449469373408152E-2</v>
      </c>
      <c r="U167" s="824">
        <v>8.5449469373408152E-2</v>
      </c>
      <c r="V167" s="824">
        <v>0.25634840812022447</v>
      </c>
      <c r="W167" s="824">
        <v>0.17659453812626769</v>
      </c>
      <c r="X167" s="827">
        <v>0.49299475642021617</v>
      </c>
      <c r="Y167" s="486">
        <v>2958404550.9717913</v>
      </c>
      <c r="Z167" s="486">
        <v>6000884416</v>
      </c>
      <c r="AA167" s="485" t="s">
        <v>1300</v>
      </c>
      <c r="AB167" s="485" t="s">
        <v>1292</v>
      </c>
      <c r="AC167" s="485"/>
    </row>
    <row r="168" spans="1:29" ht="18.75" customHeight="1">
      <c r="A168" s="484">
        <v>161</v>
      </c>
      <c r="B168" s="484" t="s">
        <v>985</v>
      </c>
      <c r="C168" s="484" t="s">
        <v>1287</v>
      </c>
      <c r="D168" s="484" t="s">
        <v>1288</v>
      </c>
      <c r="E168" s="484" t="s">
        <v>1296</v>
      </c>
      <c r="F168" s="490" t="s">
        <v>1127</v>
      </c>
      <c r="G168" s="490" t="s">
        <v>1297</v>
      </c>
      <c r="H168" s="490" t="s">
        <v>968</v>
      </c>
      <c r="I168" s="489" t="s">
        <v>1298</v>
      </c>
      <c r="J168" s="489" t="s">
        <v>1310</v>
      </c>
      <c r="K168" s="488" t="s">
        <v>1290</v>
      </c>
      <c r="L168" s="484">
        <v>2016</v>
      </c>
      <c r="M168" s="828">
        <v>2.6160599637654106E-2</v>
      </c>
      <c r="N168" s="487">
        <v>5043399.1145049604</v>
      </c>
      <c r="O168" s="487">
        <v>192786067</v>
      </c>
      <c r="P168" s="827">
        <v>3.143379705939453E-2</v>
      </c>
      <c r="Q168" s="827">
        <v>2.4363349476532244E-2</v>
      </c>
      <c r="R168" s="827">
        <v>3.1038894370888345E-2</v>
      </c>
      <c r="S168" s="824">
        <v>6.0224072196479156E-2</v>
      </c>
      <c r="T168" s="824">
        <v>6.0224072196479156E-2</v>
      </c>
      <c r="U168" s="824">
        <v>6.0224072196479156E-2</v>
      </c>
      <c r="V168" s="824">
        <v>0.18067221658943747</v>
      </c>
      <c r="W168" s="824">
        <v>0.12446235525635597</v>
      </c>
      <c r="X168" s="827">
        <v>6.7742228579413269E-2</v>
      </c>
      <c r="Y168" s="486">
        <v>12536115.539130589</v>
      </c>
      <c r="Z168" s="486">
        <v>185056143</v>
      </c>
      <c r="AA168" s="485" t="s">
        <v>1300</v>
      </c>
      <c r="AB168" s="485" t="s">
        <v>1292</v>
      </c>
      <c r="AC168" s="485"/>
    </row>
    <row r="169" spans="1:29" ht="18.75" customHeight="1">
      <c r="A169" s="484">
        <v>162</v>
      </c>
      <c r="B169" s="484" t="s">
        <v>985</v>
      </c>
      <c r="C169" s="484" t="s">
        <v>1287</v>
      </c>
      <c r="D169" s="484" t="s">
        <v>1288</v>
      </c>
      <c r="E169" s="484" t="s">
        <v>1296</v>
      </c>
      <c r="F169" s="490" t="s">
        <v>1127</v>
      </c>
      <c r="G169" s="490" t="s">
        <v>1297</v>
      </c>
      <c r="H169" s="490" t="s">
        <v>968</v>
      </c>
      <c r="I169" s="489" t="s">
        <v>1298</v>
      </c>
      <c r="J169" s="489" t="s">
        <v>1311</v>
      </c>
      <c r="K169" s="488" t="s">
        <v>1290</v>
      </c>
      <c r="L169" s="484">
        <v>2016</v>
      </c>
      <c r="M169" s="828">
        <v>1.5746122467912942E-2</v>
      </c>
      <c r="N169" s="487">
        <v>3035633.0210892698</v>
      </c>
      <c r="O169" s="487">
        <v>192786067</v>
      </c>
      <c r="P169" s="827">
        <v>1.5630438020342859E-2</v>
      </c>
      <c r="Q169" s="827">
        <v>1.099177170310639E-2</v>
      </c>
      <c r="R169" s="827">
        <v>2.0957007275292972E-2</v>
      </c>
      <c r="S169" s="824">
        <v>3.3545786501100967E-2</v>
      </c>
      <c r="T169" s="824">
        <v>3.3545786501100967E-2</v>
      </c>
      <c r="U169" s="824">
        <v>3.3545786501100967E-2</v>
      </c>
      <c r="V169" s="824">
        <v>0.10063735950330291</v>
      </c>
      <c r="W169" s="824">
        <v>6.9327553660477825E-2</v>
      </c>
      <c r="X169" s="827">
        <v>6.5978424073644307E-2</v>
      </c>
      <c r="Y169" s="486">
        <v>12209712.680286963</v>
      </c>
      <c r="Z169" s="486">
        <v>185056143</v>
      </c>
      <c r="AA169" s="485" t="s">
        <v>1300</v>
      </c>
      <c r="AB169" s="485" t="s">
        <v>1292</v>
      </c>
      <c r="AC169" s="485"/>
    </row>
    <row r="170" spans="1:29" ht="18.75" customHeight="1">
      <c r="A170" s="484">
        <v>163</v>
      </c>
      <c r="B170" s="484" t="s">
        <v>985</v>
      </c>
      <c r="C170" s="484" t="s">
        <v>1287</v>
      </c>
      <c r="D170" s="484" t="s">
        <v>1312</v>
      </c>
      <c r="E170" s="484" t="s">
        <v>988</v>
      </c>
      <c r="F170" s="490" t="s">
        <v>989</v>
      </c>
      <c r="G170" s="490" t="s">
        <v>1087</v>
      </c>
      <c r="H170" s="490" t="s">
        <v>968</v>
      </c>
      <c r="I170" s="489" t="s">
        <v>991</v>
      </c>
      <c r="J170" s="489" t="s">
        <v>992</v>
      </c>
      <c r="K170" s="488" t="s">
        <v>1290</v>
      </c>
      <c r="L170" s="484">
        <v>2016</v>
      </c>
      <c r="M170" s="823">
        <v>50515.357088319695</v>
      </c>
      <c r="N170" s="486" t="s">
        <v>995</v>
      </c>
      <c r="O170" s="486" t="s">
        <v>995</v>
      </c>
      <c r="P170" s="824">
        <v>49164.946911843042</v>
      </c>
      <c r="Q170" s="824">
        <v>42936.375725888036</v>
      </c>
      <c r="R170" s="824">
        <v>18127.88297446497</v>
      </c>
      <c r="S170" s="824">
        <v>38121.456776673527</v>
      </c>
      <c r="T170" s="824">
        <v>38121.456776673527</v>
      </c>
      <c r="U170" s="824">
        <v>38121.456776673527</v>
      </c>
      <c r="V170" s="824">
        <v>114364.37033002058</v>
      </c>
      <c r="W170" s="824">
        <v>78783.883639564723</v>
      </c>
      <c r="X170" s="824">
        <v>156081.39955184792</v>
      </c>
      <c r="Y170" s="486" t="s">
        <v>995</v>
      </c>
      <c r="Z170" s="486" t="s">
        <v>995</v>
      </c>
      <c r="AA170" s="485" t="s">
        <v>1313</v>
      </c>
      <c r="AB170" s="485" t="s">
        <v>1314</v>
      </c>
      <c r="AC170" s="485"/>
    </row>
    <row r="171" spans="1:29" ht="18.75" customHeight="1">
      <c r="A171" s="484">
        <v>164</v>
      </c>
      <c r="B171" s="484" t="s">
        <v>985</v>
      </c>
      <c r="C171" s="484" t="s">
        <v>1287</v>
      </c>
      <c r="D171" s="484" t="s">
        <v>1315</v>
      </c>
      <c r="E171" s="484" t="s">
        <v>1316</v>
      </c>
      <c r="F171" s="490" t="s">
        <v>1127</v>
      </c>
      <c r="G171" s="490" t="s">
        <v>1317</v>
      </c>
      <c r="H171" s="490" t="s">
        <v>968</v>
      </c>
      <c r="I171" s="489" t="s">
        <v>1318</v>
      </c>
      <c r="J171" s="495" t="s">
        <v>1319</v>
      </c>
      <c r="K171" s="488" t="s">
        <v>1290</v>
      </c>
      <c r="L171" s="484">
        <v>2016</v>
      </c>
      <c r="M171" s="828">
        <v>0</v>
      </c>
      <c r="N171" s="487" t="s">
        <v>994</v>
      </c>
      <c r="O171" s="487" t="s">
        <v>994</v>
      </c>
      <c r="P171" s="827">
        <v>0</v>
      </c>
      <c r="Q171" s="827">
        <v>0</v>
      </c>
      <c r="R171" s="827">
        <v>0</v>
      </c>
      <c r="S171" s="824">
        <v>1.5275889405384697E-2</v>
      </c>
      <c r="T171" s="824">
        <v>1.5275889405384697E-2</v>
      </c>
      <c r="U171" s="824">
        <v>1.5275889405384697E-2</v>
      </c>
      <c r="V171" s="824">
        <v>4.582766821615409E-2</v>
      </c>
      <c r="W171" s="824">
        <v>3.1569986961807399E-2</v>
      </c>
      <c r="X171" s="827">
        <v>0</v>
      </c>
      <c r="Y171" s="486">
        <v>0</v>
      </c>
      <c r="Z171" s="486">
        <v>0</v>
      </c>
      <c r="AA171" s="496" t="s">
        <v>1320</v>
      </c>
      <c r="AB171" s="485" t="s">
        <v>1292</v>
      </c>
      <c r="AC171" s="485"/>
    </row>
    <row r="172" spans="1:29" ht="18.75" customHeight="1">
      <c r="A172" s="484">
        <v>165</v>
      </c>
      <c r="B172" s="484" t="s">
        <v>985</v>
      </c>
      <c r="C172" s="484" t="s">
        <v>1287</v>
      </c>
      <c r="D172" s="484" t="s">
        <v>1315</v>
      </c>
      <c r="E172" s="484" t="s">
        <v>1316</v>
      </c>
      <c r="F172" s="490" t="s">
        <v>1127</v>
      </c>
      <c r="G172" s="490" t="s">
        <v>1317</v>
      </c>
      <c r="H172" s="490" t="s">
        <v>968</v>
      </c>
      <c r="I172" s="489" t="s">
        <v>1318</v>
      </c>
      <c r="J172" s="495" t="s">
        <v>1321</v>
      </c>
      <c r="K172" s="488" t="s">
        <v>1290</v>
      </c>
      <c r="L172" s="484">
        <v>2016</v>
      </c>
      <c r="M172" s="828">
        <v>0.61136294769803268</v>
      </c>
      <c r="N172" s="487">
        <v>1116254876.27507</v>
      </c>
      <c r="O172" s="487">
        <v>1825846464</v>
      </c>
      <c r="P172" s="827">
        <v>0.38668994372009047</v>
      </c>
      <c r="Q172" s="827">
        <v>0.29803950384441308</v>
      </c>
      <c r="R172" s="827">
        <v>0.25720975993723594</v>
      </c>
      <c r="S172" s="824">
        <v>7.7179816548662586E-2</v>
      </c>
      <c r="T172" s="824">
        <v>7.7179816548662586E-2</v>
      </c>
      <c r="U172" s="824">
        <v>7.7179816548662586E-2</v>
      </c>
      <c r="V172" s="824">
        <v>0.23153944964598777</v>
      </c>
      <c r="W172" s="824">
        <v>0.15950402215514103</v>
      </c>
      <c r="X172" s="827">
        <v>0.11273222307972422</v>
      </c>
      <c r="Y172" s="486">
        <v>336679099</v>
      </c>
      <c r="Z172" s="486">
        <v>2986538274.5260029</v>
      </c>
      <c r="AA172" s="485" t="s">
        <v>1322</v>
      </c>
      <c r="AB172" s="485" t="s">
        <v>1323</v>
      </c>
      <c r="AC172" s="485"/>
    </row>
    <row r="173" spans="1:29" ht="18.75" customHeight="1">
      <c r="A173" s="484">
        <v>166</v>
      </c>
      <c r="B173" s="484" t="s">
        <v>985</v>
      </c>
      <c r="C173" s="484" t="s">
        <v>1287</v>
      </c>
      <c r="D173" s="484" t="s">
        <v>1315</v>
      </c>
      <c r="E173" s="484" t="s">
        <v>1316</v>
      </c>
      <c r="F173" s="490" t="s">
        <v>1127</v>
      </c>
      <c r="G173" s="490" t="s">
        <v>1317</v>
      </c>
      <c r="H173" s="490" t="s">
        <v>968</v>
      </c>
      <c r="I173" s="489" t="s">
        <v>1318</v>
      </c>
      <c r="J173" s="495" t="s">
        <v>1324</v>
      </c>
      <c r="K173" s="488" t="s">
        <v>1290</v>
      </c>
      <c r="L173" s="484">
        <v>2016</v>
      </c>
      <c r="M173" s="828">
        <v>6.1756990309597172E-2</v>
      </c>
      <c r="N173" s="487">
        <v>651631.97110123001</v>
      </c>
      <c r="O173" s="487">
        <v>10551550</v>
      </c>
      <c r="P173" s="827">
        <v>5.3045523695406084E-2</v>
      </c>
      <c r="Q173" s="827">
        <v>2.4319729335962388E-2</v>
      </c>
      <c r="R173" s="827">
        <v>0.13571696482403345</v>
      </c>
      <c r="S173" s="824" t="s">
        <v>1158</v>
      </c>
      <c r="T173" s="824" t="s">
        <v>1158</v>
      </c>
      <c r="U173" s="824" t="s">
        <v>1158</v>
      </c>
      <c r="V173" s="824" t="s">
        <v>1158</v>
      </c>
      <c r="W173" s="824" t="s">
        <v>1158</v>
      </c>
      <c r="X173" s="827">
        <v>0.39422273611562025</v>
      </c>
      <c r="Y173" s="486">
        <v>864068.43125482777</v>
      </c>
      <c r="Z173" s="486">
        <v>2191828</v>
      </c>
      <c r="AA173" s="485" t="s">
        <v>1322</v>
      </c>
      <c r="AB173" s="485" t="s">
        <v>1323</v>
      </c>
      <c r="AC173" s="485"/>
    </row>
    <row r="174" spans="1:29" ht="18.75" customHeight="1">
      <c r="A174" s="484">
        <v>167</v>
      </c>
      <c r="B174" s="484" t="s">
        <v>985</v>
      </c>
      <c r="C174" s="484" t="s">
        <v>1287</v>
      </c>
      <c r="D174" s="484" t="s">
        <v>1325</v>
      </c>
      <c r="E174" s="484" t="s">
        <v>1326</v>
      </c>
      <c r="F174" s="490" t="s">
        <v>1127</v>
      </c>
      <c r="G174" s="490" t="s">
        <v>1128</v>
      </c>
      <c r="H174" s="490" t="s">
        <v>968</v>
      </c>
      <c r="I174" s="489" t="s">
        <v>1327</v>
      </c>
      <c r="J174" s="489" t="s">
        <v>1328</v>
      </c>
      <c r="K174" s="488" t="s">
        <v>1290</v>
      </c>
      <c r="L174" s="484">
        <v>2016</v>
      </c>
      <c r="M174" s="828">
        <v>0.25304465493910688</v>
      </c>
      <c r="N174" s="487">
        <v>374</v>
      </c>
      <c r="O174" s="487">
        <v>1478</v>
      </c>
      <c r="P174" s="827">
        <v>0.12080536912751678</v>
      </c>
      <c r="Q174" s="827">
        <v>0.13900414937759337</v>
      </c>
      <c r="R174" s="827">
        <v>8.9426617569700162E-2</v>
      </c>
      <c r="S174" s="824">
        <v>9.369689494189426E-2</v>
      </c>
      <c r="T174" s="824">
        <v>9.369689494189426E-2</v>
      </c>
      <c r="U174" s="824">
        <v>9.369689494189426E-2</v>
      </c>
      <c r="V174" s="824">
        <v>0.28109068482568278</v>
      </c>
      <c r="W174" s="824">
        <v>0.19363911803621411</v>
      </c>
      <c r="X174" s="827">
        <v>3.4883720930232558E-2</v>
      </c>
      <c r="Y174" s="486">
        <v>63</v>
      </c>
      <c r="Z174" s="486">
        <v>1806</v>
      </c>
      <c r="AA174" s="485" t="s">
        <v>1329</v>
      </c>
      <c r="AB174" s="485" t="s">
        <v>1330</v>
      </c>
      <c r="AC174" s="485"/>
    </row>
    <row r="175" spans="1:29" ht="18.75" customHeight="1">
      <c r="A175" s="484">
        <v>168</v>
      </c>
      <c r="B175" s="484" t="s">
        <v>985</v>
      </c>
      <c r="C175" s="484" t="s">
        <v>1287</v>
      </c>
      <c r="D175" s="484" t="s">
        <v>1325</v>
      </c>
      <c r="E175" s="484" t="s">
        <v>1331</v>
      </c>
      <c r="F175" s="490" t="s">
        <v>1127</v>
      </c>
      <c r="G175" s="490" t="s">
        <v>1128</v>
      </c>
      <c r="H175" s="490" t="s">
        <v>968</v>
      </c>
      <c r="I175" s="489" t="s">
        <v>1327</v>
      </c>
      <c r="J175" s="489" t="s">
        <v>1332</v>
      </c>
      <c r="K175" s="488" t="s">
        <v>1290</v>
      </c>
      <c r="L175" s="484">
        <v>2016</v>
      </c>
      <c r="M175" s="828">
        <v>0.11800347442904961</v>
      </c>
      <c r="N175" s="487">
        <v>2785</v>
      </c>
      <c r="O175" s="487">
        <v>23601</v>
      </c>
      <c r="P175" s="827">
        <v>4.7491950516861552E-2</v>
      </c>
      <c r="Q175" s="827">
        <v>5.598802395209581E-2</v>
      </c>
      <c r="R175" s="827">
        <v>4.17345681465877E-2</v>
      </c>
      <c r="S175" s="824">
        <v>9.3696894941894288E-2</v>
      </c>
      <c r="T175" s="824">
        <v>9.3696894941894288E-2</v>
      </c>
      <c r="U175" s="824">
        <v>9.3696894941894288E-2</v>
      </c>
      <c r="V175" s="824">
        <v>0.28109068482568289</v>
      </c>
      <c r="W175" s="824">
        <v>0.19363911803621414</v>
      </c>
      <c r="X175" s="827">
        <v>2.8803296610882181E-2</v>
      </c>
      <c r="Y175" s="486">
        <v>685</v>
      </c>
      <c r="Z175" s="486">
        <v>23782</v>
      </c>
      <c r="AA175" s="485" t="s">
        <v>1333</v>
      </c>
      <c r="AB175" s="485" t="s">
        <v>1334</v>
      </c>
      <c r="AC175" s="485"/>
    </row>
    <row r="176" spans="1:29" ht="18.75" customHeight="1">
      <c r="A176" s="484">
        <v>169</v>
      </c>
      <c r="B176" s="484" t="s">
        <v>985</v>
      </c>
      <c r="C176" s="484" t="s">
        <v>1287</v>
      </c>
      <c r="D176" s="484" t="s">
        <v>1325</v>
      </c>
      <c r="E176" s="484" t="s">
        <v>1335</v>
      </c>
      <c r="F176" s="490" t="s">
        <v>1127</v>
      </c>
      <c r="G176" s="490" t="s">
        <v>1128</v>
      </c>
      <c r="H176" s="490" t="s">
        <v>968</v>
      </c>
      <c r="I176" s="489" t="s">
        <v>1327</v>
      </c>
      <c r="J176" s="489" t="s">
        <v>1336</v>
      </c>
      <c r="K176" s="488" t="s">
        <v>1290</v>
      </c>
      <c r="L176" s="484">
        <v>2016</v>
      </c>
      <c r="M176" s="828">
        <v>5.4201714764828386E-2</v>
      </c>
      <c r="N176" s="487">
        <v>6012</v>
      </c>
      <c r="O176" s="487">
        <v>110919</v>
      </c>
      <c r="P176" s="827">
        <v>1.6716551262005809E-2</v>
      </c>
      <c r="Q176" s="827">
        <v>2.1564372988066231E-2</v>
      </c>
      <c r="R176" s="827">
        <v>2.3849188195385531E-2</v>
      </c>
      <c r="S176" s="824">
        <v>9.3696894941894274E-2</v>
      </c>
      <c r="T176" s="824">
        <v>9.3696894941894274E-2</v>
      </c>
      <c r="U176" s="824">
        <v>9.3696894941894274E-2</v>
      </c>
      <c r="V176" s="824">
        <v>0.28109068482568283</v>
      </c>
      <c r="W176" s="824">
        <v>0.19363911803621409</v>
      </c>
      <c r="X176" s="827">
        <v>1.609106860101853E-2</v>
      </c>
      <c r="Y176" s="486">
        <v>1880</v>
      </c>
      <c r="Z176" s="486">
        <v>116835</v>
      </c>
      <c r="AA176" s="485" t="s">
        <v>1337</v>
      </c>
      <c r="AB176" s="485" t="s">
        <v>1338</v>
      </c>
      <c r="AC176" s="485"/>
    </row>
    <row r="177" spans="1:29" ht="18.75" customHeight="1">
      <c r="A177" s="484">
        <v>170</v>
      </c>
      <c r="B177" s="484" t="s">
        <v>985</v>
      </c>
      <c r="C177" s="484" t="s">
        <v>1287</v>
      </c>
      <c r="D177" s="484" t="s">
        <v>1325</v>
      </c>
      <c r="E177" s="484" t="s">
        <v>1248</v>
      </c>
      <c r="F177" s="490" t="s">
        <v>1127</v>
      </c>
      <c r="G177" s="490" t="s">
        <v>1249</v>
      </c>
      <c r="H177" s="490" t="s">
        <v>968</v>
      </c>
      <c r="I177" s="489" t="s">
        <v>1339</v>
      </c>
      <c r="J177" s="489" t="s">
        <v>1339</v>
      </c>
      <c r="K177" s="488" t="s">
        <v>1290</v>
      </c>
      <c r="L177" s="484">
        <v>2016</v>
      </c>
      <c r="M177" s="828">
        <v>5.5483784073566821E-2</v>
      </c>
      <c r="N177" s="487">
        <v>153283018</v>
      </c>
      <c r="O177" s="487">
        <v>2762663372</v>
      </c>
      <c r="P177" s="827">
        <v>1.9057728108446619E-2</v>
      </c>
      <c r="Q177" s="827">
        <v>2.3596968231056791E-2</v>
      </c>
      <c r="R177" s="827">
        <v>2.3029780331768984E-2</v>
      </c>
      <c r="S177" s="824">
        <v>0.35615164741344224</v>
      </c>
      <c r="T177" s="824">
        <v>0.35615164741344224</v>
      </c>
      <c r="U177" s="824">
        <v>0.35615164741344224</v>
      </c>
      <c r="V177" s="824">
        <v>1.0684549422403267</v>
      </c>
      <c r="W177" s="824">
        <v>0.73604243699913363</v>
      </c>
      <c r="X177" s="827">
        <v>1.5207557255126862E-2</v>
      </c>
      <c r="Y177" s="486">
        <v>43998213</v>
      </c>
      <c r="Z177" s="486">
        <v>2893180822</v>
      </c>
      <c r="AA177" s="485" t="s">
        <v>1340</v>
      </c>
      <c r="AB177" s="485" t="s">
        <v>1341</v>
      </c>
      <c r="AC177" s="485" t="s">
        <v>1342</v>
      </c>
    </row>
    <row r="178" spans="1:29" ht="18.75" customHeight="1">
      <c r="A178" s="484">
        <v>171</v>
      </c>
      <c r="B178" s="484" t="s">
        <v>985</v>
      </c>
      <c r="C178" s="484" t="s">
        <v>1287</v>
      </c>
      <c r="D178" s="484" t="s">
        <v>1325</v>
      </c>
      <c r="E178" s="484" t="s">
        <v>1137</v>
      </c>
      <c r="F178" s="490" t="s">
        <v>1127</v>
      </c>
      <c r="G178" s="490" t="s">
        <v>1138</v>
      </c>
      <c r="H178" s="490" t="s">
        <v>968</v>
      </c>
      <c r="I178" s="489" t="s">
        <v>1139</v>
      </c>
      <c r="J178" s="489" t="s">
        <v>1139</v>
      </c>
      <c r="K178" s="488" t="s">
        <v>1290</v>
      </c>
      <c r="L178" s="484">
        <v>2016</v>
      </c>
      <c r="M178" s="828">
        <v>6.6221698730532658E-2</v>
      </c>
      <c r="N178" s="487">
        <v>506</v>
      </c>
      <c r="O178" s="487">
        <v>7641</v>
      </c>
      <c r="P178" s="827">
        <v>3.7783043707214324E-2</v>
      </c>
      <c r="Q178" s="827">
        <v>2.7390044772188569E-2</v>
      </c>
      <c r="R178" s="827">
        <v>3.2797681770284512E-2</v>
      </c>
      <c r="S178" s="824">
        <v>4.1436933762130007E-2</v>
      </c>
      <c r="T178" s="824">
        <v>4.1436933762130007E-2</v>
      </c>
      <c r="U178" s="824">
        <v>4.1436933762130007E-2</v>
      </c>
      <c r="V178" s="824">
        <v>0.12431080128639002</v>
      </c>
      <c r="W178" s="824">
        <v>8.5635829370864516E-2</v>
      </c>
      <c r="X178" s="827">
        <v>2.5751633986928105E-2</v>
      </c>
      <c r="Y178" s="486">
        <v>197</v>
      </c>
      <c r="Z178" s="486">
        <v>7650</v>
      </c>
      <c r="AA178" s="485" t="s">
        <v>1343</v>
      </c>
      <c r="AB178" s="485" t="s">
        <v>1141</v>
      </c>
      <c r="AC178" s="485" t="s">
        <v>1344</v>
      </c>
    </row>
    <row r="179" spans="1:29" ht="18.75" customHeight="1">
      <c r="A179" s="484">
        <v>172</v>
      </c>
      <c r="B179" s="484" t="s">
        <v>985</v>
      </c>
      <c r="C179" s="484" t="s">
        <v>1287</v>
      </c>
      <c r="D179" s="484" t="s">
        <v>1345</v>
      </c>
      <c r="E179" s="484" t="s">
        <v>1346</v>
      </c>
      <c r="F179" s="490" t="s">
        <v>1127</v>
      </c>
      <c r="G179" s="490" t="s">
        <v>1347</v>
      </c>
      <c r="H179" s="490" t="s">
        <v>968</v>
      </c>
      <c r="I179" s="489" t="s">
        <v>1348</v>
      </c>
      <c r="J179" s="489" t="s">
        <v>1348</v>
      </c>
      <c r="K179" s="488" t="s">
        <v>1290</v>
      </c>
      <c r="L179" s="484">
        <v>2016</v>
      </c>
      <c r="M179" s="828">
        <v>4.3746802894956537E-3</v>
      </c>
      <c r="N179" s="487">
        <v>12085769</v>
      </c>
      <c r="O179" s="487">
        <v>2762663372</v>
      </c>
      <c r="P179" s="827">
        <v>5.0917393138470511E-2</v>
      </c>
      <c r="Q179" s="827">
        <v>5.0820587780012312E-2</v>
      </c>
      <c r="R179" s="827">
        <v>4.8806258396775638E-2</v>
      </c>
      <c r="S179" s="824">
        <v>0.20301641791332467</v>
      </c>
      <c r="T179" s="824">
        <v>0.20301641791332467</v>
      </c>
      <c r="U179" s="824">
        <v>0.20301641791332467</v>
      </c>
      <c r="V179" s="824">
        <v>0.60904925373997398</v>
      </c>
      <c r="W179" s="824">
        <v>0.41956481200350093</v>
      </c>
      <c r="X179" s="827">
        <v>2.0361879752568055E-3</v>
      </c>
      <c r="Y179" s="486">
        <v>5891060</v>
      </c>
      <c r="Z179" s="486">
        <v>2893180822</v>
      </c>
      <c r="AA179" s="485" t="s">
        <v>1349</v>
      </c>
      <c r="AB179" s="485" t="s">
        <v>1350</v>
      </c>
      <c r="AC179" s="485" t="s">
        <v>1351</v>
      </c>
    </row>
    <row r="180" spans="1:29" ht="18.75" customHeight="1">
      <c r="A180" s="484">
        <v>173</v>
      </c>
      <c r="B180" s="484" t="s">
        <v>985</v>
      </c>
      <c r="C180" s="484" t="s">
        <v>1287</v>
      </c>
      <c r="D180" s="484" t="s">
        <v>1345</v>
      </c>
      <c r="E180" s="484" t="s">
        <v>1352</v>
      </c>
      <c r="F180" s="490" t="s">
        <v>1127</v>
      </c>
      <c r="G180" s="490" t="s">
        <v>1353</v>
      </c>
      <c r="H180" s="490" t="s">
        <v>968</v>
      </c>
      <c r="I180" s="489" t="s">
        <v>1354</v>
      </c>
      <c r="J180" s="489" t="s">
        <v>1354</v>
      </c>
      <c r="K180" s="488" t="s">
        <v>1290</v>
      </c>
      <c r="L180" s="484">
        <v>2016</v>
      </c>
      <c r="M180" s="828">
        <v>0.10622462787550745</v>
      </c>
      <c r="N180" s="487">
        <v>157</v>
      </c>
      <c r="O180" s="487">
        <v>1478</v>
      </c>
      <c r="P180" s="827">
        <v>5.6375838926174496E-2</v>
      </c>
      <c r="Q180" s="827">
        <v>5.8091286307053944E-2</v>
      </c>
      <c r="R180" s="827">
        <v>0.16052631578947368</v>
      </c>
      <c r="S180" s="824">
        <v>1.1759343232438182E-2</v>
      </c>
      <c r="T180" s="824">
        <v>1.1759343232438182E-2</v>
      </c>
      <c r="U180" s="824">
        <v>1.1759343232438182E-2</v>
      </c>
      <c r="V180" s="824">
        <v>3.5278029697314542E-2</v>
      </c>
      <c r="W180" s="824">
        <v>2.4302500671196915E-2</v>
      </c>
      <c r="X180" s="827">
        <v>2.2148394241417496E-3</v>
      </c>
      <c r="Y180" s="486">
        <v>4</v>
      </c>
      <c r="Z180" s="486">
        <v>1806</v>
      </c>
      <c r="AA180" s="485" t="s">
        <v>1355</v>
      </c>
      <c r="AB180" s="485" t="s">
        <v>1356</v>
      </c>
      <c r="AC180" s="485" t="s">
        <v>1357</v>
      </c>
    </row>
    <row r="181" spans="1:29" ht="18.75" customHeight="1">
      <c r="A181" s="484">
        <v>174</v>
      </c>
      <c r="B181" s="484" t="s">
        <v>985</v>
      </c>
      <c r="C181" s="484" t="s">
        <v>1287</v>
      </c>
      <c r="D181" s="484" t="s">
        <v>1345</v>
      </c>
      <c r="E181" s="484" t="s">
        <v>1358</v>
      </c>
      <c r="F181" s="490" t="s">
        <v>1127</v>
      </c>
      <c r="G181" s="490" t="s">
        <v>1353</v>
      </c>
      <c r="H181" s="490" t="s">
        <v>968</v>
      </c>
      <c r="I181" s="489" t="s">
        <v>1359</v>
      </c>
      <c r="J181" s="489" t="s">
        <v>1359</v>
      </c>
      <c r="K181" s="488" t="s">
        <v>1290</v>
      </c>
      <c r="L181" s="484">
        <v>2016</v>
      </c>
      <c r="M181" s="828">
        <v>1.4109571628320834E-2</v>
      </c>
      <c r="N181" s="487">
        <v>333</v>
      </c>
      <c r="O181" s="487">
        <v>23601</v>
      </c>
      <c r="P181" s="827">
        <v>3.6307405524487378E-2</v>
      </c>
      <c r="Q181" s="827">
        <v>3.6655260906757914E-2</v>
      </c>
      <c r="R181" s="827">
        <v>8.645017687507453E-2</v>
      </c>
      <c r="S181" s="824">
        <v>1.1759343232438184E-2</v>
      </c>
      <c r="T181" s="824">
        <v>1.1759343232438184E-2</v>
      </c>
      <c r="U181" s="824">
        <v>1.1759343232438184E-2</v>
      </c>
      <c r="V181" s="824">
        <v>3.5278029697314549E-2</v>
      </c>
      <c r="W181" s="824">
        <v>2.4302500671196926E-2</v>
      </c>
      <c r="X181" s="827">
        <v>2.5229164914641325E-3</v>
      </c>
      <c r="Y181" s="486">
        <v>60</v>
      </c>
      <c r="Z181" s="486">
        <v>23782</v>
      </c>
      <c r="AA181" s="485" t="s">
        <v>1360</v>
      </c>
      <c r="AB181" s="485" t="s">
        <v>1361</v>
      </c>
      <c r="AC181" s="485" t="s">
        <v>1357</v>
      </c>
    </row>
    <row r="182" spans="1:29" ht="18.75" customHeight="1">
      <c r="A182" s="484">
        <v>175</v>
      </c>
      <c r="B182" s="484" t="s">
        <v>985</v>
      </c>
      <c r="C182" s="484" t="s">
        <v>1287</v>
      </c>
      <c r="D182" s="484" t="s">
        <v>1345</v>
      </c>
      <c r="E182" s="484" t="s">
        <v>1362</v>
      </c>
      <c r="F182" s="490" t="s">
        <v>1127</v>
      </c>
      <c r="G182" s="490" t="s">
        <v>1353</v>
      </c>
      <c r="H182" s="490" t="s">
        <v>968</v>
      </c>
      <c r="I182" s="489" t="s">
        <v>1363</v>
      </c>
      <c r="J182" s="489" t="s">
        <v>1363</v>
      </c>
      <c r="K182" s="488" t="s">
        <v>1290</v>
      </c>
      <c r="L182" s="484">
        <v>2016</v>
      </c>
      <c r="M182" s="828">
        <v>2.5964893300516592E-3</v>
      </c>
      <c r="N182" s="487">
        <v>288</v>
      </c>
      <c r="O182" s="487">
        <v>110919</v>
      </c>
      <c r="P182" s="827">
        <v>2.2309582309582309E-2</v>
      </c>
      <c r="Q182" s="827">
        <v>2.220463478400057E-2</v>
      </c>
      <c r="R182" s="827">
        <v>3.8799167911059702E-2</v>
      </c>
      <c r="S182" s="824">
        <v>1.1759343232438184E-2</v>
      </c>
      <c r="T182" s="824">
        <v>1.1759343232438184E-2</v>
      </c>
      <c r="U182" s="824">
        <v>1.1759343232438184E-2</v>
      </c>
      <c r="V182" s="824">
        <v>3.5278029697314549E-2</v>
      </c>
      <c r="W182" s="824">
        <v>2.4302500671196922E-2</v>
      </c>
      <c r="X182" s="827">
        <v>1.9343518637394616E-3</v>
      </c>
      <c r="Y182" s="486">
        <v>226</v>
      </c>
      <c r="Z182" s="486">
        <v>116835</v>
      </c>
      <c r="AA182" s="485" t="s">
        <v>1364</v>
      </c>
      <c r="AB182" s="485" t="s">
        <v>1365</v>
      </c>
      <c r="AC182" s="485" t="s">
        <v>1357</v>
      </c>
    </row>
    <row r="183" spans="1:29" ht="18.75" customHeight="1">
      <c r="A183" s="484">
        <v>176</v>
      </c>
      <c r="B183" s="484" t="s">
        <v>985</v>
      </c>
      <c r="C183" s="484" t="s">
        <v>1287</v>
      </c>
      <c r="D183" s="484" t="s">
        <v>1345</v>
      </c>
      <c r="E183" s="484" t="s">
        <v>1266</v>
      </c>
      <c r="F183" s="490" t="s">
        <v>1127</v>
      </c>
      <c r="G183" s="490" t="s">
        <v>1267</v>
      </c>
      <c r="H183" s="490" t="s">
        <v>968</v>
      </c>
      <c r="I183" s="489" t="s">
        <v>1366</v>
      </c>
      <c r="J183" s="489" t="s">
        <v>1366</v>
      </c>
      <c r="K183" s="488" t="s">
        <v>1290</v>
      </c>
      <c r="L183" s="484">
        <v>2016</v>
      </c>
      <c r="M183" s="828">
        <v>1.3083867591259977E-3</v>
      </c>
      <c r="N183" s="487">
        <v>10</v>
      </c>
      <c r="O183" s="487">
        <v>7643</v>
      </c>
      <c r="P183" s="827">
        <v>1.7904160084254869E-2</v>
      </c>
      <c r="Q183" s="827">
        <v>1.7901803343425036E-2</v>
      </c>
      <c r="R183" s="827">
        <v>3.6222339304531087E-2</v>
      </c>
      <c r="S183" s="824">
        <v>5.6159193172643524E-3</v>
      </c>
      <c r="T183" s="824">
        <v>5.6159193172643524E-3</v>
      </c>
      <c r="U183" s="824">
        <v>5.6159193172643524E-3</v>
      </c>
      <c r="V183" s="824">
        <v>1.6847757951793059E-2</v>
      </c>
      <c r="W183" s="824">
        <v>1.1606165436239818E-2</v>
      </c>
      <c r="X183" s="827">
        <v>2.6143790849673205E-4</v>
      </c>
      <c r="Y183" s="486">
        <v>2</v>
      </c>
      <c r="Z183" s="486">
        <v>7650</v>
      </c>
      <c r="AA183" s="485" t="s">
        <v>1367</v>
      </c>
      <c r="AB183" s="485" t="s">
        <v>1368</v>
      </c>
      <c r="AC183" s="485" t="s">
        <v>1344</v>
      </c>
    </row>
    <row r="184" spans="1:29" ht="18.75" customHeight="1">
      <c r="A184" s="484">
        <v>177</v>
      </c>
      <c r="B184" s="484" t="s">
        <v>985</v>
      </c>
      <c r="C184" s="484" t="s">
        <v>1287</v>
      </c>
      <c r="D184" s="484" t="s">
        <v>1369</v>
      </c>
      <c r="E184" s="484" t="s">
        <v>1063</v>
      </c>
      <c r="F184" s="490" t="s">
        <v>1064</v>
      </c>
      <c r="G184" s="490" t="s">
        <v>1065</v>
      </c>
      <c r="H184" s="490" t="s">
        <v>968</v>
      </c>
      <c r="I184" s="489" t="s">
        <v>1066</v>
      </c>
      <c r="J184" s="489" t="s">
        <v>1064</v>
      </c>
      <c r="K184" s="488" t="s">
        <v>1290</v>
      </c>
      <c r="L184" s="484">
        <v>2016</v>
      </c>
      <c r="M184" s="823">
        <v>308.75989172309579</v>
      </c>
      <c r="N184" s="487">
        <v>45796543.016906992</v>
      </c>
      <c r="O184" s="487">
        <v>148324.13226125421</v>
      </c>
      <c r="P184" s="824">
        <v>99.629885801856304</v>
      </c>
      <c r="Q184" s="824">
        <v>126.72592204790902</v>
      </c>
      <c r="R184" s="824">
        <v>336.89032019194184</v>
      </c>
      <c r="S184" s="824">
        <v>292.93386693769145</v>
      </c>
      <c r="T184" s="824">
        <v>292.93386693769145</v>
      </c>
      <c r="U184" s="824">
        <v>292.93386693769145</v>
      </c>
      <c r="V184" s="824">
        <v>878.8016008130744</v>
      </c>
      <c r="W184" s="824">
        <v>582.93839520600602</v>
      </c>
      <c r="X184" s="824">
        <v>12.655258112763464</v>
      </c>
      <c r="Y184" s="486">
        <v>7724023.7428444577</v>
      </c>
      <c r="Z184" s="486">
        <v>610341.06724811811</v>
      </c>
      <c r="AA184" s="485" t="s">
        <v>1144</v>
      </c>
      <c r="AB184" s="485" t="s">
        <v>1145</v>
      </c>
      <c r="AC184" s="485"/>
    </row>
    <row r="185" spans="1:29" ht="18.75" customHeight="1">
      <c r="A185" s="484">
        <v>178</v>
      </c>
      <c r="B185" s="484" t="s">
        <v>985</v>
      </c>
      <c r="C185" s="484" t="s">
        <v>1287</v>
      </c>
      <c r="D185" s="484" t="s">
        <v>1369</v>
      </c>
      <c r="E185" s="484" t="s">
        <v>1063</v>
      </c>
      <c r="F185" s="490" t="s">
        <v>1069</v>
      </c>
      <c r="G185" s="490" t="s">
        <v>1065</v>
      </c>
      <c r="H185" s="490" t="s">
        <v>968</v>
      </c>
      <c r="I185" s="489" t="s">
        <v>1066</v>
      </c>
      <c r="J185" s="489" t="s">
        <v>1069</v>
      </c>
      <c r="K185" s="488" t="s">
        <v>1290</v>
      </c>
      <c r="L185" s="484">
        <v>2016</v>
      </c>
      <c r="M185" s="825">
        <v>6.2627121171113395E-2</v>
      </c>
      <c r="N185" s="487">
        <v>45796543.016906992</v>
      </c>
      <c r="O185" s="487">
        <v>731257355.6076299</v>
      </c>
      <c r="P185" s="826">
        <v>2.1583563714012717E-2</v>
      </c>
      <c r="Q185" s="826">
        <v>3.0611934809421856E-2</v>
      </c>
      <c r="R185" s="826">
        <v>7.386965584745582E-2</v>
      </c>
      <c r="S185" s="824">
        <v>6.2935963617522572E-2</v>
      </c>
      <c r="T185" s="824">
        <v>6.2935963617522572E-2</v>
      </c>
      <c r="U185" s="824">
        <v>6.2935963617522572E-2</v>
      </c>
      <c r="V185" s="824">
        <v>0.18880789085256772</v>
      </c>
      <c r="W185" s="824">
        <v>0.12524256759886992</v>
      </c>
      <c r="X185" s="826">
        <v>2.610874750144375E-3</v>
      </c>
      <c r="Y185" s="486">
        <v>7724023.7428444577</v>
      </c>
      <c r="Z185" s="486">
        <v>2958404550.9717913</v>
      </c>
      <c r="AA185" s="485" t="s">
        <v>1370</v>
      </c>
      <c r="AB185" s="485" t="s">
        <v>1145</v>
      </c>
      <c r="AC185" s="485"/>
    </row>
    <row r="186" spans="1:29" ht="18.75" customHeight="1">
      <c r="A186" s="484">
        <v>179</v>
      </c>
      <c r="B186" s="484" t="s">
        <v>985</v>
      </c>
      <c r="C186" s="484" t="s">
        <v>1287</v>
      </c>
      <c r="D186" s="484" t="s">
        <v>1369</v>
      </c>
      <c r="E186" s="484" t="s">
        <v>1063</v>
      </c>
      <c r="F186" s="490" t="s">
        <v>1071</v>
      </c>
      <c r="G186" s="490" t="s">
        <v>1065</v>
      </c>
      <c r="H186" s="490" t="s">
        <v>968</v>
      </c>
      <c r="I186" s="489" t="s">
        <v>1066</v>
      </c>
      <c r="J186" s="489" t="s">
        <v>1071</v>
      </c>
      <c r="K186" s="488" t="s">
        <v>1290</v>
      </c>
      <c r="L186" s="484">
        <v>2016</v>
      </c>
      <c r="M186" s="825">
        <v>0.4769468424327129</v>
      </c>
      <c r="N186" s="487">
        <v>1447835.5841930027</v>
      </c>
      <c r="O186" s="487">
        <v>3035633.0210892665</v>
      </c>
      <c r="P186" s="826">
        <v>0.15564670308157966</v>
      </c>
      <c r="Q186" s="826">
        <v>0.29694917736404691</v>
      </c>
      <c r="R186" s="826">
        <v>0.79477612732202296</v>
      </c>
      <c r="S186" s="824">
        <v>0.46665993497270553</v>
      </c>
      <c r="T186" s="824">
        <v>0.46665993497270553</v>
      </c>
      <c r="U186" s="824">
        <v>0.46665993497270553</v>
      </c>
      <c r="V186" s="824">
        <v>1.3999798049181167</v>
      </c>
      <c r="W186" s="824">
        <v>0.92865327059568403</v>
      </c>
      <c r="X186" s="826">
        <v>3.0418270850716668E-2</v>
      </c>
      <c r="Y186" s="486">
        <v>371398.34731839859</v>
      </c>
      <c r="Z186" s="486">
        <v>12209712.680286963</v>
      </c>
      <c r="AA186" s="485" t="s">
        <v>1370</v>
      </c>
      <c r="AB186" s="485" t="s">
        <v>1145</v>
      </c>
      <c r="AC186" s="485"/>
    </row>
    <row r="187" spans="1:29" ht="18.75" customHeight="1">
      <c r="A187" s="484">
        <v>180</v>
      </c>
      <c r="B187" s="484" t="s">
        <v>985</v>
      </c>
      <c r="C187" s="484" t="s">
        <v>1287</v>
      </c>
      <c r="D187" s="484" t="s">
        <v>1369</v>
      </c>
      <c r="E187" s="484" t="s">
        <v>1063</v>
      </c>
      <c r="F187" s="490" t="s">
        <v>1073</v>
      </c>
      <c r="G187" s="490" t="s">
        <v>1065</v>
      </c>
      <c r="H187" s="490" t="s">
        <v>968</v>
      </c>
      <c r="I187" s="489" t="s">
        <v>1066</v>
      </c>
      <c r="J187" s="489" t="s">
        <v>1073</v>
      </c>
      <c r="K187" s="488" t="s">
        <v>1290</v>
      </c>
      <c r="L187" s="484">
        <v>2016</v>
      </c>
      <c r="M187" s="823">
        <v>376.71386639097682</v>
      </c>
      <c r="N187" s="487">
        <v>55875757.343223691</v>
      </c>
      <c r="O187" s="487">
        <v>148324.13226125421</v>
      </c>
      <c r="P187" s="824">
        <v>201.62032026562042</v>
      </c>
      <c r="Q187" s="824">
        <v>176.21722775693706</v>
      </c>
      <c r="R187" s="824">
        <v>423.55486988365419</v>
      </c>
      <c r="S187" s="824">
        <v>409.87968010410589</v>
      </c>
      <c r="T187" s="824">
        <v>409.87968010410589</v>
      </c>
      <c r="U187" s="824">
        <v>409.87968010410589</v>
      </c>
      <c r="V187" s="824">
        <v>1229.6390403123178</v>
      </c>
      <c r="W187" s="824">
        <v>815.66056340717068</v>
      </c>
      <c r="X187" s="824">
        <v>143.83056313145227</v>
      </c>
      <c r="Y187" s="486">
        <v>87785699.404548407</v>
      </c>
      <c r="Z187" s="486">
        <v>610341.06724811811</v>
      </c>
      <c r="AA187" s="485" t="s">
        <v>1148</v>
      </c>
      <c r="AB187" s="485" t="s">
        <v>1145</v>
      </c>
      <c r="AC187" s="485"/>
    </row>
    <row r="188" spans="1:29" ht="18.75" customHeight="1">
      <c r="A188" s="484">
        <v>181</v>
      </c>
      <c r="B188" s="484" t="s">
        <v>985</v>
      </c>
      <c r="C188" s="484" t="s">
        <v>1287</v>
      </c>
      <c r="D188" s="484" t="s">
        <v>1369</v>
      </c>
      <c r="E188" s="484" t="s">
        <v>1063</v>
      </c>
      <c r="F188" s="490" t="s">
        <v>1075</v>
      </c>
      <c r="G188" s="490" t="s">
        <v>1065</v>
      </c>
      <c r="H188" s="490" t="s">
        <v>968</v>
      </c>
      <c r="I188" s="489" t="s">
        <v>1066</v>
      </c>
      <c r="J188" s="489" t="s">
        <v>1075</v>
      </c>
      <c r="K188" s="488" t="s">
        <v>1290</v>
      </c>
      <c r="L188" s="484">
        <v>2016</v>
      </c>
      <c r="M188" s="825">
        <v>7.6410523483615933E-2</v>
      </c>
      <c r="N188" s="487">
        <v>55875757.343223691</v>
      </c>
      <c r="O188" s="487">
        <v>731257355.6076299</v>
      </c>
      <c r="P188" s="826">
        <v>4.3678510654396312E-2</v>
      </c>
      <c r="Q188" s="826">
        <v>4.2567062848854663E-2</v>
      </c>
      <c r="R188" s="826">
        <v>9.2872518429717235E-2</v>
      </c>
      <c r="S188" s="824">
        <v>8.8061421181050314E-2</v>
      </c>
      <c r="T188" s="824">
        <v>8.8061421181050314E-2</v>
      </c>
      <c r="U188" s="824">
        <v>8.8061421181050314E-2</v>
      </c>
      <c r="V188" s="824">
        <v>0.26418426354315094</v>
      </c>
      <c r="W188" s="824">
        <v>0.17524222815029011</v>
      </c>
      <c r="X188" s="826">
        <v>2.9673324892537812E-2</v>
      </c>
      <c r="Y188" s="486">
        <v>87785699.404548407</v>
      </c>
      <c r="Z188" s="486">
        <v>2958404550.9717913</v>
      </c>
      <c r="AA188" s="485" t="s">
        <v>1371</v>
      </c>
      <c r="AB188" s="485" t="s">
        <v>1145</v>
      </c>
      <c r="AC188" s="485"/>
    </row>
    <row r="189" spans="1:29" ht="18.75" customHeight="1">
      <c r="A189" s="484">
        <v>182</v>
      </c>
      <c r="B189" s="484" t="s">
        <v>985</v>
      </c>
      <c r="C189" s="484" t="s">
        <v>1287</v>
      </c>
      <c r="D189" s="484" t="s">
        <v>1369</v>
      </c>
      <c r="E189" s="484" t="s">
        <v>1063</v>
      </c>
      <c r="F189" s="490" t="s">
        <v>1077</v>
      </c>
      <c r="G189" s="490" t="s">
        <v>1065</v>
      </c>
      <c r="H189" s="490" t="s">
        <v>968</v>
      </c>
      <c r="I189" s="489" t="s">
        <v>1066</v>
      </c>
      <c r="J189" s="489" t="s">
        <v>1077</v>
      </c>
      <c r="K189" s="488" t="s">
        <v>1290</v>
      </c>
      <c r="L189" s="484">
        <v>2016</v>
      </c>
      <c r="M189" s="825">
        <v>0.58191654386551739</v>
      </c>
      <c r="N189" s="487">
        <v>1766485.0760763052</v>
      </c>
      <c r="O189" s="487">
        <v>3035633.0210892665</v>
      </c>
      <c r="P189" s="826">
        <v>0.31498117127231839</v>
      </c>
      <c r="Q189" s="826">
        <v>0.41291915635076459</v>
      </c>
      <c r="R189" s="826">
        <v>0.99923114146681258</v>
      </c>
      <c r="S189" s="824">
        <v>0.65296111666289669</v>
      </c>
      <c r="T189" s="824">
        <v>0.65296111666289669</v>
      </c>
      <c r="U189" s="824">
        <v>0.65296111666289669</v>
      </c>
      <c r="V189" s="824">
        <v>1.9588833499886902</v>
      </c>
      <c r="W189" s="824">
        <v>1.2993926221591645</v>
      </c>
      <c r="X189" s="826">
        <v>0.34571219227295985</v>
      </c>
      <c r="Y189" s="486">
        <v>4221046.5377249625</v>
      </c>
      <c r="Z189" s="486">
        <v>12209712.680286963</v>
      </c>
      <c r="AA189" s="485" t="s">
        <v>1372</v>
      </c>
      <c r="AB189" s="485" t="s">
        <v>1145</v>
      </c>
      <c r="AC189" s="485"/>
    </row>
    <row r="190" spans="1:29" ht="18.75" customHeight="1">
      <c r="A190" s="484">
        <v>183</v>
      </c>
      <c r="B190" s="484" t="s">
        <v>985</v>
      </c>
      <c r="C190" s="484" t="s">
        <v>1373</v>
      </c>
      <c r="D190" s="484" t="s">
        <v>1374</v>
      </c>
      <c r="E190" s="484" t="s">
        <v>1375</v>
      </c>
      <c r="F190" s="490" t="s">
        <v>1127</v>
      </c>
      <c r="G190" s="490" t="s">
        <v>1376</v>
      </c>
      <c r="H190" s="490" t="s">
        <v>1155</v>
      </c>
      <c r="I190" s="489" t="s">
        <v>1377</v>
      </c>
      <c r="J190" s="489" t="s">
        <v>1378</v>
      </c>
      <c r="K190" s="488" t="s">
        <v>1290</v>
      </c>
      <c r="L190" s="827" t="s">
        <v>994</v>
      </c>
      <c r="M190" s="827" t="s">
        <v>994</v>
      </c>
      <c r="N190" s="827" t="s">
        <v>994</v>
      </c>
      <c r="O190" s="827" t="s">
        <v>994</v>
      </c>
      <c r="P190" s="827" t="s">
        <v>994</v>
      </c>
      <c r="Q190" s="827" t="s">
        <v>994</v>
      </c>
      <c r="R190" s="827" t="s">
        <v>994</v>
      </c>
      <c r="S190" s="827" t="s">
        <v>994</v>
      </c>
      <c r="T190" s="827" t="s">
        <v>994</v>
      </c>
      <c r="U190" s="827" t="s">
        <v>994</v>
      </c>
      <c r="V190" s="827" t="s">
        <v>994</v>
      </c>
      <c r="W190" s="827" t="s">
        <v>994</v>
      </c>
      <c r="X190" s="827" t="s">
        <v>994</v>
      </c>
      <c r="Y190" s="827" t="s">
        <v>994</v>
      </c>
      <c r="Z190" s="827" t="s">
        <v>994</v>
      </c>
      <c r="AA190" s="485" t="s">
        <v>1379</v>
      </c>
      <c r="AB190" s="485"/>
      <c r="AC190" s="485"/>
    </row>
    <row r="191" spans="1:29" ht="18.75" customHeight="1">
      <c r="A191" s="484">
        <v>184</v>
      </c>
      <c r="B191" s="484" t="s">
        <v>985</v>
      </c>
      <c r="C191" s="484" t="s">
        <v>1373</v>
      </c>
      <c r="D191" s="484" t="s">
        <v>1374</v>
      </c>
      <c r="E191" s="484" t="s">
        <v>1380</v>
      </c>
      <c r="F191" s="490" t="s">
        <v>1127</v>
      </c>
      <c r="G191" s="490" t="s">
        <v>1376</v>
      </c>
      <c r="H191" s="490" t="s">
        <v>1155</v>
      </c>
      <c r="I191" s="489" t="s">
        <v>1381</v>
      </c>
      <c r="J191" s="489" t="s">
        <v>1382</v>
      </c>
      <c r="K191" s="488" t="s">
        <v>1290</v>
      </c>
      <c r="L191" s="827" t="s">
        <v>994</v>
      </c>
      <c r="M191" s="827" t="s">
        <v>994</v>
      </c>
      <c r="N191" s="827" t="s">
        <v>994</v>
      </c>
      <c r="O191" s="827" t="s">
        <v>994</v>
      </c>
      <c r="P191" s="827" t="s">
        <v>994</v>
      </c>
      <c r="Q191" s="827" t="s">
        <v>994</v>
      </c>
      <c r="R191" s="827" t="s">
        <v>994</v>
      </c>
      <c r="S191" s="827" t="s">
        <v>994</v>
      </c>
      <c r="T191" s="827" t="s">
        <v>994</v>
      </c>
      <c r="U191" s="827" t="s">
        <v>994</v>
      </c>
      <c r="V191" s="827" t="s">
        <v>994</v>
      </c>
      <c r="W191" s="827" t="s">
        <v>994</v>
      </c>
      <c r="X191" s="827" t="s">
        <v>994</v>
      </c>
      <c r="Y191" s="827" t="s">
        <v>994</v>
      </c>
      <c r="Z191" s="827" t="s">
        <v>994</v>
      </c>
      <c r="AA191" s="485" t="s">
        <v>1383</v>
      </c>
      <c r="AB191" s="485"/>
      <c r="AC191" s="485"/>
    </row>
    <row r="192" spans="1:29" ht="18.75" customHeight="1">
      <c r="A192" s="484">
        <v>185</v>
      </c>
      <c r="B192" s="484" t="s">
        <v>985</v>
      </c>
      <c r="C192" s="484" t="s">
        <v>1373</v>
      </c>
      <c r="D192" s="484" t="s">
        <v>1384</v>
      </c>
      <c r="E192" s="484" t="s">
        <v>1385</v>
      </c>
      <c r="F192" s="490" t="s">
        <v>1127</v>
      </c>
      <c r="G192" s="490" t="s">
        <v>1386</v>
      </c>
      <c r="H192" s="490" t="s">
        <v>1155</v>
      </c>
      <c r="I192" s="489" t="s">
        <v>1387</v>
      </c>
      <c r="J192" s="489" t="s">
        <v>1388</v>
      </c>
      <c r="K192" s="488" t="s">
        <v>1290</v>
      </c>
      <c r="L192" s="827" t="s">
        <v>994</v>
      </c>
      <c r="M192" s="827" t="s">
        <v>994</v>
      </c>
      <c r="N192" s="827" t="s">
        <v>994</v>
      </c>
      <c r="O192" s="827" t="s">
        <v>994</v>
      </c>
      <c r="P192" s="827" t="s">
        <v>994</v>
      </c>
      <c r="Q192" s="827" t="s">
        <v>994</v>
      </c>
      <c r="R192" s="827" t="s">
        <v>994</v>
      </c>
      <c r="S192" s="827" t="s">
        <v>994</v>
      </c>
      <c r="T192" s="827" t="s">
        <v>994</v>
      </c>
      <c r="U192" s="827" t="s">
        <v>994</v>
      </c>
      <c r="V192" s="827" t="s">
        <v>994</v>
      </c>
      <c r="W192" s="827" t="s">
        <v>994</v>
      </c>
      <c r="X192" s="827" t="s">
        <v>994</v>
      </c>
      <c r="Y192" s="827" t="s">
        <v>994</v>
      </c>
      <c r="Z192" s="827" t="s">
        <v>994</v>
      </c>
      <c r="AA192" s="485" t="s">
        <v>1389</v>
      </c>
      <c r="AB192" s="485"/>
      <c r="AC192" s="485"/>
    </row>
    <row r="193" spans="1:29" ht="18.75" customHeight="1">
      <c r="A193" s="484">
        <v>186</v>
      </c>
      <c r="B193" s="484" t="s">
        <v>985</v>
      </c>
      <c r="C193" s="484" t="s">
        <v>1373</v>
      </c>
      <c r="D193" s="484" t="s">
        <v>1384</v>
      </c>
      <c r="E193" s="484" t="s">
        <v>1390</v>
      </c>
      <c r="F193" s="490" t="s">
        <v>1127</v>
      </c>
      <c r="G193" s="490" t="s">
        <v>1386</v>
      </c>
      <c r="H193" s="490" t="s">
        <v>1155</v>
      </c>
      <c r="I193" s="489" t="s">
        <v>1391</v>
      </c>
      <c r="J193" s="489" t="s">
        <v>1392</v>
      </c>
      <c r="K193" s="488" t="s">
        <v>1290</v>
      </c>
      <c r="L193" s="827" t="s">
        <v>994</v>
      </c>
      <c r="M193" s="827" t="s">
        <v>994</v>
      </c>
      <c r="N193" s="827" t="s">
        <v>994</v>
      </c>
      <c r="O193" s="827" t="s">
        <v>994</v>
      </c>
      <c r="P193" s="827" t="s">
        <v>994</v>
      </c>
      <c r="Q193" s="827" t="s">
        <v>994</v>
      </c>
      <c r="R193" s="827" t="s">
        <v>994</v>
      </c>
      <c r="S193" s="827" t="s">
        <v>994</v>
      </c>
      <c r="T193" s="827" t="s">
        <v>994</v>
      </c>
      <c r="U193" s="827" t="s">
        <v>994</v>
      </c>
      <c r="V193" s="827" t="s">
        <v>994</v>
      </c>
      <c r="W193" s="827" t="s">
        <v>994</v>
      </c>
      <c r="X193" s="827" t="s">
        <v>994</v>
      </c>
      <c r="Y193" s="827" t="s">
        <v>994</v>
      </c>
      <c r="Z193" s="827" t="s">
        <v>994</v>
      </c>
      <c r="AA193" s="485" t="s">
        <v>1389</v>
      </c>
      <c r="AB193" s="485" t="s">
        <v>1393</v>
      </c>
      <c r="AC193" s="485" t="s">
        <v>1394</v>
      </c>
    </row>
    <row r="194" spans="1:29" ht="18.75" customHeight="1">
      <c r="A194" s="484">
        <v>187</v>
      </c>
      <c r="B194" s="484" t="s">
        <v>985</v>
      </c>
      <c r="C194" s="484" t="s">
        <v>1373</v>
      </c>
      <c r="D194" s="484" t="s">
        <v>1395</v>
      </c>
      <c r="E194" s="484" t="s">
        <v>1396</v>
      </c>
      <c r="F194" s="490" t="s">
        <v>1127</v>
      </c>
      <c r="G194" s="490" t="s">
        <v>1397</v>
      </c>
      <c r="H194" s="490" t="s">
        <v>1155</v>
      </c>
      <c r="I194" s="489" t="s">
        <v>1398</v>
      </c>
      <c r="J194" s="489" t="s">
        <v>1399</v>
      </c>
      <c r="K194" s="488" t="s">
        <v>1290</v>
      </c>
      <c r="L194" s="827" t="s">
        <v>994</v>
      </c>
      <c r="M194" s="827" t="s">
        <v>994</v>
      </c>
      <c r="N194" s="827" t="s">
        <v>994</v>
      </c>
      <c r="O194" s="827" t="s">
        <v>994</v>
      </c>
      <c r="P194" s="827" t="s">
        <v>994</v>
      </c>
      <c r="Q194" s="827" t="s">
        <v>994</v>
      </c>
      <c r="R194" s="827" t="s">
        <v>994</v>
      </c>
      <c r="S194" s="827" t="s">
        <v>994</v>
      </c>
      <c r="T194" s="827" t="s">
        <v>994</v>
      </c>
      <c r="U194" s="827" t="s">
        <v>994</v>
      </c>
      <c r="V194" s="827" t="s">
        <v>994</v>
      </c>
      <c r="W194" s="827" t="s">
        <v>994</v>
      </c>
      <c r="X194" s="827" t="s">
        <v>994</v>
      </c>
      <c r="Y194" s="827" t="s">
        <v>994</v>
      </c>
      <c r="Z194" s="827" t="s">
        <v>994</v>
      </c>
      <c r="AA194" s="485" t="s">
        <v>1400</v>
      </c>
      <c r="AB194" s="485"/>
      <c r="AC194" s="485"/>
    </row>
    <row r="195" spans="1:29" ht="18.75" customHeight="1">
      <c r="A195" s="484">
        <v>188</v>
      </c>
      <c r="B195" s="484" t="s">
        <v>985</v>
      </c>
      <c r="C195" s="484" t="s">
        <v>1373</v>
      </c>
      <c r="D195" s="484" t="s">
        <v>1126</v>
      </c>
      <c r="E195" s="484" t="s">
        <v>999</v>
      </c>
      <c r="F195" s="490" t="s">
        <v>1000</v>
      </c>
      <c r="G195" s="490" t="s">
        <v>1001</v>
      </c>
      <c r="H195" s="490" t="s">
        <v>968</v>
      </c>
      <c r="I195" s="489" t="s">
        <v>1401</v>
      </c>
      <c r="J195" s="489" t="s">
        <v>1000</v>
      </c>
      <c r="K195" s="488" t="s">
        <v>1402</v>
      </c>
      <c r="L195" s="484">
        <v>2016</v>
      </c>
      <c r="M195" s="823">
        <v>4590.9439276523699</v>
      </c>
      <c r="N195" s="827" t="s">
        <v>994</v>
      </c>
      <c r="O195" s="487" t="s">
        <v>994</v>
      </c>
      <c r="P195" s="824">
        <v>2120.2284962919252</v>
      </c>
      <c r="Q195" s="824">
        <v>4869.3797351635285</v>
      </c>
      <c r="R195" s="824">
        <v>2898.0948820547387</v>
      </c>
      <c r="S195" s="824">
        <v>6596.8139663280799</v>
      </c>
      <c r="T195" s="824">
        <v>6596.8139663280799</v>
      </c>
      <c r="U195" s="824">
        <v>6596.8139663280799</v>
      </c>
      <c r="V195" s="824">
        <v>19790.441898984238</v>
      </c>
      <c r="W195" s="824">
        <v>13796.073524135645</v>
      </c>
      <c r="X195" s="824">
        <v>1897.323159941147</v>
      </c>
      <c r="Y195" s="486" t="s">
        <v>995</v>
      </c>
      <c r="Z195" s="486" t="s">
        <v>995</v>
      </c>
      <c r="AA195" s="485" t="s">
        <v>1291</v>
      </c>
      <c r="AB195" s="485" t="s">
        <v>1292</v>
      </c>
      <c r="AC195" s="485" t="s">
        <v>1293</v>
      </c>
    </row>
    <row r="196" spans="1:29" ht="18.75" customHeight="1">
      <c r="A196" s="484">
        <v>189</v>
      </c>
      <c r="B196" s="484" t="s">
        <v>985</v>
      </c>
      <c r="C196" s="484" t="s">
        <v>1373</v>
      </c>
      <c r="D196" s="484" t="s">
        <v>1126</v>
      </c>
      <c r="E196" s="484" t="s">
        <v>999</v>
      </c>
      <c r="F196" s="490" t="s">
        <v>1005</v>
      </c>
      <c r="G196" s="490" t="s">
        <v>1001</v>
      </c>
      <c r="H196" s="490" t="s">
        <v>968</v>
      </c>
      <c r="I196" s="489" t="s">
        <v>1401</v>
      </c>
      <c r="J196" s="489" t="s">
        <v>1005</v>
      </c>
      <c r="K196" s="488" t="s">
        <v>1402</v>
      </c>
      <c r="L196" s="484">
        <v>2016</v>
      </c>
      <c r="M196" s="823">
        <v>3554.7299791819801</v>
      </c>
      <c r="N196" s="827" t="s">
        <v>994</v>
      </c>
      <c r="O196" s="487" t="s">
        <v>994</v>
      </c>
      <c r="P196" s="824">
        <v>1561.293975827205</v>
      </c>
      <c r="Q196" s="824">
        <v>3771.8348593808496</v>
      </c>
      <c r="R196" s="824">
        <v>2497.9844953547299</v>
      </c>
      <c r="S196" s="824">
        <v>4195.9683923210259</v>
      </c>
      <c r="T196" s="824">
        <v>4195.9683923210259</v>
      </c>
      <c r="U196" s="824">
        <v>4195.9683923210259</v>
      </c>
      <c r="V196" s="824">
        <v>12587.905176963079</v>
      </c>
      <c r="W196" s="824">
        <v>8795.8871184624513</v>
      </c>
      <c r="X196" s="824">
        <v>1409.4834003058486</v>
      </c>
      <c r="Y196" s="486" t="s">
        <v>995</v>
      </c>
      <c r="Z196" s="486" t="s">
        <v>995</v>
      </c>
      <c r="AA196" s="485" t="s">
        <v>1291</v>
      </c>
      <c r="AB196" s="485" t="s">
        <v>1292</v>
      </c>
      <c r="AC196" s="485" t="s">
        <v>1293</v>
      </c>
    </row>
    <row r="197" spans="1:29" ht="18.75" customHeight="1">
      <c r="A197" s="484">
        <v>190</v>
      </c>
      <c r="B197" s="484" t="s">
        <v>985</v>
      </c>
      <c r="C197" s="484" t="s">
        <v>1373</v>
      </c>
      <c r="D197" s="484" t="s">
        <v>1126</v>
      </c>
      <c r="E197" s="484" t="s">
        <v>999</v>
      </c>
      <c r="F197" s="490" t="s">
        <v>1006</v>
      </c>
      <c r="G197" s="490" t="s">
        <v>1001</v>
      </c>
      <c r="H197" s="490" t="s">
        <v>968</v>
      </c>
      <c r="I197" s="489" t="s">
        <v>1401</v>
      </c>
      <c r="J197" s="489" t="s">
        <v>1006</v>
      </c>
      <c r="K197" s="488" t="s">
        <v>1402</v>
      </c>
      <c r="L197" s="484">
        <v>2016</v>
      </c>
      <c r="M197" s="823">
        <v>17529533.075263601</v>
      </c>
      <c r="N197" s="827" t="s">
        <v>994</v>
      </c>
      <c r="O197" s="487" t="s">
        <v>994</v>
      </c>
      <c r="P197" s="824">
        <v>11829233.779383814</v>
      </c>
      <c r="Q197" s="824">
        <v>25281292.089263417</v>
      </c>
      <c r="R197" s="824">
        <v>12199569.293464012</v>
      </c>
      <c r="S197" s="824">
        <v>31019093.225557778</v>
      </c>
      <c r="T197" s="824">
        <v>31019093.225557778</v>
      </c>
      <c r="U197" s="824">
        <v>31019093.225557778</v>
      </c>
      <c r="V197" s="824">
        <v>93057279.676673338</v>
      </c>
      <c r="W197" s="824">
        <v>64105751.404088937</v>
      </c>
      <c r="X197" s="824">
        <v>14438508.915031388</v>
      </c>
      <c r="Y197" s="486" t="s">
        <v>995</v>
      </c>
      <c r="Z197" s="486" t="s">
        <v>995</v>
      </c>
      <c r="AA197" s="485" t="s">
        <v>1291</v>
      </c>
      <c r="AB197" s="485" t="s">
        <v>1292</v>
      </c>
      <c r="AC197" s="485" t="s">
        <v>1293</v>
      </c>
    </row>
    <row r="198" spans="1:29" ht="18.75" customHeight="1">
      <c r="A198" s="484">
        <v>191</v>
      </c>
      <c r="B198" s="484" t="s">
        <v>985</v>
      </c>
      <c r="C198" s="484" t="s">
        <v>1373</v>
      </c>
      <c r="D198" s="484" t="s">
        <v>1126</v>
      </c>
      <c r="E198" s="484" t="s">
        <v>999</v>
      </c>
      <c r="F198" s="490" t="s">
        <v>1007</v>
      </c>
      <c r="G198" s="490" t="s">
        <v>1001</v>
      </c>
      <c r="H198" s="490" t="s">
        <v>968</v>
      </c>
      <c r="I198" s="489" t="s">
        <v>1401</v>
      </c>
      <c r="J198" s="489" t="s">
        <v>1007</v>
      </c>
      <c r="K198" s="488" t="s">
        <v>1402</v>
      </c>
      <c r="L198" s="484">
        <v>2016</v>
      </c>
      <c r="M198" s="823">
        <v>12908801.461421</v>
      </c>
      <c r="N198" s="827" t="s">
        <v>994</v>
      </c>
      <c r="O198" s="487" t="s">
        <v>994</v>
      </c>
      <c r="P198" s="824">
        <v>8187370.7973197354</v>
      </c>
      <c r="Q198" s="824">
        <v>19629014.223912973</v>
      </c>
      <c r="R198" s="824">
        <v>10464686.287194207</v>
      </c>
      <c r="S198" s="824">
        <v>19185065.396241453</v>
      </c>
      <c r="T198" s="824">
        <v>19185065.396241453</v>
      </c>
      <c r="U198" s="824">
        <v>19185065.396241453</v>
      </c>
      <c r="V198" s="824">
        <v>57555196.188724354</v>
      </c>
      <c r="W198" s="824">
        <v>39673357.086656652</v>
      </c>
      <c r="X198" s="824">
        <v>10977955.680839896</v>
      </c>
      <c r="Y198" s="486" t="s">
        <v>995</v>
      </c>
      <c r="Z198" s="486" t="s">
        <v>995</v>
      </c>
      <c r="AA198" s="485" t="s">
        <v>1291</v>
      </c>
      <c r="AB198" s="485" t="s">
        <v>1292</v>
      </c>
      <c r="AC198" s="485" t="s">
        <v>1293</v>
      </c>
    </row>
    <row r="199" spans="1:29" ht="18.75" customHeight="1">
      <c r="A199" s="484">
        <v>192</v>
      </c>
      <c r="B199" s="484" t="s">
        <v>985</v>
      </c>
      <c r="C199" s="484" t="s">
        <v>1373</v>
      </c>
      <c r="D199" s="484" t="s">
        <v>1126</v>
      </c>
      <c r="E199" s="484" t="s">
        <v>999</v>
      </c>
      <c r="F199" s="490" t="s">
        <v>1008</v>
      </c>
      <c r="G199" s="490" t="s">
        <v>1001</v>
      </c>
      <c r="H199" s="490" t="s">
        <v>968</v>
      </c>
      <c r="I199" s="489" t="s">
        <v>1401</v>
      </c>
      <c r="J199" s="489" t="s">
        <v>1008</v>
      </c>
      <c r="K199" s="488" t="s">
        <v>1402</v>
      </c>
      <c r="L199" s="484">
        <v>2016</v>
      </c>
      <c r="M199" s="823">
        <v>658150.57731771597</v>
      </c>
      <c r="N199" s="827" t="s">
        <v>994</v>
      </c>
      <c r="O199" s="487" t="s">
        <v>994</v>
      </c>
      <c r="P199" s="824">
        <v>717123.36628211441</v>
      </c>
      <c r="Q199" s="824">
        <v>165007.97731415418</v>
      </c>
      <c r="R199" s="824">
        <v>29882.156361386344</v>
      </c>
      <c r="S199" s="824">
        <v>351100.64679401362</v>
      </c>
      <c r="T199" s="824">
        <v>351100.64679401362</v>
      </c>
      <c r="U199" s="824">
        <v>351100.64679401362</v>
      </c>
      <c r="V199" s="824">
        <v>1053301.9403820408</v>
      </c>
      <c r="W199" s="824">
        <v>759137.9470984065</v>
      </c>
      <c r="X199" s="824">
        <v>190743.77595599869</v>
      </c>
      <c r="Y199" s="486" t="s">
        <v>995</v>
      </c>
      <c r="Z199" s="486" t="s">
        <v>995</v>
      </c>
      <c r="AA199" s="485" t="s">
        <v>1291</v>
      </c>
      <c r="AB199" s="485" t="s">
        <v>1292</v>
      </c>
      <c r="AC199" s="485" t="s">
        <v>1293</v>
      </c>
    </row>
    <row r="200" spans="1:29" ht="18.75" customHeight="1">
      <c r="A200" s="484">
        <v>193</v>
      </c>
      <c r="B200" s="484" t="s">
        <v>985</v>
      </c>
      <c r="C200" s="484" t="s">
        <v>1373</v>
      </c>
      <c r="D200" s="484" t="s">
        <v>1126</v>
      </c>
      <c r="E200" s="484" t="s">
        <v>999</v>
      </c>
      <c r="F200" s="490" t="s">
        <v>1009</v>
      </c>
      <c r="G200" s="490" t="s">
        <v>1001</v>
      </c>
      <c r="H200" s="490" t="s">
        <v>968</v>
      </c>
      <c r="I200" s="489" t="s">
        <v>1401</v>
      </c>
      <c r="J200" s="489" t="s">
        <v>1009</v>
      </c>
      <c r="K200" s="488" t="s">
        <v>1402</v>
      </c>
      <c r="L200" s="484">
        <v>2016</v>
      </c>
      <c r="M200" s="823">
        <v>395429.50560636498</v>
      </c>
      <c r="N200" s="827" t="s">
        <v>994</v>
      </c>
      <c r="O200" s="487" t="s">
        <v>994</v>
      </c>
      <c r="P200" s="824">
        <v>428364.72049244336</v>
      </c>
      <c r="Q200" s="824">
        <v>99632.881440777332</v>
      </c>
      <c r="R200" s="824">
        <v>17095.51933578297</v>
      </c>
      <c r="S200" s="824">
        <v>191680.22379405162</v>
      </c>
      <c r="T200" s="824">
        <v>191680.22379405162</v>
      </c>
      <c r="U200" s="824">
        <v>191680.22379405162</v>
      </c>
      <c r="V200" s="824">
        <v>575040.6713821548</v>
      </c>
      <c r="W200" s="824">
        <v>406567.01037731807</v>
      </c>
      <c r="X200" s="824">
        <v>166308.49588132161</v>
      </c>
      <c r="Y200" s="486" t="s">
        <v>995</v>
      </c>
      <c r="Z200" s="486" t="s">
        <v>995</v>
      </c>
      <c r="AA200" s="485" t="s">
        <v>1291</v>
      </c>
      <c r="AB200" s="485" t="s">
        <v>1292</v>
      </c>
      <c r="AC200" s="485" t="s">
        <v>1293</v>
      </c>
    </row>
    <row r="201" spans="1:29" ht="18.75" customHeight="1">
      <c r="A201" s="484">
        <v>194</v>
      </c>
      <c r="B201" s="484" t="s">
        <v>985</v>
      </c>
      <c r="C201" s="484" t="s">
        <v>1373</v>
      </c>
      <c r="D201" s="484" t="s">
        <v>1126</v>
      </c>
      <c r="E201" s="484" t="s">
        <v>999</v>
      </c>
      <c r="F201" s="490" t="s">
        <v>1010</v>
      </c>
      <c r="G201" s="490" t="s">
        <v>1001</v>
      </c>
      <c r="H201" s="490" t="s">
        <v>968</v>
      </c>
      <c r="I201" s="489" t="s">
        <v>1401</v>
      </c>
      <c r="J201" s="489" t="s">
        <v>1010</v>
      </c>
      <c r="K201" s="488" t="s">
        <v>1402</v>
      </c>
      <c r="L201" s="484">
        <v>2016</v>
      </c>
      <c r="M201" s="823">
        <v>55180.001106433003</v>
      </c>
      <c r="N201" s="827" t="s">
        <v>994</v>
      </c>
      <c r="O201" s="487" t="s">
        <v>994</v>
      </c>
      <c r="P201" s="824">
        <v>18670.744517401385</v>
      </c>
      <c r="Q201" s="824">
        <v>44541.967750757394</v>
      </c>
      <c r="R201" s="824">
        <v>23630.438480622244</v>
      </c>
      <c r="S201" s="824">
        <v>72231.748057820674</v>
      </c>
      <c r="T201" s="824">
        <v>72231.748057820674</v>
      </c>
      <c r="U201" s="824">
        <v>72231.748057820674</v>
      </c>
      <c r="V201" s="824">
        <v>216695.24417346204</v>
      </c>
      <c r="W201" s="824">
        <v>151059.96804957898</v>
      </c>
      <c r="X201" s="824">
        <v>17778.648464718222</v>
      </c>
      <c r="Y201" s="486" t="s">
        <v>995</v>
      </c>
      <c r="Z201" s="486" t="s">
        <v>995</v>
      </c>
      <c r="AA201" s="485" t="s">
        <v>1291</v>
      </c>
      <c r="AB201" s="485" t="s">
        <v>1292</v>
      </c>
      <c r="AC201" s="485" t="s">
        <v>1293</v>
      </c>
    </row>
    <row r="202" spans="1:29" ht="18.75" customHeight="1">
      <c r="A202" s="484">
        <v>195</v>
      </c>
      <c r="B202" s="484" t="s">
        <v>985</v>
      </c>
      <c r="C202" s="484" t="s">
        <v>1373</v>
      </c>
      <c r="D202" s="484" t="s">
        <v>1126</v>
      </c>
      <c r="E202" s="484" t="s">
        <v>999</v>
      </c>
      <c r="F202" s="490" t="s">
        <v>1013</v>
      </c>
      <c r="G202" s="490" t="s">
        <v>1001</v>
      </c>
      <c r="H202" s="490" t="s">
        <v>968</v>
      </c>
      <c r="I202" s="489" t="s">
        <v>1401</v>
      </c>
      <c r="J202" s="489" t="s">
        <v>1013</v>
      </c>
      <c r="K202" s="488" t="s">
        <v>1402</v>
      </c>
      <c r="L202" s="484">
        <v>2016</v>
      </c>
      <c r="M202" s="823">
        <v>41747.003227813402</v>
      </c>
      <c r="N202" s="827" t="s">
        <v>994</v>
      </c>
      <c r="O202" s="487" t="s">
        <v>994</v>
      </c>
      <c r="P202" s="824">
        <v>13285.931537879211</v>
      </c>
      <c r="Q202" s="824">
        <v>34211.996240279623</v>
      </c>
      <c r="R202" s="824">
        <v>20075.722901657369</v>
      </c>
      <c r="S202" s="824">
        <v>45609.493295679466</v>
      </c>
      <c r="T202" s="824">
        <v>45609.493295679466</v>
      </c>
      <c r="U202" s="824">
        <v>45609.493295679466</v>
      </c>
      <c r="V202" s="824">
        <v>136828.47988703841</v>
      </c>
      <c r="W202" s="824">
        <v>95609.860954446704</v>
      </c>
      <c r="X202" s="824">
        <v>12459.039077470705</v>
      </c>
      <c r="Y202" s="486" t="s">
        <v>995</v>
      </c>
      <c r="Z202" s="486" t="s">
        <v>995</v>
      </c>
      <c r="AA202" s="485" t="s">
        <v>1291</v>
      </c>
      <c r="AB202" s="485" t="s">
        <v>1292</v>
      </c>
      <c r="AC202" s="485" t="s">
        <v>1293</v>
      </c>
    </row>
    <row r="203" spans="1:29" ht="18.75" customHeight="1">
      <c r="A203" s="484">
        <v>196</v>
      </c>
      <c r="B203" s="484" t="s">
        <v>985</v>
      </c>
      <c r="C203" s="484" t="s">
        <v>1373</v>
      </c>
      <c r="D203" s="484" t="s">
        <v>1126</v>
      </c>
      <c r="E203" s="484" t="s">
        <v>999</v>
      </c>
      <c r="F203" s="490" t="s">
        <v>1014</v>
      </c>
      <c r="G203" s="490" t="s">
        <v>1001</v>
      </c>
      <c r="H203" s="490" t="s">
        <v>968</v>
      </c>
      <c r="I203" s="489" t="s">
        <v>1401</v>
      </c>
      <c r="J203" s="489" t="s">
        <v>1014</v>
      </c>
      <c r="K203" s="488" t="s">
        <v>1402</v>
      </c>
      <c r="L203" s="484">
        <v>2016</v>
      </c>
      <c r="M203" s="823">
        <v>215162157.76574799</v>
      </c>
      <c r="N203" s="827" t="s">
        <v>994</v>
      </c>
      <c r="O203" s="487" t="s">
        <v>994</v>
      </c>
      <c r="P203" s="824">
        <v>102078374.17575823</v>
      </c>
      <c r="Q203" s="824">
        <v>264032344.80648011</v>
      </c>
      <c r="R203" s="824">
        <v>102671892.85767052</v>
      </c>
      <c r="S203" s="824">
        <v>339188596.29518348</v>
      </c>
      <c r="T203" s="824">
        <v>339188596.29518348</v>
      </c>
      <c r="U203" s="824">
        <v>339188596.29518348</v>
      </c>
      <c r="V203" s="824">
        <v>1017565788.8855505</v>
      </c>
      <c r="W203" s="824">
        <v>700985669.53869808</v>
      </c>
      <c r="X203" s="824">
        <v>121695934.54045625</v>
      </c>
      <c r="Y203" s="486" t="s">
        <v>995</v>
      </c>
      <c r="Z203" s="486" t="s">
        <v>995</v>
      </c>
      <c r="AA203" s="485" t="s">
        <v>1291</v>
      </c>
      <c r="AB203" s="485" t="s">
        <v>1292</v>
      </c>
      <c r="AC203" s="485" t="s">
        <v>1293</v>
      </c>
    </row>
    <row r="204" spans="1:29" ht="18.75" customHeight="1">
      <c r="A204" s="484">
        <v>197</v>
      </c>
      <c r="B204" s="484" t="s">
        <v>985</v>
      </c>
      <c r="C204" s="484" t="s">
        <v>1373</v>
      </c>
      <c r="D204" s="484" t="s">
        <v>1126</v>
      </c>
      <c r="E204" s="484" t="s">
        <v>999</v>
      </c>
      <c r="F204" s="490" t="s">
        <v>1015</v>
      </c>
      <c r="G204" s="490" t="s">
        <v>1001</v>
      </c>
      <c r="H204" s="490" t="s">
        <v>968</v>
      </c>
      <c r="I204" s="489" t="s">
        <v>1401</v>
      </c>
      <c r="J204" s="489" t="s">
        <v>1015</v>
      </c>
      <c r="K204" s="488" t="s">
        <v>1402</v>
      </c>
      <c r="L204" s="484">
        <v>2016</v>
      </c>
      <c r="M204" s="823">
        <v>155638967.50607699</v>
      </c>
      <c r="N204" s="827" t="s">
        <v>994</v>
      </c>
      <c r="O204" s="487" t="s">
        <v>994</v>
      </c>
      <c r="P204" s="824">
        <v>70335418.773030251</v>
      </c>
      <c r="Q204" s="824">
        <v>203184949.41917124</v>
      </c>
      <c r="R204" s="824">
        <v>85450449.032280743</v>
      </c>
      <c r="S204" s="824">
        <v>209069831.50117296</v>
      </c>
      <c r="T204" s="824">
        <v>209069831.50117296</v>
      </c>
      <c r="U204" s="824">
        <v>209069831.50117296</v>
      </c>
      <c r="V204" s="824">
        <v>627209494.50351882</v>
      </c>
      <c r="W204" s="824">
        <v>432341611.03345257</v>
      </c>
      <c r="X204" s="824">
        <v>85131325.578947797</v>
      </c>
      <c r="Y204" s="486" t="s">
        <v>995</v>
      </c>
      <c r="Z204" s="486" t="s">
        <v>995</v>
      </c>
      <c r="AA204" s="485" t="s">
        <v>1291</v>
      </c>
      <c r="AB204" s="485" t="s">
        <v>1292</v>
      </c>
      <c r="AC204" s="485" t="s">
        <v>1293</v>
      </c>
    </row>
    <row r="205" spans="1:29" ht="18.75" customHeight="1">
      <c r="A205" s="484">
        <v>198</v>
      </c>
      <c r="B205" s="484" t="s">
        <v>985</v>
      </c>
      <c r="C205" s="484" t="s">
        <v>1373</v>
      </c>
      <c r="D205" s="484" t="s">
        <v>1126</v>
      </c>
      <c r="E205" s="484" t="s">
        <v>999</v>
      </c>
      <c r="F205" s="490" t="s">
        <v>1016</v>
      </c>
      <c r="G205" s="490" t="s">
        <v>1001</v>
      </c>
      <c r="H205" s="490" t="s">
        <v>968</v>
      </c>
      <c r="I205" s="489" t="s">
        <v>1401</v>
      </c>
      <c r="J205" s="489" t="s">
        <v>1016</v>
      </c>
      <c r="K205" s="488" t="s">
        <v>1402</v>
      </c>
      <c r="L205" s="484">
        <v>2016</v>
      </c>
      <c r="M205" s="823">
        <v>9847643.0532631408</v>
      </c>
      <c r="N205" s="827" t="s">
        <v>994</v>
      </c>
      <c r="O205" s="487" t="s">
        <v>994</v>
      </c>
      <c r="P205" s="824">
        <v>7906120.7257685047</v>
      </c>
      <c r="Q205" s="824">
        <v>1457968.9561695815</v>
      </c>
      <c r="R205" s="824">
        <v>480219.7888017107</v>
      </c>
      <c r="S205" s="824">
        <v>3995986.8255473995</v>
      </c>
      <c r="T205" s="824">
        <v>3995986.8255473995</v>
      </c>
      <c r="U205" s="824">
        <v>3995986.8255473995</v>
      </c>
      <c r="V205" s="824">
        <v>11987960.476642199</v>
      </c>
      <c r="W205" s="824">
        <v>8639987.6020679921</v>
      </c>
      <c r="X205" s="824">
        <v>1363967.5102556366</v>
      </c>
      <c r="Y205" s="486" t="s">
        <v>995</v>
      </c>
      <c r="Z205" s="486" t="s">
        <v>995</v>
      </c>
      <c r="AA205" s="485" t="s">
        <v>1291</v>
      </c>
      <c r="AB205" s="485" t="s">
        <v>1292</v>
      </c>
      <c r="AC205" s="485" t="s">
        <v>1293</v>
      </c>
    </row>
    <row r="206" spans="1:29" ht="18.75" customHeight="1">
      <c r="A206" s="484">
        <v>199</v>
      </c>
      <c r="B206" s="484" t="s">
        <v>985</v>
      </c>
      <c r="C206" s="484" t="s">
        <v>1373</v>
      </c>
      <c r="D206" s="484" t="s">
        <v>1126</v>
      </c>
      <c r="E206" s="484" t="s">
        <v>999</v>
      </c>
      <c r="F206" s="490" t="s">
        <v>1017</v>
      </c>
      <c r="G206" s="490" t="s">
        <v>1001</v>
      </c>
      <c r="H206" s="490" t="s">
        <v>968</v>
      </c>
      <c r="I206" s="489" t="s">
        <v>1401</v>
      </c>
      <c r="J206" s="489" t="s">
        <v>1017</v>
      </c>
      <c r="K206" s="488" t="s">
        <v>1402</v>
      </c>
      <c r="L206" s="484">
        <v>2016</v>
      </c>
      <c r="M206" s="823">
        <v>6000837.5956774</v>
      </c>
      <c r="N206" s="827" t="s">
        <v>994</v>
      </c>
      <c r="O206" s="487" t="s">
        <v>994</v>
      </c>
      <c r="P206" s="824">
        <v>4701231.2561380565</v>
      </c>
      <c r="Q206" s="824">
        <v>908171.25417388184</v>
      </c>
      <c r="R206" s="824">
        <v>210730.83388234445</v>
      </c>
      <c r="S206" s="824">
        <v>2183522.4687020159</v>
      </c>
      <c r="T206" s="824">
        <v>2183522.4687020159</v>
      </c>
      <c r="U206" s="824">
        <v>2183522.4687020159</v>
      </c>
      <c r="V206" s="824">
        <v>6550567.4061060473</v>
      </c>
      <c r="W206" s="824">
        <v>4631402.1583452942</v>
      </c>
      <c r="X206" s="824">
        <v>985426.07679589977</v>
      </c>
      <c r="Y206" s="486" t="s">
        <v>995</v>
      </c>
      <c r="Z206" s="486" t="s">
        <v>995</v>
      </c>
      <c r="AA206" s="485" t="s">
        <v>1291</v>
      </c>
      <c r="AB206" s="485" t="s">
        <v>1292</v>
      </c>
      <c r="AC206" s="485" t="s">
        <v>1293</v>
      </c>
    </row>
    <row r="207" spans="1:29" ht="18.75" customHeight="1">
      <c r="A207" s="484">
        <v>200</v>
      </c>
      <c r="B207" s="484" t="s">
        <v>985</v>
      </c>
      <c r="C207" s="484" t="s">
        <v>1373</v>
      </c>
      <c r="D207" s="484" t="s">
        <v>1248</v>
      </c>
      <c r="E207" s="484" t="s">
        <v>988</v>
      </c>
      <c r="F207" s="490" t="s">
        <v>989</v>
      </c>
      <c r="G207" s="490" t="s">
        <v>1087</v>
      </c>
      <c r="H207" s="490" t="s">
        <v>968</v>
      </c>
      <c r="I207" s="489" t="s">
        <v>1403</v>
      </c>
      <c r="J207" s="489" t="s">
        <v>992</v>
      </c>
      <c r="K207" s="488" t="s">
        <v>1402</v>
      </c>
      <c r="L207" s="484">
        <v>2016</v>
      </c>
      <c r="M207" s="823">
        <v>11222.29901293838</v>
      </c>
      <c r="N207" s="827" t="s">
        <v>994</v>
      </c>
      <c r="O207" s="487" t="s">
        <v>994</v>
      </c>
      <c r="P207" s="824">
        <v>8058.8041723150018</v>
      </c>
      <c r="Q207" s="824">
        <v>14405.767327942591</v>
      </c>
      <c r="R207" s="824">
        <v>7489.1394575259537</v>
      </c>
      <c r="S207" s="824">
        <v>9436.5060046885974</v>
      </c>
      <c r="T207" s="824">
        <v>9436.5060046885974</v>
      </c>
      <c r="U207" s="824">
        <v>9436.5060046885974</v>
      </c>
      <c r="V207" s="824">
        <v>28309.51801406579</v>
      </c>
      <c r="W207" s="824">
        <v>19501.998451757834</v>
      </c>
      <c r="X207" s="824">
        <v>8642.8496945248098</v>
      </c>
      <c r="Y207" s="486" t="s">
        <v>995</v>
      </c>
      <c r="Z207" s="486" t="s">
        <v>995</v>
      </c>
      <c r="AA207" s="485" t="s">
        <v>1313</v>
      </c>
      <c r="AB207" s="485" t="s">
        <v>1404</v>
      </c>
      <c r="AC207" s="485"/>
    </row>
    <row r="208" spans="1:29" ht="18.75" customHeight="1">
      <c r="A208" s="484">
        <v>201</v>
      </c>
      <c r="B208" s="484" t="s">
        <v>985</v>
      </c>
      <c r="C208" s="484" t="s">
        <v>1373</v>
      </c>
      <c r="D208" s="484" t="s">
        <v>1405</v>
      </c>
      <c r="E208" s="484" t="s">
        <v>1406</v>
      </c>
      <c r="F208" s="490" t="s">
        <v>1407</v>
      </c>
      <c r="G208" s="490" t="s">
        <v>1211</v>
      </c>
      <c r="H208" s="490" t="s">
        <v>1155</v>
      </c>
      <c r="I208" s="489" t="s">
        <v>1408</v>
      </c>
      <c r="J208" s="489" t="s">
        <v>1409</v>
      </c>
      <c r="K208" s="488" t="s">
        <v>1402</v>
      </c>
      <c r="L208" s="487" t="s">
        <v>994</v>
      </c>
      <c r="M208" s="487" t="s">
        <v>994</v>
      </c>
      <c r="N208" s="487" t="s">
        <v>994</v>
      </c>
      <c r="O208" s="487" t="s">
        <v>994</v>
      </c>
      <c r="P208" s="487" t="s">
        <v>995</v>
      </c>
      <c r="Q208" s="827">
        <v>0</v>
      </c>
      <c r="R208" s="827">
        <v>0</v>
      </c>
      <c r="S208" s="824" t="s">
        <v>1158</v>
      </c>
      <c r="T208" s="824" t="s">
        <v>1158</v>
      </c>
      <c r="U208" s="824" t="s">
        <v>1158</v>
      </c>
      <c r="V208" s="824" t="s">
        <v>1158</v>
      </c>
      <c r="W208" s="824" t="s">
        <v>1158</v>
      </c>
      <c r="X208" s="827" t="s">
        <v>995</v>
      </c>
      <c r="Y208" s="486" t="s">
        <v>995</v>
      </c>
      <c r="Z208" s="486" t="s">
        <v>995</v>
      </c>
      <c r="AA208" s="485" t="s">
        <v>1223</v>
      </c>
      <c r="AB208" s="485"/>
      <c r="AC208" s="485"/>
    </row>
    <row r="209" spans="1:29" ht="18.75" customHeight="1">
      <c r="A209" s="484">
        <v>202</v>
      </c>
      <c r="B209" s="484" t="s">
        <v>985</v>
      </c>
      <c r="C209" s="484" t="s">
        <v>1373</v>
      </c>
      <c r="D209" s="484" t="s">
        <v>1405</v>
      </c>
      <c r="E209" s="484" t="s">
        <v>1406</v>
      </c>
      <c r="F209" s="490" t="s">
        <v>1410</v>
      </c>
      <c r="G209" s="490" t="s">
        <v>1211</v>
      </c>
      <c r="H209" s="490" t="s">
        <v>1155</v>
      </c>
      <c r="I209" s="489" t="s">
        <v>1408</v>
      </c>
      <c r="J209" s="489" t="s">
        <v>1411</v>
      </c>
      <c r="K209" s="488" t="s">
        <v>1402</v>
      </c>
      <c r="L209" s="487" t="s">
        <v>994</v>
      </c>
      <c r="M209" s="487" t="s">
        <v>994</v>
      </c>
      <c r="N209" s="487" t="s">
        <v>994</v>
      </c>
      <c r="O209" s="487" t="s">
        <v>994</v>
      </c>
      <c r="P209" s="487" t="s">
        <v>995</v>
      </c>
      <c r="Q209" s="827">
        <v>0</v>
      </c>
      <c r="R209" s="827">
        <v>0</v>
      </c>
      <c r="S209" s="824" t="s">
        <v>1158</v>
      </c>
      <c r="T209" s="824" t="s">
        <v>1158</v>
      </c>
      <c r="U209" s="824" t="s">
        <v>1158</v>
      </c>
      <c r="V209" s="824" t="s">
        <v>1158</v>
      </c>
      <c r="W209" s="824" t="s">
        <v>1158</v>
      </c>
      <c r="X209" s="827" t="s">
        <v>995</v>
      </c>
      <c r="Y209" s="486" t="s">
        <v>995</v>
      </c>
      <c r="Z209" s="486" t="s">
        <v>995</v>
      </c>
      <c r="AA209" s="485" t="s">
        <v>1223</v>
      </c>
      <c r="AB209" s="485"/>
      <c r="AC209" s="485"/>
    </row>
    <row r="210" spans="1:29" ht="18.75" customHeight="1">
      <c r="A210" s="484">
        <v>203</v>
      </c>
      <c r="B210" s="484" t="s">
        <v>985</v>
      </c>
      <c r="C210" s="484" t="s">
        <v>1373</v>
      </c>
      <c r="D210" s="484" t="s">
        <v>1405</v>
      </c>
      <c r="E210" s="484" t="s">
        <v>1406</v>
      </c>
      <c r="F210" s="490" t="s">
        <v>1412</v>
      </c>
      <c r="G210" s="490" t="s">
        <v>1211</v>
      </c>
      <c r="H210" s="490" t="s">
        <v>1155</v>
      </c>
      <c r="I210" s="489" t="s">
        <v>1408</v>
      </c>
      <c r="J210" s="489" t="s">
        <v>1413</v>
      </c>
      <c r="K210" s="488" t="s">
        <v>1402</v>
      </c>
      <c r="L210" s="487" t="s">
        <v>994</v>
      </c>
      <c r="M210" s="487" t="s">
        <v>994</v>
      </c>
      <c r="N210" s="487" t="s">
        <v>994</v>
      </c>
      <c r="O210" s="487" t="s">
        <v>994</v>
      </c>
      <c r="P210" s="487" t="s">
        <v>995</v>
      </c>
      <c r="Q210" s="827">
        <v>0</v>
      </c>
      <c r="R210" s="827">
        <v>0</v>
      </c>
      <c r="S210" s="824" t="s">
        <v>1158</v>
      </c>
      <c r="T210" s="824" t="s">
        <v>1158</v>
      </c>
      <c r="U210" s="824" t="s">
        <v>1158</v>
      </c>
      <c r="V210" s="824" t="s">
        <v>1158</v>
      </c>
      <c r="W210" s="824" t="s">
        <v>1158</v>
      </c>
      <c r="X210" s="827" t="s">
        <v>995</v>
      </c>
      <c r="Y210" s="486" t="s">
        <v>995</v>
      </c>
      <c r="Z210" s="486" t="s">
        <v>995</v>
      </c>
      <c r="AA210" s="485" t="s">
        <v>1223</v>
      </c>
      <c r="AB210" s="485"/>
      <c r="AC210" s="485"/>
    </row>
    <row r="211" spans="1:29" ht="18.75" customHeight="1">
      <c r="A211" s="484">
        <v>204</v>
      </c>
      <c r="B211" s="484" t="s">
        <v>985</v>
      </c>
      <c r="C211" s="484" t="s">
        <v>1373</v>
      </c>
      <c r="D211" s="484" t="s">
        <v>1405</v>
      </c>
      <c r="E211" s="484" t="s">
        <v>1227</v>
      </c>
      <c r="F211" s="490" t="s">
        <v>1414</v>
      </c>
      <c r="G211" s="490" t="s">
        <v>1228</v>
      </c>
      <c r="H211" s="490" t="s">
        <v>1155</v>
      </c>
      <c r="I211" s="489" t="s">
        <v>1415</v>
      </c>
      <c r="J211" s="489" t="s">
        <v>1416</v>
      </c>
      <c r="K211" s="488" t="s">
        <v>1402</v>
      </c>
      <c r="L211" s="487" t="s">
        <v>994</v>
      </c>
      <c r="M211" s="487" t="s">
        <v>994</v>
      </c>
      <c r="N211" s="487" t="s">
        <v>994</v>
      </c>
      <c r="O211" s="487" t="s">
        <v>994</v>
      </c>
      <c r="P211" s="487" t="s">
        <v>995</v>
      </c>
      <c r="Q211" s="487" t="s">
        <v>995</v>
      </c>
      <c r="R211" s="487" t="s">
        <v>995</v>
      </c>
      <c r="S211" s="487" t="s">
        <v>995</v>
      </c>
      <c r="T211" s="487" t="s">
        <v>995</v>
      </c>
      <c r="U211" s="487" t="s">
        <v>995</v>
      </c>
      <c r="V211" s="487" t="s">
        <v>995</v>
      </c>
      <c r="W211" s="487" t="s">
        <v>995</v>
      </c>
      <c r="X211" s="487" t="s">
        <v>995</v>
      </c>
      <c r="Y211" s="486" t="s">
        <v>995</v>
      </c>
      <c r="Z211" s="486" t="s">
        <v>995</v>
      </c>
      <c r="AA211" s="485" t="s">
        <v>1417</v>
      </c>
      <c r="AB211" s="485"/>
      <c r="AC211" s="485"/>
    </row>
    <row r="212" spans="1:29" ht="18.75" customHeight="1">
      <c r="A212" s="484">
        <v>205</v>
      </c>
      <c r="B212" s="484" t="s">
        <v>985</v>
      </c>
      <c r="C212" s="484" t="s">
        <v>1373</v>
      </c>
      <c r="D212" s="484" t="s">
        <v>1405</v>
      </c>
      <c r="E212" s="484" t="s">
        <v>1227</v>
      </c>
      <c r="F212" s="490" t="s">
        <v>1418</v>
      </c>
      <c r="G212" s="490" t="s">
        <v>1228</v>
      </c>
      <c r="H212" s="490" t="s">
        <v>1155</v>
      </c>
      <c r="I212" s="489" t="s">
        <v>1415</v>
      </c>
      <c r="J212" s="489" t="s">
        <v>1416</v>
      </c>
      <c r="K212" s="488" t="s">
        <v>1402</v>
      </c>
      <c r="L212" s="487" t="s">
        <v>994</v>
      </c>
      <c r="M212" s="487" t="s">
        <v>994</v>
      </c>
      <c r="N212" s="487" t="s">
        <v>994</v>
      </c>
      <c r="O212" s="487" t="s">
        <v>994</v>
      </c>
      <c r="P212" s="487" t="s">
        <v>995</v>
      </c>
      <c r="Q212" s="487" t="s">
        <v>995</v>
      </c>
      <c r="R212" s="487" t="s">
        <v>995</v>
      </c>
      <c r="S212" s="487" t="s">
        <v>995</v>
      </c>
      <c r="T212" s="487" t="s">
        <v>995</v>
      </c>
      <c r="U212" s="487" t="s">
        <v>995</v>
      </c>
      <c r="V212" s="487" t="s">
        <v>995</v>
      </c>
      <c r="W212" s="487" t="s">
        <v>995</v>
      </c>
      <c r="X212" s="487" t="s">
        <v>995</v>
      </c>
      <c r="Y212" s="486" t="s">
        <v>995</v>
      </c>
      <c r="Z212" s="486" t="s">
        <v>995</v>
      </c>
      <c r="AA212" s="485" t="s">
        <v>1419</v>
      </c>
      <c r="AB212" s="485"/>
      <c r="AC212" s="485"/>
    </row>
    <row r="213" spans="1:29" ht="18.75" customHeight="1">
      <c r="A213" s="484">
        <v>206</v>
      </c>
      <c r="B213" s="484" t="s">
        <v>985</v>
      </c>
      <c r="C213" s="484" t="s">
        <v>1373</v>
      </c>
      <c r="D213" s="484" t="s">
        <v>1405</v>
      </c>
      <c r="E213" s="484" t="s">
        <v>1227</v>
      </c>
      <c r="F213" s="490" t="s">
        <v>1420</v>
      </c>
      <c r="G213" s="490" t="s">
        <v>1228</v>
      </c>
      <c r="H213" s="490" t="s">
        <v>1155</v>
      </c>
      <c r="I213" s="489" t="s">
        <v>1415</v>
      </c>
      <c r="J213" s="489" t="s">
        <v>1421</v>
      </c>
      <c r="K213" s="488" t="s">
        <v>1402</v>
      </c>
      <c r="L213" s="487" t="s">
        <v>994</v>
      </c>
      <c r="M213" s="487" t="s">
        <v>994</v>
      </c>
      <c r="N213" s="487" t="s">
        <v>994</v>
      </c>
      <c r="O213" s="487" t="s">
        <v>994</v>
      </c>
      <c r="P213" s="487" t="s">
        <v>995</v>
      </c>
      <c r="Q213" s="487" t="s">
        <v>995</v>
      </c>
      <c r="R213" s="487" t="s">
        <v>995</v>
      </c>
      <c r="S213" s="487" t="s">
        <v>995</v>
      </c>
      <c r="T213" s="487" t="s">
        <v>995</v>
      </c>
      <c r="U213" s="487" t="s">
        <v>995</v>
      </c>
      <c r="V213" s="487" t="s">
        <v>995</v>
      </c>
      <c r="W213" s="487" t="s">
        <v>995</v>
      </c>
      <c r="X213" s="487" t="s">
        <v>995</v>
      </c>
      <c r="Y213" s="486" t="s">
        <v>995</v>
      </c>
      <c r="Z213" s="486" t="s">
        <v>995</v>
      </c>
      <c r="AA213" s="485" t="s">
        <v>1422</v>
      </c>
      <c r="AB213" s="485"/>
      <c r="AC213" s="485"/>
    </row>
    <row r="214" spans="1:29" ht="18.75" customHeight="1">
      <c r="A214" s="484">
        <v>207</v>
      </c>
      <c r="B214" s="484" t="s">
        <v>985</v>
      </c>
      <c r="C214" s="484" t="s">
        <v>1373</v>
      </c>
      <c r="D214" s="484" t="s">
        <v>1405</v>
      </c>
      <c r="E214" s="484" t="s">
        <v>1423</v>
      </c>
      <c r="F214" s="490" t="s">
        <v>1414</v>
      </c>
      <c r="G214" s="490" t="s">
        <v>1424</v>
      </c>
      <c r="H214" s="490" t="s">
        <v>1155</v>
      </c>
      <c r="I214" s="489" t="s">
        <v>1425</v>
      </c>
      <c r="J214" s="489" t="s">
        <v>1426</v>
      </c>
      <c r="K214" s="488" t="s">
        <v>1402</v>
      </c>
      <c r="L214" s="487" t="s">
        <v>994</v>
      </c>
      <c r="M214" s="487" t="s">
        <v>994</v>
      </c>
      <c r="N214" s="487" t="s">
        <v>994</v>
      </c>
      <c r="O214" s="487" t="s">
        <v>994</v>
      </c>
      <c r="P214" s="487" t="s">
        <v>995</v>
      </c>
      <c r="Q214" s="487" t="s">
        <v>995</v>
      </c>
      <c r="R214" s="487" t="s">
        <v>995</v>
      </c>
      <c r="S214" s="487" t="s">
        <v>995</v>
      </c>
      <c r="T214" s="487" t="s">
        <v>995</v>
      </c>
      <c r="U214" s="487" t="s">
        <v>995</v>
      </c>
      <c r="V214" s="487" t="s">
        <v>995</v>
      </c>
      <c r="W214" s="487" t="s">
        <v>995</v>
      </c>
      <c r="X214" s="487" t="s">
        <v>995</v>
      </c>
      <c r="Y214" s="486" t="s">
        <v>995</v>
      </c>
      <c r="Z214" s="486" t="s">
        <v>995</v>
      </c>
      <c r="AA214" s="485" t="s">
        <v>1427</v>
      </c>
      <c r="AB214" s="485"/>
      <c r="AC214" s="485"/>
    </row>
    <row r="215" spans="1:29" ht="18.75" customHeight="1">
      <c r="A215" s="484">
        <v>208</v>
      </c>
      <c r="B215" s="484" t="s">
        <v>985</v>
      </c>
      <c r="C215" s="484" t="s">
        <v>1373</v>
      </c>
      <c r="D215" s="484" t="s">
        <v>1405</v>
      </c>
      <c r="E215" s="484" t="s">
        <v>1423</v>
      </c>
      <c r="F215" s="490" t="s">
        <v>1418</v>
      </c>
      <c r="G215" s="490" t="s">
        <v>1424</v>
      </c>
      <c r="H215" s="490" t="s">
        <v>1155</v>
      </c>
      <c r="I215" s="489" t="s">
        <v>1425</v>
      </c>
      <c r="J215" s="489" t="s">
        <v>1428</v>
      </c>
      <c r="K215" s="488" t="s">
        <v>1402</v>
      </c>
      <c r="L215" s="487" t="s">
        <v>994</v>
      </c>
      <c r="M215" s="487" t="s">
        <v>994</v>
      </c>
      <c r="N215" s="487" t="s">
        <v>994</v>
      </c>
      <c r="O215" s="487" t="s">
        <v>994</v>
      </c>
      <c r="P215" s="487" t="s">
        <v>995</v>
      </c>
      <c r="Q215" s="487" t="s">
        <v>995</v>
      </c>
      <c r="R215" s="487" t="s">
        <v>995</v>
      </c>
      <c r="S215" s="487" t="s">
        <v>995</v>
      </c>
      <c r="T215" s="487" t="s">
        <v>995</v>
      </c>
      <c r="U215" s="487" t="s">
        <v>995</v>
      </c>
      <c r="V215" s="487" t="s">
        <v>995</v>
      </c>
      <c r="W215" s="487" t="s">
        <v>995</v>
      </c>
      <c r="X215" s="487" t="s">
        <v>995</v>
      </c>
      <c r="Y215" s="486" t="s">
        <v>995</v>
      </c>
      <c r="Z215" s="486" t="s">
        <v>995</v>
      </c>
      <c r="AA215" s="485" t="s">
        <v>1427</v>
      </c>
      <c r="AB215" s="485"/>
      <c r="AC215" s="485"/>
    </row>
    <row r="216" spans="1:29" ht="18.75" customHeight="1">
      <c r="A216" s="484">
        <v>209</v>
      </c>
      <c r="B216" s="484" t="s">
        <v>985</v>
      </c>
      <c r="C216" s="484" t="s">
        <v>1373</v>
      </c>
      <c r="D216" s="484" t="s">
        <v>1405</v>
      </c>
      <c r="E216" s="484" t="s">
        <v>1423</v>
      </c>
      <c r="F216" s="490" t="s">
        <v>1420</v>
      </c>
      <c r="G216" s="490" t="s">
        <v>1424</v>
      </c>
      <c r="H216" s="490" t="s">
        <v>1155</v>
      </c>
      <c r="I216" s="489" t="s">
        <v>1425</v>
      </c>
      <c r="J216" s="489" t="s">
        <v>1429</v>
      </c>
      <c r="K216" s="488" t="s">
        <v>1402</v>
      </c>
      <c r="L216" s="487" t="s">
        <v>994</v>
      </c>
      <c r="M216" s="487" t="s">
        <v>994</v>
      </c>
      <c r="N216" s="487" t="s">
        <v>994</v>
      </c>
      <c r="O216" s="487" t="s">
        <v>994</v>
      </c>
      <c r="P216" s="487" t="s">
        <v>995</v>
      </c>
      <c r="Q216" s="487" t="s">
        <v>995</v>
      </c>
      <c r="R216" s="487" t="s">
        <v>995</v>
      </c>
      <c r="S216" s="487" t="s">
        <v>995</v>
      </c>
      <c r="T216" s="487" t="s">
        <v>995</v>
      </c>
      <c r="U216" s="487" t="s">
        <v>995</v>
      </c>
      <c r="V216" s="487" t="s">
        <v>995</v>
      </c>
      <c r="W216" s="487" t="s">
        <v>995</v>
      </c>
      <c r="X216" s="487" t="s">
        <v>995</v>
      </c>
      <c r="Y216" s="486" t="s">
        <v>995</v>
      </c>
      <c r="Z216" s="486" t="s">
        <v>995</v>
      </c>
      <c r="AA216" s="485" t="s">
        <v>1427</v>
      </c>
      <c r="AB216" s="485"/>
      <c r="AC216" s="485"/>
    </row>
    <row r="217" spans="1:29" ht="18.75" customHeight="1">
      <c r="A217" s="484">
        <v>210</v>
      </c>
      <c r="B217" s="484" t="s">
        <v>985</v>
      </c>
      <c r="C217" s="484" t="s">
        <v>1430</v>
      </c>
      <c r="D217" s="484" t="s">
        <v>1137</v>
      </c>
      <c r="E217" s="484" t="s">
        <v>1126</v>
      </c>
      <c r="F217" s="490" t="s">
        <v>1127</v>
      </c>
      <c r="G217" s="490" t="s">
        <v>1128</v>
      </c>
      <c r="H217" s="490" t="s">
        <v>968</v>
      </c>
      <c r="I217" s="489" t="s">
        <v>1431</v>
      </c>
      <c r="J217" s="489" t="s">
        <v>1431</v>
      </c>
      <c r="K217" s="488" t="s">
        <v>1402</v>
      </c>
      <c r="L217" s="484">
        <v>2016</v>
      </c>
      <c r="M217" s="828">
        <v>3.4340854264225909E-2</v>
      </c>
      <c r="N217" s="487">
        <v>484</v>
      </c>
      <c r="O217" s="487">
        <v>14094</v>
      </c>
      <c r="P217" s="827">
        <v>2.4270826047422537E-2</v>
      </c>
      <c r="Q217" s="827">
        <v>2.2501747030048917E-2</v>
      </c>
      <c r="R217" s="827">
        <v>1.644697779361121E-2</v>
      </c>
      <c r="S217" s="824">
        <v>9.3696894941894288E-2</v>
      </c>
      <c r="T217" s="824">
        <v>9.3696894941894288E-2</v>
      </c>
      <c r="U217" s="824">
        <v>9.3696894941894288E-2</v>
      </c>
      <c r="V217" s="824">
        <v>0.28109068482568289</v>
      </c>
      <c r="W217" s="824">
        <v>0.19363911803621414</v>
      </c>
      <c r="X217" s="827">
        <v>1.1600237953599048E-2</v>
      </c>
      <c r="Y217" s="486">
        <v>195</v>
      </c>
      <c r="Z217" s="486">
        <v>16810</v>
      </c>
      <c r="AA217" s="485" t="s">
        <v>1432</v>
      </c>
      <c r="AB217" s="485" t="s">
        <v>1433</v>
      </c>
      <c r="AC217" s="485"/>
    </row>
    <row r="218" spans="1:29" ht="18.75" customHeight="1">
      <c r="A218" s="484">
        <v>211</v>
      </c>
      <c r="B218" s="484" t="s">
        <v>985</v>
      </c>
      <c r="C218" s="484" t="s">
        <v>1430</v>
      </c>
      <c r="D218" s="484" t="s">
        <v>1434</v>
      </c>
      <c r="E218" s="484" t="s">
        <v>1248</v>
      </c>
      <c r="F218" s="490" t="s">
        <v>1127</v>
      </c>
      <c r="G218" s="490" t="s">
        <v>1249</v>
      </c>
      <c r="H218" s="490" t="s">
        <v>1155</v>
      </c>
      <c r="I218" s="489" t="s">
        <v>1435</v>
      </c>
      <c r="J218" s="489" t="s">
        <v>1436</v>
      </c>
      <c r="K218" s="488" t="s">
        <v>1402</v>
      </c>
      <c r="L218" s="487" t="s">
        <v>994</v>
      </c>
      <c r="M218" s="487" t="s">
        <v>994</v>
      </c>
      <c r="N218" s="487" t="s">
        <v>994</v>
      </c>
      <c r="O218" s="487" t="s">
        <v>994</v>
      </c>
      <c r="P218" s="487" t="s">
        <v>995</v>
      </c>
      <c r="Q218" s="827">
        <v>2.2501747030048917E-2</v>
      </c>
      <c r="R218" s="827">
        <v>1.644697779361121E-2</v>
      </c>
      <c r="S218" s="824" t="s">
        <v>1158</v>
      </c>
      <c r="T218" s="824" t="s">
        <v>1158</v>
      </c>
      <c r="U218" s="824" t="s">
        <v>1158</v>
      </c>
      <c r="V218" s="824" t="s">
        <v>1158</v>
      </c>
      <c r="W218" s="824" t="s">
        <v>1158</v>
      </c>
      <c r="X218" s="827">
        <v>1.1600237953599048E-2</v>
      </c>
      <c r="Y218" s="486">
        <v>4478370</v>
      </c>
      <c r="Z218" s="486">
        <v>386058460</v>
      </c>
      <c r="AA218" s="485" t="s">
        <v>1437</v>
      </c>
      <c r="AB218" s="485"/>
      <c r="AC218" s="485"/>
    </row>
    <row r="219" spans="1:29" ht="18.75" customHeight="1">
      <c r="A219" s="484">
        <v>212</v>
      </c>
      <c r="B219" s="484" t="s">
        <v>985</v>
      </c>
      <c r="C219" s="484" t="s">
        <v>1430</v>
      </c>
      <c r="D219" s="484" t="s">
        <v>1434</v>
      </c>
      <c r="E219" s="484" t="s">
        <v>1438</v>
      </c>
      <c r="F219" s="490" t="s">
        <v>1127</v>
      </c>
      <c r="G219" s="490" t="s">
        <v>1424</v>
      </c>
      <c r="H219" s="490" t="s">
        <v>1155</v>
      </c>
      <c r="I219" s="489" t="s">
        <v>1439</v>
      </c>
      <c r="J219" s="489" t="s">
        <v>1440</v>
      </c>
      <c r="K219" s="488" t="s">
        <v>1402</v>
      </c>
      <c r="L219" s="487" t="s">
        <v>994</v>
      </c>
      <c r="M219" s="487" t="s">
        <v>994</v>
      </c>
      <c r="N219" s="487" t="s">
        <v>994</v>
      </c>
      <c r="O219" s="487" t="s">
        <v>994</v>
      </c>
      <c r="P219" s="487" t="s">
        <v>995</v>
      </c>
      <c r="Q219" s="827">
        <v>0</v>
      </c>
      <c r="R219" s="827">
        <v>0</v>
      </c>
      <c r="S219" s="824" t="s">
        <v>1158</v>
      </c>
      <c r="T219" s="824" t="s">
        <v>1158</v>
      </c>
      <c r="U219" s="824" t="s">
        <v>1158</v>
      </c>
      <c r="V219" s="824" t="s">
        <v>1158</v>
      </c>
      <c r="W219" s="824" t="s">
        <v>1158</v>
      </c>
      <c r="X219" s="827">
        <v>0</v>
      </c>
      <c r="Y219" s="486">
        <v>0</v>
      </c>
      <c r="Z219" s="486">
        <v>0</v>
      </c>
      <c r="AA219" s="485" t="s">
        <v>1441</v>
      </c>
      <c r="AB219" s="485"/>
      <c r="AC219" s="485"/>
    </row>
    <row r="220" spans="1:29" ht="18.75" customHeight="1">
      <c r="A220" s="484">
        <v>213</v>
      </c>
      <c r="B220" s="484" t="s">
        <v>985</v>
      </c>
      <c r="C220" s="484" t="s">
        <v>1430</v>
      </c>
      <c r="D220" s="484" t="s">
        <v>1442</v>
      </c>
      <c r="E220" s="484" t="s">
        <v>1063</v>
      </c>
      <c r="F220" s="490" t="s">
        <v>1064</v>
      </c>
      <c r="G220" s="490" t="s">
        <v>1065</v>
      </c>
      <c r="H220" s="490" t="s">
        <v>968</v>
      </c>
      <c r="I220" s="489" t="s">
        <v>1066</v>
      </c>
      <c r="J220" s="489" t="s">
        <v>1064</v>
      </c>
      <c r="K220" s="488" t="s">
        <v>1402</v>
      </c>
      <c r="L220" s="484">
        <v>2016</v>
      </c>
      <c r="M220" s="823">
        <v>252.79448034943113</v>
      </c>
      <c r="N220" s="487">
        <v>10553411.987121101</v>
      </c>
      <c r="O220" s="487">
        <v>41747.003227813359</v>
      </c>
      <c r="P220" s="824">
        <v>218.18298505594356</v>
      </c>
      <c r="Q220" s="824">
        <v>219.63457345377984</v>
      </c>
      <c r="R220" s="824">
        <v>259.84504371055107</v>
      </c>
      <c r="S220" s="824">
        <v>292.93386693769145</v>
      </c>
      <c r="T220" s="824">
        <v>292.93386693769145</v>
      </c>
      <c r="U220" s="824">
        <v>292.93386693769145</v>
      </c>
      <c r="V220" s="824">
        <v>878.8016008130744</v>
      </c>
      <c r="W220" s="824">
        <v>582.93839520600602</v>
      </c>
      <c r="X220" s="824">
        <v>331.3686375818254</v>
      </c>
      <c r="Y220" s="486">
        <v>4128534.80468019</v>
      </c>
      <c r="Z220" s="486">
        <v>12459.039077470705</v>
      </c>
      <c r="AA220" s="485" t="s">
        <v>1144</v>
      </c>
      <c r="AB220" s="485" t="s">
        <v>1145</v>
      </c>
      <c r="AC220" s="485"/>
    </row>
    <row r="221" spans="1:29" ht="18.75" customHeight="1">
      <c r="A221" s="484">
        <v>214</v>
      </c>
      <c r="B221" s="484" t="s">
        <v>985</v>
      </c>
      <c r="C221" s="484" t="s">
        <v>1430</v>
      </c>
      <c r="D221" s="484" t="s">
        <v>1442</v>
      </c>
      <c r="E221" s="484" t="s">
        <v>1063</v>
      </c>
      <c r="F221" s="490" t="s">
        <v>1069</v>
      </c>
      <c r="G221" s="490" t="s">
        <v>1065</v>
      </c>
      <c r="H221" s="490" t="s">
        <v>968</v>
      </c>
      <c r="I221" s="489" t="s">
        <v>1066</v>
      </c>
      <c r="J221" s="489" t="s">
        <v>1069</v>
      </c>
      <c r="K221" s="488" t="s">
        <v>1402</v>
      </c>
      <c r="L221" s="484">
        <v>2016</v>
      </c>
      <c r="M221" s="825">
        <v>6.7807003324595175E-2</v>
      </c>
      <c r="N221" s="487">
        <v>10553411.987121101</v>
      </c>
      <c r="O221" s="487">
        <v>155638967.50607666</v>
      </c>
      <c r="P221" s="826">
        <v>4.1213434891709221E-2</v>
      </c>
      <c r="Q221" s="826">
        <v>3.6981760817995001E-2</v>
      </c>
      <c r="R221" s="826">
        <v>6.1047977558683082E-2</v>
      </c>
      <c r="S221" s="824">
        <v>6.2935963617522572E-2</v>
      </c>
      <c r="T221" s="824">
        <v>6.2935963617522572E-2</v>
      </c>
      <c r="U221" s="824">
        <v>6.2935963617522572E-2</v>
      </c>
      <c r="V221" s="824">
        <v>0.18880789085256772</v>
      </c>
      <c r="W221" s="824">
        <v>0.12524256759886992</v>
      </c>
      <c r="X221" s="826">
        <v>4.8496070942200147E-2</v>
      </c>
      <c r="Y221" s="486">
        <v>4128534.80468019</v>
      </c>
      <c r="Z221" s="486">
        <v>85131325.578947797</v>
      </c>
      <c r="AA221" s="485" t="s">
        <v>1147</v>
      </c>
      <c r="AB221" s="485" t="s">
        <v>1145</v>
      </c>
      <c r="AC221" s="485"/>
    </row>
    <row r="222" spans="1:29" ht="18.75" customHeight="1">
      <c r="A222" s="484">
        <v>215</v>
      </c>
      <c r="B222" s="484" t="s">
        <v>985</v>
      </c>
      <c r="C222" s="484" t="s">
        <v>1430</v>
      </c>
      <c r="D222" s="484" t="s">
        <v>1442</v>
      </c>
      <c r="E222" s="484" t="s">
        <v>1063</v>
      </c>
      <c r="F222" s="490" t="s">
        <v>1071</v>
      </c>
      <c r="G222" s="490" t="s">
        <v>1065</v>
      </c>
      <c r="H222" s="490" t="s">
        <v>968</v>
      </c>
      <c r="I222" s="489" t="s">
        <v>1066</v>
      </c>
      <c r="J222" s="489" t="s">
        <v>1071</v>
      </c>
      <c r="K222" s="488" t="s">
        <v>1402</v>
      </c>
      <c r="L222" s="484">
        <v>2016</v>
      </c>
      <c r="M222" s="825">
        <v>0.47732983132924717</v>
      </c>
      <c r="N222" s="487">
        <v>2864378.7973788986</v>
      </c>
      <c r="O222" s="487">
        <v>6000837.5956774</v>
      </c>
      <c r="P222" s="826">
        <v>0.27974754402891922</v>
      </c>
      <c r="Q222" s="826">
        <v>0.41831196269124932</v>
      </c>
      <c r="R222" s="826">
        <v>0.78441307302490493</v>
      </c>
      <c r="S222" s="824">
        <v>0.46665993497270547</v>
      </c>
      <c r="T222" s="824">
        <v>0.46665993497270547</v>
      </c>
      <c r="U222" s="824">
        <v>0.46665993497270547</v>
      </c>
      <c r="V222" s="824">
        <v>1.3999798049181165</v>
      </c>
      <c r="W222" s="824">
        <v>0.92865327059568392</v>
      </c>
      <c r="X222" s="826">
        <v>0.68124918386781941</v>
      </c>
      <c r="Y222" s="486">
        <v>671320.71057927387</v>
      </c>
      <c r="Z222" s="486">
        <v>985426.07679589977</v>
      </c>
      <c r="AA222" s="485" t="s">
        <v>1370</v>
      </c>
      <c r="AB222" s="485" t="s">
        <v>1145</v>
      </c>
      <c r="AC222" s="485"/>
    </row>
    <row r="223" spans="1:29" ht="18.75" customHeight="1">
      <c r="A223" s="484">
        <v>216</v>
      </c>
      <c r="B223" s="484" t="s">
        <v>985</v>
      </c>
      <c r="C223" s="484" t="s">
        <v>1430</v>
      </c>
      <c r="D223" s="484" t="s">
        <v>1442</v>
      </c>
      <c r="E223" s="484" t="s">
        <v>1063</v>
      </c>
      <c r="F223" s="490" t="s">
        <v>1073</v>
      </c>
      <c r="G223" s="490" t="s">
        <v>1065</v>
      </c>
      <c r="H223" s="490" t="s">
        <v>968</v>
      </c>
      <c r="I223" s="489" t="s">
        <v>1066</v>
      </c>
      <c r="J223" s="489" t="s">
        <v>1073</v>
      </c>
      <c r="K223" s="488" t="s">
        <v>1402</v>
      </c>
      <c r="L223" s="484">
        <v>2016</v>
      </c>
      <c r="M223" s="823">
        <v>511.94720125703424</v>
      </c>
      <c r="N223" s="487">
        <v>21372261.463347424</v>
      </c>
      <c r="O223" s="487">
        <v>41747.003227813359</v>
      </c>
      <c r="P223" s="824">
        <v>611.31127848128483</v>
      </c>
      <c r="Q223" s="824">
        <v>587.01052905849212</v>
      </c>
      <c r="R223" s="824">
        <v>393.1078073186211</v>
      </c>
      <c r="S223" s="824">
        <v>409.87968010410589</v>
      </c>
      <c r="T223" s="824">
        <v>409.87968010410589</v>
      </c>
      <c r="U223" s="824">
        <v>409.87968010410589</v>
      </c>
      <c r="V223" s="824">
        <v>1229.6390403123178</v>
      </c>
      <c r="W223" s="824">
        <v>815.66056340717068</v>
      </c>
      <c r="X223" s="824">
        <v>472.99893304018002</v>
      </c>
      <c r="Y223" s="486">
        <v>5893112.1903495518</v>
      </c>
      <c r="Z223" s="486">
        <v>12459.039077470705</v>
      </c>
      <c r="AA223" s="485" t="s">
        <v>1148</v>
      </c>
      <c r="AB223" s="485" t="s">
        <v>1145</v>
      </c>
      <c r="AC223" s="485"/>
    </row>
    <row r="224" spans="1:29" ht="18.75" customHeight="1">
      <c r="A224" s="484">
        <v>217</v>
      </c>
      <c r="B224" s="484" t="s">
        <v>985</v>
      </c>
      <c r="C224" s="484" t="s">
        <v>1430</v>
      </c>
      <c r="D224" s="484" t="s">
        <v>1442</v>
      </c>
      <c r="E224" s="484" t="s">
        <v>1063</v>
      </c>
      <c r="F224" s="490" t="s">
        <v>1075</v>
      </c>
      <c r="G224" s="490" t="s">
        <v>1065</v>
      </c>
      <c r="H224" s="490" t="s">
        <v>968</v>
      </c>
      <c r="I224" s="489" t="s">
        <v>1066</v>
      </c>
      <c r="J224" s="489" t="s">
        <v>1075</v>
      </c>
      <c r="K224" s="488" t="s">
        <v>1402</v>
      </c>
      <c r="L224" s="484">
        <v>2016</v>
      </c>
      <c r="M224" s="825">
        <v>0.1373194760014903</v>
      </c>
      <c r="N224" s="487">
        <v>21372261.463347424</v>
      </c>
      <c r="O224" s="487">
        <v>155638967.50607666</v>
      </c>
      <c r="P224" s="826">
        <v>0.11547297131257045</v>
      </c>
      <c r="Q224" s="826">
        <v>9.8840007936429303E-2</v>
      </c>
      <c r="R224" s="826">
        <v>9.2356722516758291E-2</v>
      </c>
      <c r="S224" s="824">
        <v>8.8061421181050301E-2</v>
      </c>
      <c r="T224" s="824">
        <v>8.8061421181050301E-2</v>
      </c>
      <c r="U224" s="824">
        <v>8.8061421181050301E-2</v>
      </c>
      <c r="V224" s="824">
        <v>0.26418426354315089</v>
      </c>
      <c r="W224" s="824">
        <v>0.17524222815029009</v>
      </c>
      <c r="X224" s="826">
        <v>6.9223780438899513E-2</v>
      </c>
      <c r="Y224" s="486">
        <v>5893112.1903495518</v>
      </c>
      <c r="Z224" s="486">
        <v>85131325.578947797</v>
      </c>
      <c r="AA224" s="485" t="s">
        <v>1372</v>
      </c>
      <c r="AB224" s="485" t="s">
        <v>1145</v>
      </c>
      <c r="AC224" s="485"/>
    </row>
    <row r="225" spans="1:29" ht="18.75" customHeight="1">
      <c r="A225" s="484">
        <v>218</v>
      </c>
      <c r="B225" s="484" t="s">
        <v>985</v>
      </c>
      <c r="C225" s="484" t="s">
        <v>1430</v>
      </c>
      <c r="D225" s="484" t="s">
        <v>1442</v>
      </c>
      <c r="E225" s="484" t="s">
        <v>1063</v>
      </c>
      <c r="F225" s="490" t="s">
        <v>1077</v>
      </c>
      <c r="G225" s="490" t="s">
        <v>1065</v>
      </c>
      <c r="H225" s="490" t="s">
        <v>968</v>
      </c>
      <c r="I225" s="489" t="s">
        <v>1066</v>
      </c>
      <c r="J225" s="489" t="s">
        <v>1077</v>
      </c>
      <c r="K225" s="488" t="s">
        <v>1402</v>
      </c>
      <c r="L225" s="484">
        <v>2016</v>
      </c>
      <c r="M225" s="825">
        <v>0.96666537531878627</v>
      </c>
      <c r="N225" s="487">
        <v>5800801.9266525768</v>
      </c>
      <c r="O225" s="487">
        <v>6000837.5956774</v>
      </c>
      <c r="P225" s="826">
        <v>0.78380460670876462</v>
      </c>
      <c r="Q225" s="826">
        <v>1.0248836267359509</v>
      </c>
      <c r="R225" s="826">
        <v>1.18670303949446</v>
      </c>
      <c r="S225" s="824">
        <v>0.65296111666289658</v>
      </c>
      <c r="T225" s="824">
        <v>0.65296111666289658</v>
      </c>
      <c r="U225" s="824">
        <v>0.65296111666289658</v>
      </c>
      <c r="V225" s="824">
        <v>1.9588833499886897</v>
      </c>
      <c r="W225" s="824">
        <v>1.2993926221591643</v>
      </c>
      <c r="X225" s="826">
        <v>0.9724219511401504</v>
      </c>
      <c r="Y225" s="486">
        <v>958249.94830225257</v>
      </c>
      <c r="Z225" s="486">
        <v>985426.07679589977</v>
      </c>
      <c r="AA225" s="485" t="s">
        <v>1372</v>
      </c>
      <c r="AB225" s="485" t="s">
        <v>1145</v>
      </c>
      <c r="AC225" s="485"/>
    </row>
    <row r="226" spans="1:29" ht="18.75" customHeight="1">
      <c r="A226" s="484">
        <v>219</v>
      </c>
      <c r="B226" s="484" t="s">
        <v>985</v>
      </c>
      <c r="C226" s="484" t="s">
        <v>1430</v>
      </c>
      <c r="D226" s="484" t="s">
        <v>1443</v>
      </c>
      <c r="E226" s="484" t="s">
        <v>1444</v>
      </c>
      <c r="F226" s="490" t="s">
        <v>1445</v>
      </c>
      <c r="G226" s="490" t="s">
        <v>1397</v>
      </c>
      <c r="H226" s="490" t="s">
        <v>1155</v>
      </c>
      <c r="I226" s="489" t="s">
        <v>1446</v>
      </c>
      <c r="J226" s="489" t="s">
        <v>1447</v>
      </c>
      <c r="K226" s="488" t="s">
        <v>1402</v>
      </c>
      <c r="L226" s="487" t="s">
        <v>995</v>
      </c>
      <c r="M226" s="487" t="s">
        <v>995</v>
      </c>
      <c r="N226" s="487" t="s">
        <v>995</v>
      </c>
      <c r="O226" s="487" t="s">
        <v>995</v>
      </c>
      <c r="P226" s="487" t="s">
        <v>995</v>
      </c>
      <c r="Q226" s="487" t="s">
        <v>995</v>
      </c>
      <c r="R226" s="487" t="s">
        <v>995</v>
      </c>
      <c r="S226" s="487" t="s">
        <v>995</v>
      </c>
      <c r="T226" s="487" t="s">
        <v>995</v>
      </c>
      <c r="U226" s="487" t="s">
        <v>995</v>
      </c>
      <c r="V226" s="487" t="s">
        <v>995</v>
      </c>
      <c r="W226" s="487" t="s">
        <v>995</v>
      </c>
      <c r="X226" s="824" t="s">
        <v>995</v>
      </c>
      <c r="Y226" s="486" t="s">
        <v>995</v>
      </c>
      <c r="Z226" s="486" t="s">
        <v>995</v>
      </c>
      <c r="AA226" s="485" t="s">
        <v>1448</v>
      </c>
      <c r="AB226" s="485" t="s">
        <v>1449</v>
      </c>
      <c r="AC226" s="485"/>
    </row>
    <row r="227" spans="1:29" ht="18.75" customHeight="1">
      <c r="A227" s="484">
        <v>220</v>
      </c>
      <c r="B227" s="484" t="s">
        <v>985</v>
      </c>
      <c r="C227" s="484" t="s">
        <v>1430</v>
      </c>
      <c r="D227" s="484" t="s">
        <v>1450</v>
      </c>
      <c r="E227" s="484" t="s">
        <v>1451</v>
      </c>
      <c r="F227" s="490" t="s">
        <v>1127</v>
      </c>
      <c r="G227" s="490" t="s">
        <v>1452</v>
      </c>
      <c r="H227" s="490" t="s">
        <v>968</v>
      </c>
      <c r="I227" s="489" t="s">
        <v>1453</v>
      </c>
      <c r="J227" s="489" t="s">
        <v>1453</v>
      </c>
      <c r="K227" s="488" t="s">
        <v>1402</v>
      </c>
      <c r="L227" s="484">
        <v>2016</v>
      </c>
      <c r="M227" s="828">
        <v>1.4687100893997445E-2</v>
      </c>
      <c r="N227" s="487">
        <v>207</v>
      </c>
      <c r="O227" s="487">
        <v>14094</v>
      </c>
      <c r="P227" s="827">
        <v>1.4758340910680562E-2</v>
      </c>
      <c r="Q227" s="827">
        <v>1.4744933612858141E-2</v>
      </c>
      <c r="R227" s="827">
        <v>0.21392946205913788</v>
      </c>
      <c r="S227" s="824">
        <v>1.4186644883065102E-2</v>
      </c>
      <c r="T227" s="824">
        <v>1.4186644883065102E-2</v>
      </c>
      <c r="U227" s="824">
        <v>1.4186644883065102E-2</v>
      </c>
      <c r="V227" s="824">
        <v>4.2559934649195302E-2</v>
      </c>
      <c r="W227" s="824">
        <v>2.9318894769707064E-2</v>
      </c>
      <c r="X227" s="827">
        <v>4.164187983343248E-4</v>
      </c>
      <c r="Y227" s="486">
        <v>7</v>
      </c>
      <c r="Z227" s="486">
        <v>16810</v>
      </c>
      <c r="AA227" s="485" t="s">
        <v>1454</v>
      </c>
      <c r="AB227" s="485" t="s">
        <v>1350</v>
      </c>
      <c r="AC227" s="485" t="s">
        <v>1455</v>
      </c>
    </row>
    <row r="228" spans="1:29" ht="18.75" customHeight="1">
      <c r="A228" s="484">
        <v>221</v>
      </c>
      <c r="B228" s="484" t="s">
        <v>985</v>
      </c>
      <c r="C228" s="484" t="s">
        <v>1430</v>
      </c>
      <c r="D228" s="484" t="s">
        <v>1450</v>
      </c>
      <c r="E228" s="484" t="s">
        <v>1456</v>
      </c>
      <c r="F228" s="490" t="s">
        <v>1153</v>
      </c>
      <c r="G228" s="490" t="s">
        <v>1457</v>
      </c>
      <c r="H228" s="490" t="s">
        <v>968</v>
      </c>
      <c r="I228" s="489" t="s">
        <v>1458</v>
      </c>
      <c r="J228" s="489" t="s">
        <v>1459</v>
      </c>
      <c r="K228" s="488" t="s">
        <v>1402</v>
      </c>
      <c r="L228" s="484">
        <v>2016</v>
      </c>
      <c r="M228" s="823">
        <v>25.492516880921073</v>
      </c>
      <c r="N228" s="487">
        <v>8324671987.869771</v>
      </c>
      <c r="O228" s="487">
        <v>326553554</v>
      </c>
      <c r="P228" s="824">
        <v>24.237238356781308</v>
      </c>
      <c r="Q228" s="824">
        <v>20.415816246080006</v>
      </c>
      <c r="R228" s="824">
        <v>44.01682570672628</v>
      </c>
      <c r="S228" s="824">
        <v>51924.088203341635</v>
      </c>
      <c r="T228" s="824">
        <v>51924.088203341635</v>
      </c>
      <c r="U228" s="824">
        <v>51924.088203341635</v>
      </c>
      <c r="V228" s="824">
        <v>155772.2646100249</v>
      </c>
      <c r="W228" s="824">
        <v>107309.15523684045</v>
      </c>
      <c r="X228" s="824">
        <v>42.078878154197973</v>
      </c>
      <c r="Y228" s="486">
        <v>16244906898.737312</v>
      </c>
      <c r="Z228" s="486">
        <v>386058460</v>
      </c>
      <c r="AA228" s="485" t="s">
        <v>1460</v>
      </c>
      <c r="AB228" s="485"/>
      <c r="AC228" s="485"/>
    </row>
    <row r="229" spans="1:29" ht="18.75" customHeight="1">
      <c r="A229" s="484">
        <v>222</v>
      </c>
      <c r="B229" s="484" t="s">
        <v>985</v>
      </c>
      <c r="C229" s="484" t="s">
        <v>1430</v>
      </c>
      <c r="D229" s="484" t="s">
        <v>1461</v>
      </c>
      <c r="E229" s="484" t="s">
        <v>1462</v>
      </c>
      <c r="F229" s="490" t="s">
        <v>1127</v>
      </c>
      <c r="G229" s="490" t="s">
        <v>1463</v>
      </c>
      <c r="H229" s="490" t="s">
        <v>1155</v>
      </c>
      <c r="I229" s="489" t="s">
        <v>1464</v>
      </c>
      <c r="J229" s="489" t="s">
        <v>1464</v>
      </c>
      <c r="K229" s="488" t="s">
        <v>1402</v>
      </c>
      <c r="L229" s="484">
        <v>2016</v>
      </c>
      <c r="M229" s="829">
        <v>0.02</v>
      </c>
      <c r="N229" s="487">
        <v>6978197</v>
      </c>
      <c r="O229" s="487">
        <v>323682804</v>
      </c>
      <c r="P229" s="487" t="s">
        <v>995</v>
      </c>
      <c r="Q229" s="827">
        <v>6.1315466311120261E-2</v>
      </c>
      <c r="R229" s="827">
        <v>0.21392946205913788</v>
      </c>
      <c r="S229" s="824" t="s">
        <v>1158</v>
      </c>
      <c r="T229" s="824" t="s">
        <v>1158</v>
      </c>
      <c r="U229" s="824" t="s">
        <v>1158</v>
      </c>
      <c r="V229" s="824" t="s">
        <v>1158</v>
      </c>
      <c r="W229" s="824" t="s">
        <v>1158</v>
      </c>
      <c r="X229" s="827">
        <v>4.164187983343248E-4</v>
      </c>
      <c r="Y229" s="486">
        <v>160762</v>
      </c>
      <c r="Z229" s="486">
        <v>386058460</v>
      </c>
      <c r="AA229" s="485" t="s">
        <v>1465</v>
      </c>
      <c r="AB229" s="485" t="s">
        <v>1350</v>
      </c>
      <c r="AC229" s="485"/>
    </row>
    <row r="230" spans="1:29" ht="18.75" customHeight="1">
      <c r="A230" s="484">
        <v>223</v>
      </c>
      <c r="B230" s="484" t="s">
        <v>985</v>
      </c>
      <c r="C230" s="484" t="s">
        <v>1466</v>
      </c>
      <c r="D230" s="484" t="s">
        <v>1467</v>
      </c>
      <c r="E230" s="484" t="s">
        <v>999</v>
      </c>
      <c r="F230" s="490" t="s">
        <v>1289</v>
      </c>
      <c r="G230" s="490" t="s">
        <v>1001</v>
      </c>
      <c r="H230" s="490" t="s">
        <v>968</v>
      </c>
      <c r="I230" s="489" t="s">
        <v>1468</v>
      </c>
      <c r="J230" s="489" t="s">
        <v>1000</v>
      </c>
      <c r="K230" s="488" t="s">
        <v>1469</v>
      </c>
      <c r="L230" s="484">
        <v>2016</v>
      </c>
      <c r="M230" s="823">
        <v>646.382896032644</v>
      </c>
      <c r="N230" s="487" t="s">
        <v>994</v>
      </c>
      <c r="O230" s="487" t="s">
        <v>994</v>
      </c>
      <c r="P230" s="824">
        <v>47.503317920000001</v>
      </c>
      <c r="Q230" s="824">
        <v>302.2910458942402</v>
      </c>
      <c r="R230" s="824">
        <v>248.094280785423</v>
      </c>
      <c r="S230" s="824">
        <v>676.02408997536736</v>
      </c>
      <c r="T230" s="824">
        <v>676.02408997536736</v>
      </c>
      <c r="U230" s="824">
        <v>676.02408997536736</v>
      </c>
      <c r="V230" s="824">
        <v>2028.0722699261021</v>
      </c>
      <c r="W230" s="824">
        <v>1413.7852146493628</v>
      </c>
      <c r="X230" s="824">
        <v>1372.1801163610985</v>
      </c>
      <c r="Y230" s="486" t="s">
        <v>995</v>
      </c>
      <c r="Z230" s="486" t="s">
        <v>995</v>
      </c>
      <c r="AA230" s="485" t="s">
        <v>1291</v>
      </c>
      <c r="AB230" s="485" t="s">
        <v>1292</v>
      </c>
      <c r="AC230" s="485"/>
    </row>
    <row r="231" spans="1:29" ht="18.75" customHeight="1">
      <c r="A231" s="484">
        <v>224</v>
      </c>
      <c r="B231" s="484" t="s">
        <v>985</v>
      </c>
      <c r="C231" s="484" t="s">
        <v>1466</v>
      </c>
      <c r="D231" s="484" t="s">
        <v>1467</v>
      </c>
      <c r="E231" s="484" t="s">
        <v>999</v>
      </c>
      <c r="F231" s="490" t="s">
        <v>1289</v>
      </c>
      <c r="G231" s="490" t="s">
        <v>1001</v>
      </c>
      <c r="H231" s="490" t="s">
        <v>968</v>
      </c>
      <c r="I231" s="489" t="s">
        <v>1468</v>
      </c>
      <c r="J231" s="489" t="s">
        <v>1005</v>
      </c>
      <c r="K231" s="488" t="s">
        <v>1469</v>
      </c>
      <c r="L231" s="484">
        <v>2016</v>
      </c>
      <c r="M231" s="823">
        <v>420.14889831378099</v>
      </c>
      <c r="N231" s="487" t="s">
        <v>994</v>
      </c>
      <c r="O231" s="487" t="s">
        <v>994</v>
      </c>
      <c r="P231" s="824">
        <v>35.609316123607819</v>
      </c>
      <c r="Q231" s="824">
        <v>212.64288722449444</v>
      </c>
      <c r="R231" s="824">
        <v>175.97140330581982</v>
      </c>
      <c r="S231" s="824">
        <v>406.57401239875924</v>
      </c>
      <c r="T231" s="824">
        <v>406.57401239875924</v>
      </c>
      <c r="U231" s="824">
        <v>406.57401239875924</v>
      </c>
      <c r="V231" s="824">
        <v>1219.7220371962776</v>
      </c>
      <c r="W231" s="824">
        <v>852.2893368082913</v>
      </c>
      <c r="X231" s="824">
        <v>987.68045846797577</v>
      </c>
      <c r="Y231" s="486" t="s">
        <v>995</v>
      </c>
      <c r="Z231" s="486" t="s">
        <v>995</v>
      </c>
      <c r="AA231" s="485" t="s">
        <v>1291</v>
      </c>
      <c r="AB231" s="485" t="s">
        <v>1292</v>
      </c>
      <c r="AC231" s="485"/>
    </row>
    <row r="232" spans="1:29" ht="18.75" customHeight="1">
      <c r="A232" s="484">
        <v>225</v>
      </c>
      <c r="B232" s="484" t="s">
        <v>985</v>
      </c>
      <c r="C232" s="484" t="s">
        <v>1466</v>
      </c>
      <c r="D232" s="484" t="s">
        <v>1467</v>
      </c>
      <c r="E232" s="484" t="s">
        <v>999</v>
      </c>
      <c r="F232" s="490" t="s">
        <v>1294</v>
      </c>
      <c r="G232" s="490" t="s">
        <v>1001</v>
      </c>
      <c r="H232" s="490" t="s">
        <v>968</v>
      </c>
      <c r="I232" s="489" t="s">
        <v>1468</v>
      </c>
      <c r="J232" s="489" t="s">
        <v>1006</v>
      </c>
      <c r="K232" s="488" t="s">
        <v>1469</v>
      </c>
      <c r="L232" s="484">
        <v>2016</v>
      </c>
      <c r="M232" s="823">
        <v>3264127.5240094699</v>
      </c>
      <c r="N232" s="487" t="s">
        <v>994</v>
      </c>
      <c r="O232" s="487" t="s">
        <v>994</v>
      </c>
      <c r="P232" s="824">
        <v>291761.2069689713</v>
      </c>
      <c r="Q232" s="824">
        <v>2474643.6614470836</v>
      </c>
      <c r="R232" s="824">
        <v>3813183.5491236742</v>
      </c>
      <c r="S232" s="824">
        <v>3443987.4168884717</v>
      </c>
      <c r="T232" s="824">
        <v>3443987.4168884717</v>
      </c>
      <c r="U232" s="824">
        <v>3443987.4168884717</v>
      </c>
      <c r="V232" s="824">
        <v>10331962.250665415</v>
      </c>
      <c r="W232" s="824">
        <v>7117532.4043307127</v>
      </c>
      <c r="X232" s="824">
        <v>9817484.3249429446</v>
      </c>
      <c r="Y232" s="486" t="s">
        <v>995</v>
      </c>
      <c r="Z232" s="486" t="s">
        <v>995</v>
      </c>
      <c r="AA232" s="485" t="s">
        <v>1291</v>
      </c>
      <c r="AB232" s="485" t="s">
        <v>1292</v>
      </c>
      <c r="AC232" s="485"/>
    </row>
    <row r="233" spans="1:29" ht="18.75" customHeight="1">
      <c r="A233" s="484">
        <v>226</v>
      </c>
      <c r="B233" s="484" t="s">
        <v>985</v>
      </c>
      <c r="C233" s="484" t="s">
        <v>1466</v>
      </c>
      <c r="D233" s="484" t="s">
        <v>1467</v>
      </c>
      <c r="E233" s="484" t="s">
        <v>999</v>
      </c>
      <c r="F233" s="490" t="s">
        <v>1294</v>
      </c>
      <c r="G233" s="490" t="s">
        <v>1001</v>
      </c>
      <c r="H233" s="490" t="s">
        <v>968</v>
      </c>
      <c r="I233" s="489" t="s">
        <v>1468</v>
      </c>
      <c r="J233" s="489" t="s">
        <v>1007</v>
      </c>
      <c r="K233" s="488" t="s">
        <v>1469</v>
      </c>
      <c r="L233" s="484">
        <v>2016</v>
      </c>
      <c r="M233" s="823">
        <v>2121682.97086098</v>
      </c>
      <c r="N233" s="487" t="s">
        <v>994</v>
      </c>
      <c r="O233" s="487" t="s">
        <v>994</v>
      </c>
      <c r="P233" s="824">
        <v>209409.92369477506</v>
      </c>
      <c r="Q233" s="824">
        <v>1679031.8749347455</v>
      </c>
      <c r="R233" s="824">
        <v>3619901.8057929631</v>
      </c>
      <c r="S233" s="824">
        <v>2067666.9880479064</v>
      </c>
      <c r="T233" s="824">
        <v>2067666.9880479064</v>
      </c>
      <c r="U233" s="824">
        <v>2067666.9880479064</v>
      </c>
      <c r="V233" s="824">
        <v>6203000.9641437195</v>
      </c>
      <c r="W233" s="824">
        <v>4275788.9566113846</v>
      </c>
      <c r="X233" s="824">
        <v>7125084.8235437535</v>
      </c>
      <c r="Y233" s="486" t="s">
        <v>995</v>
      </c>
      <c r="Z233" s="486" t="s">
        <v>995</v>
      </c>
      <c r="AA233" s="485" t="s">
        <v>1291</v>
      </c>
      <c r="AB233" s="485" t="s">
        <v>1292</v>
      </c>
      <c r="AC233" s="485"/>
    </row>
    <row r="234" spans="1:29" ht="18.75" customHeight="1">
      <c r="A234" s="484">
        <v>227</v>
      </c>
      <c r="B234" s="484" t="s">
        <v>985</v>
      </c>
      <c r="C234" s="484" t="s">
        <v>1466</v>
      </c>
      <c r="D234" s="484" t="s">
        <v>1467</v>
      </c>
      <c r="E234" s="484" t="s">
        <v>999</v>
      </c>
      <c r="F234" s="490" t="s">
        <v>1295</v>
      </c>
      <c r="G234" s="490" t="s">
        <v>1001</v>
      </c>
      <c r="H234" s="490" t="s">
        <v>968</v>
      </c>
      <c r="I234" s="489" t="s">
        <v>1468</v>
      </c>
      <c r="J234" s="489" t="s">
        <v>1008</v>
      </c>
      <c r="K234" s="488" t="s">
        <v>1469</v>
      </c>
      <c r="L234" s="484">
        <v>2016</v>
      </c>
      <c r="M234" s="823">
        <v>48436.624184992601</v>
      </c>
      <c r="N234" s="487" t="s">
        <v>994</v>
      </c>
      <c r="O234" s="487" t="s">
        <v>994</v>
      </c>
      <c r="P234" s="824">
        <v>-1941.6546065559999</v>
      </c>
      <c r="Q234" s="824">
        <v>-4152.9136129688195</v>
      </c>
      <c r="R234" s="824">
        <v>20164.972400358296</v>
      </c>
      <c r="S234" s="824">
        <v>52361.373370805348</v>
      </c>
      <c r="T234" s="824">
        <v>52361.373370805348</v>
      </c>
      <c r="U234" s="824">
        <v>52361.373370805348</v>
      </c>
      <c r="V234" s="824">
        <v>157084.12011241604</v>
      </c>
      <c r="W234" s="824">
        <v>113213.99106190448</v>
      </c>
      <c r="X234" s="824">
        <v>292276.78967055894</v>
      </c>
      <c r="Y234" s="486" t="s">
        <v>995</v>
      </c>
      <c r="Z234" s="486" t="s">
        <v>995</v>
      </c>
      <c r="AA234" s="485" t="s">
        <v>1291</v>
      </c>
      <c r="AB234" s="485" t="s">
        <v>1292</v>
      </c>
      <c r="AC234" s="485"/>
    </row>
    <row r="235" spans="1:29" ht="18.75" customHeight="1">
      <c r="A235" s="484">
        <v>228</v>
      </c>
      <c r="B235" s="484" t="s">
        <v>985</v>
      </c>
      <c r="C235" s="484" t="s">
        <v>1466</v>
      </c>
      <c r="D235" s="484" t="s">
        <v>1467</v>
      </c>
      <c r="E235" s="484" t="s">
        <v>999</v>
      </c>
      <c r="F235" s="490" t="s">
        <v>1295</v>
      </c>
      <c r="G235" s="490" t="s">
        <v>1001</v>
      </c>
      <c r="H235" s="490" t="s">
        <v>968</v>
      </c>
      <c r="I235" s="489" t="s">
        <v>1468</v>
      </c>
      <c r="J235" s="489" t="s">
        <v>1009</v>
      </c>
      <c r="K235" s="488" t="s">
        <v>1469</v>
      </c>
      <c r="L235" s="484">
        <v>2016</v>
      </c>
      <c r="M235" s="823">
        <v>31483.806911152398</v>
      </c>
      <c r="N235" s="487" t="s">
        <v>994</v>
      </c>
      <c r="O235" s="487" t="s">
        <v>994</v>
      </c>
      <c r="P235" s="824">
        <v>-1456.1893425801695</v>
      </c>
      <c r="Q235" s="824">
        <v>-3327.7555219824312</v>
      </c>
      <c r="R235" s="824">
        <v>24234.285731187785</v>
      </c>
      <c r="S235" s="824">
        <v>30819.674920961261</v>
      </c>
      <c r="T235" s="824">
        <v>30819.674920961261</v>
      </c>
      <c r="U235" s="824">
        <v>30819.674920961261</v>
      </c>
      <c r="V235" s="824">
        <v>92459.024762883782</v>
      </c>
      <c r="W235" s="824">
        <v>65370.661852309859</v>
      </c>
      <c r="X235" s="824">
        <v>210107.61719250251</v>
      </c>
      <c r="Y235" s="486" t="s">
        <v>995</v>
      </c>
      <c r="Z235" s="486" t="s">
        <v>995</v>
      </c>
      <c r="AA235" s="485" t="s">
        <v>1291</v>
      </c>
      <c r="AB235" s="485" t="s">
        <v>1292</v>
      </c>
      <c r="AC235" s="485"/>
    </row>
    <row r="236" spans="1:29" ht="18.75" customHeight="1">
      <c r="A236" s="484">
        <v>229</v>
      </c>
      <c r="B236" s="484" t="s">
        <v>985</v>
      </c>
      <c r="C236" s="484" t="s">
        <v>1466</v>
      </c>
      <c r="D236" s="484" t="s">
        <v>1467</v>
      </c>
      <c r="E236" s="484" t="s">
        <v>999</v>
      </c>
      <c r="F236" s="490" t="s">
        <v>1289</v>
      </c>
      <c r="G236" s="490" t="s">
        <v>1001</v>
      </c>
      <c r="H236" s="490" t="s">
        <v>968</v>
      </c>
      <c r="I236" s="489" t="s">
        <v>1468</v>
      </c>
      <c r="J236" s="489" t="s">
        <v>1010</v>
      </c>
      <c r="K236" s="488" t="s">
        <v>1469</v>
      </c>
      <c r="L236" s="484">
        <v>2016</v>
      </c>
      <c r="M236" s="823">
        <v>7727.1798534766604</v>
      </c>
      <c r="N236" s="487" t="s">
        <v>994</v>
      </c>
      <c r="O236" s="487" t="s">
        <v>994</v>
      </c>
      <c r="P236" s="824">
        <v>489.68608959999995</v>
      </c>
      <c r="Q236" s="824">
        <v>1878.559677919385</v>
      </c>
      <c r="R236" s="824">
        <v>1677.5531917804171</v>
      </c>
      <c r="S236" s="824">
        <v>8081.5310417933315</v>
      </c>
      <c r="T236" s="824">
        <v>8081.5310417933315</v>
      </c>
      <c r="U236" s="824">
        <v>8081.5310417933315</v>
      </c>
      <c r="V236" s="824">
        <v>24244.593125379994</v>
      </c>
      <c r="W236" s="824">
        <v>16901.097561528604</v>
      </c>
      <c r="X236" s="824">
        <v>8754.3145610059328</v>
      </c>
      <c r="Y236" s="486" t="s">
        <v>995</v>
      </c>
      <c r="Z236" s="486" t="s">
        <v>995</v>
      </c>
      <c r="AA236" s="485" t="s">
        <v>1291</v>
      </c>
      <c r="AB236" s="485" t="s">
        <v>1292</v>
      </c>
      <c r="AC236" s="485"/>
    </row>
    <row r="237" spans="1:29" ht="18.75" customHeight="1">
      <c r="A237" s="484">
        <v>230</v>
      </c>
      <c r="B237" s="484" t="s">
        <v>985</v>
      </c>
      <c r="C237" s="484" t="s">
        <v>1466</v>
      </c>
      <c r="D237" s="484" t="s">
        <v>1467</v>
      </c>
      <c r="E237" s="484" t="s">
        <v>999</v>
      </c>
      <c r="F237" s="490" t="s">
        <v>1289</v>
      </c>
      <c r="G237" s="490" t="s">
        <v>1001</v>
      </c>
      <c r="H237" s="490" t="s">
        <v>968</v>
      </c>
      <c r="I237" s="489" t="s">
        <v>1468</v>
      </c>
      <c r="J237" s="489" t="s">
        <v>1013</v>
      </c>
      <c r="K237" s="488" t="s">
        <v>1469</v>
      </c>
      <c r="L237" s="484">
        <v>2016</v>
      </c>
      <c r="M237" s="823">
        <v>5022.6670947473503</v>
      </c>
      <c r="N237" s="487" t="s">
        <v>994</v>
      </c>
      <c r="O237" s="487" t="s">
        <v>994</v>
      </c>
      <c r="P237" s="824">
        <v>367.17370279982521</v>
      </c>
      <c r="Q237" s="824">
        <v>1341.5709739246363</v>
      </c>
      <c r="R237" s="824">
        <v>1216.4466901061928</v>
      </c>
      <c r="S237" s="824">
        <v>4860.3896676326531</v>
      </c>
      <c r="T237" s="824">
        <v>4860.3896676326531</v>
      </c>
      <c r="U237" s="824">
        <v>4860.3896676326531</v>
      </c>
      <c r="V237" s="824">
        <v>14581.169002897959</v>
      </c>
      <c r="W237" s="824">
        <v>10188.694210966119</v>
      </c>
      <c r="X237" s="824">
        <v>5805.9411367620278</v>
      </c>
      <c r="Y237" s="486" t="s">
        <v>995</v>
      </c>
      <c r="Z237" s="486" t="s">
        <v>995</v>
      </c>
      <c r="AA237" s="485" t="s">
        <v>1291</v>
      </c>
      <c r="AB237" s="485" t="s">
        <v>1292</v>
      </c>
      <c r="AC237" s="485"/>
    </row>
    <row r="238" spans="1:29" ht="18.75" customHeight="1">
      <c r="A238" s="484">
        <v>231</v>
      </c>
      <c r="B238" s="484" t="s">
        <v>985</v>
      </c>
      <c r="C238" s="484" t="s">
        <v>1466</v>
      </c>
      <c r="D238" s="484" t="s">
        <v>1467</v>
      </c>
      <c r="E238" s="484" t="s">
        <v>999</v>
      </c>
      <c r="F238" s="490" t="s">
        <v>1294</v>
      </c>
      <c r="G238" s="490" t="s">
        <v>1001</v>
      </c>
      <c r="H238" s="490" t="s">
        <v>968</v>
      </c>
      <c r="I238" s="489" t="s">
        <v>1468</v>
      </c>
      <c r="J238" s="489" t="s">
        <v>1014</v>
      </c>
      <c r="K238" s="488" t="s">
        <v>1469</v>
      </c>
      <c r="L238" s="484">
        <v>2016</v>
      </c>
      <c r="M238" s="823">
        <v>39626177.006536797</v>
      </c>
      <c r="N238" s="487" t="s">
        <v>994</v>
      </c>
      <c r="O238" s="487" t="s">
        <v>994</v>
      </c>
      <c r="P238" s="824">
        <v>3179336.26369166</v>
      </c>
      <c r="Q238" s="824">
        <v>19950472.589892048</v>
      </c>
      <c r="R238" s="824">
        <v>10966376.625013541</v>
      </c>
      <c r="S238" s="824">
        <v>41799714.521067731</v>
      </c>
      <c r="T238" s="824">
        <v>41799714.521067731</v>
      </c>
      <c r="U238" s="824">
        <v>41799714.521067731</v>
      </c>
      <c r="V238" s="824">
        <v>125399143.56320319</v>
      </c>
      <c r="W238" s="824">
        <v>86385571.891625479</v>
      </c>
      <c r="X238" s="824">
        <v>65312681.870597742</v>
      </c>
      <c r="Y238" s="486" t="s">
        <v>995</v>
      </c>
      <c r="Z238" s="486" t="s">
        <v>995</v>
      </c>
      <c r="AA238" s="485" t="s">
        <v>1291</v>
      </c>
      <c r="AB238" s="485" t="s">
        <v>1292</v>
      </c>
      <c r="AC238" s="485"/>
    </row>
    <row r="239" spans="1:29" ht="18.75" customHeight="1">
      <c r="A239" s="484">
        <v>232</v>
      </c>
      <c r="B239" s="484" t="s">
        <v>985</v>
      </c>
      <c r="C239" s="484" t="s">
        <v>1466</v>
      </c>
      <c r="D239" s="484" t="s">
        <v>1467</v>
      </c>
      <c r="E239" s="484" t="s">
        <v>999</v>
      </c>
      <c r="F239" s="490" t="s">
        <v>1294</v>
      </c>
      <c r="G239" s="490" t="s">
        <v>1001</v>
      </c>
      <c r="H239" s="490" t="s">
        <v>968</v>
      </c>
      <c r="I239" s="489" t="s">
        <v>1468</v>
      </c>
      <c r="J239" s="489" t="s">
        <v>1015</v>
      </c>
      <c r="K239" s="488" t="s">
        <v>1469</v>
      </c>
      <c r="L239" s="484">
        <v>2016</v>
      </c>
      <c r="M239" s="823">
        <v>25757016.028534401</v>
      </c>
      <c r="N239" s="487" t="s">
        <v>994</v>
      </c>
      <c r="O239" s="487" t="s">
        <v>994</v>
      </c>
      <c r="P239" s="824">
        <v>2271941.1560426923</v>
      </c>
      <c r="Q239" s="824">
        <v>13511816.746513564</v>
      </c>
      <c r="R239" s="824">
        <v>8743089.0239656307</v>
      </c>
      <c r="S239" s="824">
        <v>25095297.793835469</v>
      </c>
      <c r="T239" s="824">
        <v>25095297.793835469</v>
      </c>
      <c r="U239" s="824">
        <v>25095297.793835469</v>
      </c>
      <c r="V239" s="824">
        <v>75285893.381506413</v>
      </c>
      <c r="W239" s="824">
        <v>51895299.286593646</v>
      </c>
      <c r="X239" s="824">
        <v>43343327.729591675</v>
      </c>
      <c r="Y239" s="486" t="s">
        <v>995</v>
      </c>
      <c r="Z239" s="486" t="s">
        <v>995</v>
      </c>
      <c r="AA239" s="485" t="s">
        <v>1291</v>
      </c>
      <c r="AB239" s="485" t="s">
        <v>1292</v>
      </c>
      <c r="AC239" s="485"/>
    </row>
    <row r="240" spans="1:29" ht="18.75" customHeight="1">
      <c r="A240" s="484">
        <v>233</v>
      </c>
      <c r="B240" s="484" t="s">
        <v>985</v>
      </c>
      <c r="C240" s="484" t="s">
        <v>1466</v>
      </c>
      <c r="D240" s="484" t="s">
        <v>1467</v>
      </c>
      <c r="E240" s="484" t="s">
        <v>999</v>
      </c>
      <c r="F240" s="490" t="s">
        <v>1295</v>
      </c>
      <c r="G240" s="490" t="s">
        <v>1001</v>
      </c>
      <c r="H240" s="490" t="s">
        <v>968</v>
      </c>
      <c r="I240" s="489" t="s">
        <v>1468</v>
      </c>
      <c r="J240" s="489" t="s">
        <v>1016</v>
      </c>
      <c r="K240" s="488" t="s">
        <v>1469</v>
      </c>
      <c r="L240" s="484">
        <v>2016</v>
      </c>
      <c r="M240" s="823">
        <v>479625.92932918598</v>
      </c>
      <c r="N240" s="487" t="s">
        <v>994</v>
      </c>
      <c r="O240" s="487" t="s">
        <v>994</v>
      </c>
      <c r="P240" s="824">
        <v>-20172.72153278</v>
      </c>
      <c r="Q240" s="824">
        <v>-20162.196607501144</v>
      </c>
      <c r="R240" s="824">
        <v>-24820.18808390445</v>
      </c>
      <c r="S240" s="824">
        <v>518483.77764732618</v>
      </c>
      <c r="T240" s="824">
        <v>518483.77764732618</v>
      </c>
      <c r="U240" s="824">
        <v>518483.77764732618</v>
      </c>
      <c r="V240" s="824">
        <v>1555451.3329419785</v>
      </c>
      <c r="W240" s="824">
        <v>1121048.0930783886</v>
      </c>
      <c r="X240" s="824">
        <v>1856513.035534106</v>
      </c>
      <c r="Y240" s="486" t="s">
        <v>995</v>
      </c>
      <c r="Z240" s="486" t="s">
        <v>995</v>
      </c>
      <c r="AA240" s="485" t="s">
        <v>1291</v>
      </c>
      <c r="AB240" s="485" t="s">
        <v>1292</v>
      </c>
      <c r="AC240" s="485"/>
    </row>
    <row r="241" spans="1:29" ht="18.75" customHeight="1">
      <c r="A241" s="484">
        <v>234</v>
      </c>
      <c r="B241" s="484" t="s">
        <v>985</v>
      </c>
      <c r="C241" s="484" t="s">
        <v>1466</v>
      </c>
      <c r="D241" s="484" t="s">
        <v>1467</v>
      </c>
      <c r="E241" s="484" t="s">
        <v>999</v>
      </c>
      <c r="F241" s="490" t="s">
        <v>1295</v>
      </c>
      <c r="G241" s="490" t="s">
        <v>1001</v>
      </c>
      <c r="H241" s="490" t="s">
        <v>968</v>
      </c>
      <c r="I241" s="489" t="s">
        <v>1468</v>
      </c>
      <c r="J241" s="489" t="s">
        <v>1017</v>
      </c>
      <c r="K241" s="488" t="s">
        <v>1469</v>
      </c>
      <c r="L241" s="484">
        <v>2016</v>
      </c>
      <c r="M241" s="823">
        <v>311756.86585649301</v>
      </c>
      <c r="N241" s="487" t="s">
        <v>994</v>
      </c>
      <c r="O241" s="487" t="s">
        <v>994</v>
      </c>
      <c r="P241" s="824">
        <v>-15129.282970951517</v>
      </c>
      <c r="Q241" s="824">
        <v>-17678.491556422654</v>
      </c>
      <c r="R241" s="824">
        <v>-8735.7087914481344</v>
      </c>
      <c r="S241" s="824">
        <v>305177.27955149597</v>
      </c>
      <c r="T241" s="824">
        <v>305177.27955149597</v>
      </c>
      <c r="U241" s="824">
        <v>305177.27955149597</v>
      </c>
      <c r="V241" s="824">
        <v>915531.83865448786</v>
      </c>
      <c r="W241" s="824">
        <v>647302.1145657968</v>
      </c>
      <c r="X241" s="824">
        <v>1225721.3908956638</v>
      </c>
      <c r="Y241" s="486" t="s">
        <v>995</v>
      </c>
      <c r="Z241" s="486" t="s">
        <v>995</v>
      </c>
      <c r="AA241" s="485" t="s">
        <v>1291</v>
      </c>
      <c r="AB241" s="485" t="s">
        <v>1292</v>
      </c>
      <c r="AC241" s="485"/>
    </row>
    <row r="242" spans="1:29" ht="18.75" customHeight="1">
      <c r="A242" s="484">
        <v>235</v>
      </c>
      <c r="B242" s="484" t="s">
        <v>985</v>
      </c>
      <c r="C242" s="484" t="s">
        <v>1466</v>
      </c>
      <c r="D242" s="484" t="s">
        <v>1470</v>
      </c>
      <c r="E242" s="484" t="s">
        <v>988</v>
      </c>
      <c r="F242" s="490" t="s">
        <v>989</v>
      </c>
      <c r="G242" s="490" t="s">
        <v>1087</v>
      </c>
      <c r="H242" s="490" t="s">
        <v>968</v>
      </c>
      <c r="I242" s="489" t="s">
        <v>991</v>
      </c>
      <c r="J242" s="489" t="s">
        <v>992</v>
      </c>
      <c r="K242" s="488" t="s">
        <v>1469</v>
      </c>
      <c r="L242" s="484">
        <v>2016</v>
      </c>
      <c r="M242" s="823">
        <v>1666.8940370278206</v>
      </c>
      <c r="N242" s="487" t="s">
        <v>994</v>
      </c>
      <c r="O242" s="487" t="s">
        <v>994</v>
      </c>
      <c r="P242" s="824">
        <v>140.33501253653108</v>
      </c>
      <c r="Q242" s="824">
        <v>1169.438431312358</v>
      </c>
      <c r="R242" s="824">
        <v>2687.7122910709199</v>
      </c>
      <c r="S242" s="824">
        <v>6151.0053413656969</v>
      </c>
      <c r="T242" s="824">
        <v>1046.2355046550006</v>
      </c>
      <c r="U242" s="824">
        <v>1046.2355046550006</v>
      </c>
      <c r="V242" s="824">
        <v>3138.7065139650017</v>
      </c>
      <c r="W242" s="824">
        <v>2162.2074083159782</v>
      </c>
      <c r="X242" s="824">
        <v>6151</v>
      </c>
      <c r="Y242" s="486" t="s">
        <v>995</v>
      </c>
      <c r="Z242" s="486" t="s">
        <v>995</v>
      </c>
      <c r="AA242" s="485" t="s">
        <v>1313</v>
      </c>
      <c r="AB242" s="485" t="s">
        <v>1089</v>
      </c>
      <c r="AC242" s="485"/>
    </row>
    <row r="243" spans="1:29" ht="18.75" customHeight="1">
      <c r="A243" s="484">
        <v>236</v>
      </c>
      <c r="B243" s="484" t="s">
        <v>985</v>
      </c>
      <c r="C243" s="484" t="s">
        <v>1466</v>
      </c>
      <c r="D243" s="484" t="s">
        <v>1471</v>
      </c>
      <c r="E243" s="484" t="s">
        <v>1326</v>
      </c>
      <c r="F243" s="490" t="s">
        <v>1127</v>
      </c>
      <c r="G243" s="490" t="s">
        <v>1128</v>
      </c>
      <c r="H243" s="490" t="s">
        <v>968</v>
      </c>
      <c r="I243" s="489" t="s">
        <v>1472</v>
      </c>
      <c r="J243" s="489" t="s">
        <v>1328</v>
      </c>
      <c r="K243" s="488" t="s">
        <v>1469</v>
      </c>
      <c r="L243" s="484">
        <v>2016</v>
      </c>
      <c r="M243" s="828">
        <v>7.1428571428571425E-2</v>
      </c>
      <c r="N243" s="487">
        <v>39</v>
      </c>
      <c r="O243" s="487">
        <v>546</v>
      </c>
      <c r="P243" s="827">
        <v>1.8761726078799251E-2</v>
      </c>
      <c r="Q243" s="827">
        <v>3.2015065913370999E-2</v>
      </c>
      <c r="R243" s="827">
        <v>0.06</v>
      </c>
      <c r="S243" s="824" t="s">
        <v>1158</v>
      </c>
      <c r="T243" s="824" t="s">
        <v>1158</v>
      </c>
      <c r="U243" s="824" t="s">
        <v>1158</v>
      </c>
      <c r="V243" s="824" t="s">
        <v>1158</v>
      </c>
      <c r="W243" s="824" t="s">
        <v>1158</v>
      </c>
      <c r="X243" s="827">
        <v>8.1081081081081086E-2</v>
      </c>
      <c r="Y243" s="486">
        <v>51</v>
      </c>
      <c r="Z243" s="486">
        <v>629</v>
      </c>
      <c r="AA243" s="485" t="s">
        <v>1329</v>
      </c>
      <c r="AB243" s="485" t="s">
        <v>1330</v>
      </c>
      <c r="AC243" s="485"/>
    </row>
    <row r="244" spans="1:29" ht="18.75" customHeight="1">
      <c r="A244" s="484">
        <v>237</v>
      </c>
      <c r="B244" s="484" t="s">
        <v>985</v>
      </c>
      <c r="C244" s="484" t="s">
        <v>1466</v>
      </c>
      <c r="D244" s="484" t="s">
        <v>1471</v>
      </c>
      <c r="E244" s="484" t="s">
        <v>1331</v>
      </c>
      <c r="F244" s="490" t="s">
        <v>1127</v>
      </c>
      <c r="G244" s="490" t="s">
        <v>1128</v>
      </c>
      <c r="H244" s="490" t="s">
        <v>968</v>
      </c>
      <c r="I244" s="489" t="s">
        <v>1472</v>
      </c>
      <c r="J244" s="489" t="s">
        <v>1332</v>
      </c>
      <c r="K244" s="488" t="s">
        <v>1469</v>
      </c>
      <c r="L244" s="484">
        <v>2016</v>
      </c>
      <c r="M244" s="828">
        <v>0</v>
      </c>
      <c r="N244" s="487" t="s">
        <v>994</v>
      </c>
      <c r="O244" s="487" t="s">
        <v>994</v>
      </c>
      <c r="P244" s="827">
        <v>0</v>
      </c>
      <c r="Q244" s="827">
        <v>0</v>
      </c>
      <c r="R244" s="827">
        <v>0</v>
      </c>
      <c r="S244" s="824">
        <v>0</v>
      </c>
      <c r="T244" s="824">
        <v>0</v>
      </c>
      <c r="U244" s="824">
        <v>0</v>
      </c>
      <c r="V244" s="824">
        <v>0</v>
      </c>
      <c r="W244" s="824">
        <v>0</v>
      </c>
      <c r="X244" s="827" t="s">
        <v>995</v>
      </c>
      <c r="Y244" s="486" t="s">
        <v>995</v>
      </c>
      <c r="Z244" s="486" t="s">
        <v>995</v>
      </c>
      <c r="AA244" s="485" t="s">
        <v>1333</v>
      </c>
      <c r="AB244" s="485" t="s">
        <v>1334</v>
      </c>
      <c r="AC244" s="485"/>
    </row>
    <row r="245" spans="1:29" ht="18.75" customHeight="1">
      <c r="A245" s="484">
        <v>238</v>
      </c>
      <c r="B245" s="484" t="s">
        <v>985</v>
      </c>
      <c r="C245" s="484" t="s">
        <v>1466</v>
      </c>
      <c r="D245" s="484" t="s">
        <v>1471</v>
      </c>
      <c r="E245" s="484" t="s">
        <v>1335</v>
      </c>
      <c r="F245" s="490" t="s">
        <v>1127</v>
      </c>
      <c r="G245" s="490" t="s">
        <v>1128</v>
      </c>
      <c r="H245" s="490" t="s">
        <v>968</v>
      </c>
      <c r="I245" s="489" t="s">
        <v>1472</v>
      </c>
      <c r="J245" s="489" t="s">
        <v>1473</v>
      </c>
      <c r="K245" s="488" t="s">
        <v>1469</v>
      </c>
      <c r="L245" s="484">
        <v>2016</v>
      </c>
      <c r="M245" s="828">
        <v>0</v>
      </c>
      <c r="N245" s="487" t="s">
        <v>994</v>
      </c>
      <c r="O245" s="487" t="s">
        <v>994</v>
      </c>
      <c r="P245" s="827">
        <v>0</v>
      </c>
      <c r="Q245" s="827">
        <v>0</v>
      </c>
      <c r="R245" s="827">
        <v>0</v>
      </c>
      <c r="S245" s="824">
        <v>0.49279394107471564</v>
      </c>
      <c r="T245" s="824">
        <v>0.49279394107471564</v>
      </c>
      <c r="U245" s="824">
        <v>0.49279394107471564</v>
      </c>
      <c r="V245" s="824">
        <v>1.4783818232241468</v>
      </c>
      <c r="W245" s="824">
        <v>1.0184348604345417</v>
      </c>
      <c r="X245" s="827" t="s">
        <v>995</v>
      </c>
      <c r="Y245" s="486" t="s">
        <v>995</v>
      </c>
      <c r="Z245" s="486" t="s">
        <v>995</v>
      </c>
      <c r="AA245" s="485" t="s">
        <v>1337</v>
      </c>
      <c r="AB245" s="485" t="s">
        <v>1474</v>
      </c>
      <c r="AC245" s="485"/>
    </row>
    <row r="246" spans="1:29" ht="18.75" customHeight="1">
      <c r="A246" s="484">
        <v>239</v>
      </c>
      <c r="B246" s="484" t="s">
        <v>985</v>
      </c>
      <c r="C246" s="484" t="s">
        <v>1466</v>
      </c>
      <c r="D246" s="484" t="s">
        <v>1475</v>
      </c>
      <c r="E246" s="484" t="s">
        <v>1476</v>
      </c>
      <c r="F246" s="490" t="s">
        <v>1127</v>
      </c>
      <c r="G246" s="490" t="s">
        <v>1477</v>
      </c>
      <c r="H246" s="490" t="s">
        <v>1155</v>
      </c>
      <c r="I246" s="489" t="s">
        <v>1478</v>
      </c>
      <c r="J246" s="489" t="s">
        <v>1479</v>
      </c>
      <c r="K246" s="488" t="s">
        <v>1469</v>
      </c>
      <c r="L246" s="484" t="s">
        <v>994</v>
      </c>
      <c r="M246" s="497" t="s">
        <v>994</v>
      </c>
      <c r="N246" s="497" t="s">
        <v>994</v>
      </c>
      <c r="O246" s="497" t="s">
        <v>994</v>
      </c>
      <c r="P246" s="487" t="s">
        <v>995</v>
      </c>
      <c r="Q246" s="487" t="s">
        <v>995</v>
      </c>
      <c r="R246" s="487" t="s">
        <v>995</v>
      </c>
      <c r="S246" s="487" t="s">
        <v>995</v>
      </c>
      <c r="T246" s="487" t="s">
        <v>995</v>
      </c>
      <c r="U246" s="487" t="s">
        <v>995</v>
      </c>
      <c r="V246" s="487" t="s">
        <v>995</v>
      </c>
      <c r="W246" s="487" t="s">
        <v>995</v>
      </c>
      <c r="X246" s="487" t="s">
        <v>995</v>
      </c>
      <c r="Y246" s="486" t="s">
        <v>995</v>
      </c>
      <c r="Z246" s="486" t="s">
        <v>995</v>
      </c>
      <c r="AA246" s="485" t="s">
        <v>1480</v>
      </c>
      <c r="AB246" s="485" t="s">
        <v>1481</v>
      </c>
      <c r="AC246" s="485"/>
    </row>
    <row r="247" spans="1:29" ht="18.75" customHeight="1">
      <c r="A247" s="484">
        <v>240</v>
      </c>
      <c r="B247" s="484" t="s">
        <v>985</v>
      </c>
      <c r="C247" s="484" t="s">
        <v>1466</v>
      </c>
      <c r="D247" s="484" t="s">
        <v>1475</v>
      </c>
      <c r="E247" s="484" t="s">
        <v>1482</v>
      </c>
      <c r="F247" s="490" t="s">
        <v>1127</v>
      </c>
      <c r="G247" s="490" t="s">
        <v>1477</v>
      </c>
      <c r="H247" s="490" t="s">
        <v>1155</v>
      </c>
      <c r="I247" s="489" t="s">
        <v>1478</v>
      </c>
      <c r="J247" s="489" t="s">
        <v>1483</v>
      </c>
      <c r="K247" s="488" t="s">
        <v>1469</v>
      </c>
      <c r="L247" s="484" t="s">
        <v>994</v>
      </c>
      <c r="M247" s="497" t="s">
        <v>994</v>
      </c>
      <c r="N247" s="497" t="s">
        <v>994</v>
      </c>
      <c r="O247" s="497" t="s">
        <v>994</v>
      </c>
      <c r="P247" s="487" t="s">
        <v>995</v>
      </c>
      <c r="Q247" s="487" t="s">
        <v>995</v>
      </c>
      <c r="R247" s="487" t="s">
        <v>995</v>
      </c>
      <c r="S247" s="487" t="s">
        <v>995</v>
      </c>
      <c r="T247" s="487" t="s">
        <v>995</v>
      </c>
      <c r="U247" s="487" t="s">
        <v>995</v>
      </c>
      <c r="V247" s="487" t="s">
        <v>995</v>
      </c>
      <c r="W247" s="487" t="s">
        <v>995</v>
      </c>
      <c r="X247" s="487" t="s">
        <v>995</v>
      </c>
      <c r="Y247" s="486" t="s">
        <v>995</v>
      </c>
      <c r="Z247" s="486" t="s">
        <v>995</v>
      </c>
      <c r="AA247" s="485" t="s">
        <v>1484</v>
      </c>
      <c r="AB247" s="485" t="s">
        <v>1485</v>
      </c>
      <c r="AC247" s="485"/>
    </row>
    <row r="248" spans="1:29" ht="18.75" customHeight="1">
      <c r="A248" s="484">
        <v>241</v>
      </c>
      <c r="B248" s="484" t="s">
        <v>985</v>
      </c>
      <c r="C248" s="484" t="s">
        <v>1466</v>
      </c>
      <c r="D248" s="484" t="s">
        <v>1475</v>
      </c>
      <c r="E248" s="484" t="s">
        <v>1486</v>
      </c>
      <c r="F248" s="490" t="s">
        <v>1127</v>
      </c>
      <c r="G248" s="490" t="s">
        <v>1477</v>
      </c>
      <c r="H248" s="490" t="s">
        <v>1155</v>
      </c>
      <c r="I248" s="489" t="s">
        <v>1478</v>
      </c>
      <c r="J248" s="489" t="s">
        <v>1487</v>
      </c>
      <c r="K248" s="488" t="s">
        <v>1469</v>
      </c>
      <c r="L248" s="484" t="s">
        <v>994</v>
      </c>
      <c r="M248" s="497" t="s">
        <v>994</v>
      </c>
      <c r="N248" s="497" t="s">
        <v>994</v>
      </c>
      <c r="O248" s="497" t="s">
        <v>994</v>
      </c>
      <c r="P248" s="487" t="s">
        <v>995</v>
      </c>
      <c r="Q248" s="487" t="s">
        <v>995</v>
      </c>
      <c r="R248" s="487" t="s">
        <v>995</v>
      </c>
      <c r="S248" s="487" t="s">
        <v>995</v>
      </c>
      <c r="T248" s="487" t="s">
        <v>995</v>
      </c>
      <c r="U248" s="487" t="s">
        <v>995</v>
      </c>
      <c r="V248" s="487" t="s">
        <v>995</v>
      </c>
      <c r="W248" s="487" t="s">
        <v>995</v>
      </c>
      <c r="X248" s="487" t="s">
        <v>995</v>
      </c>
      <c r="Y248" s="486" t="s">
        <v>995</v>
      </c>
      <c r="Z248" s="486" t="s">
        <v>995</v>
      </c>
      <c r="AA248" s="485" t="s">
        <v>1488</v>
      </c>
      <c r="AB248" s="485" t="s">
        <v>1489</v>
      </c>
      <c r="AC248" s="485"/>
    </row>
    <row r="249" spans="1:29" ht="18.75" customHeight="1">
      <c r="A249" s="484">
        <v>242</v>
      </c>
      <c r="B249" s="484" t="s">
        <v>985</v>
      </c>
      <c r="C249" s="484" t="s">
        <v>1466</v>
      </c>
      <c r="D249" s="484" t="s">
        <v>1490</v>
      </c>
      <c r="E249" s="484" t="s">
        <v>1063</v>
      </c>
      <c r="F249" s="490" t="s">
        <v>1491</v>
      </c>
      <c r="G249" s="490" t="s">
        <v>1065</v>
      </c>
      <c r="H249" s="490" t="s">
        <v>968</v>
      </c>
      <c r="I249" s="489" t="s">
        <v>1492</v>
      </c>
      <c r="J249" s="489" t="s">
        <v>1064</v>
      </c>
      <c r="K249" s="488" t="s">
        <v>1469</v>
      </c>
      <c r="L249" s="484">
        <v>2016</v>
      </c>
      <c r="M249" s="823">
        <v>642.94933091567736</v>
      </c>
      <c r="N249" s="487">
        <v>3229320.4479800011</v>
      </c>
      <c r="O249" s="487">
        <v>5022.6670947473549</v>
      </c>
      <c r="P249" s="824">
        <v>2279.073617715474</v>
      </c>
      <c r="Q249" s="824">
        <v>219.63457345377984</v>
      </c>
      <c r="R249" s="824">
        <v>1087.7047566259882</v>
      </c>
      <c r="S249" s="824">
        <v>645.8541665847365</v>
      </c>
      <c r="T249" s="824">
        <v>645.8541665847365</v>
      </c>
      <c r="U249" s="824">
        <v>645.8541665847365</v>
      </c>
      <c r="V249" s="824">
        <v>1937.5624997542095</v>
      </c>
      <c r="W249" s="824">
        <v>1285.2497915036256</v>
      </c>
      <c r="X249" s="824">
        <v>384.1424812936512</v>
      </c>
      <c r="Y249" s="486">
        <v>2230308.6345206471</v>
      </c>
      <c r="Z249" s="486">
        <v>5805.9411367620278</v>
      </c>
      <c r="AA249" s="485" t="s">
        <v>1144</v>
      </c>
      <c r="AB249" s="485" t="s">
        <v>1145</v>
      </c>
      <c r="AC249" s="485"/>
    </row>
    <row r="250" spans="1:29" ht="18.75" customHeight="1">
      <c r="A250" s="484">
        <v>243</v>
      </c>
      <c r="B250" s="484" t="s">
        <v>985</v>
      </c>
      <c r="C250" s="484" t="s">
        <v>1466</v>
      </c>
      <c r="D250" s="484" t="s">
        <v>1490</v>
      </c>
      <c r="E250" s="484" t="s">
        <v>1063</v>
      </c>
      <c r="F250" s="490" t="s">
        <v>1493</v>
      </c>
      <c r="G250" s="490" t="s">
        <v>1065</v>
      </c>
      <c r="H250" s="490" t="s">
        <v>968</v>
      </c>
      <c r="I250" s="489" t="s">
        <v>1492</v>
      </c>
      <c r="J250" s="489" t="s">
        <v>1069</v>
      </c>
      <c r="K250" s="488" t="s">
        <v>1469</v>
      </c>
      <c r="L250" s="484">
        <v>2016</v>
      </c>
      <c r="M250" s="825">
        <v>0.12537634190243419</v>
      </c>
      <c r="N250" s="487">
        <v>3229320.4479800011</v>
      </c>
      <c r="O250" s="487">
        <v>25757016.02853436</v>
      </c>
      <c r="P250" s="826">
        <v>0.36832639654609944</v>
      </c>
      <c r="Q250" s="826">
        <v>3.6981760817995001E-2</v>
      </c>
      <c r="R250" s="826">
        <v>0.15133493978885609</v>
      </c>
      <c r="S250" s="824">
        <v>0.12339609867903148</v>
      </c>
      <c r="T250" s="824">
        <v>0.12339609867903148</v>
      </c>
      <c r="U250" s="824">
        <v>0.12339609867903148</v>
      </c>
      <c r="V250" s="824">
        <v>0.37018829603709447</v>
      </c>
      <c r="W250" s="824">
        <v>0.24555823637127264</v>
      </c>
      <c r="X250" s="826">
        <v>5.145679280638054E-2</v>
      </c>
      <c r="Y250" s="486">
        <v>2230308.6345206471</v>
      </c>
      <c r="Z250" s="486">
        <v>43343327.729591675</v>
      </c>
      <c r="AA250" s="485" t="s">
        <v>1147</v>
      </c>
      <c r="AB250" s="485" t="s">
        <v>1145</v>
      </c>
      <c r="AC250" s="485"/>
    </row>
    <row r="251" spans="1:29" ht="18.75" customHeight="1">
      <c r="A251" s="484">
        <v>244</v>
      </c>
      <c r="B251" s="484" t="s">
        <v>985</v>
      </c>
      <c r="C251" s="484" t="s">
        <v>1466</v>
      </c>
      <c r="D251" s="484" t="s">
        <v>1490</v>
      </c>
      <c r="E251" s="484" t="s">
        <v>1063</v>
      </c>
      <c r="F251" s="490" t="s">
        <v>1494</v>
      </c>
      <c r="G251" s="490" t="s">
        <v>1065</v>
      </c>
      <c r="H251" s="490" t="s">
        <v>968</v>
      </c>
      <c r="I251" s="489" t="s">
        <v>1492</v>
      </c>
      <c r="J251" s="489" t="s">
        <v>1071</v>
      </c>
      <c r="K251" s="488" t="s">
        <v>1469</v>
      </c>
      <c r="L251" s="484">
        <v>2016</v>
      </c>
      <c r="M251" s="825">
        <v>0.93905945941463409</v>
      </c>
      <c r="N251" s="487">
        <v>292758.23391999915</v>
      </c>
      <c r="O251" s="487">
        <v>311756.86585649324</v>
      </c>
      <c r="P251" s="826">
        <v>2.8731189213291426</v>
      </c>
      <c r="Q251" s="826">
        <v>0.41831196269124932</v>
      </c>
      <c r="R251" s="826">
        <v>0.31540465908446702</v>
      </c>
      <c r="S251" s="824">
        <v>0.9242388365030243</v>
      </c>
      <c r="T251" s="824">
        <v>0.9242388365030243</v>
      </c>
      <c r="U251" s="824">
        <v>0.9242388365030243</v>
      </c>
      <c r="V251" s="824">
        <v>2.7727165095090731</v>
      </c>
      <c r="W251" s="824">
        <v>1.8392352846410183</v>
      </c>
      <c r="X251" s="826">
        <v>0.73082070892054685</v>
      </c>
      <c r="Y251" s="486">
        <v>895782.57583344774</v>
      </c>
      <c r="Z251" s="486">
        <v>1225721.3908956638</v>
      </c>
      <c r="AA251" s="485" t="s">
        <v>1370</v>
      </c>
      <c r="AB251" s="485" t="s">
        <v>1145</v>
      </c>
      <c r="AC251" s="485"/>
    </row>
    <row r="252" spans="1:29" ht="18.75" customHeight="1">
      <c r="A252" s="484">
        <v>245</v>
      </c>
      <c r="B252" s="484" t="s">
        <v>985</v>
      </c>
      <c r="C252" s="484" t="s">
        <v>1466</v>
      </c>
      <c r="D252" s="484" t="s">
        <v>1490</v>
      </c>
      <c r="E252" s="484" t="s">
        <v>1063</v>
      </c>
      <c r="F252" s="490" t="s">
        <v>1491</v>
      </c>
      <c r="G252" s="490" t="s">
        <v>1065</v>
      </c>
      <c r="H252" s="490" t="s">
        <v>968</v>
      </c>
      <c r="I252" s="489" t="s">
        <v>1492</v>
      </c>
      <c r="J252" s="489" t="s">
        <v>1073</v>
      </c>
      <c r="K252" s="488" t="s">
        <v>1469</v>
      </c>
      <c r="L252" s="484">
        <v>2016</v>
      </c>
      <c r="M252" s="823">
        <v>762.10704985271639</v>
      </c>
      <c r="N252" s="487">
        <v>3827810.0019702204</v>
      </c>
      <c r="O252" s="487">
        <v>5022.6670947473549</v>
      </c>
      <c r="P252" s="824">
        <v>2496.4886004839304</v>
      </c>
      <c r="Q252" s="824">
        <v>587.01052905849212</v>
      </c>
      <c r="R252" s="824">
        <v>1168.1836618815444</v>
      </c>
      <c r="S252" s="824">
        <v>787.61683518185328</v>
      </c>
      <c r="T252" s="824">
        <v>787.61683518185328</v>
      </c>
      <c r="U252" s="824">
        <v>787.61683518185328</v>
      </c>
      <c r="V252" s="824">
        <v>2362.8505055455598</v>
      </c>
      <c r="W252" s="824">
        <v>1567.3575020118881</v>
      </c>
      <c r="X252" s="824">
        <v>634.57457503020896</v>
      </c>
      <c r="Y252" s="486">
        <v>3684302.629511172</v>
      </c>
      <c r="Z252" s="486">
        <v>5805.9411367620278</v>
      </c>
      <c r="AA252" s="485" t="s">
        <v>1148</v>
      </c>
      <c r="AB252" s="485" t="s">
        <v>1145</v>
      </c>
      <c r="AC252" s="485"/>
    </row>
    <row r="253" spans="1:29" ht="18.75" customHeight="1">
      <c r="A253" s="484">
        <v>246</v>
      </c>
      <c r="B253" s="484" t="s">
        <v>985</v>
      </c>
      <c r="C253" s="484" t="s">
        <v>1466</v>
      </c>
      <c r="D253" s="484" t="s">
        <v>1490</v>
      </c>
      <c r="E253" s="484" t="s">
        <v>1063</v>
      </c>
      <c r="F253" s="490" t="s">
        <v>1493</v>
      </c>
      <c r="G253" s="490" t="s">
        <v>1065</v>
      </c>
      <c r="H253" s="490" t="s">
        <v>968</v>
      </c>
      <c r="I253" s="489" t="s">
        <v>1492</v>
      </c>
      <c r="J253" s="489" t="s">
        <v>1075</v>
      </c>
      <c r="K253" s="488" t="s">
        <v>1469</v>
      </c>
      <c r="L253" s="484">
        <v>2016</v>
      </c>
      <c r="M253" s="825">
        <v>0.14861232363755425</v>
      </c>
      <c r="N253" s="487">
        <v>3827810.0019702204</v>
      </c>
      <c r="O253" s="487">
        <v>25757016.02853436</v>
      </c>
      <c r="P253" s="826">
        <v>0.40346333838763115</v>
      </c>
      <c r="Q253" s="826">
        <v>9.8840007936429303E-2</v>
      </c>
      <c r="R253" s="826">
        <v>0.16253216054837744</v>
      </c>
      <c r="S253" s="824">
        <v>0.15048109889775743</v>
      </c>
      <c r="T253" s="824">
        <v>0.15048109889775743</v>
      </c>
      <c r="U253" s="824">
        <v>0.15048109889775743</v>
      </c>
      <c r="V253" s="824">
        <v>0.45144329669327232</v>
      </c>
      <c r="W253" s="824">
        <v>0.29945738680653727</v>
      </c>
      <c r="X253" s="826">
        <v>8.5002763343336882E-2</v>
      </c>
      <c r="Y253" s="486">
        <v>3684302.629511172</v>
      </c>
      <c r="Z253" s="486">
        <v>43343327.729591675</v>
      </c>
      <c r="AA253" s="485" t="s">
        <v>1372</v>
      </c>
      <c r="AB253" s="485" t="s">
        <v>1145</v>
      </c>
      <c r="AC253" s="485"/>
    </row>
    <row r="254" spans="1:29" ht="18.75" customHeight="1">
      <c r="A254" s="484">
        <v>247</v>
      </c>
      <c r="B254" s="484" t="s">
        <v>985</v>
      </c>
      <c r="C254" s="484" t="s">
        <v>1466</v>
      </c>
      <c r="D254" s="484" t="s">
        <v>1490</v>
      </c>
      <c r="E254" s="484" t="s">
        <v>1063</v>
      </c>
      <c r="F254" s="490" t="s">
        <v>1494</v>
      </c>
      <c r="G254" s="490" t="s">
        <v>1065</v>
      </c>
      <c r="H254" s="490" t="s">
        <v>968</v>
      </c>
      <c r="I254" s="489" t="s">
        <v>1492</v>
      </c>
      <c r="J254" s="489" t="s">
        <v>1077</v>
      </c>
      <c r="K254" s="488" t="s">
        <v>1469</v>
      </c>
      <c r="L254" s="484">
        <v>2016</v>
      </c>
      <c r="M254" s="825">
        <v>1.1130952313637799</v>
      </c>
      <c r="N254" s="487">
        <v>347015.08072978019</v>
      </c>
      <c r="O254" s="487">
        <v>311756.86585649324</v>
      </c>
      <c r="P254" s="826">
        <v>3.1472035739340263</v>
      </c>
      <c r="Q254" s="826">
        <v>1.0248836267359509</v>
      </c>
      <c r="R254" s="826">
        <v>0.3387413426109398</v>
      </c>
      <c r="S254" s="824">
        <v>1.1271059397325469</v>
      </c>
      <c r="T254" s="824">
        <v>1.1271059397325469</v>
      </c>
      <c r="U254" s="824">
        <v>1.1271059397325469</v>
      </c>
      <c r="V254" s="824">
        <v>3.3813178191976405</v>
      </c>
      <c r="W254" s="824">
        <v>2.2429408200677683</v>
      </c>
      <c r="X254" s="826">
        <v>1.2072610121764127</v>
      </c>
      <c r="Y254" s="486">
        <v>1479765.6470189795</v>
      </c>
      <c r="Z254" s="486">
        <v>1225721.3908956638</v>
      </c>
      <c r="AA254" s="485" t="s">
        <v>1372</v>
      </c>
      <c r="AB254" s="485" t="s">
        <v>1145</v>
      </c>
      <c r="AC254" s="485"/>
    </row>
    <row r="255" spans="1:29" ht="18.75" customHeight="1">
      <c r="A255" s="484">
        <v>248</v>
      </c>
      <c r="B255" s="484" t="s">
        <v>985</v>
      </c>
      <c r="C255" s="484" t="s">
        <v>1466</v>
      </c>
      <c r="D255" s="484" t="s">
        <v>1495</v>
      </c>
      <c r="E255" s="484" t="s">
        <v>1296</v>
      </c>
      <c r="F255" s="490" t="s">
        <v>1299</v>
      </c>
      <c r="G255" s="490" t="s">
        <v>1297</v>
      </c>
      <c r="H255" s="490" t="s">
        <v>968</v>
      </c>
      <c r="I255" s="489" t="s">
        <v>1496</v>
      </c>
      <c r="J255" s="489" t="s">
        <v>1299</v>
      </c>
      <c r="K255" s="488" t="s">
        <v>1469</v>
      </c>
      <c r="L255" s="484">
        <v>2016</v>
      </c>
      <c r="M255" s="828">
        <v>9.6619766678112263E-4</v>
      </c>
      <c r="N255" s="487">
        <v>646.382896032644</v>
      </c>
      <c r="O255" s="487">
        <v>668996.54</v>
      </c>
      <c r="P255" s="827">
        <v>7.3983662364915303E-5</v>
      </c>
      <c r="Q255" s="827">
        <v>5.10399338113581E-4</v>
      </c>
      <c r="R255" s="827">
        <v>3.805093740521333E-4</v>
      </c>
      <c r="S255" s="824">
        <v>9.9858476131225223E-4</v>
      </c>
      <c r="T255" s="824">
        <v>9.9858476131225223E-4</v>
      </c>
      <c r="U255" s="824">
        <v>9.9858476131225223E-4</v>
      </c>
      <c r="V255" s="824">
        <v>2.9957542839367567E-3</v>
      </c>
      <c r="W255" s="824">
        <v>2.0637297808515686E-3</v>
      </c>
      <c r="X255" s="827">
        <v>2.8264866281909121E-3</v>
      </c>
      <c r="Y255" s="486">
        <v>1372.1801163610985</v>
      </c>
      <c r="Z255" s="486">
        <v>485472</v>
      </c>
      <c r="AA255" s="496" t="s">
        <v>1497</v>
      </c>
      <c r="AB255" s="485" t="s">
        <v>1498</v>
      </c>
      <c r="AC255" s="485"/>
    </row>
    <row r="256" spans="1:29" ht="18.75" customHeight="1">
      <c r="A256" s="484">
        <v>249</v>
      </c>
      <c r="B256" s="484" t="s">
        <v>985</v>
      </c>
      <c r="C256" s="484" t="s">
        <v>1466</v>
      </c>
      <c r="D256" s="484" t="s">
        <v>1495</v>
      </c>
      <c r="E256" s="484" t="s">
        <v>1296</v>
      </c>
      <c r="F256" s="490" t="s">
        <v>1301</v>
      </c>
      <c r="G256" s="490" t="s">
        <v>1297</v>
      </c>
      <c r="H256" s="490" t="s">
        <v>968</v>
      </c>
      <c r="I256" s="489" t="s">
        <v>1496</v>
      </c>
      <c r="J256" s="489" t="s">
        <v>1301</v>
      </c>
      <c r="K256" s="488" t="s">
        <v>1469</v>
      </c>
      <c r="L256" s="484">
        <v>2016</v>
      </c>
      <c r="M256" s="828">
        <v>6.2802850716355116E-4</v>
      </c>
      <c r="N256" s="487">
        <v>420.14889831378099</v>
      </c>
      <c r="O256" s="487">
        <v>668996.54</v>
      </c>
      <c r="P256" s="827">
        <v>5.5459444444939428E-5</v>
      </c>
      <c r="Q256" s="827">
        <v>3.5903408442972476E-4</v>
      </c>
      <c r="R256" s="827">
        <v>2.6989243085730668E-4</v>
      </c>
      <c r="S256" s="824">
        <v>5.9915088059546754E-4</v>
      </c>
      <c r="T256" s="824">
        <v>5.9915088059546754E-4</v>
      </c>
      <c r="U256" s="824">
        <v>5.9915088059546754E-4</v>
      </c>
      <c r="V256" s="824">
        <v>1.7974526417864026E-3</v>
      </c>
      <c r="W256" s="824">
        <v>1.2382379177140938E-3</v>
      </c>
      <c r="X256" s="827">
        <v>2.0344746112401454E-3</v>
      </c>
      <c r="Y256" s="486">
        <v>987.68045846797577</v>
      </c>
      <c r="Z256" s="486">
        <v>485472</v>
      </c>
      <c r="AA256" s="496" t="s">
        <v>1497</v>
      </c>
      <c r="AB256" s="485" t="s">
        <v>1498</v>
      </c>
      <c r="AC256" s="485"/>
    </row>
    <row r="257" spans="1:29" ht="18.75" customHeight="1">
      <c r="A257" s="484">
        <v>250</v>
      </c>
      <c r="B257" s="484" t="s">
        <v>985</v>
      </c>
      <c r="C257" s="484" t="s">
        <v>1466</v>
      </c>
      <c r="D257" s="484" t="s">
        <v>1495</v>
      </c>
      <c r="E257" s="484" t="s">
        <v>1296</v>
      </c>
      <c r="F257" s="490" t="s">
        <v>1302</v>
      </c>
      <c r="G257" s="490" t="s">
        <v>1297</v>
      </c>
      <c r="H257" s="490" t="s">
        <v>968</v>
      </c>
      <c r="I257" s="489" t="s">
        <v>1496</v>
      </c>
      <c r="J257" s="489" t="s">
        <v>1302</v>
      </c>
      <c r="K257" s="488" t="s">
        <v>1469</v>
      </c>
      <c r="L257" s="484">
        <v>2016</v>
      </c>
      <c r="M257" s="828">
        <v>7.2796534293688669E-4</v>
      </c>
      <c r="N257" s="487">
        <v>3264127.5240094699</v>
      </c>
      <c r="O257" s="487">
        <v>4483905114</v>
      </c>
      <c r="P257" s="827">
        <v>9.7088945714961247E-5</v>
      </c>
      <c r="Q257" s="827">
        <v>8.1704607597687267E-4</v>
      </c>
      <c r="R257" s="827">
        <v>1.3776113514909569E-3</v>
      </c>
      <c r="S257" s="824">
        <v>7.765318394133612E-4</v>
      </c>
      <c r="T257" s="824">
        <v>7.765318394133612E-4</v>
      </c>
      <c r="U257" s="824">
        <v>7.765318394133612E-4</v>
      </c>
      <c r="V257" s="824">
        <v>2.3295955182400835E-3</v>
      </c>
      <c r="W257" s="824">
        <v>1.6048230905014698E-3</v>
      </c>
      <c r="X257" s="827">
        <v>3.9128989842017684E-3</v>
      </c>
      <c r="Y257" s="486">
        <v>9817484.3249429446</v>
      </c>
      <c r="Z257" s="486">
        <v>2509005309</v>
      </c>
      <c r="AA257" s="496" t="s">
        <v>1497</v>
      </c>
      <c r="AB257" s="485" t="s">
        <v>1498</v>
      </c>
      <c r="AC257" s="485"/>
    </row>
    <row r="258" spans="1:29" ht="18.75" customHeight="1">
      <c r="A258" s="484">
        <v>251</v>
      </c>
      <c r="B258" s="484" t="s">
        <v>985</v>
      </c>
      <c r="C258" s="484" t="s">
        <v>1466</v>
      </c>
      <c r="D258" s="484" t="s">
        <v>1495</v>
      </c>
      <c r="E258" s="484" t="s">
        <v>1296</v>
      </c>
      <c r="F258" s="490" t="s">
        <v>1303</v>
      </c>
      <c r="G258" s="490" t="s">
        <v>1297</v>
      </c>
      <c r="H258" s="490" t="s">
        <v>968</v>
      </c>
      <c r="I258" s="489" t="s">
        <v>1496</v>
      </c>
      <c r="J258" s="489" t="s">
        <v>1303</v>
      </c>
      <c r="K258" s="488" t="s">
        <v>1469</v>
      </c>
      <c r="L258" s="484">
        <v>2016</v>
      </c>
      <c r="M258" s="828">
        <v>4.7317749080739801E-4</v>
      </c>
      <c r="N258" s="487">
        <v>2121682.97086098</v>
      </c>
      <c r="O258" s="487">
        <v>4483905114</v>
      </c>
      <c r="P258" s="827">
        <v>6.9685030868200473E-5</v>
      </c>
      <c r="Q258" s="827">
        <v>5.5436118994737105E-4</v>
      </c>
      <c r="R258" s="827">
        <v>1.3077833140471415E-3</v>
      </c>
      <c r="S258" s="824">
        <v>4.6591912216197826E-4</v>
      </c>
      <c r="T258" s="824">
        <v>4.6591912216197826E-4</v>
      </c>
      <c r="U258" s="824">
        <v>4.6591912216197826E-4</v>
      </c>
      <c r="V258" s="824">
        <v>1.3977573664859348E-3</v>
      </c>
      <c r="W258" s="824">
        <v>9.628938925628455E-4</v>
      </c>
      <c r="X258" s="827">
        <v>2.8398046022403826E-3</v>
      </c>
      <c r="Y258" s="486">
        <v>7125084.8235437535</v>
      </c>
      <c r="Z258" s="486">
        <v>2509005309</v>
      </c>
      <c r="AA258" s="496" t="s">
        <v>1497</v>
      </c>
      <c r="AB258" s="485" t="s">
        <v>1498</v>
      </c>
      <c r="AC258" s="485"/>
    </row>
    <row r="259" spans="1:29" ht="18.75" customHeight="1">
      <c r="A259" s="484">
        <v>252</v>
      </c>
      <c r="B259" s="484" t="s">
        <v>985</v>
      </c>
      <c r="C259" s="484" t="s">
        <v>1466</v>
      </c>
      <c r="D259" s="484" t="s">
        <v>1495</v>
      </c>
      <c r="E259" s="484" t="s">
        <v>1296</v>
      </c>
      <c r="F259" s="490" t="s">
        <v>1304</v>
      </c>
      <c r="G259" s="490" t="s">
        <v>1297</v>
      </c>
      <c r="H259" s="490" t="s">
        <v>968</v>
      </c>
      <c r="I259" s="489" t="s">
        <v>1496</v>
      </c>
      <c r="J259" s="489" t="s">
        <v>1304</v>
      </c>
      <c r="K259" s="488" t="s">
        <v>1469</v>
      </c>
      <c r="L259" s="484">
        <v>2016</v>
      </c>
      <c r="M259" s="828">
        <v>1.7724245040813888E-4</v>
      </c>
      <c r="N259" s="487">
        <v>48436.624184992601</v>
      </c>
      <c r="O259" s="487">
        <v>273278913</v>
      </c>
      <c r="P259" s="827">
        <v>-6.2256861275032305E-6</v>
      </c>
      <c r="Q259" s="827">
        <v>-1.7515103085964824E-5</v>
      </c>
      <c r="R259" s="827">
        <v>1.1987473801171199E-4</v>
      </c>
      <c r="S259" s="824">
        <v>1.8314022057511656E-4</v>
      </c>
      <c r="T259" s="824">
        <v>1.8314022057511656E-4</v>
      </c>
      <c r="U259" s="824">
        <v>1.8314022057511656E-4</v>
      </c>
      <c r="V259" s="824">
        <v>5.4942066172534965E-4</v>
      </c>
      <c r="W259" s="824">
        <v>3.7848757753515294E-4</v>
      </c>
      <c r="X259" s="827">
        <v>8.3530389254277246E-4</v>
      </c>
      <c r="Y259" s="486">
        <v>292276.78967055894</v>
      </c>
      <c r="Z259" s="486">
        <v>349904738</v>
      </c>
      <c r="AA259" s="496" t="s">
        <v>1497</v>
      </c>
      <c r="AB259" s="485" t="s">
        <v>1498</v>
      </c>
      <c r="AC259" s="485"/>
    </row>
    <row r="260" spans="1:29" ht="18.75" customHeight="1">
      <c r="A260" s="484">
        <v>253</v>
      </c>
      <c r="B260" s="484" t="s">
        <v>985</v>
      </c>
      <c r="C260" s="484" t="s">
        <v>1466</v>
      </c>
      <c r="D260" s="484" t="s">
        <v>1495</v>
      </c>
      <c r="E260" s="484" t="s">
        <v>1296</v>
      </c>
      <c r="F260" s="490" t="s">
        <v>1305</v>
      </c>
      <c r="G260" s="490" t="s">
        <v>1297</v>
      </c>
      <c r="H260" s="490" t="s">
        <v>968</v>
      </c>
      <c r="I260" s="489" t="s">
        <v>1496</v>
      </c>
      <c r="J260" s="489" t="s">
        <v>1305</v>
      </c>
      <c r="K260" s="488" t="s">
        <v>1469</v>
      </c>
      <c r="L260" s="484">
        <v>2016</v>
      </c>
      <c r="M260" s="828">
        <v>1.1520759712313551E-4</v>
      </c>
      <c r="N260" s="487">
        <v>31483.806911152398</v>
      </c>
      <c r="O260" s="487">
        <v>273278913</v>
      </c>
      <c r="P260" s="827">
        <v>-4.6690991067663614E-6</v>
      </c>
      <c r="Q260" s="827">
        <v>-1.4034961100658147E-5</v>
      </c>
      <c r="R260" s="827">
        <v>1.4406559033403328E-4</v>
      </c>
      <c r="S260" s="824">
        <v>1.0988413671147334E-4</v>
      </c>
      <c r="T260" s="824">
        <v>1.0988413671147334E-4</v>
      </c>
      <c r="U260" s="824">
        <v>1.0988413671147334E-4</v>
      </c>
      <c r="V260" s="824">
        <v>3.2965241013442002E-4</v>
      </c>
      <c r="W260" s="824">
        <v>2.270925555449394E-4</v>
      </c>
      <c r="X260" s="827">
        <v>6.0047091215010217E-4</v>
      </c>
      <c r="Y260" s="486">
        <v>210107.61719250251</v>
      </c>
      <c r="Z260" s="486">
        <v>349904738</v>
      </c>
      <c r="AA260" s="496" t="s">
        <v>1497</v>
      </c>
      <c r="AB260" s="485" t="s">
        <v>1498</v>
      </c>
      <c r="AC260" s="485"/>
    </row>
    <row r="261" spans="1:29" ht="18.75" customHeight="1">
      <c r="A261" s="484">
        <v>254</v>
      </c>
      <c r="B261" s="484" t="s">
        <v>985</v>
      </c>
      <c r="C261" s="484" t="s">
        <v>1466</v>
      </c>
      <c r="D261" s="484" t="s">
        <v>1495</v>
      </c>
      <c r="E261" s="484" t="s">
        <v>1296</v>
      </c>
      <c r="F261" s="490" t="s">
        <v>1306</v>
      </c>
      <c r="G261" s="490" t="s">
        <v>1297</v>
      </c>
      <c r="H261" s="490" t="s">
        <v>968</v>
      </c>
      <c r="I261" s="489" t="s">
        <v>1496</v>
      </c>
      <c r="J261" s="489" t="s">
        <v>1306</v>
      </c>
      <c r="K261" s="488" t="s">
        <v>1469</v>
      </c>
      <c r="L261" s="484">
        <v>2016</v>
      </c>
      <c r="M261" s="828">
        <v>1.1550403315204979E-2</v>
      </c>
      <c r="N261" s="487">
        <v>7727.1798534766604</v>
      </c>
      <c r="O261" s="487">
        <v>668996.54</v>
      </c>
      <c r="P261" s="827">
        <v>7.6265768169656435E-4</v>
      </c>
      <c r="Q261" s="827">
        <v>3.1718293652414878E-3</v>
      </c>
      <c r="R261" s="827">
        <v>2.5729118499737305E-3</v>
      </c>
      <c r="S261" s="824">
        <v>1.1937583092195435E-2</v>
      </c>
      <c r="T261" s="824">
        <v>1.1937583092195435E-2</v>
      </c>
      <c r="U261" s="824">
        <v>1.1937583092195435E-2</v>
      </c>
      <c r="V261" s="824">
        <v>3.5812749276586307E-2</v>
      </c>
      <c r="W261" s="824">
        <v>2.4670860895553304E-2</v>
      </c>
      <c r="X261" s="827">
        <v>1.8032583879206077E-2</v>
      </c>
      <c r="Y261" s="486">
        <v>8754.3145610059328</v>
      </c>
      <c r="Z261" s="486">
        <v>485472</v>
      </c>
      <c r="AA261" s="496" t="s">
        <v>1497</v>
      </c>
      <c r="AB261" s="485" t="s">
        <v>1498</v>
      </c>
      <c r="AC261" s="485"/>
    </row>
    <row r="262" spans="1:29" ht="18.75" customHeight="1">
      <c r="A262" s="484">
        <v>255</v>
      </c>
      <c r="B262" s="484" t="s">
        <v>985</v>
      </c>
      <c r="C262" s="484" t="s">
        <v>1466</v>
      </c>
      <c r="D262" s="484" t="s">
        <v>1495</v>
      </c>
      <c r="E262" s="484" t="s">
        <v>1296</v>
      </c>
      <c r="F262" s="490" t="s">
        <v>1307</v>
      </c>
      <c r="G262" s="490" t="s">
        <v>1297</v>
      </c>
      <c r="H262" s="490" t="s">
        <v>968</v>
      </c>
      <c r="I262" s="489" t="s">
        <v>1496</v>
      </c>
      <c r="J262" s="489" t="s">
        <v>1307</v>
      </c>
      <c r="K262" s="488" t="s">
        <v>1469</v>
      </c>
      <c r="L262" s="484">
        <v>2016</v>
      </c>
      <c r="M262" s="828">
        <v>7.507762438872031E-3</v>
      </c>
      <c r="N262" s="487">
        <v>5022.6670947473503</v>
      </c>
      <c r="O262" s="487">
        <v>668996.54</v>
      </c>
      <c r="P262" s="827">
        <v>5.7185174523948336E-4</v>
      </c>
      <c r="Q262" s="827">
        <v>2.2651578550662342E-3</v>
      </c>
      <c r="R262" s="827">
        <v>1.8656994718085945E-3</v>
      </c>
      <c r="S262" s="824">
        <v>7.1625501399314312E-3</v>
      </c>
      <c r="T262" s="824">
        <v>7.1625501399314312E-3</v>
      </c>
      <c r="U262" s="824">
        <v>7.1625501399314312E-3</v>
      </c>
      <c r="V262" s="824">
        <v>2.1487650419794294E-2</v>
      </c>
      <c r="W262" s="824">
        <v>1.4802517125531163E-2</v>
      </c>
      <c r="X262" s="827">
        <v>1.1959373839813683E-2</v>
      </c>
      <c r="Y262" s="486">
        <v>5805.9411367620278</v>
      </c>
      <c r="Z262" s="486">
        <v>485472</v>
      </c>
      <c r="AA262" s="496" t="s">
        <v>1497</v>
      </c>
      <c r="AB262" s="485" t="s">
        <v>1498</v>
      </c>
      <c r="AC262" s="485"/>
    </row>
    <row r="263" spans="1:29" ht="18.75" customHeight="1">
      <c r="A263" s="484">
        <v>256</v>
      </c>
      <c r="B263" s="484" t="s">
        <v>985</v>
      </c>
      <c r="C263" s="484" t="s">
        <v>1466</v>
      </c>
      <c r="D263" s="484" t="s">
        <v>1495</v>
      </c>
      <c r="E263" s="484" t="s">
        <v>1296</v>
      </c>
      <c r="F263" s="490" t="s">
        <v>1308</v>
      </c>
      <c r="G263" s="490" t="s">
        <v>1297</v>
      </c>
      <c r="H263" s="490" t="s">
        <v>968</v>
      </c>
      <c r="I263" s="489" t="s">
        <v>1496</v>
      </c>
      <c r="J263" s="489" t="s">
        <v>1308</v>
      </c>
      <c r="K263" s="488" t="s">
        <v>1469</v>
      </c>
      <c r="L263" s="484">
        <v>2016</v>
      </c>
      <c r="M263" s="828">
        <v>8.8374254135781868E-3</v>
      </c>
      <c r="N263" s="487">
        <v>39626177.006536797</v>
      </c>
      <c r="O263" s="487">
        <v>4483905114</v>
      </c>
      <c r="P263" s="827">
        <v>1.0579830304444659E-3</v>
      </c>
      <c r="Q263" s="827">
        <v>6.5869909261697729E-3</v>
      </c>
      <c r="R263" s="827">
        <v>3.9618876796045262E-3</v>
      </c>
      <c r="S263" s="824">
        <v>9.4247757831018922E-3</v>
      </c>
      <c r="T263" s="824">
        <v>9.4247757831018922E-3</v>
      </c>
      <c r="U263" s="824">
        <v>9.4247757831018922E-3</v>
      </c>
      <c r="V263" s="824">
        <v>2.8274327349305677E-2</v>
      </c>
      <c r="W263" s="824">
        <v>1.9477756135469471E-2</v>
      </c>
      <c r="X263" s="827">
        <v>2.6031304770984739E-2</v>
      </c>
      <c r="Y263" s="486">
        <v>65312681.870597742</v>
      </c>
      <c r="Z263" s="486">
        <v>5018010618</v>
      </c>
      <c r="AA263" s="496" t="s">
        <v>1497</v>
      </c>
      <c r="AB263" s="485" t="s">
        <v>1498</v>
      </c>
      <c r="AC263" s="485"/>
    </row>
    <row r="264" spans="1:29" ht="18.75" customHeight="1">
      <c r="A264" s="484">
        <v>257</v>
      </c>
      <c r="B264" s="484" t="s">
        <v>985</v>
      </c>
      <c r="C264" s="484" t="s">
        <v>1466</v>
      </c>
      <c r="D264" s="484" t="s">
        <v>1495</v>
      </c>
      <c r="E264" s="484" t="s">
        <v>1296</v>
      </c>
      <c r="F264" s="490" t="s">
        <v>1309</v>
      </c>
      <c r="G264" s="490" t="s">
        <v>1297</v>
      </c>
      <c r="H264" s="490" t="s">
        <v>968</v>
      </c>
      <c r="I264" s="489" t="s">
        <v>1496</v>
      </c>
      <c r="J264" s="489" t="s">
        <v>1309</v>
      </c>
      <c r="K264" s="488" t="s">
        <v>1469</v>
      </c>
      <c r="L264" s="484">
        <v>2016</v>
      </c>
      <c r="M264" s="828">
        <v>5.7443267361108573E-3</v>
      </c>
      <c r="N264" s="487">
        <v>25757016.028534401</v>
      </c>
      <c r="O264" s="487">
        <v>4483905114</v>
      </c>
      <c r="P264" s="827">
        <v>7.5603050130675499E-4</v>
      </c>
      <c r="Q264" s="827">
        <v>4.4611581958437906E-3</v>
      </c>
      <c r="R264" s="827">
        <v>3.1586674313852704E-3</v>
      </c>
      <c r="S264" s="824">
        <v>5.6548656945652927E-3</v>
      </c>
      <c r="T264" s="824">
        <v>5.6548656945652927E-3</v>
      </c>
      <c r="U264" s="824">
        <v>5.6548656945652927E-3</v>
      </c>
      <c r="V264" s="824">
        <v>1.6964597083695878E-2</v>
      </c>
      <c r="W264" s="824">
        <v>1.1686654145667561E-2</v>
      </c>
      <c r="X264" s="827">
        <v>1.7275104031910869E-2</v>
      </c>
      <c r="Y264" s="486">
        <v>43343327.729591675</v>
      </c>
      <c r="Z264" s="486">
        <v>43343327.729591675</v>
      </c>
      <c r="AA264" s="496" t="s">
        <v>1497</v>
      </c>
      <c r="AB264" s="485" t="s">
        <v>1498</v>
      </c>
      <c r="AC264" s="485"/>
    </row>
    <row r="265" spans="1:29" ht="18.75" customHeight="1">
      <c r="A265" s="484">
        <v>258</v>
      </c>
      <c r="B265" s="484" t="s">
        <v>985</v>
      </c>
      <c r="C265" s="484" t="s">
        <v>1466</v>
      </c>
      <c r="D265" s="484" t="s">
        <v>1495</v>
      </c>
      <c r="E265" s="484" t="s">
        <v>1296</v>
      </c>
      <c r="F265" s="490" t="s">
        <v>1310</v>
      </c>
      <c r="G265" s="490" t="s">
        <v>1297</v>
      </c>
      <c r="H265" s="490" t="s">
        <v>968</v>
      </c>
      <c r="I265" s="489" t="s">
        <v>1496</v>
      </c>
      <c r="J265" s="489" t="s">
        <v>1310</v>
      </c>
      <c r="K265" s="488" t="s">
        <v>1469</v>
      </c>
      <c r="L265" s="484">
        <v>2016</v>
      </c>
      <c r="M265" s="828">
        <v>1.7550784437187291E-3</v>
      </c>
      <c r="N265" s="487">
        <v>479625.92932918598</v>
      </c>
      <c r="O265" s="487">
        <v>273278913</v>
      </c>
      <c r="P265" s="827">
        <v>-6.4681448583369343E-5</v>
      </c>
      <c r="Q265" s="827">
        <v>-8.5034986260506396E-5</v>
      </c>
      <c r="R265" s="827">
        <v>-1.4754860482261783E-4</v>
      </c>
      <c r="S265" s="824">
        <v>1.8134595655180871E-3</v>
      </c>
      <c r="T265" s="824">
        <v>1.8134595655180871E-3</v>
      </c>
      <c r="U265" s="824">
        <v>1.8134595655180871E-3</v>
      </c>
      <c r="V265" s="824">
        <v>5.4403786965542614E-3</v>
      </c>
      <c r="W265" s="824">
        <v>3.747794535550263E-3</v>
      </c>
      <c r="X265" s="827">
        <v>5.3057670671898876E-3</v>
      </c>
      <c r="Y265" s="486">
        <v>1856513.035534106</v>
      </c>
      <c r="Z265" s="486">
        <v>349904738</v>
      </c>
      <c r="AA265" s="496" t="s">
        <v>1497</v>
      </c>
      <c r="AB265" s="485" t="s">
        <v>1498</v>
      </c>
      <c r="AC265" s="485"/>
    </row>
    <row r="266" spans="1:29" ht="18.75" customHeight="1">
      <c r="A266" s="484">
        <v>259</v>
      </c>
      <c r="B266" s="484" t="s">
        <v>985</v>
      </c>
      <c r="C266" s="484" t="s">
        <v>1466</v>
      </c>
      <c r="D266" s="484" t="s">
        <v>1495</v>
      </c>
      <c r="E266" s="484" t="s">
        <v>1296</v>
      </c>
      <c r="F266" s="490" t="s">
        <v>1311</v>
      </c>
      <c r="G266" s="490" t="s">
        <v>1297</v>
      </c>
      <c r="H266" s="490" t="s">
        <v>968</v>
      </c>
      <c r="I266" s="489" t="s">
        <v>1496</v>
      </c>
      <c r="J266" s="489" t="s">
        <v>1311</v>
      </c>
      <c r="K266" s="488" t="s">
        <v>1469</v>
      </c>
      <c r="L266" s="484">
        <v>2016</v>
      </c>
      <c r="M266" s="828">
        <v>1.1408010315691391E-3</v>
      </c>
      <c r="N266" s="487">
        <v>311756.86585649301</v>
      </c>
      <c r="O266" s="487">
        <v>273278913</v>
      </c>
      <c r="P266" s="827">
        <v>-4.851025861823749E-5</v>
      </c>
      <c r="Q266" s="827">
        <v>-7.4559846621453352E-5</v>
      </c>
      <c r="R266" s="827">
        <v>-5.1931179568728174E-5</v>
      </c>
      <c r="S266" s="824">
        <v>1.0880757825470985E-3</v>
      </c>
      <c r="T266" s="824">
        <v>1.0880757825470985E-3</v>
      </c>
      <c r="U266" s="824">
        <v>1.0880757825470985E-3</v>
      </c>
      <c r="V266" s="824">
        <v>3.2642273476412957E-3</v>
      </c>
      <c r="W266" s="824">
        <v>2.2486768106845445E-3</v>
      </c>
      <c r="X266" s="827">
        <v>3.5030145573383569E-3</v>
      </c>
      <c r="Y266" s="486">
        <v>1225721.3908956638</v>
      </c>
      <c r="Z266" s="486">
        <v>349904738</v>
      </c>
      <c r="AA266" s="496" t="s">
        <v>1497</v>
      </c>
      <c r="AB266" s="485" t="s">
        <v>1498</v>
      </c>
      <c r="AC266" s="485"/>
    </row>
    <row r="267" spans="1:29" ht="18.75" customHeight="1">
      <c r="A267" s="484">
        <v>260</v>
      </c>
      <c r="B267" s="484" t="s">
        <v>985</v>
      </c>
      <c r="C267" s="484" t="s">
        <v>1499</v>
      </c>
      <c r="D267" s="484" t="s">
        <v>1500</v>
      </c>
      <c r="E267" s="484" t="s">
        <v>999</v>
      </c>
      <c r="F267" s="490" t="s">
        <v>1289</v>
      </c>
      <c r="G267" s="490" t="s">
        <v>1001</v>
      </c>
      <c r="H267" s="490" t="s">
        <v>968</v>
      </c>
      <c r="I267" s="489" t="s">
        <v>1501</v>
      </c>
      <c r="J267" s="495" t="s">
        <v>1000</v>
      </c>
      <c r="K267" s="488" t="s">
        <v>1502</v>
      </c>
      <c r="L267" s="484">
        <v>2016</v>
      </c>
      <c r="M267" s="825">
        <v>64.026501473039502</v>
      </c>
      <c r="N267" s="487" t="s">
        <v>995</v>
      </c>
      <c r="O267" s="487" t="s">
        <v>995</v>
      </c>
      <c r="P267" s="826">
        <v>1.3709999620914499</v>
      </c>
      <c r="Q267" s="826">
        <v>7.3199999999999807</v>
      </c>
      <c r="R267" s="826">
        <v>1.0720000000000001</v>
      </c>
      <c r="S267" s="824">
        <v>68.078653473838287</v>
      </c>
      <c r="T267" s="824">
        <v>68.078653473838287</v>
      </c>
      <c r="U267" s="824">
        <v>68.078653473838287</v>
      </c>
      <c r="V267" s="824">
        <v>204.23596042151485</v>
      </c>
      <c r="W267" s="824">
        <v>148.21470265499826</v>
      </c>
      <c r="X267" s="826">
        <v>0.9</v>
      </c>
      <c r="Y267" s="486" t="s">
        <v>995</v>
      </c>
      <c r="Z267" s="486" t="s">
        <v>995</v>
      </c>
      <c r="AA267" s="485" t="s">
        <v>1291</v>
      </c>
      <c r="AB267" s="485" t="s">
        <v>1292</v>
      </c>
      <c r="AC267" s="485"/>
    </row>
    <row r="268" spans="1:29" ht="18.75" customHeight="1">
      <c r="A268" s="484">
        <v>261</v>
      </c>
      <c r="B268" s="484" t="s">
        <v>985</v>
      </c>
      <c r="C268" s="484" t="s">
        <v>1499</v>
      </c>
      <c r="D268" s="484" t="s">
        <v>1500</v>
      </c>
      <c r="E268" s="484" t="s">
        <v>999</v>
      </c>
      <c r="F268" s="490" t="s">
        <v>1289</v>
      </c>
      <c r="G268" s="490" t="s">
        <v>1001</v>
      </c>
      <c r="H268" s="490" t="s">
        <v>968</v>
      </c>
      <c r="I268" s="489" t="s">
        <v>1501</v>
      </c>
      <c r="J268" s="495" t="s">
        <v>1005</v>
      </c>
      <c r="K268" s="488" t="s">
        <v>1502</v>
      </c>
      <c r="L268" s="484">
        <v>2016</v>
      </c>
      <c r="M268" s="825">
        <v>41.617227531689799</v>
      </c>
      <c r="N268" s="487" t="s">
        <v>995</v>
      </c>
      <c r="O268" s="487" t="s">
        <v>995</v>
      </c>
      <c r="P268" s="826">
        <v>1.3161600005851699</v>
      </c>
      <c r="Q268" s="826">
        <v>5.489999912738786</v>
      </c>
      <c r="R268" s="826">
        <v>1.02912002811432</v>
      </c>
      <c r="S268" s="824">
        <v>40.943823913984609</v>
      </c>
      <c r="T268" s="824">
        <v>40.943823913984609</v>
      </c>
      <c r="U268" s="824">
        <v>40.943823913984609</v>
      </c>
      <c r="V268" s="824">
        <v>122.83147174195383</v>
      </c>
      <c r="W268" s="824">
        <v>89.249896612492691</v>
      </c>
      <c r="X268" s="826">
        <v>0.58500002145767205</v>
      </c>
      <c r="Y268" s="486" t="s">
        <v>995</v>
      </c>
      <c r="Z268" s="486" t="s">
        <v>995</v>
      </c>
      <c r="AA268" s="485" t="s">
        <v>1291</v>
      </c>
      <c r="AB268" s="485" t="s">
        <v>1292</v>
      </c>
      <c r="AC268" s="485"/>
    </row>
    <row r="269" spans="1:29" ht="18.75" customHeight="1">
      <c r="A269" s="484">
        <v>262</v>
      </c>
      <c r="B269" s="484" t="s">
        <v>985</v>
      </c>
      <c r="C269" s="484" t="s">
        <v>1499</v>
      </c>
      <c r="D269" s="484" t="s">
        <v>1500</v>
      </c>
      <c r="E269" s="484" t="s">
        <v>999</v>
      </c>
      <c r="F269" s="490" t="s">
        <v>1294</v>
      </c>
      <c r="G269" s="490" t="s">
        <v>1001</v>
      </c>
      <c r="H269" s="490" t="s">
        <v>968</v>
      </c>
      <c r="I269" s="489" t="s">
        <v>1501</v>
      </c>
      <c r="J269" s="495" t="s">
        <v>1006</v>
      </c>
      <c r="K269" s="488" t="s">
        <v>1502</v>
      </c>
      <c r="L269" s="484">
        <v>2016</v>
      </c>
      <c r="M269" s="823">
        <v>312333.68990855297</v>
      </c>
      <c r="N269" s="487" t="s">
        <v>995</v>
      </c>
      <c r="O269" s="487" t="s">
        <v>995</v>
      </c>
      <c r="P269" s="824">
        <v>33246.484862297773</v>
      </c>
      <c r="Q269" s="824">
        <v>13598.999999999964</v>
      </c>
      <c r="R269" s="824">
        <v>159660.47617571798</v>
      </c>
      <c r="S269" s="824">
        <v>332009.16967821243</v>
      </c>
      <c r="T269" s="824">
        <v>332009.16967821243</v>
      </c>
      <c r="U269" s="824">
        <v>332009.16967821243</v>
      </c>
      <c r="V269" s="824">
        <v>996027.50903463736</v>
      </c>
      <c r="W269" s="824">
        <v>702989.38755218836</v>
      </c>
      <c r="X269" s="824">
        <v>9260.58</v>
      </c>
      <c r="Y269" s="486" t="s">
        <v>995</v>
      </c>
      <c r="Z269" s="486" t="s">
        <v>995</v>
      </c>
      <c r="AA269" s="485" t="s">
        <v>1291</v>
      </c>
      <c r="AB269" s="485" t="s">
        <v>1292</v>
      </c>
      <c r="AC269" s="485"/>
    </row>
    <row r="270" spans="1:29" ht="18.75" customHeight="1">
      <c r="A270" s="484">
        <v>263</v>
      </c>
      <c r="B270" s="484" t="s">
        <v>985</v>
      </c>
      <c r="C270" s="484" t="s">
        <v>1499</v>
      </c>
      <c r="D270" s="484" t="s">
        <v>1500</v>
      </c>
      <c r="E270" s="484" t="s">
        <v>999</v>
      </c>
      <c r="F270" s="490" t="s">
        <v>1294</v>
      </c>
      <c r="G270" s="490" t="s">
        <v>1001</v>
      </c>
      <c r="H270" s="490" t="s">
        <v>968</v>
      </c>
      <c r="I270" s="489" t="s">
        <v>1501</v>
      </c>
      <c r="J270" s="495" t="s">
        <v>1007</v>
      </c>
      <c r="K270" s="488" t="s">
        <v>1502</v>
      </c>
      <c r="L270" s="484">
        <v>2016</v>
      </c>
      <c r="M270" s="823">
        <v>204017.36924985301</v>
      </c>
      <c r="N270" s="487" t="s">
        <v>995</v>
      </c>
      <c r="O270" s="487" t="s">
        <v>995</v>
      </c>
      <c r="P270" s="824">
        <v>24144.809678673868</v>
      </c>
      <c r="Q270" s="824">
        <v>10199.249837887273</v>
      </c>
      <c r="R270" s="824">
        <v>105501.6334229674</v>
      </c>
      <c r="S270" s="824">
        <v>200452.24778073607</v>
      </c>
      <c r="T270" s="824">
        <v>200452.24778073607</v>
      </c>
      <c r="U270" s="824">
        <v>200452.24778073607</v>
      </c>
      <c r="V270" s="824">
        <v>601356.74334220821</v>
      </c>
      <c r="W270" s="824">
        <v>423250.44733447523</v>
      </c>
      <c r="X270" s="824">
        <v>6239.1444112029094</v>
      </c>
      <c r="Y270" s="486" t="s">
        <v>995</v>
      </c>
      <c r="Z270" s="486" t="s">
        <v>995</v>
      </c>
      <c r="AA270" s="485" t="s">
        <v>1291</v>
      </c>
      <c r="AB270" s="485" t="s">
        <v>1292</v>
      </c>
      <c r="AC270" s="485"/>
    </row>
    <row r="271" spans="1:29" ht="18.75" customHeight="1">
      <c r="A271" s="484">
        <v>264</v>
      </c>
      <c r="B271" s="484" t="s">
        <v>985</v>
      </c>
      <c r="C271" s="484" t="s">
        <v>1499</v>
      </c>
      <c r="D271" s="484" t="s">
        <v>1500</v>
      </c>
      <c r="E271" s="484" t="s">
        <v>999</v>
      </c>
      <c r="F271" s="490" t="s">
        <v>1295</v>
      </c>
      <c r="G271" s="490" t="s">
        <v>1001</v>
      </c>
      <c r="H271" s="490" t="s">
        <v>968</v>
      </c>
      <c r="I271" s="489" t="s">
        <v>1501</v>
      </c>
      <c r="J271" s="495" t="s">
        <v>1008</v>
      </c>
      <c r="K271" s="488" t="s">
        <v>1502</v>
      </c>
      <c r="L271" s="484">
        <v>2016</v>
      </c>
      <c r="M271" s="823">
        <v>118404.87186440801</v>
      </c>
      <c r="N271" s="487" t="s">
        <v>995</v>
      </c>
      <c r="O271" s="487" t="s">
        <v>995</v>
      </c>
      <c r="P271" s="824">
        <v>66514.941511273457</v>
      </c>
      <c r="Q271" s="824">
        <v>0</v>
      </c>
      <c r="R271" s="824">
        <v>35025.523743103979</v>
      </c>
      <c r="S271" s="824">
        <v>128951.32745688046</v>
      </c>
      <c r="T271" s="824">
        <v>128951.32745688046</v>
      </c>
      <c r="U271" s="824">
        <v>128951.32745688046</v>
      </c>
      <c r="V271" s="824">
        <v>386853.98237064137</v>
      </c>
      <c r="W271" s="824">
        <v>274571.47507425369</v>
      </c>
      <c r="X271" s="824">
        <v>17210.7</v>
      </c>
      <c r="Y271" s="486" t="s">
        <v>995</v>
      </c>
      <c r="Z271" s="486" t="s">
        <v>995</v>
      </c>
      <c r="AA271" s="485" t="s">
        <v>1291</v>
      </c>
      <c r="AB271" s="485" t="s">
        <v>1292</v>
      </c>
      <c r="AC271" s="485"/>
    </row>
    <row r="272" spans="1:29" ht="18.75" customHeight="1">
      <c r="A272" s="484">
        <v>265</v>
      </c>
      <c r="B272" s="484" t="s">
        <v>985</v>
      </c>
      <c r="C272" s="484" t="s">
        <v>1499</v>
      </c>
      <c r="D272" s="484" t="s">
        <v>1500</v>
      </c>
      <c r="E272" s="484" t="s">
        <v>999</v>
      </c>
      <c r="F272" s="490" t="s">
        <v>1295</v>
      </c>
      <c r="G272" s="490" t="s">
        <v>1001</v>
      </c>
      <c r="H272" s="490" t="s">
        <v>968</v>
      </c>
      <c r="I272" s="489" t="s">
        <v>1501</v>
      </c>
      <c r="J272" s="495" t="s">
        <v>1009</v>
      </c>
      <c r="K272" s="488" t="s">
        <v>1502</v>
      </c>
      <c r="L272" s="484">
        <v>2016</v>
      </c>
      <c r="M272" s="823">
        <v>77582.157315912904</v>
      </c>
      <c r="N272" s="487" t="s">
        <v>995</v>
      </c>
      <c r="O272" s="487" t="s">
        <v>995</v>
      </c>
      <c r="P272" s="824">
        <v>45224.473159542111</v>
      </c>
      <c r="Q272" s="824">
        <v>0</v>
      </c>
      <c r="R272" s="824">
        <v>23522.461983011202</v>
      </c>
      <c r="S272" s="824">
        <v>76793.762680266504</v>
      </c>
      <c r="T272" s="824">
        <v>76793.762680266504</v>
      </c>
      <c r="U272" s="824">
        <v>76793.762680266504</v>
      </c>
      <c r="V272" s="824">
        <v>230381.2880407995</v>
      </c>
      <c r="W272" s="824">
        <v>162838.2830469413</v>
      </c>
      <c r="X272" s="824">
        <v>11703.275917933001</v>
      </c>
      <c r="Y272" s="486" t="s">
        <v>995</v>
      </c>
      <c r="Z272" s="486" t="s">
        <v>995</v>
      </c>
      <c r="AA272" s="485" t="s">
        <v>1291</v>
      </c>
      <c r="AB272" s="485" t="s">
        <v>1292</v>
      </c>
      <c r="AC272" s="485"/>
    </row>
    <row r="273" spans="1:29" ht="18.75" customHeight="1">
      <c r="A273" s="484">
        <v>266</v>
      </c>
      <c r="B273" s="484" t="s">
        <v>985</v>
      </c>
      <c r="C273" s="484" t="s">
        <v>1499</v>
      </c>
      <c r="D273" s="484" t="s">
        <v>1500</v>
      </c>
      <c r="E273" s="484" t="s">
        <v>999</v>
      </c>
      <c r="F273" s="490" t="s">
        <v>1289</v>
      </c>
      <c r="G273" s="490" t="s">
        <v>1001</v>
      </c>
      <c r="H273" s="490" t="s">
        <v>968</v>
      </c>
      <c r="I273" s="489" t="s">
        <v>1501</v>
      </c>
      <c r="J273" s="495" t="s">
        <v>1010</v>
      </c>
      <c r="K273" s="488" t="s">
        <v>1502</v>
      </c>
      <c r="L273" s="484">
        <v>2016</v>
      </c>
      <c r="M273" s="823">
        <v>707.90726606825797</v>
      </c>
      <c r="N273" s="487" t="s">
        <v>995</v>
      </c>
      <c r="O273" s="487" t="s">
        <v>995</v>
      </c>
      <c r="P273" s="824">
        <v>12.8873991206646</v>
      </c>
      <c r="Q273" s="824">
        <v>73.199999999999804</v>
      </c>
      <c r="R273" s="824">
        <v>12.864000000000001</v>
      </c>
      <c r="S273" s="824">
        <v>753.56745623509482</v>
      </c>
      <c r="T273" s="824">
        <v>753.56745623509482</v>
      </c>
      <c r="U273" s="824">
        <v>753.56745623509482</v>
      </c>
      <c r="V273" s="824">
        <v>2260.7023687052842</v>
      </c>
      <c r="W273" s="824">
        <v>1640.59908293117</v>
      </c>
      <c r="X273" s="824">
        <v>9</v>
      </c>
      <c r="Y273" s="486" t="s">
        <v>995</v>
      </c>
      <c r="Z273" s="486" t="s">
        <v>995</v>
      </c>
      <c r="AA273" s="485" t="s">
        <v>1291</v>
      </c>
      <c r="AB273" s="485" t="s">
        <v>1292</v>
      </c>
      <c r="AC273" s="485"/>
    </row>
    <row r="274" spans="1:29" ht="18.75" customHeight="1">
      <c r="A274" s="484">
        <v>267</v>
      </c>
      <c r="B274" s="484" t="s">
        <v>985</v>
      </c>
      <c r="C274" s="484" t="s">
        <v>1499</v>
      </c>
      <c r="D274" s="484" t="s">
        <v>1500</v>
      </c>
      <c r="E274" s="484" t="s">
        <v>999</v>
      </c>
      <c r="F274" s="490" t="s">
        <v>1289</v>
      </c>
      <c r="G274" s="490" t="s">
        <v>1001</v>
      </c>
      <c r="H274" s="490" t="s">
        <v>968</v>
      </c>
      <c r="I274" s="489" t="s">
        <v>1501</v>
      </c>
      <c r="J274" s="495" t="s">
        <v>1013</v>
      </c>
      <c r="K274" s="488" t="s">
        <v>1502</v>
      </c>
      <c r="L274" s="484">
        <v>2016</v>
      </c>
      <c r="M274" s="823">
        <v>460.13974034962399</v>
      </c>
      <c r="N274" s="487" t="s">
        <v>995</v>
      </c>
      <c r="O274" s="487" t="s">
        <v>995</v>
      </c>
      <c r="P274" s="824">
        <v>12.371903503425401</v>
      </c>
      <c r="Q274" s="824">
        <v>54.899999127387851</v>
      </c>
      <c r="R274" s="824">
        <v>12.349440337371799</v>
      </c>
      <c r="S274" s="824">
        <v>453.21009833509379</v>
      </c>
      <c r="T274" s="824">
        <v>453.21009833509379</v>
      </c>
      <c r="U274" s="824">
        <v>453.21009833509379</v>
      </c>
      <c r="V274" s="824">
        <v>1359.6302950052814</v>
      </c>
      <c r="W274" s="824">
        <v>987.91345198046304</v>
      </c>
      <c r="X274" s="824">
        <v>5.8500002145767196</v>
      </c>
      <c r="Y274" s="486" t="s">
        <v>995</v>
      </c>
      <c r="Z274" s="486" t="s">
        <v>995</v>
      </c>
      <c r="AA274" s="485" t="s">
        <v>1291</v>
      </c>
      <c r="AB274" s="485" t="s">
        <v>1292</v>
      </c>
      <c r="AC274" s="485"/>
    </row>
    <row r="275" spans="1:29" ht="18.75" customHeight="1">
      <c r="A275" s="484">
        <v>268</v>
      </c>
      <c r="B275" s="484" t="s">
        <v>985</v>
      </c>
      <c r="C275" s="484" t="s">
        <v>1499</v>
      </c>
      <c r="D275" s="484" t="s">
        <v>1500</v>
      </c>
      <c r="E275" s="484" t="s">
        <v>999</v>
      </c>
      <c r="F275" s="490" t="s">
        <v>1294</v>
      </c>
      <c r="G275" s="490" t="s">
        <v>1001</v>
      </c>
      <c r="H275" s="490" t="s">
        <v>968</v>
      </c>
      <c r="I275" s="489" t="s">
        <v>1501</v>
      </c>
      <c r="J275" s="495" t="s">
        <v>1014</v>
      </c>
      <c r="K275" s="488" t="s">
        <v>1502</v>
      </c>
      <c r="L275" s="484">
        <v>2016</v>
      </c>
      <c r="M275" s="823">
        <v>3201579.9480787599</v>
      </c>
      <c r="N275" s="487" t="s">
        <v>995</v>
      </c>
      <c r="O275" s="487" t="s">
        <v>995</v>
      </c>
      <c r="P275" s="824">
        <v>98792.021732779656</v>
      </c>
      <c r="Q275" s="824">
        <v>135989.99999999965</v>
      </c>
      <c r="R275" s="824">
        <v>2314097.0415604399</v>
      </c>
      <c r="S275" s="824">
        <v>3416127.574048162</v>
      </c>
      <c r="T275" s="824">
        <v>3416127.574048162</v>
      </c>
      <c r="U275" s="824">
        <v>3416127.574048162</v>
      </c>
      <c r="V275" s="824">
        <v>10248382.722144486</v>
      </c>
      <c r="W275" s="824">
        <v>7233238.2669063825</v>
      </c>
      <c r="X275" s="824">
        <v>55977.9</v>
      </c>
      <c r="Y275" s="486" t="s">
        <v>995</v>
      </c>
      <c r="Z275" s="486" t="s">
        <v>995</v>
      </c>
      <c r="AA275" s="485" t="s">
        <v>1291</v>
      </c>
      <c r="AB275" s="485" t="s">
        <v>1292</v>
      </c>
      <c r="AC275" s="485"/>
    </row>
    <row r="276" spans="1:29" ht="18.75" customHeight="1">
      <c r="A276" s="484">
        <v>269</v>
      </c>
      <c r="B276" s="484" t="s">
        <v>985</v>
      </c>
      <c r="C276" s="484" t="s">
        <v>1499</v>
      </c>
      <c r="D276" s="484" t="s">
        <v>1500</v>
      </c>
      <c r="E276" s="484" t="s">
        <v>999</v>
      </c>
      <c r="F276" s="490" t="s">
        <v>1294</v>
      </c>
      <c r="G276" s="490" t="s">
        <v>1001</v>
      </c>
      <c r="H276" s="490" t="s">
        <v>968</v>
      </c>
      <c r="I276" s="489" t="s">
        <v>1501</v>
      </c>
      <c r="J276" s="495" t="s">
        <v>1015</v>
      </c>
      <c r="K276" s="488" t="s">
        <v>1502</v>
      </c>
      <c r="L276" s="484">
        <v>2016</v>
      </c>
      <c r="M276" s="823">
        <v>2086029.36061803</v>
      </c>
      <c r="N276" s="487" t="s">
        <v>995</v>
      </c>
      <c r="O276" s="487" t="s">
        <v>995</v>
      </c>
      <c r="P276" s="824">
        <v>81628.25479150434</v>
      </c>
      <c r="Q276" s="824">
        <v>101992.49837887273</v>
      </c>
      <c r="R276" s="824">
        <v>1522565.7727726984</v>
      </c>
      <c r="S276" s="824">
        <v>2056560.1584205988</v>
      </c>
      <c r="T276" s="824">
        <v>2056560.1584205988</v>
      </c>
      <c r="U276" s="824">
        <v>2056560.1584205988</v>
      </c>
      <c r="V276" s="824">
        <v>6169680.4752617963</v>
      </c>
      <c r="W276" s="824">
        <v>4342380.8745407797</v>
      </c>
      <c r="X276" s="824">
        <v>37484.472286684599</v>
      </c>
      <c r="Y276" s="486" t="s">
        <v>995</v>
      </c>
      <c r="Z276" s="486" t="s">
        <v>995</v>
      </c>
      <c r="AA276" s="485" t="s">
        <v>1291</v>
      </c>
      <c r="AB276" s="485" t="s">
        <v>1292</v>
      </c>
      <c r="AC276" s="485"/>
    </row>
    <row r="277" spans="1:29" ht="18.75" customHeight="1">
      <c r="A277" s="484">
        <v>270</v>
      </c>
      <c r="B277" s="484" t="s">
        <v>985</v>
      </c>
      <c r="C277" s="484" t="s">
        <v>1499</v>
      </c>
      <c r="D277" s="484" t="s">
        <v>1500</v>
      </c>
      <c r="E277" s="484" t="s">
        <v>999</v>
      </c>
      <c r="F277" s="490" t="s">
        <v>1295</v>
      </c>
      <c r="G277" s="490" t="s">
        <v>1001</v>
      </c>
      <c r="H277" s="490" t="s">
        <v>968</v>
      </c>
      <c r="I277" s="489" t="s">
        <v>1501</v>
      </c>
      <c r="J277" s="495" t="s">
        <v>1016</v>
      </c>
      <c r="K277" s="488" t="s">
        <v>1502</v>
      </c>
      <c r="L277" s="484">
        <v>2016</v>
      </c>
      <c r="M277" s="823">
        <v>586854.62541833404</v>
      </c>
      <c r="N277" s="487" t="s">
        <v>995</v>
      </c>
      <c r="O277" s="487" t="s">
        <v>995</v>
      </c>
      <c r="P277" s="824">
        <v>112919.01675275473</v>
      </c>
      <c r="Q277" s="824">
        <v>0</v>
      </c>
      <c r="R277" s="824">
        <v>223515.88543103979</v>
      </c>
      <c r="S277" s="824">
        <v>639024.85504376807</v>
      </c>
      <c r="T277" s="824">
        <v>639024.85504376807</v>
      </c>
      <c r="U277" s="824">
        <v>639024.85504376807</v>
      </c>
      <c r="V277" s="824">
        <v>1917074.5651313043</v>
      </c>
      <c r="W277" s="824">
        <v>1360652.8953115994</v>
      </c>
      <c r="X277" s="824">
        <v>86053.5</v>
      </c>
      <c r="Y277" s="486" t="s">
        <v>995</v>
      </c>
      <c r="Z277" s="486" t="s">
        <v>995</v>
      </c>
      <c r="AA277" s="485" t="s">
        <v>1291</v>
      </c>
      <c r="AB277" s="485" t="s">
        <v>1292</v>
      </c>
      <c r="AC277" s="485"/>
    </row>
    <row r="278" spans="1:29" ht="18.75" customHeight="1">
      <c r="A278" s="484">
        <v>271</v>
      </c>
      <c r="B278" s="484" t="s">
        <v>985</v>
      </c>
      <c r="C278" s="484" t="s">
        <v>1499</v>
      </c>
      <c r="D278" s="484" t="s">
        <v>1500</v>
      </c>
      <c r="E278" s="484" t="s">
        <v>999</v>
      </c>
      <c r="F278" s="490" t="s">
        <v>1295</v>
      </c>
      <c r="G278" s="490" t="s">
        <v>1001</v>
      </c>
      <c r="H278" s="490" t="s">
        <v>968</v>
      </c>
      <c r="I278" s="489" t="s">
        <v>1501</v>
      </c>
      <c r="J278" s="495" t="s">
        <v>1017</v>
      </c>
      <c r="K278" s="488" t="s">
        <v>1502</v>
      </c>
      <c r="L278" s="484">
        <v>2016</v>
      </c>
      <c r="M278" s="823">
        <v>384550.45941504597</v>
      </c>
      <c r="N278" s="487" t="s">
        <v>995</v>
      </c>
      <c r="O278" s="487" t="s">
        <v>995</v>
      </c>
      <c r="P278" s="824">
        <v>76731.475014908487</v>
      </c>
      <c r="Q278" s="824">
        <v>0</v>
      </c>
      <c r="R278" s="824">
        <v>149033.92251357349</v>
      </c>
      <c r="S278" s="824">
        <v>380595.1114908976</v>
      </c>
      <c r="T278" s="824">
        <v>380595.1114908976</v>
      </c>
      <c r="U278" s="824">
        <v>380595.1114908976</v>
      </c>
      <c r="V278" s="824">
        <v>1141785.3344726928</v>
      </c>
      <c r="W278" s="824">
        <v>807037.60732852644</v>
      </c>
      <c r="X278" s="824">
        <v>58516.379589664903</v>
      </c>
      <c r="Y278" s="486" t="s">
        <v>995</v>
      </c>
      <c r="Z278" s="486" t="s">
        <v>995</v>
      </c>
      <c r="AA278" s="485" t="s">
        <v>1291</v>
      </c>
      <c r="AB278" s="485" t="s">
        <v>1292</v>
      </c>
      <c r="AC278" s="485"/>
    </row>
    <row r="279" spans="1:29" ht="18.75" customHeight="1">
      <c r="A279" s="484">
        <v>272</v>
      </c>
      <c r="B279" s="484" t="s">
        <v>985</v>
      </c>
      <c r="C279" s="484" t="s">
        <v>1499</v>
      </c>
      <c r="D279" s="484" t="s">
        <v>1503</v>
      </c>
      <c r="E279" s="484" t="s">
        <v>988</v>
      </c>
      <c r="F279" s="490" t="s">
        <v>989</v>
      </c>
      <c r="G279" s="490" t="s">
        <v>1087</v>
      </c>
      <c r="H279" s="490" t="s">
        <v>968</v>
      </c>
      <c r="I279" s="489" t="s">
        <v>991</v>
      </c>
      <c r="J279" s="489" t="s">
        <v>992</v>
      </c>
      <c r="K279" s="488" t="s">
        <v>1502</v>
      </c>
      <c r="L279" s="484">
        <v>2016</v>
      </c>
      <c r="M279" s="823">
        <v>555.42571383398445</v>
      </c>
      <c r="N279" s="487" t="s">
        <v>995</v>
      </c>
      <c r="O279" s="487" t="s">
        <v>995</v>
      </c>
      <c r="P279" s="824">
        <v>256.76008818839563</v>
      </c>
      <c r="Q279" s="824">
        <v>7.2108696353863015</v>
      </c>
      <c r="R279" s="824">
        <v>199</v>
      </c>
      <c r="S279" s="824">
        <v>101.67043606130515</v>
      </c>
      <c r="T279" s="824">
        <v>101.67043606130515</v>
      </c>
      <c r="U279" s="824">
        <v>101.67043606130515</v>
      </c>
      <c r="V279" s="824">
        <v>305.01130818391545</v>
      </c>
      <c r="W279" s="824">
        <v>210.11767339224494</v>
      </c>
      <c r="X279" s="824">
        <v>66</v>
      </c>
      <c r="Y279" s="486" t="s">
        <v>995</v>
      </c>
      <c r="Z279" s="486" t="s">
        <v>995</v>
      </c>
      <c r="AA279" s="485" t="s">
        <v>1313</v>
      </c>
      <c r="AB279" s="485" t="s">
        <v>1314</v>
      </c>
      <c r="AC279" s="485"/>
    </row>
    <row r="280" spans="1:29" ht="18.75" customHeight="1">
      <c r="A280" s="484">
        <v>273</v>
      </c>
      <c r="B280" s="484" t="s">
        <v>985</v>
      </c>
      <c r="C280" s="484" t="s">
        <v>1499</v>
      </c>
      <c r="D280" s="484" t="s">
        <v>1504</v>
      </c>
      <c r="E280" s="484" t="s">
        <v>1505</v>
      </c>
      <c r="F280" s="490" t="s">
        <v>1127</v>
      </c>
      <c r="G280" s="490" t="s">
        <v>1128</v>
      </c>
      <c r="H280" s="490" t="s">
        <v>968</v>
      </c>
      <c r="I280" s="489" t="s">
        <v>1472</v>
      </c>
      <c r="J280" s="489" t="s">
        <v>1328</v>
      </c>
      <c r="K280" s="488" t="s">
        <v>1502</v>
      </c>
      <c r="L280" s="484">
        <v>2016</v>
      </c>
      <c r="M280" s="828">
        <v>0.12121212121212122</v>
      </c>
      <c r="N280" s="487">
        <v>4</v>
      </c>
      <c r="O280" s="487">
        <v>33</v>
      </c>
      <c r="P280" s="827">
        <v>3.0303030303030304E-2</v>
      </c>
      <c r="Q280" s="827">
        <v>3.4482758620689655E-2</v>
      </c>
      <c r="R280" s="827">
        <v>0</v>
      </c>
      <c r="S280" s="824">
        <v>1.0432380567299792E-2</v>
      </c>
      <c r="T280" s="824">
        <v>1.0432380567299792E-2</v>
      </c>
      <c r="U280" s="824">
        <v>1.0432380567299792E-2</v>
      </c>
      <c r="V280" s="824">
        <v>3.1297141701899373E-2</v>
      </c>
      <c r="W280" s="824">
        <v>2.1560127188023016E-2</v>
      </c>
      <c r="X280" s="827">
        <v>0</v>
      </c>
      <c r="Y280" s="486">
        <v>0</v>
      </c>
      <c r="Z280" s="486">
        <v>13</v>
      </c>
      <c r="AA280" s="485" t="s">
        <v>1329</v>
      </c>
      <c r="AB280" s="485" t="s">
        <v>1330</v>
      </c>
      <c r="AC280" s="485"/>
    </row>
    <row r="281" spans="1:29" ht="18.75" customHeight="1">
      <c r="A281" s="484">
        <v>274</v>
      </c>
      <c r="B281" s="484" t="s">
        <v>985</v>
      </c>
      <c r="C281" s="484" t="s">
        <v>1499</v>
      </c>
      <c r="D281" s="484" t="s">
        <v>1504</v>
      </c>
      <c r="E281" s="484" t="s">
        <v>1505</v>
      </c>
      <c r="F281" s="490" t="s">
        <v>1127</v>
      </c>
      <c r="G281" s="490" t="s">
        <v>1128</v>
      </c>
      <c r="H281" s="490" t="s">
        <v>968</v>
      </c>
      <c r="I281" s="489" t="s">
        <v>1472</v>
      </c>
      <c r="J281" s="489" t="s">
        <v>1332</v>
      </c>
      <c r="K281" s="488" t="s">
        <v>1502</v>
      </c>
      <c r="L281" s="484">
        <v>2016</v>
      </c>
      <c r="M281" s="828">
        <v>2.7027027027027029E-2</v>
      </c>
      <c r="N281" s="487">
        <v>18</v>
      </c>
      <c r="O281" s="487">
        <v>666</v>
      </c>
      <c r="P281" s="827">
        <v>4.4910179640718561E-3</v>
      </c>
      <c r="Q281" s="827">
        <v>6.024096385542169E-3</v>
      </c>
      <c r="R281" s="827">
        <v>4.9019607843137254E-3</v>
      </c>
      <c r="S281" s="824">
        <v>1.0432380567299792E-2</v>
      </c>
      <c r="T281" s="824">
        <v>1.0432380567299792E-2</v>
      </c>
      <c r="U281" s="824">
        <v>1.0432380567299792E-2</v>
      </c>
      <c r="V281" s="824">
        <v>3.1297141701899373E-2</v>
      </c>
      <c r="W281" s="824">
        <v>2.1560127188023016E-2</v>
      </c>
      <c r="X281" s="827">
        <v>7.0175438596491229E-3</v>
      </c>
      <c r="Y281" s="486">
        <v>2</v>
      </c>
      <c r="Z281" s="486">
        <v>285</v>
      </c>
      <c r="AA281" s="485" t="s">
        <v>1333</v>
      </c>
      <c r="AB281" s="485" t="s">
        <v>1334</v>
      </c>
      <c r="AC281" s="485"/>
    </row>
    <row r="282" spans="1:29" ht="18.75" customHeight="1">
      <c r="A282" s="484">
        <v>275</v>
      </c>
      <c r="B282" s="484" t="s">
        <v>985</v>
      </c>
      <c r="C282" s="484" t="s">
        <v>1499</v>
      </c>
      <c r="D282" s="484" t="s">
        <v>1504</v>
      </c>
      <c r="E282" s="484" t="s">
        <v>1505</v>
      </c>
      <c r="F282" s="490" t="s">
        <v>1127</v>
      </c>
      <c r="G282" s="490" t="s">
        <v>1128</v>
      </c>
      <c r="H282" s="490" t="s">
        <v>968</v>
      </c>
      <c r="I282" s="489" t="s">
        <v>1472</v>
      </c>
      <c r="J282" s="489" t="s">
        <v>1473</v>
      </c>
      <c r="K282" s="488" t="s">
        <v>1502</v>
      </c>
      <c r="L282" s="484">
        <v>2016</v>
      </c>
      <c r="M282" s="828">
        <v>2.2650056625141564E-3</v>
      </c>
      <c r="N282" s="487">
        <v>6</v>
      </c>
      <c r="O282" s="487">
        <v>2649</v>
      </c>
      <c r="P282" s="827">
        <v>1.128668171557562E-3</v>
      </c>
      <c r="Q282" s="827">
        <v>0</v>
      </c>
      <c r="R282" s="827">
        <v>1.2432656444260257E-3</v>
      </c>
      <c r="S282" s="824">
        <v>1.0432380567299792E-2</v>
      </c>
      <c r="T282" s="824">
        <v>1.0432380567299792E-2</v>
      </c>
      <c r="U282" s="824">
        <v>1.0432380567299792E-2</v>
      </c>
      <c r="V282" s="824">
        <v>3.1297141701899373E-2</v>
      </c>
      <c r="W282" s="824">
        <v>2.1560127188023012E-2</v>
      </c>
      <c r="X282" s="827">
        <v>4.2789901583226359E-4</v>
      </c>
      <c r="Y282" s="486">
        <v>1</v>
      </c>
      <c r="Z282" s="486">
        <v>2337</v>
      </c>
      <c r="AA282" s="485" t="s">
        <v>1337</v>
      </c>
      <c r="AB282" s="485" t="s">
        <v>1474</v>
      </c>
      <c r="AC282" s="485"/>
    </row>
    <row r="283" spans="1:29" ht="18.75" customHeight="1">
      <c r="A283" s="484">
        <v>276</v>
      </c>
      <c r="B283" s="484" t="s">
        <v>985</v>
      </c>
      <c r="C283" s="484" t="s">
        <v>1499</v>
      </c>
      <c r="D283" s="484" t="s">
        <v>1506</v>
      </c>
      <c r="E283" s="484" t="s">
        <v>1063</v>
      </c>
      <c r="F283" s="490" t="s">
        <v>1491</v>
      </c>
      <c r="G283" s="490" t="s">
        <v>1065</v>
      </c>
      <c r="H283" s="490" t="s">
        <v>968</v>
      </c>
      <c r="I283" s="489" t="s">
        <v>1066</v>
      </c>
      <c r="J283" s="489" t="s">
        <v>1064</v>
      </c>
      <c r="K283" s="488" t="s">
        <v>1502</v>
      </c>
      <c r="L283" s="484">
        <v>2016</v>
      </c>
      <c r="M283" s="823">
        <v>557.7382705950638</v>
      </c>
      <c r="N283" s="487">
        <v>256637.543014661</v>
      </c>
      <c r="O283" s="487">
        <v>460.13974034962399</v>
      </c>
      <c r="P283" s="824">
        <v>2178.6779948029844</v>
      </c>
      <c r="Q283" s="824">
        <v>3080.0977961489493</v>
      </c>
      <c r="R283" s="824">
        <v>15387.456834716677</v>
      </c>
      <c r="S283" s="824">
        <v>560.7661096516083</v>
      </c>
      <c r="T283" s="824">
        <v>560.7661096516083</v>
      </c>
      <c r="U283" s="824">
        <v>560.7661096516083</v>
      </c>
      <c r="V283" s="824">
        <v>1682.2983289548249</v>
      </c>
      <c r="W283" s="824">
        <v>1115.9245582067006</v>
      </c>
      <c r="X283" s="824">
        <v>3281.7059405459745</v>
      </c>
      <c r="Y283" s="486">
        <v>19690.235643275846</v>
      </c>
      <c r="Z283" s="486">
        <v>6</v>
      </c>
      <c r="AA283" s="485" t="s">
        <v>1144</v>
      </c>
      <c r="AB283" s="485" t="s">
        <v>1145</v>
      </c>
      <c r="AC283" s="485"/>
    </row>
    <row r="284" spans="1:29" ht="18.75" customHeight="1">
      <c r="A284" s="484">
        <v>277</v>
      </c>
      <c r="B284" s="484" t="s">
        <v>985</v>
      </c>
      <c r="C284" s="484" t="s">
        <v>1499</v>
      </c>
      <c r="D284" s="484" t="s">
        <v>1506</v>
      </c>
      <c r="E284" s="484" t="s">
        <v>1063</v>
      </c>
      <c r="F284" s="490" t="s">
        <v>1493</v>
      </c>
      <c r="G284" s="490" t="s">
        <v>1065</v>
      </c>
      <c r="H284" s="490" t="s">
        <v>968</v>
      </c>
      <c r="I284" s="489" t="s">
        <v>1066</v>
      </c>
      <c r="J284" s="489" t="s">
        <v>1069</v>
      </c>
      <c r="K284" s="488" t="s">
        <v>1502</v>
      </c>
      <c r="L284" s="484">
        <v>2016</v>
      </c>
      <c r="M284" s="825">
        <v>0.12302681249827986</v>
      </c>
      <c r="N284" s="487">
        <v>256637.543014661</v>
      </c>
      <c r="O284" s="487">
        <v>2086029.36061803</v>
      </c>
      <c r="P284" s="826">
        <v>0.33020911675235559</v>
      </c>
      <c r="Q284" s="826">
        <v>1.6579392505191763</v>
      </c>
      <c r="R284" s="826">
        <v>0.12480674629784042</v>
      </c>
      <c r="S284" s="824">
        <v>0.12193248907846088</v>
      </c>
      <c r="T284" s="824">
        <v>0.12193248907846088</v>
      </c>
      <c r="U284" s="824">
        <v>0.12193248907846088</v>
      </c>
      <c r="V284" s="824">
        <v>0.36579746723538265</v>
      </c>
      <c r="W284" s="824">
        <v>0.24264565326613716</v>
      </c>
      <c r="X284" s="826">
        <v>0.52529079073738127</v>
      </c>
      <c r="Y284" s="486">
        <v>19690</v>
      </c>
      <c r="Z284" s="486">
        <v>37484</v>
      </c>
      <c r="AA284" s="485" t="s">
        <v>1370</v>
      </c>
      <c r="AB284" s="485" t="s">
        <v>1145</v>
      </c>
      <c r="AC284" s="485"/>
    </row>
    <row r="285" spans="1:29" ht="18.75" customHeight="1">
      <c r="A285" s="484">
        <v>278</v>
      </c>
      <c r="B285" s="484" t="s">
        <v>985</v>
      </c>
      <c r="C285" s="484" t="s">
        <v>1499</v>
      </c>
      <c r="D285" s="484" t="s">
        <v>1506</v>
      </c>
      <c r="E285" s="484" t="s">
        <v>1063</v>
      </c>
      <c r="F285" s="490" t="s">
        <v>1494</v>
      </c>
      <c r="G285" s="490" t="s">
        <v>1065</v>
      </c>
      <c r="H285" s="490" t="s">
        <v>968</v>
      </c>
      <c r="I285" s="489" t="s">
        <v>1066</v>
      </c>
      <c r="J285" s="489" t="s">
        <v>1071</v>
      </c>
      <c r="K285" s="488" t="s">
        <v>1502</v>
      </c>
      <c r="L285" s="484">
        <v>2016</v>
      </c>
      <c r="M285" s="825">
        <v>0.95781217306466115</v>
      </c>
      <c r="N285" s="487">
        <v>368327.11118533899</v>
      </c>
      <c r="O285" s="487">
        <v>384550.45941504597</v>
      </c>
      <c r="P285" s="824">
        <v>2.438699452172707</v>
      </c>
      <c r="Q285" s="824">
        <v>0</v>
      </c>
      <c r="R285" s="824">
        <v>1.7285575259055532</v>
      </c>
      <c r="S285" s="824">
        <v>0.95029347729776137</v>
      </c>
      <c r="T285" s="824">
        <v>0.95029347729776137</v>
      </c>
      <c r="U285" s="824">
        <v>0.95029347729776137</v>
      </c>
      <c r="V285" s="824">
        <v>2.8508804318932839</v>
      </c>
      <c r="W285" s="824">
        <v>1.8910840198225451</v>
      </c>
      <c r="X285" s="826">
        <v>5.7328319341210303</v>
      </c>
      <c r="Y285" s="486">
        <v>335464.569580779</v>
      </c>
      <c r="Z285" s="486">
        <v>58516.379589664903</v>
      </c>
      <c r="AA285" s="485" t="s">
        <v>1147</v>
      </c>
      <c r="AB285" s="485" t="s">
        <v>1145</v>
      </c>
      <c r="AC285" s="485"/>
    </row>
    <row r="286" spans="1:29" ht="18.75" customHeight="1">
      <c r="A286" s="484">
        <v>279</v>
      </c>
      <c r="B286" s="484" t="s">
        <v>985</v>
      </c>
      <c r="C286" s="484" t="s">
        <v>1499</v>
      </c>
      <c r="D286" s="484" t="s">
        <v>1506</v>
      </c>
      <c r="E286" s="484" t="s">
        <v>1063</v>
      </c>
      <c r="F286" s="490" t="s">
        <v>1491</v>
      </c>
      <c r="G286" s="490" t="s">
        <v>1065</v>
      </c>
      <c r="H286" s="490" t="s">
        <v>968</v>
      </c>
      <c r="I286" s="489" t="s">
        <v>1066</v>
      </c>
      <c r="J286" s="489" t="s">
        <v>1073</v>
      </c>
      <c r="K286" s="488" t="s">
        <v>1502</v>
      </c>
      <c r="L286" s="484">
        <v>2016</v>
      </c>
      <c r="M286" s="823">
        <v>446.3922208493741</v>
      </c>
      <c r="N286" s="487">
        <v>205402.80059572301</v>
      </c>
      <c r="O286" s="487">
        <v>460.13974034962399</v>
      </c>
      <c r="P286" s="824">
        <v>2469.3221680112347</v>
      </c>
      <c r="Q286" s="824">
        <v>3245.1410695622044</v>
      </c>
      <c r="R286" s="824">
        <v>16855.870276583322</v>
      </c>
      <c r="S286" s="824">
        <v>455.63153795905856</v>
      </c>
      <c r="T286" s="824">
        <v>455.63153795905856</v>
      </c>
      <c r="U286" s="824">
        <v>455.63153795905856</v>
      </c>
      <c r="V286" s="824">
        <v>1366.8946138771757</v>
      </c>
      <c r="W286" s="824">
        <v>906.70676053852651</v>
      </c>
      <c r="X286" s="824">
        <v>3300.2432569697903</v>
      </c>
      <c r="Y286" s="486">
        <v>19801.459541818742</v>
      </c>
      <c r="Z286" s="486">
        <v>6</v>
      </c>
      <c r="AA286" s="485" t="s">
        <v>1148</v>
      </c>
      <c r="AB286" s="485" t="s">
        <v>1145</v>
      </c>
      <c r="AC286" s="485"/>
    </row>
    <row r="287" spans="1:29" ht="18.75" customHeight="1">
      <c r="A287" s="484">
        <v>280</v>
      </c>
      <c r="B287" s="484" t="s">
        <v>985</v>
      </c>
      <c r="C287" s="484" t="s">
        <v>1499</v>
      </c>
      <c r="D287" s="484" t="s">
        <v>1506</v>
      </c>
      <c r="E287" s="484" t="s">
        <v>1063</v>
      </c>
      <c r="F287" s="490" t="s">
        <v>1493</v>
      </c>
      <c r="G287" s="490" t="s">
        <v>1065</v>
      </c>
      <c r="H287" s="490" t="s">
        <v>968</v>
      </c>
      <c r="I287" s="489" t="s">
        <v>1066</v>
      </c>
      <c r="J287" s="489" t="s">
        <v>1075</v>
      </c>
      <c r="K287" s="488" t="s">
        <v>1502</v>
      </c>
      <c r="L287" s="484">
        <v>2016</v>
      </c>
      <c r="M287" s="825">
        <v>9.8465920218336778E-2</v>
      </c>
      <c r="N287" s="487">
        <v>205402.80059572301</v>
      </c>
      <c r="O287" s="487">
        <v>2086029.36061803</v>
      </c>
      <c r="P287" s="826">
        <v>0.37426030557110235</v>
      </c>
      <c r="Q287" s="826">
        <v>1.7467778975803594</v>
      </c>
      <c r="R287" s="826">
        <v>0.13671696030317923</v>
      </c>
      <c r="S287" s="824">
        <v>9.9072120389927174E-2</v>
      </c>
      <c r="T287" s="824">
        <v>9.9072120389927174E-2</v>
      </c>
      <c r="U287" s="824">
        <v>9.9072120389927174E-2</v>
      </c>
      <c r="V287" s="824">
        <v>0.29721636116978151</v>
      </c>
      <c r="W287" s="824">
        <v>0.19715351957595506</v>
      </c>
      <c r="X287" s="826">
        <v>0.52826431388909245</v>
      </c>
      <c r="Y287" s="486">
        <v>19801.459541818742</v>
      </c>
      <c r="Z287" s="486">
        <v>37484</v>
      </c>
      <c r="AA287" s="485" t="s">
        <v>1372</v>
      </c>
      <c r="AB287" s="485" t="s">
        <v>1145</v>
      </c>
      <c r="AC287" s="485"/>
    </row>
    <row r="288" spans="1:29" ht="18.75" customHeight="1">
      <c r="A288" s="484">
        <v>281</v>
      </c>
      <c r="B288" s="484" t="s">
        <v>985</v>
      </c>
      <c r="C288" s="484" t="s">
        <v>1499</v>
      </c>
      <c r="D288" s="484" t="s">
        <v>1506</v>
      </c>
      <c r="E288" s="484" t="s">
        <v>1063</v>
      </c>
      <c r="F288" s="490" t="s">
        <v>1494</v>
      </c>
      <c r="G288" s="490" t="s">
        <v>1065</v>
      </c>
      <c r="H288" s="490" t="s">
        <v>968</v>
      </c>
      <c r="I288" s="489" t="s">
        <v>1066</v>
      </c>
      <c r="J288" s="489" t="s">
        <v>1077</v>
      </c>
      <c r="K288" s="488" t="s">
        <v>1502</v>
      </c>
      <c r="L288" s="484">
        <v>2016</v>
      </c>
      <c r="M288" s="825">
        <v>0.76659595662088242</v>
      </c>
      <c r="N288" s="487">
        <v>294794.82730427699</v>
      </c>
      <c r="O288" s="487">
        <v>384550.45941504597</v>
      </c>
      <c r="P288" s="824">
        <v>2.7640315056798817</v>
      </c>
      <c r="Q288" s="824">
        <v>0</v>
      </c>
      <c r="R288" s="824">
        <v>1.8935124715696592</v>
      </c>
      <c r="S288" s="824">
        <v>0.77212882719079434</v>
      </c>
      <c r="T288" s="824">
        <v>0.77212882719079434</v>
      </c>
      <c r="U288" s="824">
        <v>0.77212882719079434</v>
      </c>
      <c r="V288" s="824">
        <v>2.3163864815723829</v>
      </c>
      <c r="W288" s="824">
        <v>1.5365363661096807</v>
      </c>
      <c r="X288" s="826">
        <v>5.7652148841758653</v>
      </c>
      <c r="Y288" s="486">
        <v>337359.50257842091</v>
      </c>
      <c r="Z288" s="486">
        <v>58516.379589664903</v>
      </c>
      <c r="AA288" s="485" t="s">
        <v>1372</v>
      </c>
      <c r="AB288" s="485" t="s">
        <v>1145</v>
      </c>
      <c r="AC288" s="485"/>
    </row>
    <row r="289" spans="1:29" ht="18.75" customHeight="1">
      <c r="A289" s="484">
        <v>282</v>
      </c>
      <c r="B289" s="484" t="s">
        <v>985</v>
      </c>
      <c r="C289" s="484" t="s">
        <v>1507</v>
      </c>
      <c r="D289" s="484" t="s">
        <v>1508</v>
      </c>
      <c r="E289" s="484" t="s">
        <v>999</v>
      </c>
      <c r="F289" s="490" t="s">
        <v>1509</v>
      </c>
      <c r="G289" s="490" t="s">
        <v>1001</v>
      </c>
      <c r="H289" s="490" t="s">
        <v>968</v>
      </c>
      <c r="I289" s="489" t="s">
        <v>1510</v>
      </c>
      <c r="J289" s="489" t="s">
        <v>1511</v>
      </c>
      <c r="K289" s="488" t="s">
        <v>1512</v>
      </c>
      <c r="L289" s="484">
        <v>2016</v>
      </c>
      <c r="M289" s="823">
        <v>1402</v>
      </c>
      <c r="N289" s="487" t="s">
        <v>995</v>
      </c>
      <c r="O289" s="487" t="s">
        <v>995</v>
      </c>
      <c r="P289" s="824">
        <v>1889.2407150000001</v>
      </c>
      <c r="Q289" s="824">
        <v>1450</v>
      </c>
      <c r="R289" s="824">
        <v>1327</v>
      </c>
      <c r="S289" s="824">
        <v>1212</v>
      </c>
      <c r="T289" s="824">
        <v>1212</v>
      </c>
      <c r="U289" s="824">
        <v>1212</v>
      </c>
      <c r="V289" s="824">
        <v>3636</v>
      </c>
      <c r="W289" s="824">
        <v>2514</v>
      </c>
      <c r="X289" s="824">
        <v>2699</v>
      </c>
      <c r="Y289" s="486" t="s">
        <v>995</v>
      </c>
      <c r="Z289" s="486" t="s">
        <v>995</v>
      </c>
      <c r="AA289" s="830" t="s">
        <v>1513</v>
      </c>
      <c r="AB289" s="831" t="s">
        <v>1514</v>
      </c>
      <c r="AC289" s="485"/>
    </row>
    <row r="290" spans="1:29" ht="18.75" customHeight="1">
      <c r="A290" s="484">
        <v>283</v>
      </c>
      <c r="B290" s="484" t="s">
        <v>985</v>
      </c>
      <c r="C290" s="484" t="s">
        <v>1507</v>
      </c>
      <c r="D290" s="484" t="s">
        <v>1508</v>
      </c>
      <c r="E290" s="484" t="s">
        <v>999</v>
      </c>
      <c r="F290" s="490" t="s">
        <v>1515</v>
      </c>
      <c r="G290" s="490" t="s">
        <v>1001</v>
      </c>
      <c r="H290" s="490" t="s">
        <v>968</v>
      </c>
      <c r="I290" s="489" t="s">
        <v>1516</v>
      </c>
      <c r="J290" s="489" t="s">
        <v>1517</v>
      </c>
      <c r="K290" s="488" t="s">
        <v>1512</v>
      </c>
      <c r="L290" s="484">
        <v>2016</v>
      </c>
      <c r="M290" s="823">
        <v>29</v>
      </c>
      <c r="N290" s="487" t="s">
        <v>995</v>
      </c>
      <c r="O290" s="487" t="s">
        <v>995</v>
      </c>
      <c r="P290" s="824">
        <v>42.220838000000001</v>
      </c>
      <c r="Q290" s="824">
        <v>45</v>
      </c>
      <c r="R290" s="824">
        <v>45</v>
      </c>
      <c r="S290" s="824">
        <v>42</v>
      </c>
      <c r="T290" s="824">
        <v>42</v>
      </c>
      <c r="U290" s="824">
        <v>42</v>
      </c>
      <c r="V290" s="824">
        <v>126</v>
      </c>
      <c r="W290" s="824">
        <v>84</v>
      </c>
      <c r="X290" s="824">
        <v>37.9</v>
      </c>
      <c r="Y290" s="486" t="s">
        <v>995</v>
      </c>
      <c r="Z290" s="486" t="s">
        <v>995</v>
      </c>
      <c r="AA290" s="832" t="s">
        <v>1513</v>
      </c>
      <c r="AB290" s="833" t="s">
        <v>1518</v>
      </c>
      <c r="AC290" s="485"/>
    </row>
    <row r="291" spans="1:29" ht="18.75" customHeight="1">
      <c r="A291" s="484">
        <v>284</v>
      </c>
      <c r="B291" s="484" t="s">
        <v>985</v>
      </c>
      <c r="C291" s="484" t="s">
        <v>1507</v>
      </c>
      <c r="D291" s="484" t="s">
        <v>1508</v>
      </c>
      <c r="E291" s="484" t="s">
        <v>999</v>
      </c>
      <c r="F291" s="490" t="s">
        <v>1519</v>
      </c>
      <c r="G291" s="490" t="s">
        <v>1001</v>
      </c>
      <c r="H291" s="490" t="s">
        <v>968</v>
      </c>
      <c r="I291" s="489" t="s">
        <v>1520</v>
      </c>
      <c r="J291" s="489" t="s">
        <v>1521</v>
      </c>
      <c r="K291" s="488" t="s">
        <v>1512</v>
      </c>
      <c r="L291" s="484">
        <v>2016</v>
      </c>
      <c r="M291" s="823">
        <v>272</v>
      </c>
      <c r="N291" s="487" t="s">
        <v>995</v>
      </c>
      <c r="O291" s="487" t="s">
        <v>995</v>
      </c>
      <c r="P291" s="824">
        <v>345.94200000000001</v>
      </c>
      <c r="Q291" s="824">
        <v>333</v>
      </c>
      <c r="R291" s="824">
        <v>298</v>
      </c>
      <c r="S291" s="824">
        <v>272</v>
      </c>
      <c r="T291" s="824">
        <v>272</v>
      </c>
      <c r="U291" s="824">
        <v>272</v>
      </c>
      <c r="V291" s="824">
        <v>816</v>
      </c>
      <c r="W291" s="824">
        <v>550</v>
      </c>
      <c r="X291" s="824">
        <v>453.7</v>
      </c>
      <c r="Y291" s="486" t="s">
        <v>995</v>
      </c>
      <c r="Z291" s="486" t="s">
        <v>995</v>
      </c>
      <c r="AA291" s="832" t="s">
        <v>1513</v>
      </c>
      <c r="AB291" s="833" t="s">
        <v>1514</v>
      </c>
      <c r="AC291" s="485"/>
    </row>
    <row r="292" spans="1:29" ht="18.75" customHeight="1">
      <c r="A292" s="484">
        <v>285</v>
      </c>
      <c r="B292" s="484" t="s">
        <v>985</v>
      </c>
      <c r="C292" s="484" t="s">
        <v>1507</v>
      </c>
      <c r="D292" s="484" t="s">
        <v>1522</v>
      </c>
      <c r="E292" s="484">
        <v>1</v>
      </c>
      <c r="F292" s="490" t="s">
        <v>1523</v>
      </c>
      <c r="G292" s="490" t="s">
        <v>1524</v>
      </c>
      <c r="H292" s="490" t="s">
        <v>968</v>
      </c>
      <c r="I292" s="493" t="s">
        <v>1525</v>
      </c>
      <c r="J292" s="489" t="s">
        <v>1525</v>
      </c>
      <c r="K292" s="488" t="s">
        <v>1512</v>
      </c>
      <c r="L292" s="484">
        <v>2016</v>
      </c>
      <c r="M292" s="823">
        <v>12</v>
      </c>
      <c r="N292" s="487" t="s">
        <v>995</v>
      </c>
      <c r="O292" s="487" t="s">
        <v>995</v>
      </c>
      <c r="P292" s="824">
        <v>23</v>
      </c>
      <c r="Q292" s="824">
        <v>64</v>
      </c>
      <c r="R292" s="824">
        <v>0</v>
      </c>
      <c r="S292" s="824">
        <v>12</v>
      </c>
      <c r="T292" s="824">
        <v>12</v>
      </c>
      <c r="U292" s="824">
        <v>12</v>
      </c>
      <c r="V292" s="824">
        <v>36</v>
      </c>
      <c r="W292" s="824">
        <v>24</v>
      </c>
      <c r="X292" s="824">
        <v>0</v>
      </c>
      <c r="Y292" s="486" t="s">
        <v>995</v>
      </c>
      <c r="Z292" s="486" t="s">
        <v>995</v>
      </c>
      <c r="AA292" s="832" t="s">
        <v>1526</v>
      </c>
      <c r="AB292" s="833" t="s">
        <v>1527</v>
      </c>
      <c r="AC292" s="485"/>
    </row>
    <row r="293" spans="1:29" ht="18.75" customHeight="1">
      <c r="A293" s="484">
        <v>286</v>
      </c>
      <c r="B293" s="484" t="s">
        <v>985</v>
      </c>
      <c r="C293" s="484" t="s">
        <v>1507</v>
      </c>
      <c r="D293" s="484" t="s">
        <v>1522</v>
      </c>
      <c r="E293" s="484">
        <v>2</v>
      </c>
      <c r="F293" s="490" t="s">
        <v>1523</v>
      </c>
      <c r="G293" s="490" t="s">
        <v>1524</v>
      </c>
      <c r="H293" s="490" t="s">
        <v>968</v>
      </c>
      <c r="I293" s="493" t="s">
        <v>1528</v>
      </c>
      <c r="J293" s="489" t="s">
        <v>1528</v>
      </c>
      <c r="K293" s="488" t="s">
        <v>1512</v>
      </c>
      <c r="L293" s="484">
        <v>2016</v>
      </c>
      <c r="M293" s="823">
        <v>12</v>
      </c>
      <c r="N293" s="487" t="s">
        <v>995</v>
      </c>
      <c r="O293" s="487" t="s">
        <v>995</v>
      </c>
      <c r="P293" s="824">
        <v>0</v>
      </c>
      <c r="Q293" s="824">
        <v>57</v>
      </c>
      <c r="R293" s="824">
        <v>0</v>
      </c>
      <c r="S293" s="824">
        <v>12</v>
      </c>
      <c r="T293" s="824">
        <v>12</v>
      </c>
      <c r="U293" s="824">
        <v>12</v>
      </c>
      <c r="V293" s="824">
        <v>36</v>
      </c>
      <c r="W293" s="824">
        <v>24</v>
      </c>
      <c r="X293" s="824">
        <v>0</v>
      </c>
      <c r="Y293" s="486" t="s">
        <v>995</v>
      </c>
      <c r="Z293" s="486" t="s">
        <v>995</v>
      </c>
      <c r="AA293" s="832" t="s">
        <v>1529</v>
      </c>
      <c r="AB293" s="833" t="s">
        <v>1527</v>
      </c>
      <c r="AC293" s="485"/>
    </row>
    <row r="294" spans="1:29" ht="18.75" customHeight="1">
      <c r="A294" s="484">
        <v>287</v>
      </c>
      <c r="B294" s="484" t="s">
        <v>985</v>
      </c>
      <c r="C294" s="484" t="s">
        <v>1507</v>
      </c>
      <c r="D294" s="484" t="s">
        <v>1530</v>
      </c>
      <c r="E294" s="484">
        <v>1</v>
      </c>
      <c r="F294" s="490" t="s">
        <v>1523</v>
      </c>
      <c r="G294" s="490" t="s">
        <v>1531</v>
      </c>
      <c r="H294" s="490" t="s">
        <v>968</v>
      </c>
      <c r="I294" s="493" t="s">
        <v>1532</v>
      </c>
      <c r="J294" s="489" t="s">
        <v>1532</v>
      </c>
      <c r="K294" s="488" t="s">
        <v>1512</v>
      </c>
      <c r="L294" s="484">
        <v>2017</v>
      </c>
      <c r="M294" s="823">
        <v>5</v>
      </c>
      <c r="N294" s="487" t="s">
        <v>995</v>
      </c>
      <c r="O294" s="487" t="s">
        <v>995</v>
      </c>
      <c r="P294" s="824">
        <v>5</v>
      </c>
      <c r="Q294" s="824">
        <v>4</v>
      </c>
      <c r="R294" s="824">
        <v>0</v>
      </c>
      <c r="S294" s="824">
        <v>10</v>
      </c>
      <c r="T294" s="824">
        <v>10</v>
      </c>
      <c r="U294" s="824">
        <v>10</v>
      </c>
      <c r="V294" s="824">
        <v>30</v>
      </c>
      <c r="W294" s="824">
        <v>20</v>
      </c>
      <c r="X294" s="824">
        <v>0</v>
      </c>
      <c r="Y294" s="486" t="s">
        <v>995</v>
      </c>
      <c r="Z294" s="486" t="s">
        <v>995</v>
      </c>
      <c r="AA294" s="832" t="s">
        <v>1533</v>
      </c>
      <c r="AB294" s="833" t="s">
        <v>1534</v>
      </c>
      <c r="AC294" s="485"/>
    </row>
    <row r="295" spans="1:29" ht="18.75" customHeight="1">
      <c r="A295" s="484">
        <v>288</v>
      </c>
      <c r="B295" s="484" t="s">
        <v>985</v>
      </c>
      <c r="C295" s="484" t="s">
        <v>1507</v>
      </c>
      <c r="D295" s="484" t="s">
        <v>1530</v>
      </c>
      <c r="E295" s="484">
        <v>2</v>
      </c>
      <c r="F295" s="490" t="s">
        <v>1523</v>
      </c>
      <c r="G295" s="490" t="s">
        <v>1531</v>
      </c>
      <c r="H295" s="490" t="s">
        <v>968</v>
      </c>
      <c r="I295" s="493" t="s">
        <v>1535</v>
      </c>
      <c r="J295" s="489" t="s">
        <v>1535</v>
      </c>
      <c r="K295" s="488" t="s">
        <v>1512</v>
      </c>
      <c r="L295" s="484">
        <v>2016</v>
      </c>
      <c r="M295" s="823">
        <v>4</v>
      </c>
      <c r="N295" s="487" t="s">
        <v>995</v>
      </c>
      <c r="O295" s="487" t="s">
        <v>995</v>
      </c>
      <c r="P295" s="824">
        <v>0</v>
      </c>
      <c r="Q295" s="824">
        <v>3</v>
      </c>
      <c r="R295" s="824">
        <v>3</v>
      </c>
      <c r="S295" s="824">
        <v>10</v>
      </c>
      <c r="T295" s="824">
        <v>10</v>
      </c>
      <c r="U295" s="824">
        <v>10</v>
      </c>
      <c r="V295" s="824">
        <v>30</v>
      </c>
      <c r="W295" s="824">
        <v>20</v>
      </c>
      <c r="X295" s="824">
        <v>2</v>
      </c>
      <c r="Y295" s="486" t="s">
        <v>995</v>
      </c>
      <c r="Z295" s="486" t="s">
        <v>995</v>
      </c>
      <c r="AA295" s="832" t="s">
        <v>1529</v>
      </c>
      <c r="AB295" s="833" t="s">
        <v>1536</v>
      </c>
      <c r="AC295" s="485"/>
    </row>
    <row r="296" spans="1:29" ht="18.75" customHeight="1">
      <c r="A296" s="484">
        <v>289</v>
      </c>
      <c r="B296" s="484" t="s">
        <v>985</v>
      </c>
      <c r="C296" s="484" t="s">
        <v>1507</v>
      </c>
      <c r="D296" s="484" t="s">
        <v>1537</v>
      </c>
      <c r="E296" s="484">
        <v>1</v>
      </c>
      <c r="F296" s="490" t="s">
        <v>1523</v>
      </c>
      <c r="G296" s="490" t="s">
        <v>1538</v>
      </c>
      <c r="H296" s="490" t="s">
        <v>968</v>
      </c>
      <c r="I296" s="493" t="s">
        <v>1539</v>
      </c>
      <c r="J296" s="489" t="s">
        <v>1539</v>
      </c>
      <c r="K296" s="488" t="s">
        <v>1512</v>
      </c>
      <c r="L296" s="484">
        <v>2016</v>
      </c>
      <c r="M296" s="823">
        <v>22</v>
      </c>
      <c r="N296" s="487" t="s">
        <v>995</v>
      </c>
      <c r="O296" s="487" t="s">
        <v>995</v>
      </c>
      <c r="P296" s="824">
        <v>7</v>
      </c>
      <c r="Q296" s="824">
        <v>0</v>
      </c>
      <c r="R296" s="824">
        <v>1</v>
      </c>
      <c r="S296" s="824">
        <v>21</v>
      </c>
      <c r="T296" s="824">
        <v>21</v>
      </c>
      <c r="U296" s="824">
        <v>21</v>
      </c>
      <c r="V296" s="824">
        <v>63</v>
      </c>
      <c r="W296" s="824">
        <v>42</v>
      </c>
      <c r="X296" s="824">
        <v>3</v>
      </c>
      <c r="Y296" s="486" t="s">
        <v>995</v>
      </c>
      <c r="Z296" s="486" t="s">
        <v>995</v>
      </c>
      <c r="AA296" s="832" t="s">
        <v>1540</v>
      </c>
      <c r="AB296" s="833" t="s">
        <v>1541</v>
      </c>
      <c r="AC296" s="485"/>
    </row>
    <row r="297" spans="1:29" ht="18.75" customHeight="1">
      <c r="A297" s="484">
        <v>290</v>
      </c>
      <c r="B297" s="484" t="s">
        <v>985</v>
      </c>
      <c r="C297" s="484" t="s">
        <v>1507</v>
      </c>
      <c r="D297" s="484" t="s">
        <v>1537</v>
      </c>
      <c r="E297" s="484">
        <v>2</v>
      </c>
      <c r="F297" s="490" t="s">
        <v>1523</v>
      </c>
      <c r="G297" s="490" t="s">
        <v>1538</v>
      </c>
      <c r="H297" s="490" t="s">
        <v>968</v>
      </c>
      <c r="I297" s="493" t="s">
        <v>1542</v>
      </c>
      <c r="J297" s="489" t="s">
        <v>1542</v>
      </c>
      <c r="K297" s="488" t="s">
        <v>1512</v>
      </c>
      <c r="L297" s="484">
        <v>2016</v>
      </c>
      <c r="M297" s="834">
        <v>1</v>
      </c>
      <c r="N297" s="487" t="s">
        <v>995</v>
      </c>
      <c r="O297" s="487" t="s">
        <v>995</v>
      </c>
      <c r="P297" s="835">
        <v>1</v>
      </c>
      <c r="Q297" s="824" t="s">
        <v>995</v>
      </c>
      <c r="R297" s="835">
        <v>3.7037037037037035E-2</v>
      </c>
      <c r="S297" s="824">
        <v>1</v>
      </c>
      <c r="T297" s="824">
        <v>1</v>
      </c>
      <c r="U297" s="824">
        <v>1</v>
      </c>
      <c r="V297" s="824">
        <v>3</v>
      </c>
      <c r="W297" s="824">
        <v>2</v>
      </c>
      <c r="X297" s="835">
        <v>1</v>
      </c>
      <c r="Y297" s="486" t="s">
        <v>995</v>
      </c>
      <c r="Z297" s="486" t="s">
        <v>995</v>
      </c>
      <c r="AA297" s="832" t="s">
        <v>1543</v>
      </c>
      <c r="AB297" s="833" t="s">
        <v>1544</v>
      </c>
      <c r="AC297" s="485"/>
    </row>
    <row r="298" spans="1:29" ht="18.75" customHeight="1">
      <c r="A298" s="484">
        <v>291</v>
      </c>
      <c r="B298" s="484" t="s">
        <v>985</v>
      </c>
      <c r="C298" s="484" t="s">
        <v>1507</v>
      </c>
      <c r="D298" s="484" t="s">
        <v>1545</v>
      </c>
      <c r="E298" s="484">
        <v>1</v>
      </c>
      <c r="F298" s="490" t="s">
        <v>1523</v>
      </c>
      <c r="G298" s="490" t="s">
        <v>1546</v>
      </c>
      <c r="H298" s="490" t="s">
        <v>968</v>
      </c>
      <c r="I298" s="494" t="s">
        <v>1547</v>
      </c>
      <c r="J298" s="489" t="s">
        <v>1547</v>
      </c>
      <c r="K298" s="488" t="s">
        <v>1512</v>
      </c>
      <c r="L298" s="484">
        <v>2016</v>
      </c>
      <c r="M298" s="823">
        <v>6</v>
      </c>
      <c r="N298" s="487" t="s">
        <v>995</v>
      </c>
      <c r="O298" s="487" t="s">
        <v>995</v>
      </c>
      <c r="P298" s="824">
        <v>12</v>
      </c>
      <c r="Q298" s="824">
        <v>5</v>
      </c>
      <c r="R298" s="824">
        <v>10</v>
      </c>
      <c r="S298" s="824">
        <v>25</v>
      </c>
      <c r="T298" s="824">
        <v>25</v>
      </c>
      <c r="U298" s="824">
        <v>25</v>
      </c>
      <c r="V298" s="824">
        <v>75</v>
      </c>
      <c r="W298" s="824">
        <v>50</v>
      </c>
      <c r="X298" s="824">
        <v>31</v>
      </c>
      <c r="Y298" s="486" t="s">
        <v>995</v>
      </c>
      <c r="Z298" s="486" t="s">
        <v>995</v>
      </c>
      <c r="AA298" s="832" t="s">
        <v>1548</v>
      </c>
      <c r="AB298" s="833" t="s">
        <v>1549</v>
      </c>
      <c r="AC298" s="485"/>
    </row>
    <row r="299" spans="1:29" ht="18.75" customHeight="1">
      <c r="A299" s="484">
        <v>292</v>
      </c>
      <c r="B299" s="484" t="s">
        <v>985</v>
      </c>
      <c r="C299" s="484" t="s">
        <v>1550</v>
      </c>
      <c r="D299" s="484" t="s">
        <v>1551</v>
      </c>
      <c r="E299" s="484">
        <v>1</v>
      </c>
      <c r="F299" s="490" t="s">
        <v>1523</v>
      </c>
      <c r="G299" s="490" t="s">
        <v>1552</v>
      </c>
      <c r="H299" s="490" t="s">
        <v>968</v>
      </c>
      <c r="I299" s="493" t="s">
        <v>1553</v>
      </c>
      <c r="J299" s="489" t="s">
        <v>1553</v>
      </c>
      <c r="K299" s="488" t="s">
        <v>1512</v>
      </c>
      <c r="L299" s="484">
        <v>2017</v>
      </c>
      <c r="M299" s="823">
        <v>138</v>
      </c>
      <c r="N299" s="487" t="s">
        <v>995</v>
      </c>
      <c r="O299" s="487" t="s">
        <v>995</v>
      </c>
      <c r="P299" s="824">
        <v>118</v>
      </c>
      <c r="Q299" s="824">
        <v>191</v>
      </c>
      <c r="R299" s="824">
        <v>190</v>
      </c>
      <c r="S299" s="824">
        <v>138</v>
      </c>
      <c r="T299" s="824">
        <v>138</v>
      </c>
      <c r="U299" s="824">
        <v>138</v>
      </c>
      <c r="V299" s="824">
        <v>414</v>
      </c>
      <c r="W299" s="824">
        <v>276</v>
      </c>
      <c r="X299" s="824">
        <v>195</v>
      </c>
      <c r="Y299" s="486" t="s">
        <v>995</v>
      </c>
      <c r="Z299" s="486" t="s">
        <v>995</v>
      </c>
      <c r="AA299" s="832" t="s">
        <v>1554</v>
      </c>
      <c r="AB299" s="833" t="s">
        <v>1555</v>
      </c>
      <c r="AC299" s="485"/>
    </row>
    <row r="300" spans="1:29" ht="18.75" customHeight="1">
      <c r="A300" s="484">
        <v>293</v>
      </c>
      <c r="B300" s="484" t="s">
        <v>985</v>
      </c>
      <c r="C300" s="484" t="s">
        <v>1550</v>
      </c>
      <c r="D300" s="484" t="s">
        <v>1551</v>
      </c>
      <c r="E300" s="484">
        <v>2</v>
      </c>
      <c r="F300" s="490" t="s">
        <v>1523</v>
      </c>
      <c r="G300" s="490" t="s">
        <v>1552</v>
      </c>
      <c r="H300" s="490" t="s">
        <v>968</v>
      </c>
      <c r="I300" s="493" t="s">
        <v>1556</v>
      </c>
      <c r="J300" s="489" t="s">
        <v>1556</v>
      </c>
      <c r="K300" s="488" t="s">
        <v>1512</v>
      </c>
      <c r="L300" s="484">
        <v>2017</v>
      </c>
      <c r="M300" s="823">
        <v>3600</v>
      </c>
      <c r="N300" s="487" t="s">
        <v>995</v>
      </c>
      <c r="O300" s="487" t="s">
        <v>995</v>
      </c>
      <c r="P300" s="824">
        <v>3000</v>
      </c>
      <c r="Q300" s="824">
        <v>4970</v>
      </c>
      <c r="R300" s="824">
        <v>3610</v>
      </c>
      <c r="S300" s="824">
        <v>3600</v>
      </c>
      <c r="T300" s="824">
        <v>3600</v>
      </c>
      <c r="U300" s="824">
        <v>3600</v>
      </c>
      <c r="V300" s="824">
        <v>10800</v>
      </c>
      <c r="W300" s="824">
        <v>7200</v>
      </c>
      <c r="X300" s="824">
        <v>3959</v>
      </c>
      <c r="Y300" s="486" t="s">
        <v>995</v>
      </c>
      <c r="Z300" s="486" t="s">
        <v>995</v>
      </c>
      <c r="AA300" s="832" t="s">
        <v>1557</v>
      </c>
      <c r="AB300" s="833" t="s">
        <v>1558</v>
      </c>
      <c r="AC300" s="485"/>
    </row>
    <row r="301" spans="1:29" ht="18.75" customHeight="1">
      <c r="A301" s="484">
        <v>294</v>
      </c>
      <c r="B301" s="484" t="s">
        <v>985</v>
      </c>
      <c r="C301" s="484" t="s">
        <v>1550</v>
      </c>
      <c r="D301" s="484" t="s">
        <v>1551</v>
      </c>
      <c r="E301" s="484">
        <v>3</v>
      </c>
      <c r="F301" s="490" t="s">
        <v>1559</v>
      </c>
      <c r="G301" s="490" t="s">
        <v>1552</v>
      </c>
      <c r="H301" s="490" t="s">
        <v>968</v>
      </c>
      <c r="I301" s="493" t="s">
        <v>1560</v>
      </c>
      <c r="J301" s="489" t="s">
        <v>1560</v>
      </c>
      <c r="K301" s="488" t="s">
        <v>1512</v>
      </c>
      <c r="L301" s="484">
        <v>2017</v>
      </c>
      <c r="M301" s="825">
        <v>0.2</v>
      </c>
      <c r="N301" s="487" t="s">
        <v>995</v>
      </c>
      <c r="O301" s="487" t="s">
        <v>995</v>
      </c>
      <c r="P301" s="826">
        <v>0.2</v>
      </c>
      <c r="Q301" s="826">
        <v>0.18</v>
      </c>
      <c r="R301" s="826">
        <v>0.18</v>
      </c>
      <c r="S301" s="824">
        <v>0.2</v>
      </c>
      <c r="T301" s="824">
        <v>0.2</v>
      </c>
      <c r="U301" s="824">
        <v>0.2</v>
      </c>
      <c r="V301" s="824">
        <v>0.60000000000000009</v>
      </c>
      <c r="W301" s="824">
        <v>0.4</v>
      </c>
      <c r="X301" s="826">
        <v>0.27</v>
      </c>
      <c r="Y301" s="486" t="s">
        <v>995</v>
      </c>
      <c r="Z301" s="486" t="s">
        <v>995</v>
      </c>
      <c r="AA301" s="832" t="s">
        <v>1561</v>
      </c>
      <c r="AB301" s="833" t="s">
        <v>1562</v>
      </c>
      <c r="AC301" s="485"/>
    </row>
    <row r="302" spans="1:29" ht="18.75" customHeight="1">
      <c r="A302" s="484">
        <v>295</v>
      </c>
      <c r="B302" s="484" t="s">
        <v>985</v>
      </c>
      <c r="C302" s="484" t="s">
        <v>1550</v>
      </c>
      <c r="D302" s="484" t="s">
        <v>1563</v>
      </c>
      <c r="E302" s="484">
        <v>1</v>
      </c>
      <c r="F302" s="490" t="s">
        <v>1127</v>
      </c>
      <c r="G302" s="490" t="s">
        <v>1552</v>
      </c>
      <c r="H302" s="490" t="s">
        <v>968</v>
      </c>
      <c r="I302" s="493" t="s">
        <v>1564</v>
      </c>
      <c r="J302" s="489" t="s">
        <v>1564</v>
      </c>
      <c r="K302" s="488" t="s">
        <v>1512</v>
      </c>
      <c r="L302" s="484">
        <v>2018</v>
      </c>
      <c r="M302" s="828" t="s">
        <v>1565</v>
      </c>
      <c r="N302" s="487" t="s">
        <v>995</v>
      </c>
      <c r="O302" s="487" t="s">
        <v>995</v>
      </c>
      <c r="P302" s="827" t="s">
        <v>995</v>
      </c>
      <c r="Q302" s="827" t="s">
        <v>995</v>
      </c>
      <c r="R302" s="827" t="s">
        <v>995</v>
      </c>
      <c r="S302" s="824" t="s">
        <v>1158</v>
      </c>
      <c r="T302" s="824" t="s">
        <v>1158</v>
      </c>
      <c r="U302" s="824" t="s">
        <v>1158</v>
      </c>
      <c r="V302" s="824" t="s">
        <v>1158</v>
      </c>
      <c r="W302" s="824" t="s">
        <v>1158</v>
      </c>
      <c r="X302" s="827">
        <v>0</v>
      </c>
      <c r="Y302" s="486" t="s">
        <v>995</v>
      </c>
      <c r="Z302" s="486" t="s">
        <v>995</v>
      </c>
      <c r="AA302" s="836"/>
      <c r="AB302" s="837"/>
      <c r="AC302" s="485"/>
    </row>
    <row r="303" spans="1:29" ht="18.75" customHeight="1">
      <c r="A303" s="484">
        <v>296</v>
      </c>
      <c r="B303" s="484" t="s">
        <v>985</v>
      </c>
      <c r="C303" s="484" t="s">
        <v>1550</v>
      </c>
      <c r="D303" s="484" t="s">
        <v>1566</v>
      </c>
      <c r="E303" s="484">
        <v>1</v>
      </c>
      <c r="F303" s="490" t="s">
        <v>1523</v>
      </c>
      <c r="G303" s="490" t="s">
        <v>1552</v>
      </c>
      <c r="H303" s="490" t="s">
        <v>1155</v>
      </c>
      <c r="I303" s="493" t="s">
        <v>1567</v>
      </c>
      <c r="J303" s="489" t="s">
        <v>1567</v>
      </c>
      <c r="K303" s="488" t="s">
        <v>1512</v>
      </c>
      <c r="L303" s="484" t="s">
        <v>1158</v>
      </c>
      <c r="M303" s="823" t="s">
        <v>1565</v>
      </c>
      <c r="N303" s="487" t="s">
        <v>995</v>
      </c>
      <c r="O303" s="487" t="s">
        <v>995</v>
      </c>
      <c r="P303" s="824" t="s">
        <v>1158</v>
      </c>
      <c r="Q303" s="824" t="s">
        <v>1158</v>
      </c>
      <c r="R303" s="824" t="s">
        <v>1158</v>
      </c>
      <c r="S303" s="824" t="s">
        <v>1158</v>
      </c>
      <c r="T303" s="824" t="s">
        <v>1158</v>
      </c>
      <c r="U303" s="824" t="s">
        <v>1158</v>
      </c>
      <c r="V303" s="824" t="s">
        <v>1158</v>
      </c>
      <c r="W303" s="824" t="s">
        <v>1158</v>
      </c>
      <c r="X303" s="824">
        <v>0</v>
      </c>
      <c r="Y303" s="486" t="s">
        <v>995</v>
      </c>
      <c r="Z303" s="486" t="s">
        <v>995</v>
      </c>
      <c r="AA303" s="485"/>
      <c r="AB303" s="485"/>
      <c r="AC303" s="485"/>
    </row>
    <row r="304" spans="1:29" ht="18.75" customHeight="1">
      <c r="A304" s="484">
        <v>297</v>
      </c>
      <c r="B304" s="484" t="s">
        <v>985</v>
      </c>
      <c r="C304" s="484" t="s">
        <v>1550</v>
      </c>
      <c r="D304" s="484" t="s">
        <v>1566</v>
      </c>
      <c r="E304" s="484">
        <v>1</v>
      </c>
      <c r="F304" s="490" t="s">
        <v>1127</v>
      </c>
      <c r="G304" s="490" t="s">
        <v>1552</v>
      </c>
      <c r="H304" s="490" t="s">
        <v>1155</v>
      </c>
      <c r="I304" s="493" t="s">
        <v>1567</v>
      </c>
      <c r="J304" s="489" t="s">
        <v>1567</v>
      </c>
      <c r="K304" s="488" t="s">
        <v>1512</v>
      </c>
      <c r="L304" s="484" t="s">
        <v>1158</v>
      </c>
      <c r="M304" s="828" t="s">
        <v>1565</v>
      </c>
      <c r="N304" s="487" t="s">
        <v>995</v>
      </c>
      <c r="O304" s="487" t="s">
        <v>995</v>
      </c>
      <c r="P304" s="827" t="s">
        <v>1158</v>
      </c>
      <c r="Q304" s="827" t="s">
        <v>1158</v>
      </c>
      <c r="R304" s="827" t="s">
        <v>1158</v>
      </c>
      <c r="S304" s="824" t="s">
        <v>1158</v>
      </c>
      <c r="T304" s="824" t="s">
        <v>1158</v>
      </c>
      <c r="U304" s="824" t="s">
        <v>1158</v>
      </c>
      <c r="V304" s="824" t="s">
        <v>1158</v>
      </c>
      <c r="W304" s="824" t="s">
        <v>1158</v>
      </c>
      <c r="X304" s="827">
        <v>0</v>
      </c>
      <c r="Y304" s="486" t="s">
        <v>995</v>
      </c>
      <c r="Z304" s="486" t="s">
        <v>995</v>
      </c>
      <c r="AA304" s="485"/>
      <c r="AB304" s="485"/>
      <c r="AC304" s="485"/>
    </row>
    <row r="305" spans="1:29" ht="18.75" customHeight="1">
      <c r="A305" s="484">
        <v>298</v>
      </c>
      <c r="B305" s="484" t="s">
        <v>985</v>
      </c>
      <c r="C305" s="484" t="s">
        <v>1550</v>
      </c>
      <c r="D305" s="484" t="s">
        <v>1566</v>
      </c>
      <c r="E305" s="484">
        <v>2</v>
      </c>
      <c r="F305" s="490" t="s">
        <v>1523</v>
      </c>
      <c r="G305" s="490" t="s">
        <v>1552</v>
      </c>
      <c r="H305" s="490" t="s">
        <v>1155</v>
      </c>
      <c r="I305" s="493" t="s">
        <v>1568</v>
      </c>
      <c r="J305" s="489" t="s">
        <v>1568</v>
      </c>
      <c r="K305" s="488" t="s">
        <v>1512</v>
      </c>
      <c r="L305" s="484" t="s">
        <v>1158</v>
      </c>
      <c r="M305" s="823" t="s">
        <v>1565</v>
      </c>
      <c r="N305" s="487" t="s">
        <v>995</v>
      </c>
      <c r="O305" s="487" t="s">
        <v>995</v>
      </c>
      <c r="P305" s="824" t="s">
        <v>1158</v>
      </c>
      <c r="Q305" s="824" t="s">
        <v>1158</v>
      </c>
      <c r="R305" s="824" t="s">
        <v>1158</v>
      </c>
      <c r="S305" s="824" t="s">
        <v>1158</v>
      </c>
      <c r="T305" s="824" t="s">
        <v>1158</v>
      </c>
      <c r="U305" s="824" t="s">
        <v>1158</v>
      </c>
      <c r="V305" s="824" t="s">
        <v>1158</v>
      </c>
      <c r="W305" s="824" t="s">
        <v>1158</v>
      </c>
      <c r="X305" s="824">
        <v>0</v>
      </c>
      <c r="Y305" s="486" t="s">
        <v>995</v>
      </c>
      <c r="Z305" s="486" t="s">
        <v>995</v>
      </c>
      <c r="AA305" s="485"/>
      <c r="AB305" s="485"/>
      <c r="AC305" s="485"/>
    </row>
    <row r="306" spans="1:29" ht="18.75" customHeight="1">
      <c r="A306" s="484">
        <v>299</v>
      </c>
      <c r="B306" s="484" t="s">
        <v>985</v>
      </c>
      <c r="C306" s="484" t="s">
        <v>1550</v>
      </c>
      <c r="D306" s="484" t="s">
        <v>1566</v>
      </c>
      <c r="E306" s="484">
        <v>2</v>
      </c>
      <c r="F306" s="490" t="s">
        <v>1127</v>
      </c>
      <c r="G306" s="490" t="s">
        <v>1552</v>
      </c>
      <c r="H306" s="490" t="s">
        <v>1155</v>
      </c>
      <c r="I306" s="493" t="s">
        <v>1568</v>
      </c>
      <c r="J306" s="489" t="s">
        <v>1568</v>
      </c>
      <c r="K306" s="488" t="s">
        <v>1512</v>
      </c>
      <c r="L306" s="484" t="s">
        <v>1158</v>
      </c>
      <c r="M306" s="828" t="s">
        <v>1565</v>
      </c>
      <c r="N306" s="487" t="s">
        <v>995</v>
      </c>
      <c r="O306" s="487" t="s">
        <v>995</v>
      </c>
      <c r="P306" s="827" t="s">
        <v>1158</v>
      </c>
      <c r="Q306" s="827" t="s">
        <v>1158</v>
      </c>
      <c r="R306" s="827" t="s">
        <v>1113</v>
      </c>
      <c r="S306" s="824" t="s">
        <v>1158</v>
      </c>
      <c r="T306" s="824" t="s">
        <v>1158</v>
      </c>
      <c r="U306" s="824" t="s">
        <v>1158</v>
      </c>
      <c r="V306" s="824" t="s">
        <v>1158</v>
      </c>
      <c r="W306" s="824" t="s">
        <v>1158</v>
      </c>
      <c r="X306" s="827">
        <v>0</v>
      </c>
      <c r="Y306" s="486" t="s">
        <v>995</v>
      </c>
      <c r="Z306" s="486" t="s">
        <v>995</v>
      </c>
      <c r="AA306" s="485"/>
      <c r="AB306" s="485"/>
      <c r="AC306" s="485"/>
    </row>
    <row r="307" spans="1:29" ht="18.75" customHeight="1">
      <c r="A307" s="484">
        <v>300</v>
      </c>
      <c r="B307" s="484" t="s">
        <v>985</v>
      </c>
      <c r="C307" s="484" t="s">
        <v>1550</v>
      </c>
      <c r="D307" s="484" t="s">
        <v>1566</v>
      </c>
      <c r="E307" s="484">
        <v>3</v>
      </c>
      <c r="F307" s="490" t="s">
        <v>1523</v>
      </c>
      <c r="G307" s="490" t="s">
        <v>1552</v>
      </c>
      <c r="H307" s="490" t="s">
        <v>1155</v>
      </c>
      <c r="I307" s="493" t="s">
        <v>1569</v>
      </c>
      <c r="J307" s="489" t="s">
        <v>1569</v>
      </c>
      <c r="K307" s="488" t="s">
        <v>1512</v>
      </c>
      <c r="L307" s="484" t="s">
        <v>1158</v>
      </c>
      <c r="M307" s="823" t="s">
        <v>1565</v>
      </c>
      <c r="N307" s="487" t="s">
        <v>995</v>
      </c>
      <c r="O307" s="487" t="s">
        <v>995</v>
      </c>
      <c r="P307" s="824" t="s">
        <v>1158</v>
      </c>
      <c r="Q307" s="824" t="s">
        <v>1158</v>
      </c>
      <c r="R307" s="824" t="s">
        <v>1113</v>
      </c>
      <c r="S307" s="824" t="s">
        <v>1158</v>
      </c>
      <c r="T307" s="824" t="s">
        <v>1158</v>
      </c>
      <c r="U307" s="824" t="s">
        <v>1158</v>
      </c>
      <c r="V307" s="824" t="s">
        <v>1158</v>
      </c>
      <c r="W307" s="824" t="s">
        <v>1158</v>
      </c>
      <c r="X307" s="824">
        <v>0</v>
      </c>
      <c r="Y307" s="486" t="s">
        <v>995</v>
      </c>
      <c r="Z307" s="486" t="s">
        <v>995</v>
      </c>
      <c r="AA307" s="485"/>
      <c r="AB307" s="485"/>
      <c r="AC307" s="485"/>
    </row>
    <row r="308" spans="1:29" ht="18.75" customHeight="1">
      <c r="A308" s="490">
        <v>301</v>
      </c>
      <c r="B308" s="484" t="s">
        <v>985</v>
      </c>
      <c r="C308" s="490" t="s">
        <v>1570</v>
      </c>
      <c r="D308" s="490" t="s">
        <v>1571</v>
      </c>
      <c r="E308" s="490">
        <v>1</v>
      </c>
      <c r="F308" s="490" t="s">
        <v>1523</v>
      </c>
      <c r="G308" s="492" t="s">
        <v>1572</v>
      </c>
      <c r="H308" s="490" t="s">
        <v>968</v>
      </c>
      <c r="I308" s="489" t="s">
        <v>1573</v>
      </c>
      <c r="J308" s="489" t="s">
        <v>1573</v>
      </c>
      <c r="K308" s="488" t="s">
        <v>1574</v>
      </c>
      <c r="L308" s="490" t="s">
        <v>995</v>
      </c>
      <c r="M308" s="838" t="s">
        <v>1575</v>
      </c>
      <c r="N308" s="487" t="s">
        <v>995</v>
      </c>
      <c r="O308" s="487" t="s">
        <v>995</v>
      </c>
      <c r="P308" s="824" t="s">
        <v>1575</v>
      </c>
      <c r="Q308" s="824">
        <v>0</v>
      </c>
      <c r="R308" s="824">
        <v>0</v>
      </c>
      <c r="S308" s="824">
        <v>3</v>
      </c>
      <c r="T308" s="824">
        <v>3</v>
      </c>
      <c r="U308" s="824">
        <v>3</v>
      </c>
      <c r="V308" s="824">
        <v>9</v>
      </c>
      <c r="W308" s="824">
        <v>6</v>
      </c>
      <c r="X308" s="824">
        <v>4</v>
      </c>
      <c r="Y308" s="486" t="s">
        <v>995</v>
      </c>
      <c r="Z308" s="486" t="s">
        <v>995</v>
      </c>
      <c r="AA308" s="485" t="s">
        <v>1576</v>
      </c>
      <c r="AB308" s="485" t="s">
        <v>1577</v>
      </c>
      <c r="AC308" s="485"/>
    </row>
    <row r="309" spans="1:29" ht="369.4" customHeight="1">
      <c r="A309" s="490">
        <v>302</v>
      </c>
      <c r="B309" s="484" t="s">
        <v>985</v>
      </c>
      <c r="C309" s="490" t="s">
        <v>1570</v>
      </c>
      <c r="D309" s="490" t="s">
        <v>1578</v>
      </c>
      <c r="E309" s="490">
        <v>1</v>
      </c>
      <c r="F309" s="490" t="s">
        <v>1523</v>
      </c>
      <c r="G309" s="490" t="s">
        <v>1579</v>
      </c>
      <c r="H309" s="490" t="s">
        <v>968</v>
      </c>
      <c r="I309" s="489" t="s">
        <v>1580</v>
      </c>
      <c r="J309" s="489" t="s">
        <v>1580</v>
      </c>
      <c r="K309" s="488" t="s">
        <v>1574</v>
      </c>
      <c r="L309" s="490">
        <v>2016</v>
      </c>
      <c r="M309" s="838" t="s">
        <v>1575</v>
      </c>
      <c r="N309" s="487" t="s">
        <v>995</v>
      </c>
      <c r="O309" s="487" t="s">
        <v>995</v>
      </c>
      <c r="P309" s="839" t="s">
        <v>1581</v>
      </c>
      <c r="Q309" s="839" t="s">
        <v>1582</v>
      </c>
      <c r="R309" s="839" t="s">
        <v>1583</v>
      </c>
      <c r="S309" s="840">
        <v>7000</v>
      </c>
      <c r="T309" s="840">
        <v>7000</v>
      </c>
      <c r="U309" s="840">
        <v>7000</v>
      </c>
      <c r="V309" s="840">
        <v>21000</v>
      </c>
      <c r="W309" s="840">
        <v>14000</v>
      </c>
      <c r="X309" s="839" t="s">
        <v>1584</v>
      </c>
      <c r="Y309" s="486" t="s">
        <v>995</v>
      </c>
      <c r="Z309" s="486" t="s">
        <v>995</v>
      </c>
      <c r="AA309" s="485" t="s">
        <v>1585</v>
      </c>
      <c r="AB309" s="485" t="s">
        <v>1586</v>
      </c>
      <c r="AC309" s="485"/>
    </row>
    <row r="310" spans="1:29" ht="18.75" customHeight="1">
      <c r="A310" s="490">
        <v>303</v>
      </c>
      <c r="B310" s="484" t="s">
        <v>985</v>
      </c>
      <c r="C310" s="490" t="s">
        <v>1570</v>
      </c>
      <c r="D310" s="490" t="s">
        <v>1578</v>
      </c>
      <c r="E310" s="490">
        <v>1</v>
      </c>
      <c r="F310" s="490" t="s">
        <v>1587</v>
      </c>
      <c r="G310" s="490" t="s">
        <v>1579</v>
      </c>
      <c r="H310" s="490" t="s">
        <v>968</v>
      </c>
      <c r="I310" s="489" t="s">
        <v>1588</v>
      </c>
      <c r="J310" s="489" t="s">
        <v>1588</v>
      </c>
      <c r="K310" s="488" t="s">
        <v>1574</v>
      </c>
      <c r="L310" s="490">
        <v>2016</v>
      </c>
      <c r="M310" s="841">
        <v>9.7934085711071955E-2</v>
      </c>
      <c r="N310" s="487">
        <v>2267</v>
      </c>
      <c r="O310" s="487">
        <v>26671</v>
      </c>
      <c r="P310" s="827">
        <v>9.7934085711071955E-2</v>
      </c>
      <c r="Q310" s="827">
        <v>8.4998687713246604E-2</v>
      </c>
      <c r="R310" s="827">
        <v>8.9300000000000004E-2</v>
      </c>
      <c r="S310" s="824">
        <v>8.9300000000000004E-2</v>
      </c>
      <c r="T310" s="824">
        <v>0.13</v>
      </c>
      <c r="U310" s="824">
        <v>0.13</v>
      </c>
      <c r="V310" s="824">
        <v>0.39</v>
      </c>
      <c r="W310" s="824">
        <v>0.26</v>
      </c>
      <c r="X310" s="827">
        <v>8.5300000000000001E-2</v>
      </c>
      <c r="Y310" s="486">
        <v>2267</v>
      </c>
      <c r="Z310" s="486">
        <v>26671</v>
      </c>
      <c r="AA310" s="491" t="s">
        <v>1589</v>
      </c>
      <c r="AB310" s="491" t="s">
        <v>1590</v>
      </c>
      <c r="AC310" s="485"/>
    </row>
    <row r="311" spans="1:29" ht="18.75" customHeight="1">
      <c r="A311" s="490">
        <v>304</v>
      </c>
      <c r="B311" s="484" t="s">
        <v>985</v>
      </c>
      <c r="C311" s="490" t="s">
        <v>1570</v>
      </c>
      <c r="D311" s="490" t="s">
        <v>1591</v>
      </c>
      <c r="E311" s="490">
        <v>1</v>
      </c>
      <c r="F311" s="490" t="s">
        <v>1587</v>
      </c>
      <c r="G311" s="490" t="s">
        <v>1592</v>
      </c>
      <c r="H311" s="490" t="s">
        <v>968</v>
      </c>
      <c r="I311" s="489" t="s">
        <v>1593</v>
      </c>
      <c r="J311" s="489" t="s">
        <v>1593</v>
      </c>
      <c r="K311" s="488" t="s">
        <v>1574</v>
      </c>
      <c r="L311" s="490" t="s">
        <v>995</v>
      </c>
      <c r="M311" s="841">
        <v>3.6986673918955673E-2</v>
      </c>
      <c r="N311" s="487">
        <v>136</v>
      </c>
      <c r="O311" s="487">
        <v>3677</v>
      </c>
      <c r="P311" s="827">
        <v>3.6986673918955673E-2</v>
      </c>
      <c r="Q311" s="827">
        <v>4.7198941332157039E-2</v>
      </c>
      <c r="R311" s="827">
        <v>0.19589999999999999</v>
      </c>
      <c r="S311" s="824">
        <v>4.7E-2</v>
      </c>
      <c r="T311" s="824">
        <v>4.7E-2</v>
      </c>
      <c r="U311" s="824">
        <v>4.7E-2</v>
      </c>
      <c r="V311" s="824">
        <v>0.14100000000000001</v>
      </c>
      <c r="W311" s="824">
        <v>0.114</v>
      </c>
      <c r="X311" s="827">
        <v>0.31169999999999998</v>
      </c>
      <c r="Y311" s="486">
        <v>2267</v>
      </c>
      <c r="Z311" s="486">
        <v>26671</v>
      </c>
      <c r="AA311" s="491" t="s">
        <v>1594</v>
      </c>
      <c r="AB311" s="491" t="s">
        <v>1595</v>
      </c>
      <c r="AC311" s="485"/>
    </row>
    <row r="312" spans="1:29" ht="18.75" customHeight="1">
      <c r="A312" s="490">
        <v>305</v>
      </c>
      <c r="B312" s="484" t="s">
        <v>985</v>
      </c>
      <c r="C312" s="490" t="s">
        <v>1570</v>
      </c>
      <c r="D312" s="490" t="s">
        <v>1591</v>
      </c>
      <c r="E312" s="490">
        <v>1</v>
      </c>
      <c r="F312" s="490" t="s">
        <v>1587</v>
      </c>
      <c r="G312" s="490" t="s">
        <v>1592</v>
      </c>
      <c r="H312" s="490" t="s">
        <v>968</v>
      </c>
      <c r="I312" s="489" t="s">
        <v>1596</v>
      </c>
      <c r="J312" s="489" t="s">
        <v>1596</v>
      </c>
      <c r="K312" s="488" t="s">
        <v>1574</v>
      </c>
      <c r="L312" s="490" t="s">
        <v>995</v>
      </c>
      <c r="M312" s="841" t="s">
        <v>995</v>
      </c>
      <c r="N312" s="487" t="s">
        <v>995</v>
      </c>
      <c r="O312" s="487" t="s">
        <v>995</v>
      </c>
      <c r="P312" s="827" t="s">
        <v>995</v>
      </c>
      <c r="Q312" s="827" t="s">
        <v>995</v>
      </c>
      <c r="R312" s="827" t="s">
        <v>995</v>
      </c>
      <c r="S312" s="824">
        <v>0</v>
      </c>
      <c r="T312" s="824">
        <v>0</v>
      </c>
      <c r="U312" s="824">
        <v>0</v>
      </c>
      <c r="V312" s="824">
        <v>0</v>
      </c>
      <c r="W312" s="824">
        <v>0</v>
      </c>
      <c r="X312" s="827" t="s">
        <v>995</v>
      </c>
      <c r="Y312" s="486" t="s">
        <v>995</v>
      </c>
      <c r="Z312" s="486" t="s">
        <v>995</v>
      </c>
      <c r="AA312" s="485" t="s">
        <v>1597</v>
      </c>
      <c r="AB312" s="491" t="s">
        <v>1598</v>
      </c>
      <c r="AC312" s="485"/>
    </row>
    <row r="313" spans="1:29" ht="18.75" customHeight="1">
      <c r="A313" s="490">
        <v>306</v>
      </c>
      <c r="B313" s="484" t="s">
        <v>985</v>
      </c>
      <c r="C313" s="490" t="s">
        <v>1570</v>
      </c>
      <c r="D313" s="490" t="s">
        <v>1599</v>
      </c>
      <c r="E313" s="490">
        <v>1</v>
      </c>
      <c r="F313" s="490" t="s">
        <v>1523</v>
      </c>
      <c r="G313" s="490" t="s">
        <v>1592</v>
      </c>
      <c r="H313" s="490" t="s">
        <v>1155</v>
      </c>
      <c r="I313" s="489" t="s">
        <v>1600</v>
      </c>
      <c r="J313" s="489" t="s">
        <v>1600</v>
      </c>
      <c r="K313" s="488" t="s">
        <v>1574</v>
      </c>
      <c r="L313" s="490" t="s">
        <v>995</v>
      </c>
      <c r="M313" s="838" t="s">
        <v>1158</v>
      </c>
      <c r="N313" s="487" t="s">
        <v>995</v>
      </c>
      <c r="O313" s="487" t="s">
        <v>995</v>
      </c>
      <c r="P313" s="824" t="s">
        <v>1158</v>
      </c>
      <c r="Q313" s="824" t="s">
        <v>1158</v>
      </c>
      <c r="R313" s="824" t="s">
        <v>995</v>
      </c>
      <c r="S313" s="824" t="s">
        <v>1158</v>
      </c>
      <c r="T313" s="824" t="s">
        <v>1158</v>
      </c>
      <c r="U313" s="824" t="s">
        <v>1158</v>
      </c>
      <c r="V313" s="824" t="s">
        <v>1158</v>
      </c>
      <c r="W313" s="824" t="s">
        <v>1158</v>
      </c>
      <c r="X313" s="824" t="s">
        <v>995</v>
      </c>
      <c r="Y313" s="486" t="s">
        <v>995</v>
      </c>
      <c r="Z313" s="486" t="s">
        <v>995</v>
      </c>
      <c r="AA313" s="485" t="s">
        <v>1601</v>
      </c>
      <c r="AB313" s="485" t="s">
        <v>1602</v>
      </c>
      <c r="AC313" s="485"/>
    </row>
    <row r="314" spans="1:29" ht="18.75" customHeight="1">
      <c r="A314" s="490">
        <v>307</v>
      </c>
      <c r="B314" s="484" t="s">
        <v>985</v>
      </c>
      <c r="C314" s="490" t="s">
        <v>1603</v>
      </c>
      <c r="D314" s="490" t="s">
        <v>1604</v>
      </c>
      <c r="E314" s="490">
        <v>1</v>
      </c>
      <c r="F314" s="490" t="s">
        <v>1523</v>
      </c>
      <c r="G314" s="490" t="s">
        <v>1605</v>
      </c>
      <c r="H314" s="490" t="s">
        <v>968</v>
      </c>
      <c r="I314" s="489" t="s">
        <v>1606</v>
      </c>
      <c r="J314" s="489" t="s">
        <v>1607</v>
      </c>
      <c r="K314" s="488" t="s">
        <v>1608</v>
      </c>
      <c r="L314" s="484" t="s">
        <v>995</v>
      </c>
      <c r="M314" s="823" t="s">
        <v>1609</v>
      </c>
      <c r="N314" s="487" t="s">
        <v>995</v>
      </c>
      <c r="O314" s="487" t="s">
        <v>995</v>
      </c>
      <c r="P314" s="824" t="s">
        <v>1609</v>
      </c>
      <c r="Q314" s="824" t="s">
        <v>1609</v>
      </c>
      <c r="R314" s="824" t="s">
        <v>1610</v>
      </c>
      <c r="S314" s="824">
        <v>0</v>
      </c>
      <c r="T314" s="824">
        <v>0</v>
      </c>
      <c r="U314" s="824">
        <v>6</v>
      </c>
      <c r="V314" s="824" t="s">
        <v>1611</v>
      </c>
      <c r="W314" s="824" t="s">
        <v>1612</v>
      </c>
      <c r="X314" s="824" t="s">
        <v>1609</v>
      </c>
      <c r="Y314" s="486" t="s">
        <v>995</v>
      </c>
      <c r="Z314" s="486" t="s">
        <v>995</v>
      </c>
      <c r="AA314" s="485" t="s">
        <v>1613</v>
      </c>
      <c r="AB314" s="485" t="s">
        <v>1614</v>
      </c>
      <c r="AC314" s="485"/>
    </row>
    <row r="315" spans="1:29" ht="18.75" customHeight="1">
      <c r="A315" s="490">
        <v>308</v>
      </c>
      <c r="B315" s="484" t="s">
        <v>985</v>
      </c>
      <c r="C315" s="490" t="s">
        <v>1603</v>
      </c>
      <c r="D315" s="490" t="s">
        <v>1615</v>
      </c>
      <c r="E315" s="490">
        <v>1</v>
      </c>
      <c r="F315" s="490" t="s">
        <v>1616</v>
      </c>
      <c r="G315" s="490" t="s">
        <v>1605</v>
      </c>
      <c r="H315" s="490" t="s">
        <v>968</v>
      </c>
      <c r="I315" s="489" t="s">
        <v>1617</v>
      </c>
      <c r="J315" s="489" t="s">
        <v>1618</v>
      </c>
      <c r="K315" s="488" t="s">
        <v>1608</v>
      </c>
      <c r="L315" s="484" t="s">
        <v>995</v>
      </c>
      <c r="M315" s="823" t="s">
        <v>1609</v>
      </c>
      <c r="N315" s="487" t="s">
        <v>995</v>
      </c>
      <c r="O315" s="487" t="s">
        <v>995</v>
      </c>
      <c r="P315" s="824" t="s">
        <v>1609</v>
      </c>
      <c r="Q315" s="824" t="s">
        <v>1610</v>
      </c>
      <c r="R315" s="824" t="s">
        <v>1610</v>
      </c>
      <c r="S315" s="824">
        <v>0</v>
      </c>
      <c r="T315" s="824">
        <v>0</v>
      </c>
      <c r="U315" s="824">
        <v>3</v>
      </c>
      <c r="V315" s="824" t="s">
        <v>1611</v>
      </c>
      <c r="W315" s="824" t="s">
        <v>1612</v>
      </c>
      <c r="X315" s="824" t="s">
        <v>1609</v>
      </c>
      <c r="Y315" s="486" t="s">
        <v>995</v>
      </c>
      <c r="Z315" s="486" t="s">
        <v>995</v>
      </c>
      <c r="AA315" s="485" t="s">
        <v>1613</v>
      </c>
      <c r="AB315" s="485" t="s">
        <v>1619</v>
      </c>
      <c r="AC315" s="485"/>
    </row>
    <row r="316" spans="1:29" ht="18.75" customHeight="1">
      <c r="A316" s="490">
        <v>309</v>
      </c>
      <c r="B316" s="484" t="s">
        <v>985</v>
      </c>
      <c r="C316" s="490" t="s">
        <v>1603</v>
      </c>
      <c r="D316" s="490" t="s">
        <v>1620</v>
      </c>
      <c r="E316" s="490">
        <v>1</v>
      </c>
      <c r="F316" s="490" t="s">
        <v>1621</v>
      </c>
      <c r="G316" s="490" t="s">
        <v>1622</v>
      </c>
      <c r="H316" s="490" t="s">
        <v>968</v>
      </c>
      <c r="I316" s="489" t="s">
        <v>1623</v>
      </c>
      <c r="J316" s="489" t="s">
        <v>1624</v>
      </c>
      <c r="K316" s="488" t="s">
        <v>1608</v>
      </c>
      <c r="L316" s="484">
        <v>2016</v>
      </c>
      <c r="M316" s="823" t="s">
        <v>1609</v>
      </c>
      <c r="N316" s="487" t="s">
        <v>995</v>
      </c>
      <c r="O316" s="487" t="s">
        <v>995</v>
      </c>
      <c r="P316" s="824" t="s">
        <v>1609</v>
      </c>
      <c r="Q316" s="824" t="s">
        <v>1609</v>
      </c>
      <c r="R316" s="824">
        <v>47</v>
      </c>
      <c r="S316" s="824">
        <v>0</v>
      </c>
      <c r="T316" s="824">
        <v>0</v>
      </c>
      <c r="U316" s="824">
        <v>61</v>
      </c>
      <c r="V316" s="824" t="s">
        <v>1625</v>
      </c>
      <c r="W316" s="824" t="s">
        <v>1625</v>
      </c>
      <c r="X316" s="824" t="s">
        <v>1609</v>
      </c>
      <c r="Y316" s="486" t="s">
        <v>995</v>
      </c>
      <c r="Z316" s="486" t="s">
        <v>995</v>
      </c>
      <c r="AA316" s="485" t="s">
        <v>1613</v>
      </c>
      <c r="AB316" s="485" t="s">
        <v>1626</v>
      </c>
      <c r="AC316" s="485"/>
    </row>
    <row r="317" spans="1:29" ht="18.75" customHeight="1">
      <c r="A317" s="490">
        <v>310</v>
      </c>
      <c r="B317" s="484" t="s">
        <v>985</v>
      </c>
      <c r="C317" s="490" t="s">
        <v>1603</v>
      </c>
      <c r="D317" s="490" t="s">
        <v>1627</v>
      </c>
      <c r="E317" s="490">
        <v>1</v>
      </c>
      <c r="F317" s="490" t="s">
        <v>1628</v>
      </c>
      <c r="G317" s="490" t="s">
        <v>1629</v>
      </c>
      <c r="H317" s="490" t="s">
        <v>968</v>
      </c>
      <c r="I317" s="489" t="s">
        <v>1630</v>
      </c>
      <c r="J317" s="489" t="s">
        <v>1631</v>
      </c>
      <c r="K317" s="488" t="s">
        <v>1608</v>
      </c>
      <c r="L317" s="484">
        <v>2016</v>
      </c>
      <c r="M317" s="823" t="s">
        <v>1609</v>
      </c>
      <c r="N317" s="487" t="s">
        <v>995</v>
      </c>
      <c r="O317" s="487" t="s">
        <v>995</v>
      </c>
      <c r="P317" s="824" t="s">
        <v>1609</v>
      </c>
      <c r="Q317" s="824" t="s">
        <v>1609</v>
      </c>
      <c r="R317" s="824">
        <v>6</v>
      </c>
      <c r="S317" s="824">
        <v>0</v>
      </c>
      <c r="T317" s="824">
        <v>2</v>
      </c>
      <c r="U317" s="824">
        <v>3</v>
      </c>
      <c r="V317" s="824" t="s">
        <v>1632</v>
      </c>
      <c r="W317" s="824" t="s">
        <v>1632</v>
      </c>
      <c r="X317" s="824" t="s">
        <v>1609</v>
      </c>
      <c r="Y317" s="486" t="s">
        <v>995</v>
      </c>
      <c r="Z317" s="486" t="s">
        <v>995</v>
      </c>
      <c r="AA317" s="485" t="s">
        <v>1633</v>
      </c>
      <c r="AB317" s="485" t="s">
        <v>1634</v>
      </c>
      <c r="AC317" s="485"/>
    </row>
    <row r="318" spans="1:29" ht="18.75" customHeight="1">
      <c r="A318" s="490">
        <v>311</v>
      </c>
      <c r="B318" s="484" t="s">
        <v>985</v>
      </c>
      <c r="C318" s="490" t="s">
        <v>1603</v>
      </c>
      <c r="D318" s="490" t="s">
        <v>1635</v>
      </c>
      <c r="E318" s="490">
        <v>1</v>
      </c>
      <c r="F318" s="490" t="s">
        <v>1628</v>
      </c>
      <c r="G318" s="490" t="s">
        <v>1629</v>
      </c>
      <c r="H318" s="490" t="s">
        <v>968</v>
      </c>
      <c r="I318" s="489" t="s">
        <v>1636</v>
      </c>
      <c r="J318" s="489" t="s">
        <v>1637</v>
      </c>
      <c r="K318" s="488" t="s">
        <v>1608</v>
      </c>
      <c r="L318" s="484">
        <v>2016</v>
      </c>
      <c r="M318" s="823" t="s">
        <v>1609</v>
      </c>
      <c r="N318" s="487" t="s">
        <v>995</v>
      </c>
      <c r="O318" s="487" t="s">
        <v>995</v>
      </c>
      <c r="P318" s="824" t="s">
        <v>1609</v>
      </c>
      <c r="Q318" s="824" t="s">
        <v>1609</v>
      </c>
      <c r="R318" s="824" t="s">
        <v>1638</v>
      </c>
      <c r="S318" s="824" t="s">
        <v>1638</v>
      </c>
      <c r="T318" s="824" t="s">
        <v>1638</v>
      </c>
      <c r="U318" s="824" t="s">
        <v>1638</v>
      </c>
      <c r="V318" s="824" t="s">
        <v>1638</v>
      </c>
      <c r="W318" s="824" t="s">
        <v>1638</v>
      </c>
      <c r="X318" s="824" t="s">
        <v>1609</v>
      </c>
      <c r="Y318" s="486" t="s">
        <v>995</v>
      </c>
      <c r="Z318" s="486" t="s">
        <v>995</v>
      </c>
      <c r="AA318" s="485" t="s">
        <v>1639</v>
      </c>
      <c r="AB318" s="485" t="s">
        <v>1640</v>
      </c>
      <c r="AC318" s="485"/>
    </row>
    <row r="319" spans="1:29" ht="18.75" customHeight="1">
      <c r="A319" s="490">
        <v>312</v>
      </c>
      <c r="B319" s="484" t="s">
        <v>985</v>
      </c>
      <c r="C319" s="490" t="s">
        <v>1641</v>
      </c>
      <c r="D319" s="490" t="s">
        <v>1642</v>
      </c>
      <c r="E319" s="490">
        <v>1</v>
      </c>
      <c r="F319" s="490" t="s">
        <v>1643</v>
      </c>
      <c r="G319" s="490" t="s">
        <v>1644</v>
      </c>
      <c r="H319" s="490" t="s">
        <v>968</v>
      </c>
      <c r="I319" s="489" t="s">
        <v>1645</v>
      </c>
      <c r="J319" s="489" t="s">
        <v>1646</v>
      </c>
      <c r="K319" s="488" t="s">
        <v>1608</v>
      </c>
      <c r="L319" s="484" t="s">
        <v>995</v>
      </c>
      <c r="M319" s="823" t="s">
        <v>1609</v>
      </c>
      <c r="N319" s="487" t="s">
        <v>995</v>
      </c>
      <c r="O319" s="487" t="s">
        <v>995</v>
      </c>
      <c r="P319" s="824" t="s">
        <v>1609</v>
      </c>
      <c r="Q319" s="824" t="s">
        <v>1609</v>
      </c>
      <c r="R319" s="824" t="s">
        <v>1647</v>
      </c>
      <c r="S319" s="824">
        <v>0</v>
      </c>
      <c r="T319" s="824">
        <v>0</v>
      </c>
      <c r="U319" s="824">
        <v>2</v>
      </c>
      <c r="V319" s="824" t="s">
        <v>1648</v>
      </c>
      <c r="W319" s="824" t="s">
        <v>1648</v>
      </c>
      <c r="X319" s="824" t="s">
        <v>1609</v>
      </c>
      <c r="Y319" s="486" t="s">
        <v>995</v>
      </c>
      <c r="Z319" s="486" t="s">
        <v>995</v>
      </c>
      <c r="AA319" s="485" t="s">
        <v>1649</v>
      </c>
      <c r="AB319" s="485" t="s">
        <v>1650</v>
      </c>
      <c r="AC319" s="485"/>
    </row>
    <row r="320" spans="1:29" ht="18.75" customHeight="1">
      <c r="A320" s="490">
        <v>313</v>
      </c>
      <c r="B320" s="484" t="s">
        <v>985</v>
      </c>
      <c r="C320" s="490" t="s">
        <v>1641</v>
      </c>
      <c r="D320" s="490" t="s">
        <v>1651</v>
      </c>
      <c r="E320" s="490">
        <v>1</v>
      </c>
      <c r="F320" s="490" t="s">
        <v>1643</v>
      </c>
      <c r="G320" s="490" t="s">
        <v>1644</v>
      </c>
      <c r="H320" s="490" t="s">
        <v>968</v>
      </c>
      <c r="I320" s="489" t="s">
        <v>1652</v>
      </c>
      <c r="J320" s="489" t="s">
        <v>1653</v>
      </c>
      <c r="K320" s="488" t="s">
        <v>1608</v>
      </c>
      <c r="L320" s="484" t="s">
        <v>995</v>
      </c>
      <c r="M320" s="823" t="s">
        <v>1609</v>
      </c>
      <c r="N320" s="487" t="s">
        <v>995</v>
      </c>
      <c r="O320" s="487" t="s">
        <v>995</v>
      </c>
      <c r="P320" s="824" t="s">
        <v>1609</v>
      </c>
      <c r="Q320" s="824" t="s">
        <v>1609</v>
      </c>
      <c r="R320" s="824" t="s">
        <v>1647</v>
      </c>
      <c r="S320" s="824">
        <v>0</v>
      </c>
      <c r="T320" s="824">
        <v>0</v>
      </c>
      <c r="U320" s="824">
        <v>3</v>
      </c>
      <c r="V320" s="824" t="s">
        <v>1648</v>
      </c>
      <c r="W320" s="824" t="s">
        <v>1648</v>
      </c>
      <c r="X320" s="824" t="s">
        <v>1609</v>
      </c>
      <c r="Y320" s="486" t="s">
        <v>995</v>
      </c>
      <c r="Z320" s="486" t="s">
        <v>995</v>
      </c>
      <c r="AA320" s="485" t="s">
        <v>1613</v>
      </c>
      <c r="AB320" s="485" t="s">
        <v>1654</v>
      </c>
      <c r="AC320" s="485"/>
    </row>
    <row r="321" spans="1:29" ht="63">
      <c r="A321" s="490">
        <v>314</v>
      </c>
      <c r="B321" s="484" t="s">
        <v>985</v>
      </c>
      <c r="C321" s="490" t="s">
        <v>1655</v>
      </c>
      <c r="D321" s="490" t="s">
        <v>1656</v>
      </c>
      <c r="E321" s="490">
        <v>1</v>
      </c>
      <c r="F321" s="490" t="s">
        <v>1657</v>
      </c>
      <c r="G321" s="490" t="s">
        <v>1658</v>
      </c>
      <c r="H321" s="490" t="s">
        <v>968</v>
      </c>
      <c r="I321" s="489" t="s">
        <v>1659</v>
      </c>
      <c r="J321" s="489" t="s">
        <v>1660</v>
      </c>
      <c r="K321" s="488" t="s">
        <v>1608</v>
      </c>
      <c r="L321" s="484" t="s">
        <v>995</v>
      </c>
      <c r="M321" s="828" t="s">
        <v>1661</v>
      </c>
      <c r="N321" s="487" t="s">
        <v>995</v>
      </c>
      <c r="O321" s="487" t="s">
        <v>995</v>
      </c>
      <c r="P321" s="827" t="s">
        <v>1661</v>
      </c>
      <c r="Q321" s="827" t="s">
        <v>1661</v>
      </c>
      <c r="R321" s="827" t="s">
        <v>1661</v>
      </c>
      <c r="S321" s="842" t="s">
        <v>1661</v>
      </c>
      <c r="T321" s="842" t="s">
        <v>1661</v>
      </c>
      <c r="U321" s="842" t="s">
        <v>1661</v>
      </c>
      <c r="V321" s="842" t="s">
        <v>1661</v>
      </c>
      <c r="W321" s="842" t="s">
        <v>1661</v>
      </c>
      <c r="X321" s="827" t="s">
        <v>1661</v>
      </c>
      <c r="Y321" s="486" t="s">
        <v>995</v>
      </c>
      <c r="Z321" s="486" t="s">
        <v>995</v>
      </c>
      <c r="AA321" s="485" t="s">
        <v>1662</v>
      </c>
      <c r="AB321" s="485" t="s">
        <v>1663</v>
      </c>
      <c r="AC321" s="485"/>
    </row>
    <row r="322" spans="1:29" ht="58.15">
      <c r="A322" s="490">
        <v>315</v>
      </c>
      <c r="B322" s="484" t="s">
        <v>985</v>
      </c>
      <c r="C322" s="490" t="s">
        <v>1655</v>
      </c>
      <c r="D322" s="490" t="s">
        <v>1664</v>
      </c>
      <c r="E322" s="490">
        <v>1</v>
      </c>
      <c r="F322" s="490" t="s">
        <v>1665</v>
      </c>
      <c r="G322" s="490" t="s">
        <v>1658</v>
      </c>
      <c r="H322" s="490" t="s">
        <v>968</v>
      </c>
      <c r="I322" s="489" t="s">
        <v>1666</v>
      </c>
      <c r="J322" s="489" t="s">
        <v>1667</v>
      </c>
      <c r="K322" s="488" t="s">
        <v>1608</v>
      </c>
      <c r="L322" s="484" t="s">
        <v>995</v>
      </c>
      <c r="M322" s="823" t="s">
        <v>1661</v>
      </c>
      <c r="N322" s="487" t="s">
        <v>995</v>
      </c>
      <c r="O322" s="487" t="s">
        <v>995</v>
      </c>
      <c r="P322" s="824" t="s">
        <v>1661</v>
      </c>
      <c r="Q322" s="824" t="s">
        <v>1661</v>
      </c>
      <c r="R322" s="824" t="s">
        <v>1661</v>
      </c>
      <c r="S322" s="842" t="s">
        <v>1661</v>
      </c>
      <c r="T322" s="842" t="s">
        <v>1661</v>
      </c>
      <c r="U322" s="842" t="s">
        <v>1661</v>
      </c>
      <c r="V322" s="842" t="s">
        <v>1661</v>
      </c>
      <c r="W322" s="842" t="s">
        <v>1661</v>
      </c>
      <c r="X322" s="824" t="s">
        <v>1661</v>
      </c>
      <c r="Y322" s="486" t="s">
        <v>995</v>
      </c>
      <c r="Z322" s="486" t="s">
        <v>995</v>
      </c>
      <c r="AA322" s="485" t="s">
        <v>1668</v>
      </c>
      <c r="AB322" s="485" t="s">
        <v>1663</v>
      </c>
      <c r="AC322" s="485"/>
    </row>
    <row r="323" spans="1:29" ht="46.5">
      <c r="A323" s="490">
        <v>316</v>
      </c>
      <c r="B323" s="484" t="s">
        <v>985</v>
      </c>
      <c r="C323" s="490" t="s">
        <v>1655</v>
      </c>
      <c r="D323" s="490" t="s">
        <v>1669</v>
      </c>
      <c r="E323" s="490">
        <v>1</v>
      </c>
      <c r="F323" s="490" t="s">
        <v>1127</v>
      </c>
      <c r="G323" s="490" t="s">
        <v>1658</v>
      </c>
      <c r="H323" s="490" t="s">
        <v>968</v>
      </c>
      <c r="I323" s="489" t="s">
        <v>1670</v>
      </c>
      <c r="J323" s="489" t="s">
        <v>1671</v>
      </c>
      <c r="K323" s="488" t="s">
        <v>1608</v>
      </c>
      <c r="L323" s="484" t="s">
        <v>995</v>
      </c>
      <c r="M323" s="828" t="s">
        <v>1661</v>
      </c>
      <c r="N323" s="487" t="s">
        <v>995</v>
      </c>
      <c r="O323" s="487" t="s">
        <v>995</v>
      </c>
      <c r="P323" s="827" t="s">
        <v>1661</v>
      </c>
      <c r="Q323" s="827" t="s">
        <v>1661</v>
      </c>
      <c r="R323" s="827" t="s">
        <v>1661</v>
      </c>
      <c r="S323" s="842" t="s">
        <v>1661</v>
      </c>
      <c r="T323" s="842" t="s">
        <v>1661</v>
      </c>
      <c r="U323" s="842" t="s">
        <v>1661</v>
      </c>
      <c r="V323" s="842" t="s">
        <v>1661</v>
      </c>
      <c r="W323" s="842" t="s">
        <v>1661</v>
      </c>
      <c r="X323" s="827" t="s">
        <v>1661</v>
      </c>
      <c r="Y323" s="486" t="s">
        <v>995</v>
      </c>
      <c r="Z323" s="486" t="s">
        <v>995</v>
      </c>
      <c r="AA323" s="485" t="s">
        <v>1672</v>
      </c>
      <c r="AB323" s="485" t="s">
        <v>1663</v>
      </c>
      <c r="AC323" s="485"/>
    </row>
    <row r="324" spans="1:29" ht="63">
      <c r="A324" s="490">
        <v>317</v>
      </c>
      <c r="B324" s="484" t="s">
        <v>985</v>
      </c>
      <c r="C324" s="490" t="s">
        <v>1655</v>
      </c>
      <c r="D324" s="490" t="s">
        <v>1673</v>
      </c>
      <c r="E324" s="490">
        <v>1</v>
      </c>
      <c r="F324" s="490" t="s">
        <v>1523</v>
      </c>
      <c r="G324" s="490" t="s">
        <v>1658</v>
      </c>
      <c r="H324" s="490" t="s">
        <v>968</v>
      </c>
      <c r="I324" s="489" t="s">
        <v>1674</v>
      </c>
      <c r="J324" s="489" t="s">
        <v>1675</v>
      </c>
      <c r="K324" s="488" t="s">
        <v>1608</v>
      </c>
      <c r="L324" s="484" t="s">
        <v>995</v>
      </c>
      <c r="M324" s="823" t="s">
        <v>1661</v>
      </c>
      <c r="N324" s="487" t="s">
        <v>995</v>
      </c>
      <c r="O324" s="487" t="s">
        <v>995</v>
      </c>
      <c r="P324" s="824" t="s">
        <v>1661</v>
      </c>
      <c r="Q324" s="824" t="s">
        <v>1661</v>
      </c>
      <c r="R324" s="824" t="s">
        <v>1661</v>
      </c>
      <c r="S324" s="842" t="s">
        <v>1661</v>
      </c>
      <c r="T324" s="842" t="s">
        <v>1661</v>
      </c>
      <c r="U324" s="842" t="s">
        <v>1661</v>
      </c>
      <c r="V324" s="842" t="s">
        <v>1661</v>
      </c>
      <c r="W324" s="842" t="s">
        <v>1661</v>
      </c>
      <c r="X324" s="824" t="s">
        <v>1661</v>
      </c>
      <c r="Y324" s="486" t="s">
        <v>995</v>
      </c>
      <c r="Z324" s="486" t="s">
        <v>995</v>
      </c>
      <c r="AA324" s="485" t="s">
        <v>1676</v>
      </c>
      <c r="AB324" s="485" t="s">
        <v>1677</v>
      </c>
      <c r="AC324" s="485"/>
    </row>
    <row r="325" spans="1:29" ht="69.75">
      <c r="A325" s="490">
        <v>318</v>
      </c>
      <c r="B325" s="484" t="s">
        <v>985</v>
      </c>
      <c r="C325" s="490" t="s">
        <v>1655</v>
      </c>
      <c r="D325" s="490" t="s">
        <v>1678</v>
      </c>
      <c r="E325" s="490">
        <v>1</v>
      </c>
      <c r="F325" s="490" t="s">
        <v>1679</v>
      </c>
      <c r="G325" s="490" t="s">
        <v>1680</v>
      </c>
      <c r="H325" s="490" t="s">
        <v>968</v>
      </c>
      <c r="I325" s="489" t="s">
        <v>1681</v>
      </c>
      <c r="J325" s="489" t="s">
        <v>1682</v>
      </c>
      <c r="K325" s="488" t="s">
        <v>1608</v>
      </c>
      <c r="L325" s="484" t="s">
        <v>995</v>
      </c>
      <c r="M325" s="823" t="s">
        <v>1661</v>
      </c>
      <c r="N325" s="487" t="s">
        <v>995</v>
      </c>
      <c r="O325" s="487" t="s">
        <v>995</v>
      </c>
      <c r="P325" s="824" t="s">
        <v>1661</v>
      </c>
      <c r="Q325" s="824" t="s">
        <v>1661</v>
      </c>
      <c r="R325" s="824" t="s">
        <v>1661</v>
      </c>
      <c r="S325" s="842" t="s">
        <v>1661</v>
      </c>
      <c r="T325" s="842" t="s">
        <v>1661</v>
      </c>
      <c r="U325" s="842" t="s">
        <v>1661</v>
      </c>
      <c r="V325" s="842" t="s">
        <v>1661</v>
      </c>
      <c r="W325" s="842" t="s">
        <v>1661</v>
      </c>
      <c r="X325" s="824" t="s">
        <v>1661</v>
      </c>
      <c r="Y325" s="486" t="s">
        <v>995</v>
      </c>
      <c r="Z325" s="486" t="s">
        <v>995</v>
      </c>
      <c r="AA325" s="485" t="s">
        <v>1683</v>
      </c>
      <c r="AB325" s="485" t="s">
        <v>1684</v>
      </c>
      <c r="AC325" s="485"/>
    </row>
    <row r="326" spans="1:29" ht="69.75">
      <c r="A326" s="490">
        <v>319</v>
      </c>
      <c r="B326" s="484" t="s">
        <v>985</v>
      </c>
      <c r="C326" s="490" t="s">
        <v>1655</v>
      </c>
      <c r="D326" s="490" t="s">
        <v>1685</v>
      </c>
      <c r="E326" s="490">
        <v>1</v>
      </c>
      <c r="F326" s="490" t="s">
        <v>1686</v>
      </c>
      <c r="G326" s="490" t="s">
        <v>1680</v>
      </c>
      <c r="H326" s="490" t="s">
        <v>968</v>
      </c>
      <c r="I326" s="489" t="s">
        <v>1681</v>
      </c>
      <c r="J326" s="489" t="s">
        <v>1682</v>
      </c>
      <c r="K326" s="488" t="s">
        <v>1608</v>
      </c>
      <c r="L326" s="484" t="s">
        <v>995</v>
      </c>
      <c r="M326" s="823" t="s">
        <v>1661</v>
      </c>
      <c r="N326" s="487" t="s">
        <v>995</v>
      </c>
      <c r="O326" s="487" t="s">
        <v>995</v>
      </c>
      <c r="P326" s="824" t="s">
        <v>1661</v>
      </c>
      <c r="Q326" s="824" t="s">
        <v>1661</v>
      </c>
      <c r="R326" s="824" t="s">
        <v>1661</v>
      </c>
      <c r="S326" s="842" t="s">
        <v>1661</v>
      </c>
      <c r="T326" s="842" t="s">
        <v>1661</v>
      </c>
      <c r="U326" s="842" t="s">
        <v>1661</v>
      </c>
      <c r="V326" s="842" t="s">
        <v>1661</v>
      </c>
      <c r="W326" s="842" t="s">
        <v>1661</v>
      </c>
      <c r="X326" s="824" t="s">
        <v>1661</v>
      </c>
      <c r="Y326" s="486" t="s">
        <v>995</v>
      </c>
      <c r="Z326" s="486" t="s">
        <v>995</v>
      </c>
      <c r="AA326" s="485" t="s">
        <v>1683</v>
      </c>
      <c r="AB326" s="485" t="s">
        <v>1684</v>
      </c>
      <c r="AC326" s="485"/>
    </row>
    <row r="327" spans="1:29" ht="69.75">
      <c r="A327" s="490">
        <v>320</v>
      </c>
      <c r="B327" s="484" t="s">
        <v>985</v>
      </c>
      <c r="C327" s="490" t="s">
        <v>1655</v>
      </c>
      <c r="D327" s="490" t="s">
        <v>1687</v>
      </c>
      <c r="E327" s="490">
        <v>1</v>
      </c>
      <c r="F327" s="490" t="s">
        <v>1688</v>
      </c>
      <c r="G327" s="490" t="s">
        <v>1680</v>
      </c>
      <c r="H327" s="490" t="s">
        <v>968</v>
      </c>
      <c r="I327" s="489" t="s">
        <v>1681</v>
      </c>
      <c r="J327" s="489" t="s">
        <v>1682</v>
      </c>
      <c r="K327" s="488" t="s">
        <v>1608</v>
      </c>
      <c r="L327" s="484" t="s">
        <v>995</v>
      </c>
      <c r="M327" s="823" t="s">
        <v>1661</v>
      </c>
      <c r="N327" s="487" t="s">
        <v>995</v>
      </c>
      <c r="O327" s="487" t="s">
        <v>995</v>
      </c>
      <c r="P327" s="824" t="s">
        <v>1661</v>
      </c>
      <c r="Q327" s="824" t="s">
        <v>1661</v>
      </c>
      <c r="R327" s="824" t="s">
        <v>1661</v>
      </c>
      <c r="S327" s="842" t="s">
        <v>1661</v>
      </c>
      <c r="T327" s="842" t="s">
        <v>1661</v>
      </c>
      <c r="U327" s="842" t="s">
        <v>1661</v>
      </c>
      <c r="V327" s="842" t="s">
        <v>1661</v>
      </c>
      <c r="W327" s="842" t="s">
        <v>1661</v>
      </c>
      <c r="X327" s="824" t="s">
        <v>1661</v>
      </c>
      <c r="Y327" s="486" t="s">
        <v>995</v>
      </c>
      <c r="Z327" s="486" t="s">
        <v>995</v>
      </c>
      <c r="AA327" s="485" t="s">
        <v>1683</v>
      </c>
      <c r="AB327" s="485" t="s">
        <v>1684</v>
      </c>
      <c r="AC327" s="485"/>
    </row>
    <row r="328" spans="1:29" ht="18.75" customHeight="1">
      <c r="A328" s="490">
        <v>321</v>
      </c>
      <c r="B328" s="484" t="s">
        <v>985</v>
      </c>
      <c r="C328" s="490" t="s">
        <v>1655</v>
      </c>
      <c r="D328" s="490" t="s">
        <v>1689</v>
      </c>
      <c r="E328" s="490">
        <v>1</v>
      </c>
      <c r="F328" s="490" t="s">
        <v>1690</v>
      </c>
      <c r="G328" s="490" t="s">
        <v>1691</v>
      </c>
      <c r="H328" s="490" t="s">
        <v>968</v>
      </c>
      <c r="I328" s="489" t="s">
        <v>1692</v>
      </c>
      <c r="J328" s="489" t="s">
        <v>1693</v>
      </c>
      <c r="K328" s="488" t="s">
        <v>1608</v>
      </c>
      <c r="L328" s="484" t="s">
        <v>995</v>
      </c>
      <c r="M328" s="823" t="s">
        <v>1661</v>
      </c>
      <c r="N328" s="487" t="s">
        <v>995</v>
      </c>
      <c r="O328" s="487" t="s">
        <v>995</v>
      </c>
      <c r="P328" s="824" t="s">
        <v>1661</v>
      </c>
      <c r="Q328" s="824" t="s">
        <v>1661</v>
      </c>
      <c r="R328" s="824" t="s">
        <v>1610</v>
      </c>
      <c r="S328" s="824">
        <v>0</v>
      </c>
      <c r="T328" s="824">
        <v>2</v>
      </c>
      <c r="U328" s="824">
        <v>2</v>
      </c>
      <c r="V328" s="824" t="s">
        <v>1648</v>
      </c>
      <c r="W328" s="824" t="s">
        <v>1648</v>
      </c>
      <c r="X328" s="824" t="s">
        <v>1661</v>
      </c>
      <c r="Y328" s="486" t="s">
        <v>995</v>
      </c>
      <c r="Z328" s="486" t="s">
        <v>995</v>
      </c>
      <c r="AA328" s="485" t="s">
        <v>1694</v>
      </c>
      <c r="AB328" s="485" t="s">
        <v>1695</v>
      </c>
      <c r="AC328" s="485"/>
    </row>
    <row r="329" spans="1:29" ht="18.75" customHeight="1">
      <c r="A329" s="490">
        <v>322</v>
      </c>
      <c r="B329" s="484" t="s">
        <v>985</v>
      </c>
      <c r="C329" s="490" t="s">
        <v>1655</v>
      </c>
      <c r="D329" s="490" t="s">
        <v>1696</v>
      </c>
      <c r="E329" s="490">
        <v>1</v>
      </c>
      <c r="F329" s="490" t="s">
        <v>1697</v>
      </c>
      <c r="G329" s="490" t="s">
        <v>1691</v>
      </c>
      <c r="H329" s="490" t="s">
        <v>968</v>
      </c>
      <c r="I329" s="489" t="s">
        <v>1698</v>
      </c>
      <c r="J329" s="489" t="s">
        <v>1699</v>
      </c>
      <c r="K329" s="488" t="s">
        <v>1608</v>
      </c>
      <c r="L329" s="484" t="s">
        <v>995</v>
      </c>
      <c r="M329" s="823" t="s">
        <v>1609</v>
      </c>
      <c r="N329" s="487" t="s">
        <v>995</v>
      </c>
      <c r="O329" s="487" t="s">
        <v>995</v>
      </c>
      <c r="P329" s="824" t="s">
        <v>1609</v>
      </c>
      <c r="Q329" s="824" t="s">
        <v>1609</v>
      </c>
      <c r="R329" s="824" t="s">
        <v>1610</v>
      </c>
      <c r="S329" s="824">
        <v>0</v>
      </c>
      <c r="T329" s="824">
        <v>1</v>
      </c>
      <c r="U329" s="824">
        <v>1</v>
      </c>
      <c r="V329" s="824" t="s">
        <v>1648</v>
      </c>
      <c r="W329" s="824" t="s">
        <v>1648</v>
      </c>
      <c r="X329" s="824" t="s">
        <v>1609</v>
      </c>
      <c r="Y329" s="486" t="s">
        <v>995</v>
      </c>
      <c r="Z329" s="486" t="s">
        <v>995</v>
      </c>
      <c r="AA329" s="485" t="s">
        <v>1694</v>
      </c>
      <c r="AB329" s="485" t="s">
        <v>1695</v>
      </c>
      <c r="AC329" s="485"/>
    </row>
    <row r="330" spans="1:29" ht="18.75" customHeight="1">
      <c r="A330" s="490">
        <v>323</v>
      </c>
      <c r="B330" s="484" t="s">
        <v>985</v>
      </c>
      <c r="C330" s="490" t="s">
        <v>1655</v>
      </c>
      <c r="D330" s="490" t="s">
        <v>1700</v>
      </c>
      <c r="E330" s="490">
        <v>1</v>
      </c>
      <c r="F330" s="490" t="s">
        <v>1701</v>
      </c>
      <c r="G330" s="490" t="s">
        <v>1691</v>
      </c>
      <c r="H330" s="490" t="s">
        <v>968</v>
      </c>
      <c r="I330" s="489" t="s">
        <v>1702</v>
      </c>
      <c r="J330" s="489" t="s">
        <v>1703</v>
      </c>
      <c r="K330" s="488" t="s">
        <v>1608</v>
      </c>
      <c r="L330" s="484" t="s">
        <v>995</v>
      </c>
      <c r="M330" s="823" t="s">
        <v>1609</v>
      </c>
      <c r="N330" s="487" t="s">
        <v>995</v>
      </c>
      <c r="O330" s="487" t="s">
        <v>995</v>
      </c>
      <c r="P330" s="824" t="s">
        <v>1609</v>
      </c>
      <c r="Q330" s="824" t="s">
        <v>1609</v>
      </c>
      <c r="R330" s="824" t="s">
        <v>1610</v>
      </c>
      <c r="S330" s="824">
        <v>0</v>
      </c>
      <c r="T330" s="824">
        <v>1</v>
      </c>
      <c r="U330" s="824">
        <v>1</v>
      </c>
      <c r="V330" s="824" t="s">
        <v>1648</v>
      </c>
      <c r="W330" s="824" t="s">
        <v>1648</v>
      </c>
      <c r="X330" s="824" t="s">
        <v>1609</v>
      </c>
      <c r="Y330" s="486" t="s">
        <v>995</v>
      </c>
      <c r="Z330" s="486" t="s">
        <v>995</v>
      </c>
      <c r="AA330" s="485" t="s">
        <v>1694</v>
      </c>
      <c r="AB330" s="485" t="s">
        <v>1695</v>
      </c>
      <c r="AC330" s="485"/>
    </row>
    <row r="331" spans="1:29" ht="18.75" customHeight="1">
      <c r="A331" s="490">
        <v>324</v>
      </c>
      <c r="B331" s="484" t="s">
        <v>985</v>
      </c>
      <c r="C331" s="490" t="s">
        <v>1655</v>
      </c>
      <c r="D331" s="490" t="s">
        <v>1704</v>
      </c>
      <c r="E331" s="490">
        <v>1</v>
      </c>
      <c r="F331" s="490" t="s">
        <v>1705</v>
      </c>
      <c r="G331" s="490" t="s">
        <v>1691</v>
      </c>
      <c r="H331" s="490" t="s">
        <v>968</v>
      </c>
      <c r="I331" s="489" t="s">
        <v>1706</v>
      </c>
      <c r="J331" s="489" t="s">
        <v>1707</v>
      </c>
      <c r="K331" s="488" t="s">
        <v>1608</v>
      </c>
      <c r="L331" s="484" t="s">
        <v>995</v>
      </c>
      <c r="M331" s="823" t="s">
        <v>1609</v>
      </c>
      <c r="N331" s="487" t="s">
        <v>995</v>
      </c>
      <c r="O331" s="487" t="s">
        <v>995</v>
      </c>
      <c r="P331" s="824" t="s">
        <v>1609</v>
      </c>
      <c r="Q331" s="824" t="s">
        <v>1609</v>
      </c>
      <c r="R331" s="824" t="s">
        <v>1610</v>
      </c>
      <c r="S331" s="824">
        <v>0</v>
      </c>
      <c r="T331" s="824">
        <v>0</v>
      </c>
      <c r="U331" s="824">
        <v>1</v>
      </c>
      <c r="V331" s="824" t="s">
        <v>1648</v>
      </c>
      <c r="W331" s="824" t="s">
        <v>1648</v>
      </c>
      <c r="X331" s="824" t="s">
        <v>1609</v>
      </c>
      <c r="Y331" s="486" t="s">
        <v>995</v>
      </c>
      <c r="Z331" s="486" t="s">
        <v>995</v>
      </c>
      <c r="AA331" s="485" t="s">
        <v>1694</v>
      </c>
      <c r="AB331" s="485" t="s">
        <v>1708</v>
      </c>
      <c r="AC331" s="485"/>
    </row>
    <row r="332" spans="1:29" ht="18.75" customHeight="1">
      <c r="A332" s="490">
        <v>325</v>
      </c>
      <c r="B332" s="484" t="s">
        <v>985</v>
      </c>
      <c r="C332" s="490" t="s">
        <v>1655</v>
      </c>
      <c r="D332" s="490" t="s">
        <v>1709</v>
      </c>
      <c r="E332" s="490">
        <v>1</v>
      </c>
      <c r="F332" s="490" t="s">
        <v>1690</v>
      </c>
      <c r="G332" s="490" t="s">
        <v>1691</v>
      </c>
      <c r="H332" s="490" t="s">
        <v>968</v>
      </c>
      <c r="I332" s="489" t="s">
        <v>1710</v>
      </c>
      <c r="J332" s="489" t="s">
        <v>1711</v>
      </c>
      <c r="K332" s="488" t="s">
        <v>1608</v>
      </c>
      <c r="L332" s="484" t="s">
        <v>995</v>
      </c>
      <c r="M332" s="823" t="s">
        <v>1609</v>
      </c>
      <c r="N332" s="487" t="s">
        <v>995</v>
      </c>
      <c r="O332" s="487" t="s">
        <v>995</v>
      </c>
      <c r="P332" s="824" t="s">
        <v>1609</v>
      </c>
      <c r="Q332" s="824" t="s">
        <v>1609</v>
      </c>
      <c r="R332" s="824" t="s">
        <v>1610</v>
      </c>
      <c r="S332" s="824">
        <v>0</v>
      </c>
      <c r="T332" s="824">
        <v>3</v>
      </c>
      <c r="U332" s="824">
        <v>3</v>
      </c>
      <c r="V332" s="824" t="s">
        <v>1648</v>
      </c>
      <c r="W332" s="824" t="s">
        <v>1648</v>
      </c>
      <c r="X332" s="824" t="s">
        <v>1609</v>
      </c>
      <c r="Y332" s="486" t="s">
        <v>995</v>
      </c>
      <c r="Z332" s="486" t="s">
        <v>995</v>
      </c>
      <c r="AA332" s="485" t="s">
        <v>1712</v>
      </c>
      <c r="AB332" s="485" t="s">
        <v>1695</v>
      </c>
      <c r="AC332" s="485"/>
    </row>
    <row r="333" spans="1:29" ht="18.75" customHeight="1">
      <c r="A333" s="490">
        <v>326</v>
      </c>
      <c r="B333" s="484" t="s">
        <v>985</v>
      </c>
      <c r="C333" s="490" t="s">
        <v>1655</v>
      </c>
      <c r="D333" s="490" t="s">
        <v>1713</v>
      </c>
      <c r="E333" s="490">
        <v>1</v>
      </c>
      <c r="F333" s="490" t="s">
        <v>1697</v>
      </c>
      <c r="G333" s="490" t="s">
        <v>1691</v>
      </c>
      <c r="H333" s="490" t="s">
        <v>968</v>
      </c>
      <c r="I333" s="489" t="s">
        <v>1714</v>
      </c>
      <c r="J333" s="489" t="s">
        <v>1715</v>
      </c>
      <c r="K333" s="488" t="s">
        <v>1608</v>
      </c>
      <c r="L333" s="484" t="s">
        <v>995</v>
      </c>
      <c r="M333" s="823" t="s">
        <v>1609</v>
      </c>
      <c r="N333" s="487" t="s">
        <v>995</v>
      </c>
      <c r="O333" s="487" t="s">
        <v>995</v>
      </c>
      <c r="P333" s="824" t="s">
        <v>1609</v>
      </c>
      <c r="Q333" s="824" t="s">
        <v>1609</v>
      </c>
      <c r="R333" s="824" t="s">
        <v>1610</v>
      </c>
      <c r="S333" s="824">
        <v>0</v>
      </c>
      <c r="T333" s="824">
        <v>1</v>
      </c>
      <c r="U333" s="824">
        <v>1</v>
      </c>
      <c r="V333" s="824" t="s">
        <v>1648</v>
      </c>
      <c r="W333" s="824" t="s">
        <v>1648</v>
      </c>
      <c r="X333" s="824" t="s">
        <v>1609</v>
      </c>
      <c r="Y333" s="486" t="s">
        <v>995</v>
      </c>
      <c r="Z333" s="486" t="s">
        <v>995</v>
      </c>
      <c r="AA333" s="485" t="s">
        <v>1712</v>
      </c>
      <c r="AB333" s="485" t="s">
        <v>1695</v>
      </c>
      <c r="AC333" s="485"/>
    </row>
    <row r="334" spans="1:29" ht="18.75" customHeight="1">
      <c r="A334" s="490">
        <v>327</v>
      </c>
      <c r="B334" s="484" t="s">
        <v>985</v>
      </c>
      <c r="C334" s="490" t="s">
        <v>1655</v>
      </c>
      <c r="D334" s="490" t="s">
        <v>1716</v>
      </c>
      <c r="E334" s="490">
        <v>1</v>
      </c>
      <c r="F334" s="490" t="s">
        <v>1701</v>
      </c>
      <c r="G334" s="490" t="s">
        <v>1691</v>
      </c>
      <c r="H334" s="490" t="s">
        <v>968</v>
      </c>
      <c r="I334" s="489" t="s">
        <v>1717</v>
      </c>
      <c r="J334" s="489" t="s">
        <v>1718</v>
      </c>
      <c r="K334" s="488" t="s">
        <v>1608</v>
      </c>
      <c r="L334" s="484" t="s">
        <v>995</v>
      </c>
      <c r="M334" s="823" t="s">
        <v>1609</v>
      </c>
      <c r="N334" s="487" t="s">
        <v>995</v>
      </c>
      <c r="O334" s="487" t="s">
        <v>995</v>
      </c>
      <c r="P334" s="824" t="s">
        <v>1609</v>
      </c>
      <c r="Q334" s="824" t="s">
        <v>1609</v>
      </c>
      <c r="R334" s="824" t="s">
        <v>1610</v>
      </c>
      <c r="S334" s="824">
        <v>0</v>
      </c>
      <c r="T334" s="824">
        <v>1</v>
      </c>
      <c r="U334" s="824">
        <v>1</v>
      </c>
      <c r="V334" s="824" t="s">
        <v>1648</v>
      </c>
      <c r="W334" s="824" t="s">
        <v>1648</v>
      </c>
      <c r="X334" s="824" t="s">
        <v>1609</v>
      </c>
      <c r="Y334" s="486" t="s">
        <v>995</v>
      </c>
      <c r="Z334" s="486" t="s">
        <v>995</v>
      </c>
      <c r="AA334" s="485" t="s">
        <v>1712</v>
      </c>
      <c r="AB334" s="485" t="s">
        <v>1695</v>
      </c>
      <c r="AC334" s="485"/>
    </row>
    <row r="335" spans="1:29" ht="18.75" customHeight="1">
      <c r="A335" s="490">
        <v>328</v>
      </c>
      <c r="B335" s="484" t="s">
        <v>985</v>
      </c>
      <c r="C335" s="490" t="s">
        <v>1655</v>
      </c>
      <c r="D335" s="490" t="s">
        <v>1719</v>
      </c>
      <c r="E335" s="490">
        <v>1</v>
      </c>
      <c r="F335" s="490" t="s">
        <v>1705</v>
      </c>
      <c r="G335" s="490" t="s">
        <v>1691</v>
      </c>
      <c r="H335" s="490" t="s">
        <v>968</v>
      </c>
      <c r="I335" s="489" t="s">
        <v>1720</v>
      </c>
      <c r="J335" s="489" t="s">
        <v>1721</v>
      </c>
      <c r="K335" s="488" t="s">
        <v>1608</v>
      </c>
      <c r="L335" s="484" t="s">
        <v>995</v>
      </c>
      <c r="M335" s="823" t="s">
        <v>1609</v>
      </c>
      <c r="N335" s="487" t="s">
        <v>995</v>
      </c>
      <c r="O335" s="487" t="s">
        <v>995</v>
      </c>
      <c r="P335" s="824" t="s">
        <v>1609</v>
      </c>
      <c r="Q335" s="824" t="s">
        <v>1609</v>
      </c>
      <c r="R335" s="824" t="s">
        <v>1610</v>
      </c>
      <c r="S335" s="824">
        <v>0</v>
      </c>
      <c r="T335" s="824">
        <v>0</v>
      </c>
      <c r="U335" s="824">
        <v>1</v>
      </c>
      <c r="V335" s="824" t="s">
        <v>1648</v>
      </c>
      <c r="W335" s="824" t="s">
        <v>1648</v>
      </c>
      <c r="X335" s="824" t="s">
        <v>1609</v>
      </c>
      <c r="Y335" s="486" t="s">
        <v>995</v>
      </c>
      <c r="Z335" s="486" t="s">
        <v>995</v>
      </c>
      <c r="AA335" s="485" t="s">
        <v>1712</v>
      </c>
      <c r="AB335" s="485" t="s">
        <v>1695</v>
      </c>
      <c r="AC335" s="485"/>
    </row>
    <row r="336" spans="1:29" ht="18.75" customHeight="1">
      <c r="A336" s="490">
        <v>329</v>
      </c>
      <c r="B336" s="484" t="s">
        <v>985</v>
      </c>
      <c r="C336" s="490" t="s">
        <v>1722</v>
      </c>
      <c r="D336" s="490" t="s">
        <v>1723</v>
      </c>
      <c r="E336" s="490">
        <v>1</v>
      </c>
      <c r="F336" s="490" t="s">
        <v>1724</v>
      </c>
      <c r="G336" s="490" t="s">
        <v>1725</v>
      </c>
      <c r="H336" s="490" t="s">
        <v>968</v>
      </c>
      <c r="I336" s="489" t="s">
        <v>1726</v>
      </c>
      <c r="J336" s="489" t="s">
        <v>1727</v>
      </c>
      <c r="K336" s="488" t="s">
        <v>1608</v>
      </c>
      <c r="L336" s="484" t="s">
        <v>995</v>
      </c>
      <c r="M336" s="823" t="s">
        <v>1609</v>
      </c>
      <c r="N336" s="487" t="s">
        <v>995</v>
      </c>
      <c r="O336" s="487" t="s">
        <v>995</v>
      </c>
      <c r="P336" s="824" t="s">
        <v>1609</v>
      </c>
      <c r="Q336" s="824" t="s">
        <v>1609</v>
      </c>
      <c r="R336" s="824" t="s">
        <v>1728</v>
      </c>
      <c r="S336" s="824">
        <v>1</v>
      </c>
      <c r="T336" s="824">
        <v>1</v>
      </c>
      <c r="U336" s="824">
        <v>1</v>
      </c>
      <c r="V336" s="824" t="s">
        <v>1729</v>
      </c>
      <c r="W336" s="824" t="s">
        <v>1730</v>
      </c>
      <c r="X336" s="824" t="s">
        <v>1609</v>
      </c>
      <c r="Y336" s="486" t="s">
        <v>995</v>
      </c>
      <c r="Z336" s="486" t="s">
        <v>995</v>
      </c>
      <c r="AA336" s="485" t="s">
        <v>1731</v>
      </c>
      <c r="AB336" s="485" t="s">
        <v>1732</v>
      </c>
      <c r="AC336" s="485"/>
    </row>
    <row r="337" spans="1:11" ht="35.1" customHeight="1">
      <c r="A337" s="657">
        <v>330</v>
      </c>
      <c r="B337" s="484" t="s">
        <v>985</v>
      </c>
      <c r="C337" s="658" t="s">
        <v>1725</v>
      </c>
      <c r="D337" s="657" t="s">
        <v>968</v>
      </c>
      <c r="E337" s="659" t="s">
        <v>1733</v>
      </c>
      <c r="F337" s="658" t="s">
        <v>1734</v>
      </c>
      <c r="G337" s="657" t="s">
        <v>1608</v>
      </c>
      <c r="H337" s="657"/>
      <c r="I337" s="657"/>
      <c r="J337" s="657"/>
      <c r="K337" s="656"/>
    </row>
  </sheetData>
  <printOptions horizontalCentered="1"/>
  <pageMargins left="0.7" right="0.7" top="0.75" bottom="0.75" header="0.3" footer="0.3"/>
  <pageSetup scale="32" fitToHeight="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7RCVYNPDDY4V-828425379-621</_dlc_DocId>
    <_dlc_DocIdUrl xmlns="9bf079a2-8838-46e4-a25e-754293e27338">
      <Url>https://sempra.sharepoint.com/teams/sdgecp/po/nreep/_layouts/15/DocIdRedir.aspx?ID=7RCVYNPDDY4V-828425379-621</Url>
      <Description>7RCVYNPDDY4V-828425379-621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A5E7C029F9A04CA6E66F2D7945FE57" ma:contentTypeVersion="6271" ma:contentTypeDescription="Create a new document." ma:contentTypeScope="" ma:versionID="1e7be8822e3f62b7cc0317f7cca97476">
  <xsd:schema xmlns:xsd="http://www.w3.org/2001/XMLSchema" xmlns:xs="http://www.w3.org/2001/XMLSchema" xmlns:p="http://schemas.microsoft.com/office/2006/metadata/properties" xmlns:ns2="9bf079a2-8838-46e4-a25e-754293e27338" xmlns:ns3="43aed84c-a257-43bc-a7a9-4021816ac867" targetNamespace="http://schemas.microsoft.com/office/2006/metadata/properties" ma:root="true" ma:fieldsID="2a4d10f24b3ae640263f01a71b5fc67e" ns2:_="" ns3:_="">
    <xsd:import namespace="9bf079a2-8838-46e4-a25e-754293e27338"/>
    <xsd:import namespace="43aed84c-a257-43bc-a7a9-4021816ac86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aed84c-a257-43bc-a7a9-4021816ac8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C614E2-92FA-457C-84CF-E5112FFC73BD}">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43aed84c-a257-43bc-a7a9-4021816ac867"/>
    <ds:schemaRef ds:uri="http://purl.org/dc/dcmitype/"/>
    <ds:schemaRef ds:uri="9bf079a2-8838-46e4-a25e-754293e27338"/>
    <ds:schemaRef ds:uri="http://www.w3.org/XML/1998/namespace"/>
  </ds:schemaRefs>
</ds:datastoreItem>
</file>

<file path=customXml/itemProps2.xml><?xml version="1.0" encoding="utf-8"?>
<ds:datastoreItem xmlns:ds="http://schemas.openxmlformats.org/officeDocument/2006/customXml" ds:itemID="{941F1D1C-33D8-4DB2-88D0-353F0D578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43aed84c-a257-43bc-a7a9-4021816ac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EE21C-712C-4F46-A870-85D0B8F58495}">
  <ds:schemaRefs>
    <ds:schemaRef ds:uri="http://schemas.microsoft.com/sharepoint/v3/contenttype/forms"/>
  </ds:schemaRefs>
</ds:datastoreItem>
</file>

<file path=customXml/itemProps4.xml><?xml version="1.0" encoding="utf-8"?>
<ds:datastoreItem xmlns:ds="http://schemas.openxmlformats.org/officeDocument/2006/customXml" ds:itemID="{91143565-A9CA-4E2E-820F-A925E717FE9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README</vt:lpstr>
      <vt:lpstr>Instructions Tab 4.1</vt:lpstr>
      <vt:lpstr>0 Validations</vt:lpstr>
      <vt:lpstr>1 Bill Payer Impacts-IOU Only </vt:lpstr>
      <vt:lpstr>2 Rates Rev- IOU Only</vt:lpstr>
      <vt:lpstr>3 Funding Source</vt:lpstr>
      <vt:lpstr>4 Program Budget</vt:lpstr>
      <vt:lpstr>4.1 Program Changes</vt:lpstr>
      <vt:lpstr>5 Commitments</vt:lpstr>
      <vt:lpstr>6 StatewidePgms</vt:lpstr>
      <vt:lpstr>7 PA PY budget_savings</vt:lpstr>
      <vt:lpstr>8 Cap &amp; Target</vt:lpstr>
      <vt:lpstr>Functions Definitions</vt:lpstr>
      <vt:lpstr>9 Portfolio Summary</vt:lpstr>
      <vt:lpstr>10 Portfolio FTE</vt:lpstr>
      <vt:lpstr>11 Residential</vt:lpstr>
      <vt:lpstr>12 Commercial</vt:lpstr>
      <vt:lpstr>13 Industrial</vt:lpstr>
      <vt:lpstr>14 Agricultural</vt:lpstr>
      <vt:lpstr>15 Public Sector</vt:lpstr>
      <vt:lpstr>16 Cross Cutting</vt:lpstr>
      <vt:lpstr>17 BP Metrics</vt:lpstr>
      <vt:lpstr>PA_NAME</vt:lpstr>
      <vt:lpstr>'1 Bill Payer Impacts-IOU Only '!Print_Area</vt:lpstr>
      <vt:lpstr>'10 Portfolio FTE'!Print_Area</vt:lpstr>
      <vt:lpstr>'11 Residential'!Print_Area</vt:lpstr>
      <vt:lpstr>'12 Commercial'!Print_Area</vt:lpstr>
      <vt:lpstr>'13 Industrial'!Print_Area</vt:lpstr>
      <vt:lpstr>'14 Agricultural'!Print_Area</vt:lpstr>
      <vt:lpstr>'15 Public Sector'!Print_Area</vt:lpstr>
      <vt:lpstr>'16 Cross Cutting'!Print_Area</vt:lpstr>
      <vt:lpstr>'2 Rates Rev- IOU Only'!Print_Area</vt:lpstr>
      <vt:lpstr>'3 Funding Source'!Print_Area</vt:lpstr>
      <vt:lpstr>'4 Program Budget'!Print_Area</vt:lpstr>
      <vt:lpstr>'4.1 Program Changes'!Print_Area</vt:lpstr>
      <vt:lpstr>'5 Commitments'!Print_Area</vt:lpstr>
      <vt:lpstr>'6 StatewidePgms'!Print_Area</vt:lpstr>
      <vt:lpstr>'7 PA PY budget_savings'!Print_Area</vt:lpstr>
      <vt:lpstr>'8 Cap &amp; Target'!Print_Area</vt:lpstr>
      <vt:lpstr>'9 Portfolio Summary'!Print_Area</vt:lpstr>
      <vt:lpstr>'Functions Definitions'!Print_Area</vt:lpstr>
      <vt:lpstr>'17 BP Metrics'!Print_Titles</vt:lpstr>
      <vt:lpstr>'4 Program Budget'!Print_Titles</vt:lpstr>
      <vt:lpstr>RPT_YEAR</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Allyn, Elaine E</cp:lastModifiedBy>
  <cp:revision/>
  <dcterms:created xsi:type="dcterms:W3CDTF">2017-07-18T23:45:09Z</dcterms:created>
  <dcterms:modified xsi:type="dcterms:W3CDTF">2022-01-05T21:07:00Z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0x01010032A5E7C029F9A04CA6E66F2D7945FE57</vt:lpwstr>
  </property>
  <property fmtid="{D5CDD505-2E9C-101B-9397-08002B2CF9AE}" pid="3" name="_dlc_DocIdItemGuid">
    <vt:lpwstr>ad71f62d-31c2-4a4f-b853-1c36bafee8f6</vt:lpwstr>
  </property>
</Properties>
</file>