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Commodity\ERRA related filings\PCIA\PCIA OIR\MPB - 2022\04 - Energy Index MPB Proposals (5.27.22)\Public Workpapers\"/>
    </mc:Choice>
  </mc:AlternateContent>
  <xr:revisionPtr revIDLastSave="0" documentId="13_ncr:1_{8389376E-E943-4003-B1FE-27C49A4A6A2F}" xr6:coauthVersionLast="47" xr6:coauthVersionMax="47" xr10:uidLastSave="{00000000-0000-0000-0000-000000000000}"/>
  <bookViews>
    <workbookView xWindow="-120" yWindow="-120" windowWidth="29040" windowHeight="15840" tabRatio="757" firstSheet="1" activeTab="7" xr2:uid="{00000000-000D-0000-FFFF-FFFF00000000}"/>
  </bookViews>
  <sheets>
    <sheet name="PCIA Inputs" sheetId="1" r:id="rId1"/>
    <sheet name="IOU Total Portfolio Summary" sheetId="2" r:id="rId2"/>
    <sheet name="Indifference Amount Calc" sheetId="8" r:id="rId3"/>
    <sheet name="Indifference Rate Calc" sheetId="11" r:id="rId4"/>
    <sheet name="Indifference Rate Calc_ERRA BA" sheetId="21" r:id="rId5"/>
    <sheet name="CAPBA Undercollection" sheetId="19" r:id="rId6"/>
    <sheet name="CAPBA Overcollection" sheetId="20" r:id="rId7"/>
    <sheet name="Breakout of PCIA Rates" sheetId="14" r:id="rId8"/>
    <sheet name="Final PCIA Rates" sheetId="1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A" localSheetId="6">'[1]Total GHG Cost'!#REF!</definedName>
    <definedName name="A" localSheetId="5">'[1]Total GHG Cost'!#REF!</definedName>
    <definedName name="A" localSheetId="4">'[1]Total GHG Cost'!#REF!</definedName>
    <definedName name="A">'[1]Total GHG Cost'!#REF!</definedName>
    <definedName name="AccCshTgl">[2]NonAvoidDat!$D$6</definedName>
    <definedName name="ActualMo">[3]Npt!$E$14</definedName>
    <definedName name="BOT">#REF!</definedName>
    <definedName name="ComAFUDC">[4]AFUDC!$D$5</definedName>
    <definedName name="ComName">'[5]FormList&amp;FilerInfo'!$B$2</definedName>
    <definedName name="CoName">'[6]FormList&amp;FilerInfo'!$B$2</definedName>
    <definedName name="Data3.4">#REF!</definedName>
    <definedName name="dddd">[7]Level2!$K$2</definedName>
    <definedName name="filedate">#REF!</definedName>
    <definedName name="Holiday">#REF!</definedName>
    <definedName name="InvoiceType">[8]Level2!$K$2</definedName>
    <definedName name="PvyOtherPct">[3]Npt!$D$9:$E$11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U23AFUDC">[4]AFUDC!$D$4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8" i="8" l="1"/>
  <c r="AD36" i="8"/>
  <c r="AD27" i="8"/>
  <c r="AD25" i="8"/>
  <c r="AD22" i="8"/>
  <c r="AD13" i="8"/>
  <c r="AD12" i="8"/>
  <c r="AD11" i="8"/>
  <c r="AD10" i="8"/>
  <c r="AD9" i="8"/>
  <c r="AD20" i="8"/>
  <c r="C17" i="21"/>
  <c r="B11" i="21" l="1"/>
  <c r="C21" i="21"/>
  <c r="C20" i="21"/>
  <c r="C19" i="21"/>
  <c r="C18" i="21"/>
  <c r="D22" i="21"/>
  <c r="W4" i="21"/>
  <c r="W36" i="21" s="1"/>
  <c r="X4" i="21" l="1"/>
  <c r="W26" i="21"/>
  <c r="W16" i="21"/>
  <c r="X36" i="21"/>
  <c r="X26" i="21"/>
  <c r="X16" i="21"/>
  <c r="D6" i="21"/>
  <c r="C6" i="21"/>
  <c r="C37" i="21" s="1"/>
  <c r="B74" i="14" s="1"/>
  <c r="C8" i="21"/>
  <c r="C39" i="21" s="1"/>
  <c r="B76" i="14" s="1"/>
  <c r="D8" i="21"/>
  <c r="C22" i="21"/>
  <c r="D7" i="21"/>
  <c r="C7" i="21"/>
  <c r="C38" i="21" s="1"/>
  <c r="B75" i="14" s="1"/>
  <c r="C9" i="21"/>
  <c r="C40" i="21" s="1"/>
  <c r="B77" i="14" s="1"/>
  <c r="D9" i="21"/>
  <c r="D10" i="21"/>
  <c r="B22" i="21"/>
  <c r="C10" i="21"/>
  <c r="C41" i="21" s="1"/>
  <c r="B78" i="14" s="1"/>
  <c r="S40" i="21" l="1"/>
  <c r="R77" i="14" s="1"/>
  <c r="O40" i="21"/>
  <c r="N77" i="14" s="1"/>
  <c r="K40" i="21"/>
  <c r="J77" i="14" s="1"/>
  <c r="G40" i="21"/>
  <c r="F77" i="14" s="1"/>
  <c r="V40" i="21"/>
  <c r="U77" i="14" s="1"/>
  <c r="R40" i="21"/>
  <c r="Q77" i="14" s="1"/>
  <c r="N40" i="21"/>
  <c r="M77" i="14" s="1"/>
  <c r="J40" i="21"/>
  <c r="I77" i="14" s="1"/>
  <c r="F40" i="21"/>
  <c r="E77" i="14" s="1"/>
  <c r="U40" i="21"/>
  <c r="T77" i="14" s="1"/>
  <c r="M40" i="21"/>
  <c r="L77" i="14" s="1"/>
  <c r="E40" i="21"/>
  <c r="D77" i="14" s="1"/>
  <c r="I40" i="21"/>
  <c r="H77" i="14" s="1"/>
  <c r="H40" i="21"/>
  <c r="G77" i="14" s="1"/>
  <c r="T40" i="21"/>
  <c r="S77" i="14" s="1"/>
  <c r="L40" i="21"/>
  <c r="K77" i="14" s="1"/>
  <c r="D40" i="21"/>
  <c r="C77" i="14" s="1"/>
  <c r="Q40" i="21"/>
  <c r="P77" i="14" s="1"/>
  <c r="P40" i="21"/>
  <c r="O77" i="14" s="1"/>
  <c r="T37" i="21"/>
  <c r="S74" i="14" s="1"/>
  <c r="P37" i="21"/>
  <c r="O74" i="14" s="1"/>
  <c r="L37" i="21"/>
  <c r="K74" i="14" s="1"/>
  <c r="H37" i="21"/>
  <c r="G74" i="14" s="1"/>
  <c r="D37" i="21"/>
  <c r="C74" i="14" s="1"/>
  <c r="S37" i="21"/>
  <c r="R74" i="14" s="1"/>
  <c r="O37" i="21"/>
  <c r="N74" i="14" s="1"/>
  <c r="K37" i="21"/>
  <c r="J74" i="14" s="1"/>
  <c r="G37" i="21"/>
  <c r="F74" i="14" s="1"/>
  <c r="R37" i="21"/>
  <c r="Q74" i="14" s="1"/>
  <c r="J37" i="21"/>
  <c r="I74" i="14" s="1"/>
  <c r="N37" i="21"/>
  <c r="M74" i="14" s="1"/>
  <c r="M37" i="21"/>
  <c r="L74" i="14" s="1"/>
  <c r="Q37" i="21"/>
  <c r="P74" i="14" s="1"/>
  <c r="I37" i="21"/>
  <c r="H74" i="14" s="1"/>
  <c r="V37" i="21"/>
  <c r="U74" i="14" s="1"/>
  <c r="F37" i="21"/>
  <c r="E74" i="14" s="1"/>
  <c r="U37" i="21"/>
  <c r="T74" i="14" s="1"/>
  <c r="E37" i="21"/>
  <c r="D74" i="14" s="1"/>
  <c r="T41" i="21"/>
  <c r="S78" i="14" s="1"/>
  <c r="P41" i="21"/>
  <c r="O78" i="14" s="1"/>
  <c r="L41" i="21"/>
  <c r="K78" i="14" s="1"/>
  <c r="H41" i="21"/>
  <c r="G78" i="14" s="1"/>
  <c r="D41" i="21"/>
  <c r="C78" i="14" s="1"/>
  <c r="S41" i="21"/>
  <c r="R78" i="14" s="1"/>
  <c r="O41" i="21"/>
  <c r="N78" i="14" s="1"/>
  <c r="K41" i="21"/>
  <c r="J78" i="14" s="1"/>
  <c r="G41" i="21"/>
  <c r="F78" i="14" s="1"/>
  <c r="V41" i="21"/>
  <c r="U78" i="14" s="1"/>
  <c r="N41" i="21"/>
  <c r="M78" i="14" s="1"/>
  <c r="F41" i="21"/>
  <c r="E78" i="14" s="1"/>
  <c r="R41" i="21"/>
  <c r="Q78" i="14" s="1"/>
  <c r="Q41" i="21"/>
  <c r="P78" i="14" s="1"/>
  <c r="U41" i="21"/>
  <c r="T78" i="14" s="1"/>
  <c r="M41" i="21"/>
  <c r="L78" i="14" s="1"/>
  <c r="E41" i="21"/>
  <c r="D78" i="14" s="1"/>
  <c r="J41" i="21"/>
  <c r="I78" i="14" s="1"/>
  <c r="I41" i="21"/>
  <c r="H78" i="14" s="1"/>
  <c r="U38" i="21"/>
  <c r="T75" i="14" s="1"/>
  <c r="Q38" i="21"/>
  <c r="P75" i="14" s="1"/>
  <c r="M38" i="21"/>
  <c r="L75" i="14" s="1"/>
  <c r="I38" i="21"/>
  <c r="H75" i="14" s="1"/>
  <c r="E38" i="21"/>
  <c r="D75" i="14" s="1"/>
  <c r="T38" i="21"/>
  <c r="S75" i="14" s="1"/>
  <c r="P38" i="21"/>
  <c r="O75" i="14" s="1"/>
  <c r="L38" i="21"/>
  <c r="K75" i="14" s="1"/>
  <c r="H38" i="21"/>
  <c r="G75" i="14" s="1"/>
  <c r="D38" i="21"/>
  <c r="C75" i="14" s="1"/>
  <c r="S38" i="21"/>
  <c r="R75" i="14" s="1"/>
  <c r="K38" i="21"/>
  <c r="J75" i="14" s="1"/>
  <c r="G38" i="21"/>
  <c r="F75" i="14" s="1"/>
  <c r="V38" i="21"/>
  <c r="U75" i="14" s="1"/>
  <c r="F38" i="21"/>
  <c r="E75" i="14" s="1"/>
  <c r="R38" i="21"/>
  <c r="Q75" i="14" s="1"/>
  <c r="J38" i="21"/>
  <c r="I75" i="14" s="1"/>
  <c r="O38" i="21"/>
  <c r="N75" i="14" s="1"/>
  <c r="N38" i="21"/>
  <c r="M75" i="14" s="1"/>
  <c r="V39" i="21"/>
  <c r="U76" i="14" s="1"/>
  <c r="R39" i="21"/>
  <c r="Q76" i="14" s="1"/>
  <c r="N39" i="21"/>
  <c r="M76" i="14" s="1"/>
  <c r="J39" i="21"/>
  <c r="I76" i="14" s="1"/>
  <c r="F39" i="21"/>
  <c r="E76" i="14" s="1"/>
  <c r="U39" i="21"/>
  <c r="T76" i="14" s="1"/>
  <c r="Q39" i="21"/>
  <c r="P76" i="14" s="1"/>
  <c r="M39" i="21"/>
  <c r="L76" i="14" s="1"/>
  <c r="I39" i="21"/>
  <c r="H76" i="14" s="1"/>
  <c r="E39" i="21"/>
  <c r="D76" i="14" s="1"/>
  <c r="T39" i="21"/>
  <c r="S76" i="14" s="1"/>
  <c r="L39" i="21"/>
  <c r="K76" i="14" s="1"/>
  <c r="D39" i="21"/>
  <c r="C76" i="14" s="1"/>
  <c r="P39" i="21"/>
  <c r="O76" i="14" s="1"/>
  <c r="O39" i="21"/>
  <c r="N76" i="14" s="1"/>
  <c r="S39" i="21"/>
  <c r="R76" i="14" s="1"/>
  <c r="K39" i="21"/>
  <c r="J76" i="14" s="1"/>
  <c r="H39" i="21"/>
  <c r="G76" i="14" s="1"/>
  <c r="G39" i="21"/>
  <c r="F76" i="14" s="1"/>
  <c r="D11" i="21"/>
  <c r="C11" i="21"/>
  <c r="C42" i="21" s="1"/>
  <c r="B79" i="14" s="1"/>
  <c r="U42" i="21" l="1"/>
  <c r="T79" i="14" s="1"/>
  <c r="Q42" i="21"/>
  <c r="P79" i="14" s="1"/>
  <c r="M42" i="21"/>
  <c r="L79" i="14" s="1"/>
  <c r="I42" i="21"/>
  <c r="H79" i="14" s="1"/>
  <c r="E42" i="21"/>
  <c r="D79" i="14" s="1"/>
  <c r="T42" i="21"/>
  <c r="S79" i="14" s="1"/>
  <c r="P42" i="21"/>
  <c r="O79" i="14" s="1"/>
  <c r="L42" i="21"/>
  <c r="K79" i="14" s="1"/>
  <c r="H42" i="21"/>
  <c r="G79" i="14" s="1"/>
  <c r="D42" i="21"/>
  <c r="C79" i="14" s="1"/>
  <c r="O42" i="21"/>
  <c r="N79" i="14" s="1"/>
  <c r="G42" i="21"/>
  <c r="F79" i="14" s="1"/>
  <c r="S42" i="21"/>
  <c r="R79" i="14" s="1"/>
  <c r="J42" i="21"/>
  <c r="I79" i="14" s="1"/>
  <c r="V42" i="21"/>
  <c r="U79" i="14" s="1"/>
  <c r="N42" i="21"/>
  <c r="M79" i="14" s="1"/>
  <c r="F42" i="21"/>
  <c r="E79" i="14" s="1"/>
  <c r="K42" i="21"/>
  <c r="J79" i="14" s="1"/>
  <c r="R42" i="21"/>
  <c r="Q79" i="14" s="1"/>
  <c r="W37" i="21" l="1"/>
  <c r="V74" i="14" s="1"/>
  <c r="W38" i="21"/>
  <c r="V75" i="14" s="1"/>
  <c r="W41" i="21"/>
  <c r="V78" i="14" s="1"/>
  <c r="W42" i="21"/>
  <c r="V79" i="14" s="1"/>
  <c r="W40" i="21"/>
  <c r="V77" i="14" s="1"/>
  <c r="Y39" i="21"/>
  <c r="X76" i="14" s="1"/>
  <c r="X41" i="21"/>
  <c r="W78" i="14" s="1"/>
  <c r="X37" i="21"/>
  <c r="W74" i="14" s="1"/>
  <c r="X38" i="21"/>
  <c r="W75" i="14" s="1"/>
  <c r="X40" i="21"/>
  <c r="W77" i="14" s="1"/>
  <c r="Y42" i="21"/>
  <c r="X79" i="14" s="1"/>
  <c r="W39" i="21"/>
  <c r="V76" i="14" s="1"/>
  <c r="Y37" i="21" l="1"/>
  <c r="X74" i="14" s="1"/>
  <c r="X39" i="21"/>
  <c r="W76" i="14" s="1"/>
  <c r="Y40" i="21"/>
  <c r="X77" i="14" s="1"/>
  <c r="X42" i="21"/>
  <c r="W79" i="14" s="1"/>
  <c r="Y38" i="21"/>
  <c r="X75" i="14" s="1"/>
  <c r="Y41" i="21"/>
  <c r="X78" i="14" s="1"/>
  <c r="B11" i="19" l="1"/>
  <c r="B11" i="20" l="1"/>
  <c r="C5" i="20" l="1"/>
  <c r="C5" i="19"/>
  <c r="C21" i="20" l="1"/>
  <c r="C20" i="20"/>
  <c r="C19" i="20"/>
  <c r="C18" i="20"/>
  <c r="C17" i="20"/>
  <c r="C21" i="19"/>
  <c r="C20" i="19"/>
  <c r="C19" i="19"/>
  <c r="C18" i="19"/>
  <c r="C17" i="19"/>
  <c r="W4" i="20"/>
  <c r="W26" i="20" s="1"/>
  <c r="W4" i="19"/>
  <c r="C22" i="19" l="1"/>
  <c r="B22" i="19"/>
  <c r="C22" i="20"/>
  <c r="B22" i="20"/>
  <c r="W36" i="19"/>
  <c r="W26" i="19"/>
  <c r="X4" i="19"/>
  <c r="W16" i="19"/>
  <c r="C6" i="19"/>
  <c r="C37" i="19" s="1"/>
  <c r="B52" i="14" s="1"/>
  <c r="C7" i="19"/>
  <c r="C38" i="19" s="1"/>
  <c r="B53" i="14" s="1"/>
  <c r="C8" i="19"/>
  <c r="C39" i="19" s="1"/>
  <c r="B54" i="14" s="1"/>
  <c r="C9" i="19"/>
  <c r="C40" i="19" s="1"/>
  <c r="B55" i="14" s="1"/>
  <c r="C10" i="19"/>
  <c r="C41" i="19" s="1"/>
  <c r="B56" i="14" s="1"/>
  <c r="X4" i="20"/>
  <c r="W16" i="20"/>
  <c r="W36" i="20"/>
  <c r="C6" i="20"/>
  <c r="C27" i="20" s="1"/>
  <c r="C37" i="20" s="1"/>
  <c r="B63" i="14" s="1"/>
  <c r="C7" i="20"/>
  <c r="C28" i="20" s="1"/>
  <c r="C38" i="20" s="1"/>
  <c r="B64" i="14" s="1"/>
  <c r="C8" i="20"/>
  <c r="C29" i="20" s="1"/>
  <c r="C39" i="20" s="1"/>
  <c r="B65" i="14" s="1"/>
  <c r="C9" i="20"/>
  <c r="C30" i="20" s="1"/>
  <c r="C40" i="20" s="1"/>
  <c r="B66" i="14" s="1"/>
  <c r="C10" i="20"/>
  <c r="C31" i="20" s="1"/>
  <c r="C41" i="20" s="1"/>
  <c r="B67" i="14" s="1"/>
  <c r="F41" i="20" l="1"/>
  <c r="E67" i="14" s="1"/>
  <c r="J41" i="20"/>
  <c r="I67" i="14" s="1"/>
  <c r="N41" i="20"/>
  <c r="M67" i="14" s="1"/>
  <c r="R41" i="20"/>
  <c r="Q67" i="14" s="1"/>
  <c r="V41" i="20"/>
  <c r="U67" i="14" s="1"/>
  <c r="D41" i="20"/>
  <c r="C67" i="14" s="1"/>
  <c r="L41" i="20"/>
  <c r="K67" i="14" s="1"/>
  <c r="T41" i="20"/>
  <c r="S67" i="14" s="1"/>
  <c r="G41" i="20"/>
  <c r="F67" i="14" s="1"/>
  <c r="K41" i="20"/>
  <c r="J67" i="14" s="1"/>
  <c r="O41" i="20"/>
  <c r="N67" i="14" s="1"/>
  <c r="S41" i="20"/>
  <c r="R67" i="14" s="1"/>
  <c r="W41" i="20"/>
  <c r="V67" i="14" s="1"/>
  <c r="H41" i="20"/>
  <c r="G67" i="14" s="1"/>
  <c r="P41" i="20"/>
  <c r="O67" i="14" s="1"/>
  <c r="Q41" i="20"/>
  <c r="P67" i="14" s="1"/>
  <c r="U41" i="20"/>
  <c r="T67" i="14" s="1"/>
  <c r="E41" i="20"/>
  <c r="D67" i="14" s="1"/>
  <c r="I41" i="20"/>
  <c r="H67" i="14" s="1"/>
  <c r="M41" i="20"/>
  <c r="L67" i="14" s="1"/>
  <c r="F39" i="20"/>
  <c r="E65" i="14" s="1"/>
  <c r="J39" i="20"/>
  <c r="I65" i="14" s="1"/>
  <c r="N39" i="20"/>
  <c r="M65" i="14" s="1"/>
  <c r="R39" i="20"/>
  <c r="Q65" i="14" s="1"/>
  <c r="V39" i="20"/>
  <c r="U65" i="14" s="1"/>
  <c r="D39" i="20"/>
  <c r="C65" i="14" s="1"/>
  <c r="L39" i="20"/>
  <c r="K65" i="14" s="1"/>
  <c r="T39" i="20"/>
  <c r="S65" i="14" s="1"/>
  <c r="G39" i="20"/>
  <c r="F65" i="14" s="1"/>
  <c r="K39" i="20"/>
  <c r="J65" i="14" s="1"/>
  <c r="O39" i="20"/>
  <c r="N65" i="14" s="1"/>
  <c r="S39" i="20"/>
  <c r="R65" i="14" s="1"/>
  <c r="W39" i="20"/>
  <c r="V65" i="14" s="1"/>
  <c r="H39" i="20"/>
  <c r="G65" i="14" s="1"/>
  <c r="P39" i="20"/>
  <c r="O65" i="14" s="1"/>
  <c r="I39" i="20"/>
  <c r="H65" i="14" s="1"/>
  <c r="E39" i="20"/>
  <c r="D65" i="14" s="1"/>
  <c r="M39" i="20"/>
  <c r="L65" i="14" s="1"/>
  <c r="Q39" i="20"/>
  <c r="P65" i="14" s="1"/>
  <c r="U39" i="20"/>
  <c r="T65" i="14" s="1"/>
  <c r="F38" i="20"/>
  <c r="E64" i="14" s="1"/>
  <c r="J38" i="20"/>
  <c r="I64" i="14" s="1"/>
  <c r="N38" i="20"/>
  <c r="M64" i="14" s="1"/>
  <c r="R38" i="20"/>
  <c r="Q64" i="14" s="1"/>
  <c r="V38" i="20"/>
  <c r="U64" i="14" s="1"/>
  <c r="H38" i="20"/>
  <c r="G64" i="14" s="1"/>
  <c r="P38" i="20"/>
  <c r="O64" i="14" s="1"/>
  <c r="G38" i="20"/>
  <c r="F64" i="14" s="1"/>
  <c r="K38" i="20"/>
  <c r="J64" i="14" s="1"/>
  <c r="O38" i="20"/>
  <c r="N64" i="14" s="1"/>
  <c r="S38" i="20"/>
  <c r="R64" i="14" s="1"/>
  <c r="W38" i="20"/>
  <c r="V64" i="14" s="1"/>
  <c r="D38" i="20"/>
  <c r="C64" i="14" s="1"/>
  <c r="L38" i="20"/>
  <c r="K64" i="14" s="1"/>
  <c r="T38" i="20"/>
  <c r="S64" i="14" s="1"/>
  <c r="M38" i="20"/>
  <c r="L64" i="14" s="1"/>
  <c r="U38" i="20"/>
  <c r="T64" i="14" s="1"/>
  <c r="Q38" i="20"/>
  <c r="P64" i="14" s="1"/>
  <c r="E38" i="20"/>
  <c r="D64" i="14" s="1"/>
  <c r="I38" i="20"/>
  <c r="H64" i="14" s="1"/>
  <c r="F37" i="20"/>
  <c r="E63" i="14" s="1"/>
  <c r="J37" i="20"/>
  <c r="I63" i="14" s="1"/>
  <c r="N37" i="20"/>
  <c r="M63" i="14" s="1"/>
  <c r="R37" i="20"/>
  <c r="Q63" i="14" s="1"/>
  <c r="V37" i="20"/>
  <c r="U63" i="14" s="1"/>
  <c r="L37" i="20"/>
  <c r="K63" i="14" s="1"/>
  <c r="T37" i="20"/>
  <c r="S63" i="14" s="1"/>
  <c r="G37" i="20"/>
  <c r="F63" i="14" s="1"/>
  <c r="K37" i="20"/>
  <c r="J63" i="14" s="1"/>
  <c r="O37" i="20"/>
  <c r="N63" i="14" s="1"/>
  <c r="S37" i="20"/>
  <c r="R63" i="14" s="1"/>
  <c r="W37" i="20"/>
  <c r="V63" i="14" s="1"/>
  <c r="D37" i="20"/>
  <c r="C63" i="14" s="1"/>
  <c r="H37" i="20"/>
  <c r="G63" i="14" s="1"/>
  <c r="P37" i="20"/>
  <c r="O63" i="14" s="1"/>
  <c r="Q37" i="20"/>
  <c r="P63" i="14" s="1"/>
  <c r="I37" i="20"/>
  <c r="H63" i="14" s="1"/>
  <c r="M37" i="20"/>
  <c r="L63" i="14" s="1"/>
  <c r="E37" i="20"/>
  <c r="D63" i="14" s="1"/>
  <c r="U37" i="20"/>
  <c r="T63" i="14" s="1"/>
  <c r="F40" i="20"/>
  <c r="E66" i="14" s="1"/>
  <c r="J40" i="20"/>
  <c r="I66" i="14" s="1"/>
  <c r="N40" i="20"/>
  <c r="M66" i="14" s="1"/>
  <c r="R40" i="20"/>
  <c r="Q66" i="14" s="1"/>
  <c r="V40" i="20"/>
  <c r="U66" i="14" s="1"/>
  <c r="H40" i="20"/>
  <c r="G66" i="14" s="1"/>
  <c r="P40" i="20"/>
  <c r="O66" i="14" s="1"/>
  <c r="G40" i="20"/>
  <c r="F66" i="14" s="1"/>
  <c r="K40" i="20"/>
  <c r="J66" i="14" s="1"/>
  <c r="O40" i="20"/>
  <c r="N66" i="14" s="1"/>
  <c r="S40" i="20"/>
  <c r="R66" i="14" s="1"/>
  <c r="W40" i="20"/>
  <c r="V66" i="14" s="1"/>
  <c r="D40" i="20"/>
  <c r="C66" i="14" s="1"/>
  <c r="L40" i="20"/>
  <c r="K66" i="14" s="1"/>
  <c r="T40" i="20"/>
  <c r="S66" i="14" s="1"/>
  <c r="E40" i="20"/>
  <c r="D66" i="14" s="1"/>
  <c r="U40" i="20"/>
  <c r="T66" i="14" s="1"/>
  <c r="I40" i="20"/>
  <c r="H66" i="14" s="1"/>
  <c r="M40" i="20"/>
  <c r="L66" i="14" s="1"/>
  <c r="Q40" i="20"/>
  <c r="P66" i="14" s="1"/>
  <c r="C11" i="20"/>
  <c r="C32" i="20" s="1"/>
  <c r="C42" i="20" s="1"/>
  <c r="B68" i="14" s="1"/>
  <c r="C11" i="19"/>
  <c r="C42" i="19" s="1"/>
  <c r="B57" i="14" s="1"/>
  <c r="X36" i="19"/>
  <c r="X26" i="19"/>
  <c r="X16" i="19"/>
  <c r="X36" i="20"/>
  <c r="X26" i="20"/>
  <c r="X16" i="20"/>
  <c r="F42" i="20" l="1"/>
  <c r="E68" i="14" s="1"/>
  <c r="J42" i="20"/>
  <c r="I68" i="14" s="1"/>
  <c r="N42" i="20"/>
  <c r="M68" i="14" s="1"/>
  <c r="R42" i="20"/>
  <c r="Q68" i="14" s="1"/>
  <c r="V42" i="20"/>
  <c r="U68" i="14" s="1"/>
  <c r="D42" i="20"/>
  <c r="C68" i="14" s="1"/>
  <c r="L42" i="20"/>
  <c r="K68" i="14" s="1"/>
  <c r="T42" i="20"/>
  <c r="S68" i="14" s="1"/>
  <c r="G42" i="20"/>
  <c r="F68" i="14" s="1"/>
  <c r="K42" i="20"/>
  <c r="J68" i="14" s="1"/>
  <c r="O42" i="20"/>
  <c r="N68" i="14" s="1"/>
  <c r="S42" i="20"/>
  <c r="R68" i="14" s="1"/>
  <c r="W42" i="20"/>
  <c r="V68" i="14" s="1"/>
  <c r="H42" i="20"/>
  <c r="G68" i="14" s="1"/>
  <c r="P42" i="20"/>
  <c r="O68" i="14" s="1"/>
  <c r="M42" i="20"/>
  <c r="L68" i="14" s="1"/>
  <c r="E42" i="20"/>
  <c r="D68" i="14" s="1"/>
  <c r="I42" i="20"/>
  <c r="H68" i="14" s="1"/>
  <c r="Q42" i="20"/>
  <c r="P68" i="14" s="1"/>
  <c r="U42" i="20"/>
  <c r="T68" i="14" s="1"/>
  <c r="J40" i="19"/>
  <c r="I55" i="14" s="1"/>
  <c r="J37" i="19"/>
  <c r="I52" i="14" s="1"/>
  <c r="J41" i="19"/>
  <c r="I56" i="14" s="1"/>
  <c r="J38" i="19"/>
  <c r="I53" i="14" s="1"/>
  <c r="J42" i="19"/>
  <c r="I57" i="14" s="1"/>
  <c r="J39" i="19"/>
  <c r="I54" i="14" s="1"/>
  <c r="E42" i="19"/>
  <c r="D57" i="14" s="1"/>
  <c r="E41" i="19"/>
  <c r="D56" i="14" s="1"/>
  <c r="E37" i="19"/>
  <c r="D52" i="14" s="1"/>
  <c r="E38" i="19"/>
  <c r="D53" i="14" s="1"/>
  <c r="E39" i="19"/>
  <c r="D54" i="14" s="1"/>
  <c r="E40" i="19"/>
  <c r="D55" i="14" s="1"/>
  <c r="K40" i="19"/>
  <c r="J55" i="14" s="1"/>
  <c r="K41" i="19"/>
  <c r="J56" i="14" s="1"/>
  <c r="K42" i="19"/>
  <c r="J57" i="14" s="1"/>
  <c r="K38" i="19"/>
  <c r="J53" i="14" s="1"/>
  <c r="K39" i="19"/>
  <c r="J54" i="14" s="1"/>
  <c r="K37" i="19"/>
  <c r="J52" i="14" s="1"/>
  <c r="Y42" i="19"/>
  <c r="X57" i="14" s="1"/>
  <c r="Y39" i="19"/>
  <c r="X54" i="14" s="1"/>
  <c r="Y40" i="19"/>
  <c r="X55" i="14" s="1"/>
  <c r="Y37" i="19"/>
  <c r="X52" i="14" s="1"/>
  <c r="Y41" i="19"/>
  <c r="X56" i="14" s="1"/>
  <c r="Y38" i="19"/>
  <c r="X53" i="14" s="1"/>
  <c r="H41" i="19"/>
  <c r="G56" i="14" s="1"/>
  <c r="H42" i="19"/>
  <c r="G57" i="14" s="1"/>
  <c r="H39" i="19"/>
  <c r="G54" i="14" s="1"/>
  <c r="H40" i="19"/>
  <c r="G55" i="14" s="1"/>
  <c r="H37" i="19"/>
  <c r="G52" i="14" s="1"/>
  <c r="H38" i="19"/>
  <c r="G53" i="14" s="1"/>
  <c r="X41" i="19"/>
  <c r="W56" i="14" s="1"/>
  <c r="X42" i="19"/>
  <c r="W57" i="14" s="1"/>
  <c r="X39" i="19"/>
  <c r="W54" i="14" s="1"/>
  <c r="X40" i="19"/>
  <c r="W55" i="14" s="1"/>
  <c r="X37" i="19"/>
  <c r="W52" i="14" s="1"/>
  <c r="X38" i="19"/>
  <c r="W53" i="14" s="1"/>
  <c r="I42" i="19"/>
  <c r="H57" i="14" s="1"/>
  <c r="I40" i="19"/>
  <c r="H55" i="14" s="1"/>
  <c r="I37" i="19"/>
  <c r="H52" i="14" s="1"/>
  <c r="I41" i="19"/>
  <c r="H56" i="14" s="1"/>
  <c r="I38" i="19"/>
  <c r="H53" i="14" s="1"/>
  <c r="I39" i="19"/>
  <c r="H54" i="14" s="1"/>
  <c r="D41" i="19"/>
  <c r="C56" i="14" s="1"/>
  <c r="D42" i="19"/>
  <c r="C57" i="14" s="1"/>
  <c r="D40" i="19"/>
  <c r="C55" i="14" s="1"/>
  <c r="D39" i="19"/>
  <c r="C54" i="14" s="1"/>
  <c r="D37" i="19"/>
  <c r="C52" i="14" s="1"/>
  <c r="D38" i="19"/>
  <c r="C53" i="14" s="1"/>
  <c r="F40" i="19"/>
  <c r="E55" i="14" s="1"/>
  <c r="F42" i="19"/>
  <c r="E57" i="14" s="1"/>
  <c r="F37" i="19"/>
  <c r="E52" i="14" s="1"/>
  <c r="F38" i="19"/>
  <c r="E53" i="14" s="1"/>
  <c r="F39" i="19"/>
  <c r="E54" i="14" s="1"/>
  <c r="F41" i="19"/>
  <c r="E56" i="14" s="1"/>
  <c r="G40" i="19"/>
  <c r="F55" i="14" s="1"/>
  <c r="G41" i="19"/>
  <c r="F56" i="14" s="1"/>
  <c r="G38" i="19"/>
  <c r="F53" i="14" s="1"/>
  <c r="G39" i="19"/>
  <c r="F54" i="14" s="1"/>
  <c r="G42" i="19"/>
  <c r="F57" i="14" s="1"/>
  <c r="G37" i="19"/>
  <c r="F52" i="14" s="1"/>
  <c r="X38" i="20" l="1"/>
  <c r="W64" i="14" s="1"/>
  <c r="Y38" i="20"/>
  <c r="X64" i="14" s="1"/>
  <c r="X41" i="20"/>
  <c r="W67" i="14" s="1"/>
  <c r="Y41" i="20"/>
  <c r="X67" i="14" s="1"/>
  <c r="Y42" i="20"/>
  <c r="X68" i="14" s="1"/>
  <c r="X42" i="20"/>
  <c r="W68" i="14" s="1"/>
  <c r="X39" i="20"/>
  <c r="W65" i="14" s="1"/>
  <c r="Y39" i="20"/>
  <c r="X65" i="14" s="1"/>
  <c r="X37" i="20"/>
  <c r="W63" i="14" s="1"/>
  <c r="Y37" i="20"/>
  <c r="X63" i="14" s="1"/>
  <c r="X40" i="20"/>
  <c r="W66" i="14" s="1"/>
  <c r="Y40" i="20"/>
  <c r="X66" i="14" s="1"/>
  <c r="R38" i="19" l="1"/>
  <c r="Q53" i="14" s="1"/>
  <c r="R42" i="19"/>
  <c r="Q57" i="14" s="1"/>
  <c r="R41" i="19"/>
  <c r="Q56" i="14" s="1"/>
  <c r="R37" i="19"/>
  <c r="R40" i="19"/>
  <c r="Q55" i="14" s="1"/>
  <c r="R39" i="19"/>
  <c r="Q54" i="14" s="1"/>
  <c r="P41" i="19"/>
  <c r="O56" i="14" s="1"/>
  <c r="P42" i="19"/>
  <c r="O57" i="14" s="1"/>
  <c r="P38" i="19"/>
  <c r="O53" i="14" s="1"/>
  <c r="P40" i="19"/>
  <c r="O55" i="14" s="1"/>
  <c r="P39" i="19"/>
  <c r="O54" i="14" s="1"/>
  <c r="P37" i="19"/>
  <c r="S42" i="19"/>
  <c r="R57" i="14" s="1"/>
  <c r="S40" i="19"/>
  <c r="R55" i="14" s="1"/>
  <c r="S41" i="19"/>
  <c r="R56" i="14" s="1"/>
  <c r="S38" i="19"/>
  <c r="R53" i="14" s="1"/>
  <c r="S39" i="19"/>
  <c r="R54" i="14" s="1"/>
  <c r="S37" i="19"/>
  <c r="T39" i="19"/>
  <c r="S54" i="14" s="1"/>
  <c r="T37" i="19"/>
  <c r="T42" i="19"/>
  <c r="S57" i="14" s="1"/>
  <c r="T38" i="19"/>
  <c r="S53" i="14" s="1"/>
  <c r="T41" i="19"/>
  <c r="S56" i="14" s="1"/>
  <c r="T40" i="19"/>
  <c r="S55" i="14" s="1"/>
  <c r="W38" i="19"/>
  <c r="V53" i="14" s="1"/>
  <c r="W37" i="19"/>
  <c r="W40" i="19"/>
  <c r="V55" i="14" s="1"/>
  <c r="W41" i="19"/>
  <c r="V56" i="14" s="1"/>
  <c r="W42" i="19"/>
  <c r="V57" i="14" s="1"/>
  <c r="W39" i="19"/>
  <c r="V54" i="14" s="1"/>
  <c r="M40" i="19"/>
  <c r="L55" i="14" s="1"/>
  <c r="M42" i="19"/>
  <c r="L57" i="14" s="1"/>
  <c r="M41" i="19"/>
  <c r="L56" i="14" s="1"/>
  <c r="M38" i="19"/>
  <c r="L53" i="14" s="1"/>
  <c r="M37" i="19"/>
  <c r="M39" i="19"/>
  <c r="L54" i="14" s="1"/>
  <c r="U39" i="19"/>
  <c r="T54" i="14" s="1"/>
  <c r="U42" i="19"/>
  <c r="T57" i="14" s="1"/>
  <c r="U40" i="19"/>
  <c r="T55" i="14" s="1"/>
  <c r="U38" i="19"/>
  <c r="T53" i="14" s="1"/>
  <c r="U41" i="19"/>
  <c r="T56" i="14" s="1"/>
  <c r="U37" i="19"/>
  <c r="V42" i="19"/>
  <c r="U57" i="14" s="1"/>
  <c r="V40" i="19"/>
  <c r="U55" i="14" s="1"/>
  <c r="V41" i="19"/>
  <c r="U56" i="14" s="1"/>
  <c r="V38" i="19"/>
  <c r="U53" i="14" s="1"/>
  <c r="V37" i="19"/>
  <c r="V39" i="19"/>
  <c r="U54" i="14" s="1"/>
  <c r="Q41" i="19"/>
  <c r="P56" i="14" s="1"/>
  <c r="Q38" i="19"/>
  <c r="P53" i="14" s="1"/>
  <c r="Q39" i="19"/>
  <c r="P54" i="14" s="1"/>
  <c r="Q37" i="19"/>
  <c r="Q40" i="19"/>
  <c r="P55" i="14" s="1"/>
  <c r="Q42" i="19"/>
  <c r="P57" i="14" s="1"/>
  <c r="N37" i="19"/>
  <c r="N42" i="19"/>
  <c r="M57" i="14" s="1"/>
  <c r="N40" i="19"/>
  <c r="M55" i="14" s="1"/>
  <c r="N38" i="19"/>
  <c r="M53" i="14" s="1"/>
  <c r="N39" i="19"/>
  <c r="M54" i="14" s="1"/>
  <c r="N41" i="19"/>
  <c r="M56" i="14" s="1"/>
  <c r="O37" i="19"/>
  <c r="O42" i="19"/>
  <c r="N57" i="14" s="1"/>
  <c r="O39" i="19"/>
  <c r="N54" i="14" s="1"/>
  <c r="O38" i="19"/>
  <c r="N53" i="14" s="1"/>
  <c r="O41" i="19"/>
  <c r="N56" i="14" s="1"/>
  <c r="O40" i="19"/>
  <c r="N55" i="14" s="1"/>
  <c r="N52" i="14" l="1"/>
  <c r="S52" i="14"/>
  <c r="O52" i="14"/>
  <c r="Q52" i="14"/>
  <c r="T52" i="14"/>
  <c r="M52" i="14"/>
  <c r="P52" i="14"/>
  <c r="L52" i="14"/>
  <c r="V52" i="14"/>
  <c r="R52" i="14"/>
  <c r="U52" i="14"/>
  <c r="L37" i="19"/>
  <c r="L39" i="19"/>
  <c r="K54" i="14" s="1"/>
  <c r="L38" i="19"/>
  <c r="K53" i="14" s="1"/>
  <c r="L40" i="19"/>
  <c r="K55" i="14" s="1"/>
  <c r="L41" i="19"/>
  <c r="K56" i="14" s="1"/>
  <c r="L42" i="19"/>
  <c r="K57" i="14" s="1"/>
  <c r="K52" i="14" l="1"/>
  <c r="D11" i="1" l="1"/>
  <c r="F9" i="8" l="1"/>
  <c r="B22" i="11" l="1"/>
  <c r="C17" i="11"/>
  <c r="AC10" i="8" l="1"/>
  <c r="AC25" i="8" s="1"/>
  <c r="AC11" i="8"/>
  <c r="AC30" i="8" s="1"/>
  <c r="AC12" i="8"/>
  <c r="AC32" i="8" s="1"/>
  <c r="AC13" i="8"/>
  <c r="AC34" i="8" s="1"/>
  <c r="AC9" i="8"/>
  <c r="V39" i="14" l="1"/>
  <c r="V40" i="14"/>
  <c r="V41" i="14"/>
  <c r="V42" i="14"/>
  <c r="V43" i="14"/>
  <c r="V44" i="14"/>
  <c r="X44" i="14" l="1"/>
  <c r="X43" i="14"/>
  <c r="X39" i="14"/>
  <c r="X42" i="14"/>
  <c r="X40" i="14"/>
  <c r="X41" i="14"/>
  <c r="W27" i="14" l="1"/>
  <c r="W28" i="14"/>
  <c r="W29" i="14"/>
  <c r="W30" i="14"/>
  <c r="W31" i="14"/>
  <c r="W32" i="14"/>
  <c r="X29" i="14" l="1"/>
  <c r="X28" i="14"/>
  <c r="X31" i="14"/>
  <c r="X32" i="14"/>
  <c r="X30" i="14"/>
  <c r="X27" i="14"/>
  <c r="AC35" i="8"/>
  <c r="AC33" i="8"/>
  <c r="AC31" i="8"/>
  <c r="AC26" i="8"/>
  <c r="AC27" i="8" s="1"/>
  <c r="AC36" i="8" l="1"/>
  <c r="D41" i="8" l="1"/>
  <c r="G11" i="8"/>
  <c r="G30" i="8" s="1"/>
  <c r="H11" i="8"/>
  <c r="I11" i="8"/>
  <c r="I30" i="8" s="1"/>
  <c r="J11" i="8"/>
  <c r="J30" i="8" s="1"/>
  <c r="V11" i="8"/>
  <c r="V30" i="8" s="1"/>
  <c r="W11" i="8"/>
  <c r="W30" i="8" s="1"/>
  <c r="X11" i="8"/>
  <c r="Y11" i="8"/>
  <c r="Y30" i="8" s="1"/>
  <c r="Z11" i="8"/>
  <c r="Z30" i="8" s="1"/>
  <c r="AA11" i="8"/>
  <c r="AA30" i="8" s="1"/>
  <c r="AB11" i="8"/>
  <c r="AB30" i="8" s="1"/>
  <c r="G12" i="8"/>
  <c r="G32" i="8" s="1"/>
  <c r="H12" i="8"/>
  <c r="H32" i="8" s="1"/>
  <c r="I12" i="8"/>
  <c r="I32" i="8" s="1"/>
  <c r="J12" i="8"/>
  <c r="J32" i="8" s="1"/>
  <c r="V12" i="8"/>
  <c r="V32" i="8" s="1"/>
  <c r="W12" i="8"/>
  <c r="W32" i="8" s="1"/>
  <c r="X12" i="8"/>
  <c r="X32" i="8" s="1"/>
  <c r="AA12" i="8"/>
  <c r="AA32" i="8" s="1"/>
  <c r="AB12" i="8"/>
  <c r="AB32" i="8" s="1"/>
  <c r="G13" i="8"/>
  <c r="G34" i="8" s="1"/>
  <c r="H13" i="8"/>
  <c r="H34" i="8" s="1"/>
  <c r="I13" i="8"/>
  <c r="I34" i="8" s="1"/>
  <c r="J13" i="8"/>
  <c r="J34" i="8" s="1"/>
  <c r="V13" i="8"/>
  <c r="V34" i="8" s="1"/>
  <c r="W13" i="8"/>
  <c r="W34" i="8" s="1"/>
  <c r="X13" i="8"/>
  <c r="X34" i="8" s="1"/>
  <c r="Y13" i="8"/>
  <c r="Y34" i="8" s="1"/>
  <c r="Z13" i="8"/>
  <c r="Z34" i="8" s="1"/>
  <c r="AA13" i="8"/>
  <c r="AA34" i="8" s="1"/>
  <c r="AB13" i="8"/>
  <c r="AB34" i="8" s="1"/>
  <c r="G9" i="8"/>
  <c r="H9" i="8"/>
  <c r="I9" i="8"/>
  <c r="J9" i="8"/>
  <c r="V9" i="8"/>
  <c r="W9" i="8"/>
  <c r="X9" i="8"/>
  <c r="Y9" i="8"/>
  <c r="Z9" i="8"/>
  <c r="AA9" i="8"/>
  <c r="AB9" i="8"/>
  <c r="G10" i="8"/>
  <c r="G25" i="8" s="1"/>
  <c r="H10" i="8"/>
  <c r="H25" i="8" s="1"/>
  <c r="I10" i="8"/>
  <c r="I25" i="8" s="1"/>
  <c r="J10" i="8"/>
  <c r="J25" i="8" s="1"/>
  <c r="V10" i="8"/>
  <c r="V25" i="8" s="1"/>
  <c r="W10" i="8"/>
  <c r="W25" i="8" s="1"/>
  <c r="X10" i="8"/>
  <c r="X25" i="8" s="1"/>
  <c r="Y10" i="8"/>
  <c r="Y25" i="8" s="1"/>
  <c r="Z10" i="8"/>
  <c r="Z25" i="8" s="1"/>
  <c r="AA10" i="8"/>
  <c r="AA25" i="8" s="1"/>
  <c r="AB10" i="8"/>
  <c r="AB25" i="8" s="1"/>
  <c r="H30" i="8"/>
  <c r="X30" i="8"/>
  <c r="G7" i="8"/>
  <c r="S13" i="8"/>
  <c r="S34" i="8" s="1"/>
  <c r="K13" i="8"/>
  <c r="K34" i="8" s="1"/>
  <c r="F13" i="8"/>
  <c r="F34" i="8" s="1"/>
  <c r="U12" i="8"/>
  <c r="U32" i="8" s="1"/>
  <c r="M12" i="8"/>
  <c r="M32" i="8" s="1"/>
  <c r="Q11" i="8"/>
  <c r="Q30" i="8" s="1"/>
  <c r="M11" i="8"/>
  <c r="M30" i="8" s="1"/>
  <c r="A8" i="2"/>
  <c r="T13" i="8"/>
  <c r="T34" i="8" s="1"/>
  <c r="P13" i="8"/>
  <c r="P34" i="8" s="1"/>
  <c r="O13" i="8"/>
  <c r="O34" i="8" s="1"/>
  <c r="L13" i="8"/>
  <c r="L34" i="8" s="1"/>
  <c r="Z12" i="8"/>
  <c r="Z32" i="8" s="1"/>
  <c r="S12" i="8"/>
  <c r="S32" i="8" s="1"/>
  <c r="Q12" i="8"/>
  <c r="Q32" i="8" s="1"/>
  <c r="O12" i="8"/>
  <c r="O32" i="8" s="1"/>
  <c r="K12" i="8"/>
  <c r="K32" i="8" s="1"/>
  <c r="U11" i="8"/>
  <c r="U30" i="8" s="1"/>
  <c r="R11" i="8"/>
  <c r="R30" i="8" s="1"/>
  <c r="N11" i="8"/>
  <c r="N30" i="8" s="1"/>
  <c r="U9" i="8"/>
  <c r="T9" i="8"/>
  <c r="Q9" i="8"/>
  <c r="P9" i="8"/>
  <c r="M9" i="8"/>
  <c r="L9" i="8"/>
  <c r="Z26" i="8"/>
  <c r="G15" i="8" l="1"/>
  <c r="J26" i="8"/>
  <c r="J27" i="8" s="1"/>
  <c r="R26" i="8"/>
  <c r="O11" i="8"/>
  <c r="O30" i="8" s="1"/>
  <c r="F11" i="8"/>
  <c r="F30" i="8" s="1"/>
  <c r="K11" i="8"/>
  <c r="K30" i="8" s="1"/>
  <c r="F10" i="8"/>
  <c r="R10" i="8"/>
  <c r="R25" i="8" s="1"/>
  <c r="Q13" i="8"/>
  <c r="Q34" i="8" s="1"/>
  <c r="Y26" i="8"/>
  <c r="Y27" i="8" s="1"/>
  <c r="U26" i="8"/>
  <c r="Q26" i="8"/>
  <c r="M26" i="8"/>
  <c r="I26" i="8"/>
  <c r="I27" i="8" s="1"/>
  <c r="AB26" i="8"/>
  <c r="AB27" i="8" s="1"/>
  <c r="X26" i="8"/>
  <c r="X27" i="8" s="1"/>
  <c r="T26" i="8"/>
  <c r="P26" i="8"/>
  <c r="L26" i="8"/>
  <c r="H26" i="8"/>
  <c r="H27" i="8" s="1"/>
  <c r="S10" i="8"/>
  <c r="S25" i="8" s="1"/>
  <c r="P12" i="8"/>
  <c r="P32" i="8" s="1"/>
  <c r="S26" i="8"/>
  <c r="N9" i="8"/>
  <c r="R9" i="8"/>
  <c r="L10" i="8"/>
  <c r="L25" i="8" s="1"/>
  <c r="P10" i="8"/>
  <c r="P25" i="8" s="1"/>
  <c r="T10" i="8"/>
  <c r="T25" i="8" s="1"/>
  <c r="L11" i="8"/>
  <c r="L30" i="8" s="1"/>
  <c r="P11" i="8"/>
  <c r="P30" i="8" s="1"/>
  <c r="T11" i="8"/>
  <c r="T30" i="8" s="1"/>
  <c r="N13" i="8"/>
  <c r="N34" i="8" s="1"/>
  <c r="R13" i="8"/>
  <c r="R34" i="8" s="1"/>
  <c r="F26" i="8"/>
  <c r="N26" i="8"/>
  <c r="V26" i="8"/>
  <c r="V27" i="8" s="1"/>
  <c r="S11" i="8"/>
  <c r="S30" i="8" s="1"/>
  <c r="N10" i="8"/>
  <c r="N25" i="8" s="1"/>
  <c r="M13" i="8"/>
  <c r="M34" i="8" s="1"/>
  <c r="U13" i="8"/>
  <c r="U34" i="8" s="1"/>
  <c r="K10" i="8"/>
  <c r="K25" i="8" s="1"/>
  <c r="O10" i="8"/>
  <c r="O25" i="8" s="1"/>
  <c r="L12" i="8"/>
  <c r="L32" i="8" s="1"/>
  <c r="T12" i="8"/>
  <c r="T32" i="8" s="1"/>
  <c r="K26" i="8"/>
  <c r="AA26" i="8"/>
  <c r="AA27" i="8" s="1"/>
  <c r="K9" i="8"/>
  <c r="O9" i="8"/>
  <c r="S9" i="8"/>
  <c r="M10" i="8"/>
  <c r="M25" i="8" s="1"/>
  <c r="Q10" i="8"/>
  <c r="Q25" i="8" s="1"/>
  <c r="U10" i="8"/>
  <c r="U25" i="8" s="1"/>
  <c r="N12" i="8"/>
  <c r="N32" i="8" s="1"/>
  <c r="R12" i="8"/>
  <c r="R32" i="8" s="1"/>
  <c r="Y12" i="8"/>
  <c r="Y32" i="8" s="1"/>
  <c r="F12" i="8"/>
  <c r="F32" i="8" s="1"/>
  <c r="G26" i="8"/>
  <c r="G27" i="8" s="1"/>
  <c r="O26" i="8"/>
  <c r="W26" i="8"/>
  <c r="W27" i="8" s="1"/>
  <c r="Z27" i="8"/>
  <c r="A11" i="2"/>
  <c r="A12" i="2" s="1"/>
  <c r="A13" i="2" s="1"/>
  <c r="A16" i="2" s="1"/>
  <c r="O27" i="8" l="1"/>
  <c r="Q27" i="8"/>
  <c r="F25" i="8"/>
  <c r="F27" i="8" s="1"/>
  <c r="R27" i="8"/>
  <c r="N27" i="8"/>
  <c r="T27" i="8"/>
  <c r="S27" i="8"/>
  <c r="M27" i="8"/>
  <c r="L27" i="8"/>
  <c r="K27" i="8"/>
  <c r="P27" i="8"/>
  <c r="U27" i="8"/>
  <c r="AA35" i="8" l="1"/>
  <c r="W35" i="8"/>
  <c r="S35" i="8"/>
  <c r="O35" i="8"/>
  <c r="K35" i="8"/>
  <c r="G35" i="8"/>
  <c r="Z35" i="8"/>
  <c r="V35" i="8"/>
  <c r="R35" i="8"/>
  <c r="N35" i="8"/>
  <c r="J35" i="8"/>
  <c r="F35" i="8"/>
  <c r="Y35" i="8"/>
  <c r="U35" i="8"/>
  <c r="Q35" i="8"/>
  <c r="M35" i="8"/>
  <c r="I35" i="8"/>
  <c r="AB35" i="8"/>
  <c r="X35" i="8"/>
  <c r="T35" i="8"/>
  <c r="P35" i="8"/>
  <c r="L35" i="8"/>
  <c r="H35" i="8"/>
  <c r="Z33" i="8"/>
  <c r="V33" i="8"/>
  <c r="R33" i="8"/>
  <c r="N33" i="8"/>
  <c r="J33" i="8"/>
  <c r="F33" i="8"/>
  <c r="Y33" i="8"/>
  <c r="U33" i="8"/>
  <c r="Q33" i="8"/>
  <c r="M33" i="8"/>
  <c r="I33" i="8"/>
  <c r="AB33" i="8"/>
  <c r="X33" i="8"/>
  <c r="T33" i="8"/>
  <c r="P33" i="8"/>
  <c r="L33" i="8"/>
  <c r="H33" i="8"/>
  <c r="AA33" i="8"/>
  <c r="W33" i="8"/>
  <c r="O33" i="8"/>
  <c r="K33" i="8"/>
  <c r="G33" i="8"/>
  <c r="S33" i="8"/>
  <c r="Y31" i="8"/>
  <c r="U31" i="8"/>
  <c r="Q31" i="8"/>
  <c r="M31" i="8"/>
  <c r="I31" i="8"/>
  <c r="AB31" i="8"/>
  <c r="X31" i="8"/>
  <c r="T31" i="8"/>
  <c r="P31" i="8"/>
  <c r="L31" i="8"/>
  <c r="H31" i="8"/>
  <c r="AA31" i="8"/>
  <c r="W31" i="8"/>
  <c r="W36" i="8" s="1"/>
  <c r="S31" i="8"/>
  <c r="O31" i="8"/>
  <c r="K31" i="8"/>
  <c r="G31" i="8"/>
  <c r="Z31" i="8"/>
  <c r="V31" i="8"/>
  <c r="R31" i="8"/>
  <c r="N31" i="8"/>
  <c r="J31" i="8"/>
  <c r="F31" i="8"/>
  <c r="W4" i="11"/>
  <c r="X4" i="11" s="1"/>
  <c r="N36" i="8" l="1"/>
  <c r="P36" i="8"/>
  <c r="I36" i="8"/>
  <c r="Y36" i="8"/>
  <c r="G36" i="8"/>
  <c r="R36" i="8"/>
  <c r="AA36" i="8"/>
  <c r="J36" i="8"/>
  <c r="Z36" i="8"/>
  <c r="S36" i="8"/>
  <c r="L36" i="8"/>
  <c r="AB36" i="8"/>
  <c r="U36" i="8"/>
  <c r="F36" i="8"/>
  <c r="K36" i="8"/>
  <c r="T36" i="8"/>
  <c r="M36" i="8"/>
  <c r="V36" i="8"/>
  <c r="O36" i="8"/>
  <c r="H36" i="8"/>
  <c r="X36" i="8"/>
  <c r="Q36" i="8"/>
  <c r="X16" i="11"/>
  <c r="X36" i="11"/>
  <c r="X26" i="11"/>
  <c r="C20" i="11"/>
  <c r="W26" i="11"/>
  <c r="W16" i="11"/>
  <c r="W36" i="11"/>
  <c r="C18" i="11"/>
  <c r="C19" i="11"/>
  <c r="C21" i="11"/>
  <c r="D22" i="11" l="1"/>
  <c r="C22" i="11"/>
  <c r="AC21" i="8" l="1"/>
  <c r="AC22" i="8" s="1"/>
  <c r="AC38" i="8" l="1"/>
  <c r="AC42" i="8" s="1"/>
  <c r="AB21" i="8"/>
  <c r="AB22" i="8" s="1"/>
  <c r="X21" i="8"/>
  <c r="X22" i="8" s="1"/>
  <c r="T21" i="8"/>
  <c r="T22" i="8" s="1"/>
  <c r="P21" i="8"/>
  <c r="P22" i="8" s="1"/>
  <c r="L21" i="8"/>
  <c r="L22" i="8" s="1"/>
  <c r="H21" i="8"/>
  <c r="H22" i="8" s="1"/>
  <c r="AA21" i="8"/>
  <c r="AA22" i="8" s="1"/>
  <c r="W21" i="8"/>
  <c r="W22" i="8" s="1"/>
  <c r="S21" i="8"/>
  <c r="S22" i="8" s="1"/>
  <c r="O21" i="8"/>
  <c r="O22" i="8" s="1"/>
  <c r="K21" i="8"/>
  <c r="K22" i="8" s="1"/>
  <c r="G21" i="8"/>
  <c r="G22" i="8" s="1"/>
  <c r="V21" i="8"/>
  <c r="V22" i="8" s="1"/>
  <c r="N21" i="8"/>
  <c r="N22" i="8" s="1"/>
  <c r="F21" i="8"/>
  <c r="F22" i="8" s="1"/>
  <c r="R21" i="8"/>
  <c r="R22" i="8" s="1"/>
  <c r="Y21" i="8"/>
  <c r="Y22" i="8" s="1"/>
  <c r="Q21" i="8"/>
  <c r="Q22" i="8" s="1"/>
  <c r="U21" i="8"/>
  <c r="U22" i="8" s="1"/>
  <c r="M21" i="8"/>
  <c r="M22" i="8" s="1"/>
  <c r="Z21" i="8"/>
  <c r="Z22" i="8" s="1"/>
  <c r="J21" i="8"/>
  <c r="J22" i="8" s="1"/>
  <c r="I21" i="8"/>
  <c r="I22" i="8" s="1"/>
  <c r="F38" i="8" l="1"/>
  <c r="F42" i="8" s="1"/>
  <c r="AB38" i="8"/>
  <c r="H7" i="8"/>
  <c r="H15" i="8" s="1"/>
  <c r="F7" i="8"/>
  <c r="F41" i="8" l="1"/>
  <c r="F43" i="8" s="1"/>
  <c r="F48" i="8" s="1"/>
  <c r="F50" i="8" s="1"/>
  <c r="C5" i="11" s="1"/>
  <c r="F15" i="8"/>
  <c r="AB42" i="8"/>
  <c r="A9" i="8" l="1"/>
  <c r="AA3" i="8"/>
  <c r="A10" i="8" l="1"/>
  <c r="D25" i="8" s="1"/>
  <c r="D20" i="8"/>
  <c r="A11" i="8" l="1"/>
  <c r="A12" i="8" s="1"/>
  <c r="D30" i="8" l="1"/>
  <c r="D32" i="8"/>
  <c r="A13" i="8"/>
  <c r="D34" i="8" l="1"/>
  <c r="A15" i="8"/>
  <c r="A17" i="8" s="1"/>
  <c r="A19" i="8" s="1"/>
  <c r="A20" i="8" s="1"/>
  <c r="A21" i="8" l="1"/>
  <c r="A22" i="8" s="1"/>
  <c r="A24" i="8" l="1"/>
  <c r="A25" i="8" s="1"/>
  <c r="D22" i="8"/>
  <c r="H41" i="8"/>
  <c r="G41" i="8"/>
  <c r="A26" i="8" l="1"/>
  <c r="A27" i="8" s="1"/>
  <c r="D27" i="8" l="1"/>
  <c r="A29" i="8"/>
  <c r="A30" i="8" s="1"/>
  <c r="AA38" i="8"/>
  <c r="Q38" i="8"/>
  <c r="J38" i="8"/>
  <c r="J42" i="8" l="1"/>
  <c r="Q42" i="8"/>
  <c r="AA42" i="8"/>
  <c r="A31" i="8"/>
  <c r="A32" i="8" s="1"/>
  <c r="A33" i="8" s="1"/>
  <c r="A34" i="8" s="1"/>
  <c r="A35" i="8" s="1"/>
  <c r="A36" i="8" s="1"/>
  <c r="Z38" i="8"/>
  <c r="W38" i="8"/>
  <c r="Y38" i="8"/>
  <c r="V38" i="8"/>
  <c r="I38" i="8"/>
  <c r="U38" i="8"/>
  <c r="R38" i="8"/>
  <c r="H38" i="8"/>
  <c r="G38" i="8"/>
  <c r="S38" i="8"/>
  <c r="K38" i="8"/>
  <c r="T38" i="8"/>
  <c r="P38" i="8"/>
  <c r="M38" i="8"/>
  <c r="X38" i="8"/>
  <c r="N38" i="8"/>
  <c r="L38" i="8"/>
  <c r="O38" i="8"/>
  <c r="M42" i="8" l="1"/>
  <c r="L42" i="8"/>
  <c r="U42" i="8"/>
  <c r="W42" i="8"/>
  <c r="S42" i="8"/>
  <c r="Y42" i="8"/>
  <c r="G42" i="8"/>
  <c r="G43" i="8" s="1"/>
  <c r="T42" i="8"/>
  <c r="H42" i="8"/>
  <c r="H43" i="8" s="1"/>
  <c r="H48" i="8" s="1"/>
  <c r="H50" i="8" s="1"/>
  <c r="I42" i="8"/>
  <c r="Z42" i="8"/>
  <c r="O42" i="8"/>
  <c r="P42" i="8"/>
  <c r="N42" i="8"/>
  <c r="X42" i="8"/>
  <c r="K42" i="8"/>
  <c r="R42" i="8"/>
  <c r="V42" i="8"/>
  <c r="D38" i="8"/>
  <c r="D36" i="8"/>
  <c r="A38" i="8"/>
  <c r="G48" i="8" l="1"/>
  <c r="G50" i="8" s="1"/>
  <c r="D5" i="11" s="1"/>
  <c r="D42" i="8"/>
  <c r="A40" i="8"/>
  <c r="A41" i="8" s="1"/>
  <c r="A42" i="8" s="1"/>
  <c r="A43" i="8" s="1"/>
  <c r="X5" i="2" l="1"/>
  <c r="A45" i="8" l="1"/>
  <c r="A47" i="8" s="1"/>
  <c r="A48" i="8" s="1"/>
  <c r="D43" i="8"/>
  <c r="A17" i="2"/>
  <c r="A18" i="2" s="1"/>
  <c r="A19" i="2" s="1"/>
  <c r="A20" i="2" s="1"/>
  <c r="A4" i="1"/>
  <c r="A5" i="1" s="1"/>
  <c r="A6" i="1" s="1"/>
  <c r="A7" i="1" s="1"/>
  <c r="A8" i="1" s="1"/>
  <c r="A10" i="1" l="1"/>
  <c r="A11" i="1" s="1"/>
  <c r="A13" i="1" s="1"/>
  <c r="A14" i="1" s="1"/>
  <c r="A15" i="1" s="1"/>
  <c r="D49" i="8"/>
  <c r="D50" i="8"/>
  <c r="D48" i="8"/>
  <c r="A49" i="8"/>
  <c r="A50" i="8" l="1"/>
  <c r="A52" i="8" l="1"/>
  <c r="A53" i="8" s="1"/>
  <c r="D55" i="8" s="1"/>
  <c r="B11" i="11"/>
  <c r="A54" i="8" l="1"/>
  <c r="D54" i="8"/>
  <c r="A55" i="8" l="1"/>
  <c r="A57" i="8" s="1"/>
  <c r="A58" i="8" s="1"/>
  <c r="D60" i="8" l="1"/>
  <c r="A59" i="8"/>
  <c r="A60" i="8" s="1"/>
  <c r="A62" i="8" s="1"/>
  <c r="A63" i="8" s="1"/>
  <c r="D59" i="8"/>
  <c r="A64" i="8"/>
  <c r="A65" i="8" s="1"/>
  <c r="D64" i="8" l="1"/>
  <c r="D65" i="8"/>
  <c r="F49" i="8" l="1"/>
  <c r="H49" i="8"/>
  <c r="G49" i="8"/>
  <c r="D11" i="11" l="1"/>
  <c r="C7" i="11"/>
  <c r="C38" i="11" s="1"/>
  <c r="C10" i="11"/>
  <c r="C41" i="11" s="1"/>
  <c r="C8" i="11"/>
  <c r="C39" i="11" s="1"/>
  <c r="C9" i="11"/>
  <c r="C40" i="11" s="1"/>
  <c r="C6" i="11"/>
  <c r="C37" i="11" s="1"/>
  <c r="C11" i="11"/>
  <c r="C42" i="11" s="1"/>
  <c r="D6" i="11" l="1"/>
  <c r="Y37" i="11" s="1"/>
  <c r="D10" i="11"/>
  <c r="B6" i="14"/>
  <c r="B9" i="14"/>
  <c r="B8" i="14"/>
  <c r="B4" i="14"/>
  <c r="B5" i="14"/>
  <c r="B7" i="14"/>
  <c r="D9" i="11"/>
  <c r="D40" i="11" s="1"/>
  <c r="D7" i="11"/>
  <c r="D38" i="11" s="1"/>
  <c r="D8" i="11"/>
  <c r="D39" i="11" s="1"/>
  <c r="D42" i="11"/>
  <c r="D37" i="11"/>
  <c r="D41" i="11"/>
  <c r="Y41" i="11"/>
  <c r="Y42" i="11"/>
  <c r="X9" i="14" l="1"/>
  <c r="X9" i="16" s="1"/>
  <c r="C9" i="14"/>
  <c r="C9" i="16" s="1"/>
  <c r="C8" i="14"/>
  <c r="C8" i="16" s="1"/>
  <c r="C5" i="14"/>
  <c r="C5" i="16" s="1"/>
  <c r="X8" i="14"/>
  <c r="X8" i="16" s="1"/>
  <c r="C6" i="14"/>
  <c r="C6" i="16" s="1"/>
  <c r="C4" i="14"/>
  <c r="C4" i="16" s="1"/>
  <c r="C7" i="14"/>
  <c r="C7" i="16" s="1"/>
  <c r="Y40" i="11"/>
  <c r="B7" i="16"/>
  <c r="B4" i="16"/>
  <c r="B8" i="16"/>
  <c r="B5" i="16"/>
  <c r="B9" i="16"/>
  <c r="B6" i="16"/>
  <c r="Y38" i="11"/>
  <c r="J39" i="11"/>
  <c r="X39" i="11"/>
  <c r="Y39" i="11"/>
  <c r="F38" i="11"/>
  <c r="P39" i="11"/>
  <c r="R39" i="11"/>
  <c r="O39" i="11"/>
  <c r="E39" i="11"/>
  <c r="K39" i="11"/>
  <c r="W39" i="11"/>
  <c r="S39" i="11"/>
  <c r="T39" i="11"/>
  <c r="O38" i="11"/>
  <c r="W38" i="11"/>
  <c r="I38" i="11"/>
  <c r="P38" i="11"/>
  <c r="U38" i="11"/>
  <c r="U39" i="11"/>
  <c r="F39" i="11"/>
  <c r="H39" i="11"/>
  <c r="V39" i="11"/>
  <c r="G39" i="11"/>
  <c r="M39" i="11"/>
  <c r="L39" i="11"/>
  <c r="N39" i="11"/>
  <c r="I39" i="11"/>
  <c r="Q39" i="11"/>
  <c r="M38" i="11"/>
  <c r="L38" i="11"/>
  <c r="J38" i="11"/>
  <c r="H38" i="11"/>
  <c r="K38" i="11"/>
  <c r="V38" i="11"/>
  <c r="R38" i="11"/>
  <c r="G38" i="11"/>
  <c r="T38" i="11"/>
  <c r="X38" i="11"/>
  <c r="E38" i="11"/>
  <c r="S38" i="11"/>
  <c r="N38" i="11"/>
  <c r="Q38" i="11"/>
  <c r="K37" i="11" l="1"/>
  <c r="J37" i="11"/>
  <c r="X4" i="14"/>
  <c r="X4" i="16" s="1"/>
  <c r="V6" i="14"/>
  <c r="V6" i="16" s="1"/>
  <c r="Q6" i="14"/>
  <c r="Q6" i="16" s="1"/>
  <c r="W6" i="14"/>
  <c r="W6" i="16" s="1"/>
  <c r="R5" i="14"/>
  <c r="R5" i="16" s="1"/>
  <c r="G5" i="14"/>
  <c r="G5" i="16" s="1"/>
  <c r="L6" i="14"/>
  <c r="L6" i="16" s="1"/>
  <c r="O5" i="14"/>
  <c r="O5" i="16" s="1"/>
  <c r="O6" i="14"/>
  <c r="O6" i="16" s="1"/>
  <c r="D5" i="14"/>
  <c r="D5" i="16" s="1"/>
  <c r="I5" i="14"/>
  <c r="I5" i="16" s="1"/>
  <c r="H6" i="14"/>
  <c r="H6" i="16" s="1"/>
  <c r="F6" i="14"/>
  <c r="F6" i="16" s="1"/>
  <c r="T6" i="14"/>
  <c r="T6" i="16" s="1"/>
  <c r="S6" i="14"/>
  <c r="S6" i="16" s="1"/>
  <c r="D6" i="14"/>
  <c r="D6" i="16" s="1"/>
  <c r="E5" i="14"/>
  <c r="E5" i="16" s="1"/>
  <c r="X5" i="14"/>
  <c r="X5" i="16" s="1"/>
  <c r="M5" i="14"/>
  <c r="M5" i="16" s="1"/>
  <c r="S5" i="14"/>
  <c r="S5" i="16" s="1"/>
  <c r="J5" i="14"/>
  <c r="J5" i="16" s="1"/>
  <c r="L5" i="14"/>
  <c r="L5" i="16" s="1"/>
  <c r="K6" i="14"/>
  <c r="K6" i="16" s="1"/>
  <c r="G6" i="14"/>
  <c r="G6" i="16" s="1"/>
  <c r="T5" i="14"/>
  <c r="T5" i="16" s="1"/>
  <c r="V5" i="14"/>
  <c r="V5" i="16" s="1"/>
  <c r="F5" i="14"/>
  <c r="F5" i="16" s="1"/>
  <c r="P6" i="14"/>
  <c r="P6" i="16" s="1"/>
  <c r="E6" i="14"/>
  <c r="E6" i="16" s="1"/>
  <c r="N5" i="14"/>
  <c r="N5" i="16" s="1"/>
  <c r="J6" i="14"/>
  <c r="J6" i="16" s="1"/>
  <c r="I6" i="14"/>
  <c r="I6" i="16" s="1"/>
  <c r="X7" i="14"/>
  <c r="X7" i="16" s="1"/>
  <c r="Q5" i="14"/>
  <c r="Q5" i="16" s="1"/>
  <c r="P5" i="14"/>
  <c r="P5" i="16" s="1"/>
  <c r="W5" i="14"/>
  <c r="W5" i="16" s="1"/>
  <c r="U5" i="14"/>
  <c r="U5" i="16" s="1"/>
  <c r="K5" i="14"/>
  <c r="K5" i="16" s="1"/>
  <c r="M6" i="14"/>
  <c r="M6" i="16" s="1"/>
  <c r="U6" i="14"/>
  <c r="U6" i="16" s="1"/>
  <c r="H5" i="14"/>
  <c r="H5" i="16" s="1"/>
  <c r="R6" i="14"/>
  <c r="R6" i="16" s="1"/>
  <c r="N6" i="14"/>
  <c r="N6" i="16" s="1"/>
  <c r="X6" i="14"/>
  <c r="X6" i="16" s="1"/>
  <c r="S41" i="11"/>
  <c r="K41" i="11"/>
  <c r="W41" i="11"/>
  <c r="Q41" i="11"/>
  <c r="G41" i="11"/>
  <c r="S40" i="11"/>
  <c r="O40" i="11"/>
  <c r="V40" i="11"/>
  <c r="R40" i="11"/>
  <c r="L40" i="11"/>
  <c r="R37" i="11"/>
  <c r="Q37" i="11"/>
  <c r="G37" i="11"/>
  <c r="E37" i="11"/>
  <c r="O37" i="11"/>
  <c r="G42" i="11"/>
  <c r="F42" i="11"/>
  <c r="P42" i="11"/>
  <c r="N42" i="11"/>
  <c r="I42" i="11"/>
  <c r="H41" i="11"/>
  <c r="R41" i="11"/>
  <c r="O41" i="11"/>
  <c r="N41" i="11"/>
  <c r="J41" i="11"/>
  <c r="M40" i="11"/>
  <c r="N40" i="11"/>
  <c r="E40" i="11"/>
  <c r="G40" i="11"/>
  <c r="Q40" i="11"/>
  <c r="P37" i="11"/>
  <c r="U37" i="11"/>
  <c r="S37" i="11"/>
  <c r="W37" i="11"/>
  <c r="F37" i="11"/>
  <c r="O42" i="11"/>
  <c r="R42" i="11"/>
  <c r="M42" i="11"/>
  <c r="T42" i="11"/>
  <c r="V42" i="11"/>
  <c r="I41" i="11"/>
  <c r="M41" i="11"/>
  <c r="L41" i="11"/>
  <c r="P41" i="11"/>
  <c r="U41" i="11"/>
  <c r="I40" i="11"/>
  <c r="P40" i="11"/>
  <c r="X40" i="11"/>
  <c r="W40" i="11"/>
  <c r="K40" i="11"/>
  <c r="T37" i="11"/>
  <c r="N37" i="11"/>
  <c r="L37" i="11"/>
  <c r="V37" i="11"/>
  <c r="S42" i="11"/>
  <c r="J42" i="11"/>
  <c r="L42" i="11"/>
  <c r="Q42" i="11"/>
  <c r="U42" i="11"/>
  <c r="F41" i="11"/>
  <c r="X41" i="11"/>
  <c r="V41" i="11"/>
  <c r="T41" i="11"/>
  <c r="E41" i="11"/>
  <c r="F40" i="11"/>
  <c r="T40" i="11"/>
  <c r="U40" i="11"/>
  <c r="H40" i="11"/>
  <c r="J40" i="11"/>
  <c r="M37" i="11"/>
  <c r="X37" i="11"/>
  <c r="I37" i="11"/>
  <c r="H37" i="11"/>
  <c r="K42" i="11"/>
  <c r="E42" i="11"/>
  <c r="X42" i="11"/>
  <c r="H42" i="11"/>
  <c r="W42" i="11"/>
  <c r="I4" i="14" l="1"/>
  <c r="I4" i="16" s="1"/>
  <c r="J4" i="14"/>
  <c r="J4" i="16" s="1"/>
  <c r="G4" i="14"/>
  <c r="G4" i="16" s="1"/>
  <c r="W8" i="14"/>
  <c r="W8" i="16" s="1"/>
  <c r="K4" i="14"/>
  <c r="K4" i="16" s="1"/>
  <c r="T8" i="14"/>
  <c r="T8" i="16" s="1"/>
  <c r="Q9" i="14"/>
  <c r="Q9" i="16" s="1"/>
  <c r="F7" i="14"/>
  <c r="F7" i="16" s="1"/>
  <c r="G8" i="14"/>
  <c r="G8" i="16" s="1"/>
  <c r="F4" i="14"/>
  <c r="F4" i="16" s="1"/>
  <c r="F8" i="14"/>
  <c r="F8" i="16" s="1"/>
  <c r="H4" i="14"/>
  <c r="H4" i="16" s="1"/>
  <c r="G7" i="14"/>
  <c r="G7" i="16" s="1"/>
  <c r="D8" i="14"/>
  <c r="D8" i="16" s="1"/>
  <c r="I9" i="14"/>
  <c r="I9" i="16" s="1"/>
  <c r="W7" i="14"/>
  <c r="W7" i="16" s="1"/>
  <c r="U9" i="14"/>
  <c r="U9" i="16" s="1"/>
  <c r="T4" i="14"/>
  <c r="T4" i="16" s="1"/>
  <c r="D7" i="14"/>
  <c r="D7" i="16" s="1"/>
  <c r="H9" i="14"/>
  <c r="H9" i="16" s="1"/>
  <c r="P4" i="14"/>
  <c r="P4" i="16" s="1"/>
  <c r="P8" i="14"/>
  <c r="P8" i="16" s="1"/>
  <c r="D9" i="14"/>
  <c r="D9" i="16" s="1"/>
  <c r="W4" i="14"/>
  <c r="W4" i="16" s="1"/>
  <c r="T7" i="14"/>
  <c r="T7" i="16" s="1"/>
  <c r="S8" i="14"/>
  <c r="S8" i="16" s="1"/>
  <c r="T9" i="14"/>
  <c r="T9" i="16" s="1"/>
  <c r="R9" i="14"/>
  <c r="R9" i="16" s="1"/>
  <c r="S4" i="14"/>
  <c r="S4" i="16" s="1"/>
  <c r="O7" i="14"/>
  <c r="O7" i="16" s="1"/>
  <c r="K8" i="14"/>
  <c r="K8" i="16" s="1"/>
  <c r="S9" i="14"/>
  <c r="S9" i="16" s="1"/>
  <c r="E4" i="14"/>
  <c r="E4" i="16" s="1"/>
  <c r="O4" i="14"/>
  <c r="O4" i="16" s="1"/>
  <c r="M7" i="14"/>
  <c r="M7" i="16" s="1"/>
  <c r="N8" i="14"/>
  <c r="N8" i="16" s="1"/>
  <c r="M9" i="14"/>
  <c r="M9" i="16" s="1"/>
  <c r="N4" i="14"/>
  <c r="N4" i="16" s="1"/>
  <c r="Q4" i="14"/>
  <c r="Q4" i="16" s="1"/>
  <c r="N7" i="14"/>
  <c r="N7" i="16" s="1"/>
  <c r="V8" i="14"/>
  <c r="V8" i="16" s="1"/>
  <c r="G9" i="14"/>
  <c r="G9" i="16" s="1"/>
  <c r="I7" i="14"/>
  <c r="I7" i="16" s="1"/>
  <c r="E7" i="14"/>
  <c r="E7" i="16" s="1"/>
  <c r="K9" i="14"/>
  <c r="K9" i="16" s="1"/>
  <c r="V7" i="14"/>
  <c r="V7" i="16" s="1"/>
  <c r="H8" i="14"/>
  <c r="H8" i="16" s="1"/>
  <c r="R4" i="14"/>
  <c r="R4" i="16" s="1"/>
  <c r="I8" i="14"/>
  <c r="I8" i="16" s="1"/>
  <c r="E9" i="14"/>
  <c r="E9" i="16" s="1"/>
  <c r="Q7" i="14"/>
  <c r="Q7" i="16" s="1"/>
  <c r="R8" i="14"/>
  <c r="R8" i="16" s="1"/>
  <c r="W9" i="14"/>
  <c r="W9" i="16" s="1"/>
  <c r="E8" i="14"/>
  <c r="E8" i="16" s="1"/>
  <c r="M4" i="14"/>
  <c r="M4" i="16" s="1"/>
  <c r="O8" i="14"/>
  <c r="O8" i="16" s="1"/>
  <c r="N9" i="14"/>
  <c r="N9" i="16" s="1"/>
  <c r="M8" i="14"/>
  <c r="M8" i="16" s="1"/>
  <c r="F9" i="14"/>
  <c r="F9" i="16" s="1"/>
  <c r="U7" i="14"/>
  <c r="U7" i="16" s="1"/>
  <c r="V9" i="14"/>
  <c r="V9" i="16" s="1"/>
  <c r="J9" i="14"/>
  <c r="J9" i="16" s="1"/>
  <c r="L4" i="14"/>
  <c r="L4" i="16" s="1"/>
  <c r="S7" i="14"/>
  <c r="S7" i="16" s="1"/>
  <c r="U8" i="14"/>
  <c r="U8" i="16" s="1"/>
  <c r="P9" i="14"/>
  <c r="P9" i="16" s="1"/>
  <c r="U4" i="14"/>
  <c r="U4" i="16" s="1"/>
  <c r="J7" i="14"/>
  <c r="J7" i="16" s="1"/>
  <c r="H7" i="14"/>
  <c r="H7" i="16" s="1"/>
  <c r="L8" i="14"/>
  <c r="L8" i="16" s="1"/>
  <c r="L9" i="14"/>
  <c r="L9" i="16" s="1"/>
  <c r="V4" i="14"/>
  <c r="V4" i="16" s="1"/>
  <c r="P7" i="14"/>
  <c r="P7" i="16" s="1"/>
  <c r="L7" i="14"/>
  <c r="L7" i="16" s="1"/>
  <c r="Q8" i="14"/>
  <c r="Q8" i="16" s="1"/>
  <c r="O9" i="14"/>
  <c r="O9" i="16" s="1"/>
  <c r="D4" i="14"/>
  <c r="D4" i="16" s="1"/>
  <c r="K7" i="14"/>
  <c r="K7" i="16" s="1"/>
  <c r="R7" i="14"/>
  <c r="R7" i="16" s="1"/>
  <c r="J8" i="14"/>
  <c r="J8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Miller, Sheri - E&amp;FP</author>
  </authors>
  <commentList>
    <comment ref="O20" authorId="0" shapeId="0" xr:uid="{3FCCCCC3-DD87-4C6E-8C2F-F45098D395A9}">
      <text>
        <r>
          <rPr>
            <b/>
            <sz val="9"/>
            <color indexed="81"/>
            <rFont val="Tahoma"/>
            <family val="2"/>
          </rPr>
          <t xml:space="preserve"> E&amp;FP:</t>
        </r>
        <r>
          <rPr>
            <sz val="9"/>
            <color indexed="81"/>
            <rFont val="Tahoma"/>
            <family val="2"/>
          </rPr>
          <t xml:space="preserve">
omits Naturener due to no energy, REC only</t>
        </r>
      </text>
    </comment>
  </commentList>
</comments>
</file>

<file path=xl/sharedStrings.xml><?xml version="1.0" encoding="utf-8"?>
<sst xmlns="http://schemas.openxmlformats.org/spreadsheetml/2006/main" count="582" uniqueCount="180">
  <si>
    <t>Description</t>
  </si>
  <si>
    <t>Source of Data</t>
  </si>
  <si>
    <t>Value</t>
  </si>
  <si>
    <t>Line No.</t>
  </si>
  <si>
    <t>On Peak SP 15 Price ($/MWh)</t>
  </si>
  <si>
    <t>Off Peak SP 15 Price ($/MWh)</t>
  </si>
  <si>
    <t>On Peak Load Weight (%)</t>
  </si>
  <si>
    <t>Off Peak Load Weight (%)</t>
  </si>
  <si>
    <t>Load Weighted Average Price ($/MWh)</t>
  </si>
  <si>
    <t>Line 1 x Line 3 + Line 2 x Line 4</t>
  </si>
  <si>
    <t>Cost of Portfolio</t>
  </si>
  <si>
    <t>CRS Eligible Supply</t>
  </si>
  <si>
    <t>CRS Eligible Cumulative GWh at Meter</t>
  </si>
  <si>
    <t>CTC-Eligible</t>
  </si>
  <si>
    <t>Equation</t>
  </si>
  <si>
    <t>Unit</t>
  </si>
  <si>
    <t>CTC</t>
  </si>
  <si>
    <t>$000</t>
  </si>
  <si>
    <t>GWh</t>
  </si>
  <si>
    <t>MW</t>
  </si>
  <si>
    <t>Portfolio Unit Cost</t>
  </si>
  <si>
    <t>$/MWh</t>
  </si>
  <si>
    <t>Market Value of Portfolio</t>
  </si>
  <si>
    <t>Market Value of Brown Portfolio</t>
  </si>
  <si>
    <t>Non-Renewable Energy</t>
  </si>
  <si>
    <t>MWh</t>
  </si>
  <si>
    <t>Platt's Weighted Price (Brown Benchmark)</t>
  </si>
  <si>
    <t>Market Value of Green Portfolio</t>
  </si>
  <si>
    <t>Renewable Energy</t>
  </si>
  <si>
    <t>Capacity Adder</t>
  </si>
  <si>
    <t>Average Monthly NQC</t>
  </si>
  <si>
    <t>$/kW-Year</t>
  </si>
  <si>
    <t>Market Value of Capacity</t>
  </si>
  <si>
    <t>Portfolio Market Value</t>
  </si>
  <si>
    <t>Indifference Amount</t>
  </si>
  <si>
    <t>Portfolio Total Cost</t>
  </si>
  <si>
    <t>Portfolio Unit Value</t>
  </si>
  <si>
    <t>Total Indifference Amount (Unadjusted)</t>
  </si>
  <si>
    <t>Rate Group</t>
  </si>
  <si>
    <t>CTC Indifference</t>
  </si>
  <si>
    <t>CTC Rate</t>
  </si>
  <si>
    <t>Residential</t>
  </si>
  <si>
    <t>Small Commercial</t>
  </si>
  <si>
    <t>Med&amp;Lg C&amp;I</t>
  </si>
  <si>
    <t>Agricultural</t>
  </si>
  <si>
    <t>Lighting</t>
  </si>
  <si>
    <t>System</t>
  </si>
  <si>
    <t>INPUT</t>
  </si>
  <si>
    <t>Cost of Portfolio ($000)</t>
  </si>
  <si>
    <t>CRS Eligible Net Qualifying Capacity (MW)</t>
  </si>
  <si>
    <t>CRS Eligible Cumulative Net Qualifying Capacity (MW)</t>
  </si>
  <si>
    <t>Legacy UOG</t>
  </si>
  <si>
    <t>Agriculture</t>
  </si>
  <si>
    <t>Streetlighting</t>
  </si>
  <si>
    <t>Medium &amp; Large C&amp;I</t>
  </si>
  <si>
    <t>System Total</t>
  </si>
  <si>
    <t>SONGS Settlement</t>
  </si>
  <si>
    <t xml:space="preserve">CRS Eligible Cumulative Portfolio Costs </t>
  </si>
  <si>
    <t xml:space="preserve">CRS Eligible Portfolio Costs </t>
  </si>
  <si>
    <t>PCIA 2001 Vintage</t>
  </si>
  <si>
    <t>PCIA 2009 Vintage</t>
  </si>
  <si>
    <t>PCIA 2010 Vintage</t>
  </si>
  <si>
    <t>PCIA 2011 Vintage</t>
  </si>
  <si>
    <t>PCIA 2012 Vintage</t>
  </si>
  <si>
    <t>PCIA 2013 Vintage</t>
  </si>
  <si>
    <t>PCIA 2014 Vintage</t>
  </si>
  <si>
    <t>PCIA 2015 Vintage</t>
  </si>
  <si>
    <t>PCIA 2016 Vintage</t>
  </si>
  <si>
    <t>PCIA 2017 Vintage</t>
  </si>
  <si>
    <t>PCIA 2018 Vintage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</si>
  <si>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The CTC shown is illustrative and based off of forecasted PCIA customers using actuals tied to authorized sales. </t>
    </r>
  </si>
  <si>
    <t>CRS Eligible Portfolio Cost</t>
  </si>
  <si>
    <t>PCIA 2019 Vintage</t>
  </si>
  <si>
    <t>PCIA 2002 Vintage</t>
  </si>
  <si>
    <t>PCIA 2003 Vintage</t>
  </si>
  <si>
    <t>PCIA 2004 Vintage</t>
  </si>
  <si>
    <t>PCIA 2005 Vintage</t>
  </si>
  <si>
    <t>PCIA 2006 Vintage</t>
  </si>
  <si>
    <t>PCIA 2007 Vintage</t>
  </si>
  <si>
    <r>
      <t>CTC (For All Vintages)</t>
    </r>
    <r>
      <rPr>
        <b/>
        <vertAlign val="superscript"/>
        <sz val="11"/>
        <rFont val="Times New Roman"/>
        <family val="1"/>
      </rPr>
      <t>1</t>
    </r>
  </si>
  <si>
    <t>Total Indifference Amounts by Vintage</t>
  </si>
  <si>
    <t>System RA Benchmark</t>
  </si>
  <si>
    <t>Incremental Rate for Each Portfolio of Resources (Vintage Indifference Amount by Rate Group / Forecast Sales by Rate Group)</t>
  </si>
  <si>
    <t>CTC Sales</t>
  </si>
  <si>
    <t>Total Sales</t>
  </si>
  <si>
    <t>Total</t>
  </si>
  <si>
    <t>Legacy UOG &amp; Other</t>
  </si>
  <si>
    <t>Generation Revenue Allocation Factor</t>
  </si>
  <si>
    <t>CRS Eligible Flexible Net Qualifying Capacity</t>
  </si>
  <si>
    <t>CRS Eligible System Net Qualifying Capacity</t>
  </si>
  <si>
    <t>CRS Eligible Total Net Qualifying Capacity (MW)</t>
  </si>
  <si>
    <t>CRS Eligible System NQC (System only, No flex or local)</t>
  </si>
  <si>
    <t>CRS Eligible Flexible NQC (System and flex only, No local)</t>
  </si>
  <si>
    <t>Line 6 + Line 5</t>
  </si>
  <si>
    <t>Total "Green" Benchmark ($/MWh)</t>
  </si>
  <si>
    <t>Flexible RA Benchmark ($/kW-Year)</t>
  </si>
  <si>
    <t>Local RA Benchmark</t>
  </si>
  <si>
    <t>Flexible RA Benchmark</t>
  </si>
  <si>
    <t>Average Monthly Local NQC</t>
  </si>
  <si>
    <t>Average Monthly Flexible NQC</t>
  </si>
  <si>
    <t>CRS Eligible NQC (System and local, with or without flex)</t>
  </si>
  <si>
    <t>CRS Eligible Local Net Qualifying Capacity</t>
  </si>
  <si>
    <t>Local RA Benchmark ($/kW-Year)</t>
  </si>
  <si>
    <t xml:space="preserve">Final Cumulative Rates            </t>
  </si>
  <si>
    <t xml:space="preserve"> System Sales (GWh)</t>
  </si>
  <si>
    <t>PCIA 2020 Vintage</t>
  </si>
  <si>
    <t>Vintage-Billing Determinants Sales (GWh)</t>
  </si>
  <si>
    <t>PCIA Inputs Line 5</t>
  </si>
  <si>
    <t>PCIA Inputs Line 6</t>
  </si>
  <si>
    <t>System RA Benchmark ($/kW-Year)</t>
  </si>
  <si>
    <t>PCIA 
2008 Vintage</t>
  </si>
  <si>
    <t>PCIA 2021 Vintage</t>
  </si>
  <si>
    <t>PCIA Inputs Line 8</t>
  </si>
  <si>
    <t>PCIA Inputs Line 9</t>
  </si>
  <si>
    <t>PCIA Inputs Line 10</t>
  </si>
  <si>
    <t>PABA</t>
  </si>
  <si>
    <t>Vintaged PABA Revenue Requirement</t>
  </si>
  <si>
    <t>PABA Forecasted Year-End Balance (without FF&amp;U)</t>
  </si>
  <si>
    <t>Green Benchmark</t>
  </si>
  <si>
    <t>Portfolio Summary Line 3</t>
  </si>
  <si>
    <t>Portfolio Summary Line 4</t>
  </si>
  <si>
    <t>Portfolio Summary Line 1</t>
  </si>
  <si>
    <t>2018 Recorded Load - On Peak Hours</t>
  </si>
  <si>
    <t>2018 Recorded Load - Off Peak Hours</t>
  </si>
  <si>
    <t>Portfolio Summary Line 7</t>
  </si>
  <si>
    <t>Portfolio Summary Line 8</t>
  </si>
  <si>
    <t>Portfolio Summary Line 9</t>
  </si>
  <si>
    <r>
      <t>2020 CAPBA Trigger - 36 Month Amortization Undercollection from Departing Load - PCIA Vintaged Rate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</si>
  <si>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2020 CAPBA Trigger - 36 Month Amortization Return of Bundled Overcollection - PCIA Vintaged Rate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</si>
  <si>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OP1 and OP2 of D.20-12-028 authorized SDG&amp;E to collect the 2020 Departing Load revenue shortfall from departing load customers over 36 months through PCIA rate adders.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</si>
  <si>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OP4 and OP5 of D.20-12-028 authorized SDG&amp;E for a one-time transfer of the 2020 CAPBA balance overcollection owed to bundled customers into PABA vintage 2020 through a PCIA rate adder over 36 months.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</si>
  <si>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OP2 and OP3 of D.21-02-014 authorized SDG&amp;E for a one-time transfer of the 2020 ERRA Trigger balance undercollection into PABA vintage 2020 through a PCIA rate adder over 22 months.</t>
    </r>
  </si>
  <si>
    <r>
      <t>CTC (For All Vintages)</t>
    </r>
    <r>
      <rPr>
        <b/>
        <vertAlign val="superscript"/>
        <sz val="11"/>
        <rFont val="Times New Roman"/>
        <family val="1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</si>
  <si>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The CTC shown is illustrative and based off of forecasted PCIA customers using actuals tied to authorized sales. </t>
    </r>
  </si>
  <si>
    <t>2022 ERRA CRS Rates</t>
  </si>
  <si>
    <t>PCIA 2022 Vintage</t>
  </si>
  <si>
    <t>2022 CRS Rates</t>
  </si>
  <si>
    <t>REC Benchmark ($/MWh)</t>
  </si>
  <si>
    <t>CRS Eligible Non-Renewable Supply At Generator Meter</t>
  </si>
  <si>
    <t>CRS Eligible Renewable Supply at Generator Meter</t>
  </si>
  <si>
    <t>CRS Eligible Non-Renewable Supply at Generator Meter</t>
  </si>
  <si>
    <t>Line 1 / (Lines 2 + 3)</t>
  </si>
  <si>
    <t>CAPBA Departed Load Undercollection Year-End Balance</t>
  </si>
  <si>
    <t>Vintaged CAPBA Departed Load Undercollection Year-End Balance</t>
  </si>
  <si>
    <t>CAPBA Bundled Overcollection Year-End Balance</t>
  </si>
  <si>
    <t>Vintaged CAPBA Bundled Overcollection Year-End Balance</t>
  </si>
  <si>
    <t xml:space="preserve">Final Cumulative Rates - Equal Cent per kWh           </t>
  </si>
  <si>
    <t xml:space="preserve">Final Cumulative Rates </t>
  </si>
  <si>
    <t>2022 Value Provided by Energy Division</t>
  </si>
  <si>
    <t>Platt's Forward Prices as of November 1, 2021</t>
  </si>
  <si>
    <r>
      <t>2020 ERRA Trigger - 22 Month Amortization  - PCIA Vintaged Rate</t>
    </r>
    <r>
      <rPr>
        <b/>
        <vertAlign val="superscript"/>
        <sz val="11"/>
        <color theme="1"/>
        <rFont val="Calibri"/>
        <family val="2"/>
        <scheme val="minor"/>
      </rPr>
      <t>4,5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</si>
  <si>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Final cumulative PCIA rates pursuant to D.20-12-028, D.21-02-014, and D.21-05-030 and 2022 ERRA Forecast Update.</t>
    </r>
  </si>
  <si>
    <r>
      <t>2022 ERRA Forecast Update Propsoed PCIA Rates + 2020 CAPBA Trigger Rates_36 Month Amortization + 2020 ERRA Trigger Rates_22 Month Amortization + 2021 PCIA Cap Removal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</si>
  <si>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Franchise Fees and Uncollectibles Factor (FF&amp;U) (Current Effective)</t>
  </si>
  <si>
    <t>PABA Revenue Requirement Allocation to Rate Groups (w/ FF&amp;U) ($000) -- Vintaged Revenue Requirement x Column B</t>
  </si>
  <si>
    <t>Vintaged-Billing Determinants Sales (GWh)</t>
  </si>
  <si>
    <t>CAPBA Overcollection Balancing Account Allocation to Rate Groups (w/ FF&amp;U) ($000) -- Vintaged Revenue Requirement x Column B</t>
  </si>
  <si>
    <t>CAPBA Undercollection Balancing Account Allocation to Rate Groups (w/ FF&amp;U) ($000) -- Vintaged Revenue Requirement x Column B</t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</si>
  <si>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PCIA Vintage 2020 is no longer capped pursuant to OP 1 of D.21-05-030.</t>
    </r>
  </si>
  <si>
    <r>
      <t>Franchise Fees and Uncollectibles Factor (FF&amp;U) (Effective 1/1/22)</t>
    </r>
    <r>
      <rPr>
        <vertAlign val="superscript"/>
        <sz val="11"/>
        <color theme="1"/>
        <rFont val="Calibri"/>
        <family val="2"/>
        <scheme val="minor"/>
      </rPr>
      <t>1</t>
    </r>
  </si>
  <si>
    <t>Vintaged PABA Rev Req with Current FF&amp;U</t>
  </si>
  <si>
    <t>Vintaged PABA Rev Req with 1/1/2022 FF&amp;U</t>
  </si>
  <si>
    <t>Vintaged CAPBA Departed Load Undercollection Year-End Balance with Current FF&amp;U</t>
  </si>
  <si>
    <t>Vintaged CAPBA Departed Load Undercollection Year-End Balance with 1/1/2022 FF&amp;U</t>
  </si>
  <si>
    <t>Vintaged CAPBA Bundled Overcollection Year-End Balance with 1/1/2022 FF&amp;U</t>
  </si>
  <si>
    <t>Vintaged CAPBA Bundled Overcollection Year-End Balance with Current FF&amp;U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</si>
  <si>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Per AL 3885-E.</t>
    </r>
  </si>
  <si>
    <t>ERRA Balancing Account Allocation to Rate Groups (w/ FF&amp;U) ($000) -- Vintaged Revenue Requirement x Column C</t>
  </si>
  <si>
    <t>ERRA Forecasted Year-End Balance</t>
  </si>
  <si>
    <t>Vintaged ERRA Forecasted Year-End Balance</t>
  </si>
  <si>
    <t>Vintaged ERRA Forecasted Year-End Balance with Current FF&amp;U</t>
  </si>
  <si>
    <t>Vintaged ERRA Forecasted Year-End Balance with 1/1/22 FF&amp;U</t>
  </si>
  <si>
    <t>Aggr. Portfolio Weights</t>
  </si>
  <si>
    <r>
      <t>2022 ERRA Forecast November Update - PCIA Vintaged Rate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</si>
  <si>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2021 CAPBA Overcollection - 12 Month Amortization  - PCIA Vintaged Rate</t>
    </r>
    <r>
      <rPr>
        <b/>
        <vertAlign val="superscript"/>
        <sz val="11"/>
        <rFont val="Calibri"/>
        <family val="2"/>
        <scheme val="minor"/>
      </rPr>
      <t>6</t>
    </r>
  </si>
  <si>
    <r>
      <t>2021 CAPBA Undercollection - 12 Month Amortization  - PCIA Vintaged Rate</t>
    </r>
    <r>
      <rPr>
        <b/>
        <vertAlign val="superscript"/>
        <sz val="11"/>
        <rFont val="Calibri"/>
        <family val="2"/>
        <scheme val="minor"/>
      </rPr>
      <t>6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</si>
  <si>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The CTC shown is illustrative and based off of forecasted PCIA customers using actuals tied to authorized sales. </t>
    </r>
  </si>
  <si>
    <r>
      <rPr>
        <vertAlign val="superscript"/>
        <sz val="11"/>
        <rFont val="Calibri"/>
        <family val="2"/>
        <scheme val="minor"/>
      </rPr>
      <t xml:space="preserve">6 </t>
    </r>
    <r>
      <rPr>
        <sz val="11"/>
        <rFont val="Calibri"/>
        <family val="2"/>
        <scheme val="minor"/>
      </rPr>
      <t xml:space="preserve">Pursuant to D.21-05-030, the PCIA cap is removed. </t>
    </r>
  </si>
  <si>
    <r>
      <t>2021 ERRA Trigger Year End Balance - Illustrative PCIA Vintaged Rate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</si>
  <si>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Pursuant to ALJ Long's email ruling on November 12, 2021, SDG&amp;E is including its ERRA undercollection year-end balance (as shown in the updated testimony of Eric Dalton in A.21-05-006) in A.21-04-010.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</si>
</sst>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&quot;$&quot;#,##0.00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%"/>
    <numFmt numFmtId="170" formatCode="_(&quot;$&quot;* #,##0.00000000_);_(&quot;$&quot;* \(#,##0.00000000\);_(&quot;$&quot;* &quot;-&quot;??_);_(@_)"/>
    <numFmt numFmtId="171" formatCode="_(&quot;$&quot;* #,##0.00000_);_(&quot;$&quot;* \(#,##0.00000\);_(&quot;$&quot;* &quot;-&quot;??_);_(@_)"/>
    <numFmt numFmtId="172" formatCode="0.0%"/>
    <numFmt numFmtId="173" formatCode="_(* #,##0.00000_);_(* \(#,##0.00000\);_(* &quot;-&quot;??_);_(@_)"/>
    <numFmt numFmtId="174" formatCode="_(* #,##0.000_);_(* \(#,##0.000\);_(* &quot;-&quot;??_);_(@_)"/>
    <numFmt numFmtId="175" formatCode="General_)"/>
    <numFmt numFmtId="176" formatCode="_(* #,##0.000000_);_(* \(#,##0.000000\);_(* &quot;-&quot;??_);_(@_)"/>
    <numFmt numFmtId="177" formatCode="000"/>
    <numFmt numFmtId="178" formatCode="0000"/>
    <numFmt numFmtId="179" formatCode="m\-d\-yy"/>
    <numFmt numFmtId="180" formatCode="mm\-dd\-yy"/>
    <numFmt numFmtId="181" formatCode="#,##0.00&quot; $&quot;;\-#,##0.00&quot; $&quot;"/>
    <numFmt numFmtId="182" formatCode="0.00_)"/>
    <numFmt numFmtId="183" formatCode="0.000\ \¢"/>
    <numFmt numFmtId="184" formatCode="&quot;$&quot;#,##0.00;\-&quot;$&quot;#,##0.00"/>
    <numFmt numFmtId="185" formatCode="_-* #,##0.0_-;\-* #,##0.0_-;_-* &quot;-&quot;??_-;_-@_-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color theme="4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8"/>
      <name val="Univers (WN)"/>
    </font>
    <font>
      <sz val="10"/>
      <color theme="1"/>
      <name val="Californian FB"/>
      <family val="2"/>
    </font>
    <font>
      <sz val="11"/>
      <color indexed="8"/>
      <name val="Calibri"/>
      <family val="2"/>
    </font>
    <font>
      <sz val="10"/>
      <color theme="0"/>
      <name val="Californian FB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10"/>
      <color rgb="FF9C0006"/>
      <name val="Californian FB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b/>
      <sz val="10"/>
      <color rgb="FFFA7D00"/>
      <name val="Californian FB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fornian FB"/>
      <family val="2"/>
    </font>
    <font>
      <b/>
      <sz val="11"/>
      <color indexed="9"/>
      <name val="Calibri"/>
      <family val="2"/>
    </font>
    <font>
      <sz val="8.5"/>
      <name val="LinePrinter"/>
    </font>
    <font>
      <b/>
      <sz val="11"/>
      <color indexed="8"/>
      <name val="Calibri"/>
      <family val="2"/>
    </font>
    <font>
      <i/>
      <sz val="10"/>
      <color rgb="FF7F7F7F"/>
      <name val="Californian FB"/>
      <family val="2"/>
    </font>
    <font>
      <i/>
      <sz val="11"/>
      <color indexed="23"/>
      <name val="Calibri"/>
      <family val="2"/>
    </font>
    <font>
      <sz val="10"/>
      <color rgb="FF006100"/>
      <name val="Californian FB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theme="3"/>
      <name val="Californian FB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theme="3"/>
      <name val="Californian FB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theme="3"/>
      <name val="Californian FB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color rgb="FF3F3F76"/>
      <name val="Californian FB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rgb="FFFA7D00"/>
      <name val="Californian FB"/>
      <family val="2"/>
    </font>
    <font>
      <sz val="11"/>
      <color indexed="52"/>
      <name val="Calibri"/>
      <family val="2"/>
    </font>
    <font>
      <sz val="10"/>
      <color rgb="FF9C6500"/>
      <name val="Californian FB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8"/>
      <name val="Times New Roman"/>
      <family val="1"/>
    </font>
    <font>
      <b/>
      <sz val="10"/>
      <color rgb="FF3F3F3F"/>
      <name val="Californian FB"/>
      <family val="2"/>
    </font>
    <font>
      <b/>
      <sz val="11"/>
      <color indexed="63"/>
      <name val="Calibri"/>
      <family val="2"/>
    </font>
    <font>
      <b/>
      <u/>
      <sz val="10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b/>
      <sz val="8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0"/>
      <color theme="1"/>
      <name val="Californian FB"/>
      <family val="2"/>
    </font>
    <font>
      <sz val="8"/>
      <color indexed="12"/>
      <name val="Arial"/>
      <family val="2"/>
    </font>
    <font>
      <sz val="10"/>
      <color rgb="FFFF0000"/>
      <name val="Californian FB"/>
      <family val="2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u/>
      <sz val="7.5"/>
      <color theme="10"/>
      <name val="Arial"/>
      <family val="2"/>
    </font>
    <font>
      <u/>
      <sz val="10"/>
      <color indexed="12"/>
      <name val="Comic Sans MS"/>
      <family val="4"/>
    </font>
    <font>
      <sz val="10"/>
      <name val="Times New Roman"/>
      <family val="1"/>
    </font>
    <font>
      <sz val="10"/>
      <name val="New Century Schlbk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4"/>
      <name val="Times New Roman"/>
      <family val="1"/>
    </font>
    <font>
      <b/>
      <sz val="10"/>
      <color theme="4"/>
      <name val="Arial"/>
      <family val="2"/>
    </font>
    <font>
      <b/>
      <sz val="9"/>
      <color theme="1"/>
      <name val="Arial"/>
      <family val="2"/>
    </font>
    <font>
      <vertAlign val="superscript"/>
      <sz val="11"/>
      <name val="Calibri"/>
      <family val="2"/>
      <scheme val="minor"/>
    </font>
  </fonts>
  <fills count="1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3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175" fontId="18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0" borderId="0"/>
    <xf numFmtId="0" fontId="1" fillId="0" borderId="0"/>
    <xf numFmtId="40" fontId="24" fillId="0" borderId="0" applyFont="0" applyFill="0" applyBorder="0" applyAlignment="0" applyProtection="0"/>
    <xf numFmtId="0" fontId="24" fillId="0" borderId="0"/>
    <xf numFmtId="40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/>
    <xf numFmtId="0" fontId="28" fillId="0" borderId="12" applyNumberFormat="0" applyFill="0" applyProtection="0">
      <alignment horizontal="center"/>
    </xf>
    <xf numFmtId="0" fontId="28" fillId="0" borderId="12" applyNumberFormat="0" applyFill="0" applyProtection="0">
      <alignment horizontal="center"/>
    </xf>
    <xf numFmtId="0" fontId="28" fillId="0" borderId="12" applyNumberFormat="0" applyFill="0" applyProtection="0">
      <alignment horizontal="center"/>
    </xf>
    <xf numFmtId="0" fontId="29" fillId="0" borderId="0" applyNumberFormat="0" applyFill="0" applyBorder="0" applyProtection="0">
      <alignment horizontal="centerContinuous"/>
    </xf>
    <xf numFmtId="0" fontId="5" fillId="0" borderId="0" applyNumberForma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13" borderId="0" applyNumberFormat="0" applyBorder="0" applyAlignment="0" applyProtection="0"/>
    <xf numFmtId="0" fontId="32" fillId="36" borderId="0" applyNumberFormat="0" applyBorder="0" applyAlignment="0" applyProtection="0"/>
    <xf numFmtId="0" fontId="31" fillId="17" borderId="0" applyNumberFormat="0" applyBorder="0" applyAlignment="0" applyProtection="0"/>
    <xf numFmtId="0" fontId="32" fillId="37" borderId="0" applyNumberFormat="0" applyBorder="0" applyAlignment="0" applyProtection="0"/>
    <xf numFmtId="0" fontId="31" fillId="21" borderId="0" applyNumberFormat="0" applyBorder="0" applyAlignment="0" applyProtection="0"/>
    <xf numFmtId="0" fontId="32" fillId="38" borderId="0" applyNumberFormat="0" applyBorder="0" applyAlignment="0" applyProtection="0"/>
    <xf numFmtId="0" fontId="31" fillId="25" borderId="0" applyNumberFormat="0" applyBorder="0" applyAlignment="0" applyProtection="0"/>
    <xf numFmtId="0" fontId="32" fillId="39" borderId="0" applyNumberFormat="0" applyBorder="0" applyAlignment="0" applyProtection="0"/>
    <xf numFmtId="0" fontId="31" fillId="29" borderId="0" applyNumberFormat="0" applyBorder="0" applyAlignment="0" applyProtection="0"/>
    <xf numFmtId="0" fontId="32" fillId="40" borderId="0" applyNumberFormat="0" applyBorder="0" applyAlignment="0" applyProtection="0"/>
    <xf numFmtId="0" fontId="31" fillId="33" borderId="0" applyNumberFormat="0" applyBorder="0" applyAlignment="0" applyProtection="0"/>
    <xf numFmtId="0" fontId="32" fillId="41" borderId="0" applyNumberFormat="0" applyBorder="0" applyAlignment="0" applyProtection="0"/>
    <xf numFmtId="0" fontId="31" fillId="14" borderId="0" applyNumberFormat="0" applyBorder="0" applyAlignment="0" applyProtection="0"/>
    <xf numFmtId="0" fontId="32" fillId="42" borderId="0" applyNumberFormat="0" applyBorder="0" applyAlignment="0" applyProtection="0"/>
    <xf numFmtId="0" fontId="31" fillId="18" borderId="0" applyNumberFormat="0" applyBorder="0" applyAlignment="0" applyProtection="0"/>
    <xf numFmtId="0" fontId="32" fillId="43" borderId="0" applyNumberFormat="0" applyBorder="0" applyAlignment="0" applyProtection="0"/>
    <xf numFmtId="0" fontId="31" fillId="22" borderId="0" applyNumberFormat="0" applyBorder="0" applyAlignment="0" applyProtection="0"/>
    <xf numFmtId="0" fontId="32" fillId="44" borderId="0" applyNumberFormat="0" applyBorder="0" applyAlignment="0" applyProtection="0"/>
    <xf numFmtId="0" fontId="31" fillId="26" borderId="0" applyNumberFormat="0" applyBorder="0" applyAlignment="0" applyProtection="0"/>
    <xf numFmtId="0" fontId="32" fillId="39" borderId="0" applyNumberFormat="0" applyBorder="0" applyAlignment="0" applyProtection="0"/>
    <xf numFmtId="0" fontId="31" fillId="30" borderId="0" applyNumberFormat="0" applyBorder="0" applyAlignment="0" applyProtection="0"/>
    <xf numFmtId="0" fontId="32" fillId="42" borderId="0" applyNumberFormat="0" applyBorder="0" applyAlignment="0" applyProtection="0"/>
    <xf numFmtId="0" fontId="31" fillId="34" borderId="0" applyNumberFormat="0" applyBorder="0" applyAlignment="0" applyProtection="0"/>
    <xf numFmtId="0" fontId="32" fillId="45" borderId="0" applyNumberFormat="0" applyBorder="0" applyAlignment="0" applyProtection="0"/>
    <xf numFmtId="0" fontId="33" fillId="15" borderId="0" applyNumberFormat="0" applyBorder="0" applyAlignment="0" applyProtection="0"/>
    <xf numFmtId="0" fontId="34" fillId="46" borderId="0" applyNumberFormat="0" applyBorder="0" applyAlignment="0" applyProtection="0"/>
    <xf numFmtId="0" fontId="33" fillId="19" borderId="0" applyNumberFormat="0" applyBorder="0" applyAlignment="0" applyProtection="0"/>
    <xf numFmtId="0" fontId="34" fillId="43" borderId="0" applyNumberFormat="0" applyBorder="0" applyAlignment="0" applyProtection="0"/>
    <xf numFmtId="0" fontId="33" fillId="23" borderId="0" applyNumberFormat="0" applyBorder="0" applyAlignment="0" applyProtection="0"/>
    <xf numFmtId="0" fontId="34" fillId="44" borderId="0" applyNumberFormat="0" applyBorder="0" applyAlignment="0" applyProtection="0"/>
    <xf numFmtId="0" fontId="33" fillId="27" borderId="0" applyNumberFormat="0" applyBorder="0" applyAlignment="0" applyProtection="0"/>
    <xf numFmtId="0" fontId="34" fillId="47" borderId="0" applyNumberFormat="0" applyBorder="0" applyAlignment="0" applyProtection="0"/>
    <xf numFmtId="0" fontId="33" fillId="31" borderId="0" applyNumberFormat="0" applyBorder="0" applyAlignment="0" applyProtection="0"/>
    <xf numFmtId="0" fontId="34" fillId="48" borderId="0" applyNumberFormat="0" applyBorder="0" applyAlignment="0" applyProtection="0"/>
    <xf numFmtId="0" fontId="33" fillId="35" borderId="0" applyNumberFormat="0" applyBorder="0" applyAlignment="0" applyProtection="0"/>
    <xf numFmtId="0" fontId="34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2" fillId="55" borderId="0" applyNumberFormat="0" applyBorder="0" applyAlignment="0" applyProtection="0"/>
    <xf numFmtId="0" fontId="32" fillId="65" borderId="0" applyNumberFormat="0" applyBorder="0" applyAlignment="0" applyProtection="0"/>
    <xf numFmtId="0" fontId="34" fillId="56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2" fillId="67" borderId="0" applyNumberFormat="0" applyBorder="0" applyAlignment="0" applyProtection="0"/>
    <xf numFmtId="0" fontId="32" fillId="68" borderId="0" applyNumberFormat="0" applyBorder="0" applyAlignment="0" applyProtection="0"/>
    <xf numFmtId="0" fontId="34" fillId="52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2" fillId="69" borderId="0" applyNumberFormat="0" applyBorder="0" applyAlignment="0" applyProtection="0"/>
    <xf numFmtId="0" fontId="32" fillId="70" borderId="0" applyNumberFormat="0" applyBorder="0" applyAlignment="0" applyProtection="0"/>
    <xf numFmtId="0" fontId="34" fillId="71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4" fillId="73" borderId="0" applyNumberFormat="0" applyBorder="0" applyAlignment="0" applyProtection="0"/>
    <xf numFmtId="0" fontId="34" fillId="73" borderId="0" applyNumberFormat="0" applyBorder="0" applyAlignment="0" applyProtection="0"/>
    <xf numFmtId="0" fontId="34" fillId="73" borderId="0" applyNumberFormat="0" applyBorder="0" applyAlignment="0" applyProtection="0"/>
    <xf numFmtId="0" fontId="34" fillId="73" borderId="0" applyNumberFormat="0" applyBorder="0" applyAlignment="0" applyProtection="0"/>
    <xf numFmtId="0" fontId="34" fillId="73" borderId="0" applyNumberFormat="0" applyBorder="0" applyAlignment="0" applyProtection="0"/>
    <xf numFmtId="179" fontId="7" fillId="74" borderId="13">
      <alignment horizontal="center" vertical="center"/>
    </xf>
    <xf numFmtId="175" fontId="35" fillId="0" borderId="0"/>
    <xf numFmtId="0" fontId="36" fillId="7" borderId="0" applyNumberFormat="0" applyBorder="0" applyAlignment="0" applyProtection="0"/>
    <xf numFmtId="0" fontId="37" fillId="69" borderId="0" applyNumberFormat="0" applyBorder="0" applyAlignment="0" applyProtection="0"/>
    <xf numFmtId="0" fontId="38" fillId="37" borderId="0" applyNumberFormat="0" applyBorder="0" applyAlignment="0" applyProtection="0"/>
    <xf numFmtId="0" fontId="39" fillId="10" borderId="7" applyNumberFormat="0" applyAlignment="0" applyProtection="0"/>
    <xf numFmtId="0" fontId="40" fillId="75" borderId="14" applyNumberFormat="0" applyAlignment="0" applyProtection="0"/>
    <xf numFmtId="0" fontId="41" fillId="76" borderId="15" applyNumberFormat="0" applyAlignment="0" applyProtection="0"/>
    <xf numFmtId="0" fontId="42" fillId="11" borderId="10" applyNumberFormat="0" applyAlignment="0" applyProtection="0"/>
    <xf numFmtId="0" fontId="43" fillId="66" borderId="16" applyNumberFormat="0" applyAlignment="0" applyProtection="0"/>
    <xf numFmtId="0" fontId="43" fillId="77" borderId="16" applyNumberFormat="0" applyAlignment="0" applyProtection="0"/>
    <xf numFmtId="43" fontId="5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44" fillId="0" borderId="0" applyFont="0">
      <alignment horizontal="center"/>
    </xf>
    <xf numFmtId="0" fontId="45" fillId="78" borderId="0" applyNumberFormat="0" applyBorder="0" applyAlignment="0" applyProtection="0"/>
    <xf numFmtId="0" fontId="45" fillId="79" borderId="0" applyNumberFormat="0" applyBorder="0" applyAlignment="0" applyProtection="0"/>
    <xf numFmtId="0" fontId="45" fillId="80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" fontId="30" fillId="0" borderId="0" applyFont="0" applyProtection="0"/>
    <xf numFmtId="0" fontId="48" fillId="6" borderId="0" applyNumberFormat="0" applyBorder="0" applyAlignment="0" applyProtection="0"/>
    <xf numFmtId="0" fontId="32" fillId="61" borderId="0" applyNumberFormat="0" applyBorder="0" applyAlignment="0" applyProtection="0"/>
    <xf numFmtId="0" fontId="49" fillId="38" borderId="0" applyNumberFormat="0" applyBorder="0" applyAlignment="0" applyProtection="0"/>
    <xf numFmtId="38" fontId="18" fillId="81" borderId="0" applyNumberFormat="0" applyBorder="0" applyAlignment="0" applyProtection="0"/>
    <xf numFmtId="0" fontId="50" fillId="0" borderId="0" applyNumberFormat="0" applyFill="0" applyBorder="0" applyAlignment="0" applyProtection="0"/>
    <xf numFmtId="0" fontId="51" fillId="0" borderId="4" applyNumberFormat="0" applyFill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4" fillId="0" borderId="5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7" fillId="0" borderId="6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0" fontId="60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0" fontId="18" fillId="82" borderId="1" applyNumberFormat="0" applyBorder="0" applyAlignment="0" applyProtection="0"/>
    <xf numFmtId="0" fontId="63" fillId="9" borderId="7" applyNumberFormat="0" applyAlignment="0" applyProtection="0"/>
    <xf numFmtId="0" fontId="64" fillId="70" borderId="14" applyNumberFormat="0" applyAlignment="0" applyProtection="0"/>
    <xf numFmtId="0" fontId="65" fillId="41" borderId="15" applyNumberFormat="0" applyAlignment="0" applyProtection="0"/>
    <xf numFmtId="0" fontId="66" fillId="0" borderId="9" applyNumberFormat="0" applyFill="0" applyAlignment="0" applyProtection="0"/>
    <xf numFmtId="0" fontId="49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8" borderId="0" applyNumberFormat="0" applyBorder="0" applyAlignment="0" applyProtection="0"/>
    <xf numFmtId="0" fontId="49" fillId="70" borderId="0" applyNumberFormat="0" applyBorder="0" applyAlignment="0" applyProtection="0"/>
    <xf numFmtId="0" fontId="69" fillId="83" borderId="0" applyNumberFormat="0" applyBorder="0" applyAlignment="0" applyProtection="0"/>
    <xf numFmtId="37" fontId="70" fillId="0" borderId="0"/>
    <xf numFmtId="37" fontId="70" fillId="0" borderId="0"/>
    <xf numFmtId="37" fontId="70" fillId="0" borderId="0"/>
    <xf numFmtId="37" fontId="70" fillId="0" borderId="0"/>
    <xf numFmtId="37" fontId="70" fillId="0" borderId="0"/>
    <xf numFmtId="182" fontId="7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175" fontId="72" fillId="0" borderId="0"/>
    <xf numFmtId="37" fontId="73" fillId="0" borderId="0"/>
    <xf numFmtId="0" fontId="3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8" fillId="84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5" borderId="26" applyNumberFormat="0" applyFont="0" applyAlignment="0" applyProtection="0"/>
    <xf numFmtId="0" fontId="18" fillId="69" borderId="14" applyNumberFormat="0" applyFont="0" applyAlignment="0" applyProtection="0"/>
    <xf numFmtId="0" fontId="5" fillId="85" borderId="26" applyNumberFormat="0" applyFont="0" applyAlignment="0" applyProtection="0"/>
    <xf numFmtId="0" fontId="74" fillId="10" borderId="8" applyNumberFormat="0" applyAlignment="0" applyProtection="0"/>
    <xf numFmtId="0" fontId="75" fillId="75" borderId="27" applyNumberFormat="0" applyAlignment="0" applyProtection="0"/>
    <xf numFmtId="0" fontId="75" fillId="76" borderId="27" applyNumberForma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protection locked="0"/>
    </xf>
    <xf numFmtId="0" fontId="76" fillId="0" borderId="0">
      <protection locked="0"/>
    </xf>
    <xf numFmtId="0" fontId="5" fillId="0" borderId="0">
      <protection locked="0"/>
    </xf>
    <xf numFmtId="0" fontId="7" fillId="0" borderId="0">
      <protection locked="0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77" fillId="0" borderId="2">
      <alignment horizontal="center"/>
    </xf>
    <xf numFmtId="0" fontId="77" fillId="0" borderId="2">
      <alignment horizontal="center"/>
    </xf>
    <xf numFmtId="0" fontId="77" fillId="0" borderId="2">
      <alignment horizontal="center"/>
    </xf>
    <xf numFmtId="0" fontId="77" fillId="0" borderId="2">
      <alignment horizontal="center"/>
    </xf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86" borderId="0" applyNumberFormat="0" applyFont="0" applyBorder="0" applyAlignment="0" applyProtection="0"/>
    <xf numFmtId="0" fontId="24" fillId="86" borderId="0" applyNumberFormat="0" applyFont="0" applyBorder="0" applyAlignment="0" applyProtection="0"/>
    <xf numFmtId="0" fontId="24" fillId="86" borderId="0" applyNumberFormat="0" applyFont="0" applyBorder="0" applyAlignment="0" applyProtection="0"/>
    <xf numFmtId="0" fontId="24" fillId="86" borderId="0" applyNumberFormat="0" applyFont="0" applyBorder="0" applyAlignment="0" applyProtection="0"/>
    <xf numFmtId="0" fontId="24" fillId="86" borderId="0" applyNumberFormat="0" applyFont="0" applyBorder="0" applyAlignment="0" applyProtection="0"/>
    <xf numFmtId="0" fontId="24" fillId="86" borderId="0" applyNumberFormat="0" applyFont="0" applyBorder="0" applyAlignment="0" applyProtection="0"/>
    <xf numFmtId="4" fontId="78" fillId="87" borderId="28" applyNumberFormat="0" applyProtection="0">
      <alignment vertical="center"/>
    </xf>
    <xf numFmtId="4" fontId="78" fillId="87" borderId="28" applyNumberFormat="0" applyProtection="0">
      <alignment vertical="center"/>
    </xf>
    <xf numFmtId="4" fontId="78" fillId="87" borderId="28" applyNumberFormat="0" applyProtection="0">
      <alignment vertical="center"/>
    </xf>
    <xf numFmtId="4" fontId="78" fillId="87" borderId="28" applyNumberFormat="0" applyProtection="0">
      <alignment vertical="center"/>
    </xf>
    <xf numFmtId="4" fontId="78" fillId="87" borderId="28" applyNumberFormat="0" applyProtection="0">
      <alignment vertical="center"/>
    </xf>
    <xf numFmtId="4" fontId="79" fillId="83" borderId="28" applyNumberFormat="0" applyProtection="0">
      <alignment vertical="center"/>
    </xf>
    <xf numFmtId="4" fontId="18" fillId="83" borderId="14" applyNumberFormat="0" applyProtection="0">
      <alignment vertical="center"/>
    </xf>
    <xf numFmtId="4" fontId="25" fillId="87" borderId="27" applyNumberFormat="0" applyProtection="0">
      <alignment vertical="center"/>
    </xf>
    <xf numFmtId="4" fontId="78" fillId="87" borderId="28" applyNumberFormat="0" applyProtection="0">
      <alignment vertical="center"/>
    </xf>
    <xf numFmtId="4" fontId="80" fillId="87" borderId="28" applyNumberFormat="0" applyProtection="0">
      <alignment vertical="center"/>
    </xf>
    <xf numFmtId="4" fontId="81" fillId="87" borderId="27" applyNumberFormat="0" applyProtection="0">
      <alignment vertical="center"/>
    </xf>
    <xf numFmtId="4" fontId="80" fillId="87" borderId="28" applyNumberFormat="0" applyProtection="0">
      <alignment vertical="center"/>
    </xf>
    <xf numFmtId="4" fontId="26" fillId="87" borderId="28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4" fontId="79" fillId="87" borderId="28" applyNumberFormat="0" applyProtection="0">
      <alignment horizontal="left" vertical="center" indent="1"/>
    </xf>
    <xf numFmtId="4" fontId="18" fillId="87" borderId="14" applyNumberFormat="0" applyProtection="0">
      <alignment horizontal="left" vertical="center" indent="1"/>
    </xf>
    <xf numFmtId="4" fontId="25" fillId="87" borderId="27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0" fontId="79" fillId="87" borderId="28" applyNumberFormat="0" applyProtection="0">
      <alignment horizontal="left" vertical="top" indent="1"/>
    </xf>
    <xf numFmtId="4" fontId="25" fillId="87" borderId="27" applyNumberFormat="0" applyProtection="0">
      <alignment horizontal="left" vertical="center" indent="1"/>
    </xf>
    <xf numFmtId="4" fontId="25" fillId="87" borderId="27" applyNumberFormat="0" applyProtection="0">
      <alignment horizontal="left" vertical="center" indent="1"/>
    </xf>
    <xf numFmtId="0" fontId="79" fillId="87" borderId="28" applyNumberFormat="0" applyProtection="0">
      <alignment horizontal="left" vertical="top" indent="1"/>
    </xf>
    <xf numFmtId="4" fontId="25" fillId="87" borderId="27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82" fillId="90" borderId="29" applyNumberFormat="0" applyProtection="0">
      <alignment vertical="center"/>
    </xf>
    <xf numFmtId="4" fontId="25" fillId="37" borderId="28" applyNumberFormat="0" applyProtection="0">
      <alignment horizontal="right" vertical="center"/>
    </xf>
    <xf numFmtId="4" fontId="25" fillId="91" borderId="27" applyNumberFormat="0" applyProtection="0">
      <alignment horizontal="right" vertical="center"/>
    </xf>
    <xf numFmtId="4" fontId="25" fillId="91" borderId="27" applyNumberFormat="0" applyProtection="0">
      <alignment horizontal="right" vertical="center"/>
    </xf>
    <xf numFmtId="4" fontId="25" fillId="37" borderId="28" applyNumberFormat="0" applyProtection="0">
      <alignment horizontal="right" vertical="center"/>
    </xf>
    <xf numFmtId="4" fontId="25" fillId="37" borderId="28" applyNumberFormat="0" applyProtection="0">
      <alignment horizontal="right" vertical="center"/>
    </xf>
    <xf numFmtId="4" fontId="25" fillId="91" borderId="27" applyNumberFormat="0" applyProtection="0">
      <alignment horizontal="right" vertical="center"/>
    </xf>
    <xf numFmtId="4" fontId="18" fillId="37" borderId="14" applyNumberFormat="0" applyProtection="0">
      <alignment horizontal="right" vertical="center"/>
    </xf>
    <xf numFmtId="4" fontId="25" fillId="43" borderId="28" applyNumberFormat="0" applyProtection="0">
      <alignment horizontal="right" vertical="center"/>
    </xf>
    <xf numFmtId="4" fontId="25" fillId="92" borderId="27" applyNumberFormat="0" applyProtection="0">
      <alignment horizontal="right" vertical="center"/>
    </xf>
    <xf numFmtId="4" fontId="25" fillId="92" borderId="27" applyNumberFormat="0" applyProtection="0">
      <alignment horizontal="right" vertical="center"/>
    </xf>
    <xf numFmtId="4" fontId="25" fillId="43" borderId="28" applyNumberFormat="0" applyProtection="0">
      <alignment horizontal="right" vertical="center"/>
    </xf>
    <xf numFmtId="4" fontId="25" fillId="43" borderId="28" applyNumberFormat="0" applyProtection="0">
      <alignment horizontal="right" vertical="center"/>
    </xf>
    <xf numFmtId="4" fontId="25" fillId="92" borderId="27" applyNumberFormat="0" applyProtection="0">
      <alignment horizontal="right" vertical="center"/>
    </xf>
    <xf numFmtId="4" fontId="18" fillId="93" borderId="14" applyNumberFormat="0" applyProtection="0">
      <alignment horizontal="right" vertical="center"/>
    </xf>
    <xf numFmtId="4" fontId="25" fillId="58" borderId="28" applyNumberFormat="0" applyProtection="0">
      <alignment horizontal="right" vertical="center"/>
    </xf>
    <xf numFmtId="4" fontId="25" fillId="90" borderId="27" applyNumberFormat="0" applyProtection="0">
      <alignment horizontal="right" vertical="center"/>
    </xf>
    <xf numFmtId="4" fontId="25" fillId="90" borderId="27" applyNumberFormat="0" applyProtection="0">
      <alignment horizontal="right" vertical="center"/>
    </xf>
    <xf numFmtId="4" fontId="25" fillId="58" borderId="28" applyNumberFormat="0" applyProtection="0">
      <alignment horizontal="right" vertical="center"/>
    </xf>
    <xf numFmtId="4" fontId="25" fillId="58" borderId="28" applyNumberFormat="0" applyProtection="0">
      <alignment horizontal="right" vertical="center"/>
    </xf>
    <xf numFmtId="4" fontId="25" fillId="90" borderId="27" applyNumberFormat="0" applyProtection="0">
      <alignment horizontal="right" vertical="center"/>
    </xf>
    <xf numFmtId="4" fontId="18" fillId="58" borderId="30" applyNumberFormat="0" applyProtection="0">
      <alignment horizontal="right" vertical="center"/>
    </xf>
    <xf numFmtId="4" fontId="83" fillId="94" borderId="29" applyNumberFormat="0" applyProtection="0">
      <alignment vertical="center"/>
    </xf>
    <xf numFmtId="4" fontId="25" fillId="45" borderId="28" applyNumberFormat="0" applyProtection="0">
      <alignment horizontal="right" vertical="center"/>
    </xf>
    <xf numFmtId="4" fontId="25" fillId="95" borderId="27" applyNumberFormat="0" applyProtection="0">
      <alignment horizontal="right" vertical="center"/>
    </xf>
    <xf numFmtId="4" fontId="25" fillId="95" borderId="27" applyNumberFormat="0" applyProtection="0">
      <alignment horizontal="right" vertical="center"/>
    </xf>
    <xf numFmtId="4" fontId="25" fillId="45" borderId="28" applyNumberFormat="0" applyProtection="0">
      <alignment horizontal="right" vertical="center"/>
    </xf>
    <xf numFmtId="4" fontId="25" fillId="45" borderId="28" applyNumberFormat="0" applyProtection="0">
      <alignment horizontal="right" vertical="center"/>
    </xf>
    <xf numFmtId="4" fontId="25" fillId="95" borderId="27" applyNumberFormat="0" applyProtection="0">
      <alignment horizontal="right" vertical="center"/>
    </xf>
    <xf numFmtId="4" fontId="18" fillId="45" borderId="14" applyNumberFormat="0" applyProtection="0">
      <alignment horizontal="right" vertical="center"/>
    </xf>
    <xf numFmtId="4" fontId="25" fillId="49" borderId="28" applyNumberFormat="0" applyProtection="0">
      <alignment horizontal="right" vertical="center"/>
    </xf>
    <xf numFmtId="4" fontId="25" fillId="96" borderId="27" applyNumberFormat="0" applyProtection="0">
      <alignment horizontal="right" vertical="center"/>
    </xf>
    <xf numFmtId="4" fontId="25" fillId="96" borderId="27" applyNumberFormat="0" applyProtection="0">
      <alignment horizontal="right" vertical="center"/>
    </xf>
    <xf numFmtId="4" fontId="25" fillId="49" borderId="28" applyNumberFormat="0" applyProtection="0">
      <alignment horizontal="right" vertical="center"/>
    </xf>
    <xf numFmtId="4" fontId="25" fillId="49" borderId="28" applyNumberFormat="0" applyProtection="0">
      <alignment horizontal="right" vertical="center"/>
    </xf>
    <xf numFmtId="4" fontId="25" fillId="96" borderId="27" applyNumberFormat="0" applyProtection="0">
      <alignment horizontal="right" vertical="center"/>
    </xf>
    <xf numFmtId="4" fontId="18" fillId="49" borderId="14" applyNumberFormat="0" applyProtection="0">
      <alignment horizontal="right" vertical="center"/>
    </xf>
    <xf numFmtId="4" fontId="25" fillId="72" borderId="28" applyNumberFormat="0" applyProtection="0">
      <alignment horizontal="right" vertical="center"/>
    </xf>
    <xf numFmtId="4" fontId="25" fillId="97" borderId="27" applyNumberFormat="0" applyProtection="0">
      <alignment horizontal="right" vertical="center"/>
    </xf>
    <xf numFmtId="4" fontId="25" fillId="97" borderId="27" applyNumberFormat="0" applyProtection="0">
      <alignment horizontal="right" vertical="center"/>
    </xf>
    <xf numFmtId="4" fontId="25" fillId="72" borderId="28" applyNumberFormat="0" applyProtection="0">
      <alignment horizontal="right" vertical="center"/>
    </xf>
    <xf numFmtId="4" fontId="25" fillId="72" borderId="28" applyNumberFormat="0" applyProtection="0">
      <alignment horizontal="right" vertical="center"/>
    </xf>
    <xf numFmtId="4" fontId="25" fillId="97" borderId="27" applyNumberFormat="0" applyProtection="0">
      <alignment horizontal="right" vertical="center"/>
    </xf>
    <xf numFmtId="4" fontId="18" fillId="72" borderId="14" applyNumberFormat="0" applyProtection="0">
      <alignment horizontal="right" vertical="center"/>
    </xf>
    <xf numFmtId="4" fontId="82" fillId="98" borderId="29" applyNumberFormat="0" applyProtection="0">
      <alignment vertical="center"/>
    </xf>
    <xf numFmtId="4" fontId="25" fillId="63" borderId="28" applyNumberFormat="0" applyProtection="0">
      <alignment horizontal="right" vertical="center"/>
    </xf>
    <xf numFmtId="4" fontId="25" fillId="99" borderId="27" applyNumberFormat="0" applyProtection="0">
      <alignment horizontal="right" vertical="center"/>
    </xf>
    <xf numFmtId="4" fontId="25" fillId="99" borderId="27" applyNumberFormat="0" applyProtection="0">
      <alignment horizontal="right" vertical="center"/>
    </xf>
    <xf numFmtId="4" fontId="25" fillId="63" borderId="28" applyNumberFormat="0" applyProtection="0">
      <alignment horizontal="right" vertical="center"/>
    </xf>
    <xf numFmtId="4" fontId="25" fillId="63" borderId="28" applyNumberFormat="0" applyProtection="0">
      <alignment horizontal="right" vertical="center"/>
    </xf>
    <xf numFmtId="4" fontId="25" fillId="99" borderId="27" applyNumberFormat="0" applyProtection="0">
      <alignment horizontal="right" vertical="center"/>
    </xf>
    <xf numFmtId="4" fontId="18" fillId="63" borderId="14" applyNumberFormat="0" applyProtection="0">
      <alignment horizontal="right" vertical="center"/>
    </xf>
    <xf numFmtId="4" fontId="25" fillId="100" borderId="28" applyNumberFormat="0" applyProtection="0">
      <alignment horizontal="right" vertical="center"/>
    </xf>
    <xf numFmtId="4" fontId="25" fillId="101" borderId="27" applyNumberFormat="0" applyProtection="0">
      <alignment horizontal="right" vertical="center"/>
    </xf>
    <xf numFmtId="4" fontId="25" fillId="101" borderId="27" applyNumberFormat="0" applyProtection="0">
      <alignment horizontal="right" vertical="center"/>
    </xf>
    <xf numFmtId="4" fontId="25" fillId="100" borderId="28" applyNumberFormat="0" applyProtection="0">
      <alignment horizontal="right" vertical="center"/>
    </xf>
    <xf numFmtId="4" fontId="25" fillId="100" borderId="28" applyNumberFormat="0" applyProtection="0">
      <alignment horizontal="right" vertical="center"/>
    </xf>
    <xf numFmtId="4" fontId="25" fillId="101" borderId="27" applyNumberFormat="0" applyProtection="0">
      <alignment horizontal="right" vertical="center"/>
    </xf>
    <xf numFmtId="4" fontId="18" fillId="100" borderId="14" applyNumberFormat="0" applyProtection="0">
      <alignment horizontal="right" vertical="center"/>
    </xf>
    <xf numFmtId="4" fontId="25" fillId="44" borderId="28" applyNumberFormat="0" applyProtection="0">
      <alignment horizontal="right" vertical="center"/>
    </xf>
    <xf numFmtId="4" fontId="25" fillId="102" borderId="27" applyNumberFormat="0" applyProtection="0">
      <alignment horizontal="right" vertical="center"/>
    </xf>
    <xf numFmtId="4" fontId="25" fillId="102" borderId="27" applyNumberFormat="0" applyProtection="0">
      <alignment horizontal="right" vertical="center"/>
    </xf>
    <xf numFmtId="4" fontId="25" fillId="44" borderId="28" applyNumberFormat="0" applyProtection="0">
      <alignment horizontal="right" vertical="center"/>
    </xf>
    <xf numFmtId="4" fontId="25" fillId="44" borderId="28" applyNumberFormat="0" applyProtection="0">
      <alignment horizontal="right" vertical="center"/>
    </xf>
    <xf numFmtId="4" fontId="25" fillId="102" borderId="27" applyNumberFormat="0" applyProtection="0">
      <alignment horizontal="right" vertical="center"/>
    </xf>
    <xf numFmtId="4" fontId="18" fillId="44" borderId="14" applyNumberFormat="0" applyProtection="0">
      <alignment horizontal="right" vertical="center"/>
    </xf>
    <xf numFmtId="4" fontId="84" fillId="90" borderId="29" applyNumberFormat="0" applyProtection="0">
      <alignment vertical="center"/>
    </xf>
    <xf numFmtId="4" fontId="79" fillId="103" borderId="31" applyNumberFormat="0" applyProtection="0">
      <alignment horizontal="left" vertical="center" indent="1"/>
    </xf>
    <xf numFmtId="4" fontId="79" fillId="104" borderId="27" applyNumberFormat="0" applyProtection="0">
      <alignment horizontal="left" vertical="center" indent="1"/>
    </xf>
    <xf numFmtId="4" fontId="79" fillId="103" borderId="31" applyNumberFormat="0" applyProtection="0">
      <alignment horizontal="left" vertical="center" indent="1"/>
    </xf>
    <xf numFmtId="4" fontId="18" fillId="103" borderId="30" applyNumberFormat="0" applyProtection="0">
      <alignment horizontal="left" vertical="center" indent="1"/>
    </xf>
    <xf numFmtId="4" fontId="25" fillId="105" borderId="0" applyNumberFormat="0" applyProtection="0">
      <alignment horizontal="left" vertical="center" indent="1"/>
    </xf>
    <xf numFmtId="4" fontId="25" fillId="106" borderId="32" applyNumberFormat="0" applyProtection="0">
      <alignment horizontal="left" vertical="center" indent="1"/>
    </xf>
    <xf numFmtId="4" fontId="25" fillId="106" borderId="32" applyNumberFormat="0" applyProtection="0">
      <alignment horizontal="left" vertical="center" indent="1"/>
    </xf>
    <xf numFmtId="4" fontId="25" fillId="105" borderId="0" applyNumberFormat="0" applyProtection="0">
      <alignment horizontal="left" vertical="center" indent="1"/>
    </xf>
    <xf numFmtId="4" fontId="25" fillId="105" borderId="0" applyNumberFormat="0" applyProtection="0">
      <alignment horizontal="left" vertical="center" indent="1"/>
    </xf>
    <xf numFmtId="4" fontId="25" fillId="106" borderId="32" applyNumberFormat="0" applyProtection="0">
      <alignment horizontal="left" vertical="center" indent="1"/>
    </xf>
    <xf numFmtId="4" fontId="78" fillId="88" borderId="0" applyNumberFormat="0" applyProtection="0">
      <alignment horizontal="left" vertical="center" indent="1"/>
    </xf>
    <xf numFmtId="4" fontId="78" fillId="88" borderId="0" applyNumberFormat="0" applyProtection="0">
      <alignment horizontal="left" vertical="center" indent="1"/>
    </xf>
    <xf numFmtId="4" fontId="78" fillId="88" borderId="0" applyNumberFormat="0" applyProtection="0">
      <alignment horizontal="left" vertical="center" indent="1"/>
    </xf>
    <xf numFmtId="4" fontId="78" fillId="88" borderId="0" applyNumberFormat="0" applyProtection="0">
      <alignment horizontal="left" vertical="center" indent="1"/>
    </xf>
    <xf numFmtId="4" fontId="25" fillId="107" borderId="28" applyNumberFormat="0" applyProtection="0">
      <alignment horizontal="right" vertical="center"/>
    </xf>
    <xf numFmtId="0" fontId="5" fillId="89" borderId="27" applyNumberFormat="0" applyProtection="0">
      <alignment horizontal="left" vertical="center" indent="1"/>
    </xf>
    <xf numFmtId="4" fontId="25" fillId="107" borderId="28" applyNumberFormat="0" applyProtection="0">
      <alignment horizontal="right" vertical="center"/>
    </xf>
    <xf numFmtId="4" fontId="25" fillId="107" borderId="28" applyNumberFormat="0" applyProtection="0">
      <alignment horizontal="right" vertical="center"/>
    </xf>
    <xf numFmtId="0" fontId="5" fillId="89" borderId="27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4" fontId="18" fillId="107" borderId="14" applyNumberFormat="0" applyProtection="0">
      <alignment horizontal="right" vertical="center"/>
    </xf>
    <xf numFmtId="4" fontId="85" fillId="108" borderId="29" applyNumberFormat="0" applyProtection="0">
      <alignment horizontal="left" vertical="center" indent="1"/>
    </xf>
    <xf numFmtId="4" fontId="25" fillId="105" borderId="0" applyNumberFormat="0" applyProtection="0">
      <alignment horizontal="left" vertical="center" indent="1"/>
    </xf>
    <xf numFmtId="4" fontId="25" fillId="106" borderId="27" applyNumberFormat="0" applyProtection="0">
      <alignment horizontal="left" vertical="center" indent="1"/>
    </xf>
    <xf numFmtId="4" fontId="25" fillId="106" borderId="27" applyNumberFormat="0" applyProtection="0">
      <alignment horizontal="left" vertical="center" indent="1"/>
    </xf>
    <xf numFmtId="4" fontId="25" fillId="105" borderId="0" applyNumberFormat="0" applyProtection="0">
      <alignment horizontal="left" vertical="center" indent="1"/>
    </xf>
    <xf numFmtId="4" fontId="25" fillId="105" borderId="0" applyNumberFormat="0" applyProtection="0">
      <alignment horizontal="left" vertical="center" indent="1"/>
    </xf>
    <xf numFmtId="4" fontId="25" fillId="106" borderId="27" applyNumberFormat="0" applyProtection="0">
      <alignment horizontal="left" vertical="center" indent="1"/>
    </xf>
    <xf numFmtId="4" fontId="25" fillId="106" borderId="27" applyNumberFormat="0" applyProtection="0">
      <alignment horizontal="left" vertical="center" indent="1"/>
    </xf>
    <xf numFmtId="4" fontId="25" fillId="106" borderId="27" applyNumberFormat="0" applyProtection="0">
      <alignment horizontal="left" vertical="center" indent="1"/>
    </xf>
    <xf numFmtId="4" fontId="18" fillId="105" borderId="30" applyNumberFormat="0" applyProtection="0">
      <alignment horizontal="left" vertical="center" indent="1"/>
    </xf>
    <xf numFmtId="4" fontId="25" fillId="109" borderId="0" applyNumberFormat="0" applyProtection="0">
      <alignment horizontal="left" vertical="center" indent="1"/>
    </xf>
    <xf numFmtId="4" fontId="25" fillId="110" borderId="27" applyNumberFormat="0" applyProtection="0">
      <alignment horizontal="left" vertical="center" indent="1"/>
    </xf>
    <xf numFmtId="4" fontId="25" fillId="110" borderId="27" applyNumberFormat="0" applyProtection="0">
      <alignment horizontal="left" vertical="center" indent="1"/>
    </xf>
    <xf numFmtId="4" fontId="25" fillId="109" borderId="0" applyNumberFormat="0" applyProtection="0">
      <alignment horizontal="left" vertical="center" indent="1"/>
    </xf>
    <xf numFmtId="4" fontId="25" fillId="109" borderId="0" applyNumberFormat="0" applyProtection="0">
      <alignment horizontal="left" vertical="center" indent="1"/>
    </xf>
    <xf numFmtId="4" fontId="25" fillId="110" borderId="27" applyNumberFormat="0" applyProtection="0">
      <alignment horizontal="left" vertical="center" indent="1"/>
    </xf>
    <xf numFmtId="4" fontId="25" fillId="110" borderId="27" applyNumberFormat="0" applyProtection="0">
      <alignment horizontal="left" vertical="center" indent="1"/>
    </xf>
    <xf numFmtId="4" fontId="25" fillId="110" borderId="27" applyNumberFormat="0" applyProtection="0">
      <alignment horizontal="left" vertical="center" indent="1"/>
    </xf>
    <xf numFmtId="4" fontId="18" fillId="107" borderId="30" applyNumberFormat="0" applyProtection="0">
      <alignment horizontal="left" vertical="center" indent="1"/>
    </xf>
    <xf numFmtId="0" fontId="5" fillId="88" borderId="28" applyNumberFormat="0" applyProtection="0">
      <alignment horizontal="left" vertical="center" indent="1"/>
    </xf>
    <xf numFmtId="0" fontId="5" fillId="110" borderId="27" applyNumberFormat="0" applyProtection="0">
      <alignment horizontal="left" vertical="center" indent="1"/>
    </xf>
    <xf numFmtId="0" fontId="5" fillId="88" borderId="28" applyNumberFormat="0" applyProtection="0">
      <alignment horizontal="left" vertical="center" indent="1"/>
    </xf>
    <xf numFmtId="0" fontId="5" fillId="110" borderId="27" applyNumberFormat="0" applyProtection="0">
      <alignment horizontal="left" vertical="center" indent="1"/>
    </xf>
    <xf numFmtId="0" fontId="5" fillId="110" borderId="27" applyNumberFormat="0" applyProtection="0">
      <alignment horizontal="left" vertical="center" indent="1"/>
    </xf>
    <xf numFmtId="0" fontId="18" fillId="76" borderId="14" applyNumberFormat="0" applyProtection="0">
      <alignment horizontal="left" vertical="center" indent="1"/>
    </xf>
    <xf numFmtId="0" fontId="5" fillId="88" borderId="28" applyNumberFormat="0" applyProtection="0">
      <alignment horizontal="left" vertical="center" indent="1"/>
    </xf>
    <xf numFmtId="0" fontId="5" fillId="88" borderId="28" applyNumberFormat="0" applyProtection="0">
      <alignment horizontal="left" vertical="top" indent="1"/>
    </xf>
    <xf numFmtId="0" fontId="5" fillId="110" borderId="27" applyNumberFormat="0" applyProtection="0">
      <alignment horizontal="left" vertical="center" indent="1"/>
    </xf>
    <xf numFmtId="0" fontId="5" fillId="88" borderId="28" applyNumberFormat="0" applyProtection="0">
      <alignment horizontal="left" vertical="top" indent="1"/>
    </xf>
    <xf numFmtId="0" fontId="5" fillId="110" borderId="27" applyNumberFormat="0" applyProtection="0">
      <alignment horizontal="left" vertical="center" indent="1"/>
    </xf>
    <xf numFmtId="0" fontId="5" fillId="110" borderId="27" applyNumberFormat="0" applyProtection="0">
      <alignment horizontal="left" vertical="center" indent="1"/>
    </xf>
    <xf numFmtId="0" fontId="5" fillId="88" borderId="28" applyNumberFormat="0" applyProtection="0">
      <alignment horizontal="left" vertical="top" indent="1"/>
    </xf>
    <xf numFmtId="0" fontId="5" fillId="109" borderId="28" applyNumberFormat="0" applyProtection="0">
      <alignment horizontal="left" vertical="center" indent="1"/>
    </xf>
    <xf numFmtId="0" fontId="5" fillId="111" borderId="27" applyNumberFormat="0" applyProtection="0">
      <alignment horizontal="left" vertical="center" indent="1"/>
    </xf>
    <xf numFmtId="0" fontId="5" fillId="109" borderId="28" applyNumberFormat="0" applyProtection="0">
      <alignment horizontal="left" vertical="center" indent="1"/>
    </xf>
    <xf numFmtId="0" fontId="5" fillId="111" borderId="27" applyNumberFormat="0" applyProtection="0">
      <alignment horizontal="left" vertical="center" indent="1"/>
    </xf>
    <xf numFmtId="0" fontId="5" fillId="111" borderId="27" applyNumberFormat="0" applyProtection="0">
      <alignment horizontal="left" vertical="center" indent="1"/>
    </xf>
    <xf numFmtId="0" fontId="18" fillId="112" borderId="14" applyNumberFormat="0" applyProtection="0">
      <alignment horizontal="left" vertical="center" indent="1"/>
    </xf>
    <xf numFmtId="0" fontId="5" fillId="109" borderId="28" applyNumberFormat="0" applyProtection="0">
      <alignment horizontal="left" vertical="center" indent="1"/>
    </xf>
    <xf numFmtId="0" fontId="5" fillId="109" borderId="28" applyNumberFormat="0" applyProtection="0">
      <alignment horizontal="left" vertical="top" indent="1"/>
    </xf>
    <xf numFmtId="0" fontId="5" fillId="111" borderId="27" applyNumberFormat="0" applyProtection="0">
      <alignment horizontal="left" vertical="center" indent="1"/>
    </xf>
    <xf numFmtId="0" fontId="5" fillId="109" borderId="28" applyNumberFormat="0" applyProtection="0">
      <alignment horizontal="left" vertical="top" indent="1"/>
    </xf>
    <xf numFmtId="0" fontId="5" fillId="111" borderId="27" applyNumberFormat="0" applyProtection="0">
      <alignment horizontal="left" vertical="center" indent="1"/>
    </xf>
    <xf numFmtId="0" fontId="5" fillId="111" borderId="27" applyNumberFormat="0" applyProtection="0">
      <alignment horizontal="left" vertical="center" indent="1"/>
    </xf>
    <xf numFmtId="0" fontId="5" fillId="109" borderId="28" applyNumberFormat="0" applyProtection="0">
      <alignment horizontal="left" vertical="top" indent="1"/>
    </xf>
    <xf numFmtId="0" fontId="5" fillId="74" borderId="28" applyNumberFormat="0" applyProtection="0">
      <alignment horizontal="left" vertical="center" indent="1"/>
    </xf>
    <xf numFmtId="0" fontId="5" fillId="81" borderId="27" applyNumberFormat="0" applyProtection="0">
      <alignment horizontal="left" vertical="center" indent="1"/>
    </xf>
    <xf numFmtId="0" fontId="5" fillId="74" borderId="28" applyNumberFormat="0" applyProtection="0">
      <alignment horizontal="left" vertical="center" indent="1"/>
    </xf>
    <xf numFmtId="0" fontId="5" fillId="81" borderId="27" applyNumberFormat="0" applyProtection="0">
      <alignment horizontal="left" vertical="center" indent="1"/>
    </xf>
    <xf numFmtId="0" fontId="5" fillId="81" borderId="27" applyNumberFormat="0" applyProtection="0">
      <alignment horizontal="left" vertical="center" indent="1"/>
    </xf>
    <xf numFmtId="0" fontId="18" fillId="42" borderId="14" applyNumberFormat="0" applyProtection="0">
      <alignment horizontal="left" vertical="center" indent="1"/>
    </xf>
    <xf numFmtId="0" fontId="5" fillId="74" borderId="28" applyNumberFormat="0" applyProtection="0">
      <alignment horizontal="left" vertical="center" indent="1"/>
    </xf>
    <xf numFmtId="0" fontId="5" fillId="74" borderId="28" applyNumberFormat="0" applyProtection="0">
      <alignment horizontal="left" vertical="top" indent="1"/>
    </xf>
    <xf numFmtId="0" fontId="5" fillId="81" borderId="27" applyNumberFormat="0" applyProtection="0">
      <alignment horizontal="left" vertical="center" indent="1"/>
    </xf>
    <xf numFmtId="0" fontId="5" fillId="74" borderId="28" applyNumberFormat="0" applyProtection="0">
      <alignment horizontal="left" vertical="top" indent="1"/>
    </xf>
    <xf numFmtId="0" fontId="5" fillId="81" borderId="27" applyNumberFormat="0" applyProtection="0">
      <alignment horizontal="left" vertical="center" indent="1"/>
    </xf>
    <xf numFmtId="0" fontId="5" fillId="81" borderId="27" applyNumberFormat="0" applyProtection="0">
      <alignment horizontal="left" vertical="center" indent="1"/>
    </xf>
    <xf numFmtId="0" fontId="5" fillId="74" borderId="28" applyNumberFormat="0" applyProtection="0">
      <alignment horizontal="left" vertical="top" indent="1"/>
    </xf>
    <xf numFmtId="0" fontId="5" fillId="113" borderId="28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0" fontId="5" fillId="113" borderId="28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0" fontId="18" fillId="105" borderId="14" applyNumberFormat="0" applyProtection="0">
      <alignment horizontal="left" vertical="center" indent="1"/>
    </xf>
    <xf numFmtId="0" fontId="5" fillId="113" borderId="28" applyNumberFormat="0" applyProtection="0">
      <alignment horizontal="left" vertical="center" indent="1"/>
    </xf>
    <xf numFmtId="0" fontId="5" fillId="113" borderId="28" applyNumberFormat="0" applyProtection="0">
      <alignment horizontal="left" vertical="top" indent="1"/>
    </xf>
    <xf numFmtId="0" fontId="5" fillId="89" borderId="27" applyNumberFormat="0" applyProtection="0">
      <alignment horizontal="left" vertical="center" indent="1"/>
    </xf>
    <xf numFmtId="0" fontId="5" fillId="113" borderId="28" applyNumberFormat="0" applyProtection="0">
      <alignment horizontal="left" vertical="top" indent="1"/>
    </xf>
    <xf numFmtId="0" fontId="5" fillId="89" borderId="27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0" fontId="5" fillId="113" borderId="28" applyNumberFormat="0" applyProtection="0">
      <alignment horizontal="left" vertical="top" indent="1"/>
    </xf>
    <xf numFmtId="0" fontId="18" fillId="114" borderId="33" applyNumberFormat="0">
      <protection locked="0"/>
    </xf>
    <xf numFmtId="0" fontId="5" fillId="0" borderId="0"/>
    <xf numFmtId="0" fontId="86" fillId="115" borderId="34" applyBorder="0"/>
    <xf numFmtId="4" fontId="25" fillId="82" borderId="28" applyNumberFormat="0" applyProtection="0">
      <alignment vertical="center"/>
    </xf>
    <xf numFmtId="4" fontId="25" fillId="82" borderId="27" applyNumberFormat="0" applyProtection="0">
      <alignment vertical="center"/>
    </xf>
    <xf numFmtId="4" fontId="25" fillId="82" borderId="27" applyNumberFormat="0" applyProtection="0">
      <alignment vertical="center"/>
    </xf>
    <xf numFmtId="4" fontId="25" fillId="82" borderId="28" applyNumberFormat="0" applyProtection="0">
      <alignment vertical="center"/>
    </xf>
    <xf numFmtId="4" fontId="25" fillId="82" borderId="28" applyNumberFormat="0" applyProtection="0">
      <alignment vertical="center"/>
    </xf>
    <xf numFmtId="4" fontId="25" fillId="82" borderId="27" applyNumberFormat="0" applyProtection="0">
      <alignment vertical="center"/>
    </xf>
    <xf numFmtId="4" fontId="81" fillId="82" borderId="28" applyNumberFormat="0" applyProtection="0">
      <alignment vertical="center"/>
    </xf>
    <xf numFmtId="4" fontId="81" fillId="82" borderId="27" applyNumberFormat="0" applyProtection="0">
      <alignment vertical="center"/>
    </xf>
    <xf numFmtId="4" fontId="81" fillId="82" borderId="28" applyNumberFormat="0" applyProtection="0">
      <alignment vertical="center"/>
    </xf>
    <xf numFmtId="4" fontId="25" fillId="82" borderId="28" applyNumberFormat="0" applyProtection="0">
      <alignment horizontal="left" vertical="center" indent="1"/>
    </xf>
    <xf numFmtId="4" fontId="25" fillId="82" borderId="27" applyNumberFormat="0" applyProtection="0">
      <alignment horizontal="left" vertical="center" indent="1"/>
    </xf>
    <xf numFmtId="4" fontId="25" fillId="82" borderId="27" applyNumberFormat="0" applyProtection="0">
      <alignment horizontal="left" vertical="center" indent="1"/>
    </xf>
    <xf numFmtId="4" fontId="25" fillId="82" borderId="28" applyNumberFormat="0" applyProtection="0">
      <alignment horizontal="left" vertical="center" indent="1"/>
    </xf>
    <xf numFmtId="4" fontId="25" fillId="82" borderId="28" applyNumberFormat="0" applyProtection="0">
      <alignment horizontal="left" vertical="center" indent="1"/>
    </xf>
    <xf numFmtId="4" fontId="25" fillId="82" borderId="27" applyNumberFormat="0" applyProtection="0">
      <alignment horizontal="left" vertical="center" indent="1"/>
    </xf>
    <xf numFmtId="0" fontId="25" fillId="82" borderId="28" applyNumberFormat="0" applyProtection="0">
      <alignment horizontal="left" vertical="top" indent="1"/>
    </xf>
    <xf numFmtId="4" fontId="25" fillId="82" borderId="27" applyNumberFormat="0" applyProtection="0">
      <alignment horizontal="left" vertical="center" indent="1"/>
    </xf>
    <xf numFmtId="4" fontId="25" fillId="82" borderId="27" applyNumberFormat="0" applyProtection="0">
      <alignment horizontal="left" vertical="center" indent="1"/>
    </xf>
    <xf numFmtId="0" fontId="25" fillId="82" borderId="28" applyNumberFormat="0" applyProtection="0">
      <alignment horizontal="left" vertical="top" indent="1"/>
    </xf>
    <xf numFmtId="0" fontId="25" fillId="82" borderId="28" applyNumberFormat="0" applyProtection="0">
      <alignment horizontal="left" vertical="top" indent="1"/>
    </xf>
    <xf numFmtId="4" fontId="25" fillId="82" borderId="27" applyNumberFormat="0" applyProtection="0">
      <alignment horizontal="left" vertical="center" indent="1"/>
    </xf>
    <xf numFmtId="0" fontId="25" fillId="82" borderId="28" applyNumberFormat="0" applyProtection="0">
      <alignment horizontal="left" vertical="top" indent="1"/>
    </xf>
    <xf numFmtId="4" fontId="26" fillId="113" borderId="28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25" fillId="0" borderId="28" applyNumberFormat="0" applyProtection="0">
      <alignment horizontal="right" vertical="center"/>
    </xf>
    <xf numFmtId="4" fontId="25" fillId="0" borderId="28" applyNumberFormat="0" applyProtection="0">
      <alignment horizontal="right" vertical="center"/>
    </xf>
    <xf numFmtId="4" fontId="18" fillId="0" borderId="14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81" fillId="105" borderId="28" applyNumberFormat="0" applyProtection="0">
      <alignment horizontal="right" vertical="center"/>
    </xf>
    <xf numFmtId="4" fontId="81" fillId="106" borderId="27" applyNumberFormat="0" applyProtection="0">
      <alignment horizontal="right" vertical="center"/>
    </xf>
    <xf numFmtId="4" fontId="81" fillId="105" borderId="28" applyNumberFormat="0" applyProtection="0">
      <alignment horizontal="right" vertical="center"/>
    </xf>
    <xf numFmtId="4" fontId="78" fillId="74" borderId="28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4" fontId="25" fillId="0" borderId="28" applyNumberFormat="0" applyProtection="0">
      <alignment horizontal="left" vertical="center" indent="1"/>
    </xf>
    <xf numFmtId="4" fontId="25" fillId="0" borderId="28" applyNumberFormat="0" applyProtection="0">
      <alignment horizontal="left" vertical="center" indent="1"/>
    </xf>
    <xf numFmtId="4" fontId="18" fillId="48" borderId="14" applyNumberFormat="0" applyProtection="0">
      <alignment horizontal="left" vertical="center" indent="1"/>
    </xf>
    <xf numFmtId="0" fontId="5" fillId="0" borderId="27" applyNumberFormat="0" applyProtection="0">
      <alignment horizontal="left" vertical="center" indent="1"/>
    </xf>
    <xf numFmtId="0" fontId="5" fillId="0" borderId="27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0" fontId="25" fillId="109" borderId="28" applyNumberFormat="0" applyProtection="0">
      <alignment horizontal="left" vertical="top" indent="1"/>
    </xf>
    <xf numFmtId="0" fontId="5" fillId="89" borderId="27" applyNumberFormat="0" applyProtection="0">
      <alignment horizontal="left" vertical="center" indent="1"/>
    </xf>
    <xf numFmtId="0" fontId="25" fillId="109" borderId="28" applyNumberFormat="0" applyProtection="0">
      <alignment horizontal="left" vertical="top" indent="1"/>
    </xf>
    <xf numFmtId="0" fontId="25" fillId="109" borderId="28" applyNumberFormat="0" applyProtection="0">
      <alignment horizontal="left" vertical="top" indent="1"/>
    </xf>
    <xf numFmtId="0" fontId="5" fillId="89" borderId="27" applyNumberFormat="0" applyProtection="0">
      <alignment horizontal="left" vertical="center" indent="1"/>
    </xf>
    <xf numFmtId="0" fontId="5" fillId="89" borderId="27" applyNumberFormat="0" applyProtection="0">
      <alignment horizontal="left" vertical="center" indent="1"/>
    </xf>
    <xf numFmtId="0" fontId="25" fillId="109" borderId="28" applyNumberFormat="0" applyProtection="0">
      <alignment horizontal="left" vertical="top" indent="1"/>
    </xf>
    <xf numFmtId="4" fontId="87" fillId="108" borderId="29" applyNumberFormat="0" applyProtection="0">
      <alignment vertical="center"/>
    </xf>
    <xf numFmtId="4" fontId="88" fillId="108" borderId="29" applyNumberFormat="0" applyProtection="0">
      <alignment vertical="center"/>
    </xf>
    <xf numFmtId="4" fontId="89" fillId="82" borderId="29" applyNumberFormat="0" applyProtection="0">
      <alignment horizontal="left" vertical="center" indent="1"/>
    </xf>
    <xf numFmtId="4" fontId="90" fillId="116" borderId="0" applyNumberFormat="0" applyProtection="0">
      <alignment horizontal="left" vertical="center" indent="1"/>
    </xf>
    <xf numFmtId="0" fontId="91" fillId="0" borderId="0"/>
    <xf numFmtId="4" fontId="90" fillId="116" borderId="0" applyNumberFormat="0" applyProtection="0">
      <alignment horizontal="left" vertical="center" indent="1"/>
    </xf>
    <xf numFmtId="0" fontId="91" fillId="0" borderId="0"/>
    <xf numFmtId="0" fontId="91" fillId="0" borderId="0"/>
    <xf numFmtId="0" fontId="18" fillId="117" borderId="1"/>
    <xf numFmtId="0" fontId="18" fillId="117" borderId="1"/>
    <xf numFmtId="4" fontId="92" fillId="105" borderId="28" applyNumberFormat="0" applyProtection="0">
      <alignment horizontal="right" vertical="center"/>
    </xf>
    <xf numFmtId="4" fontId="92" fillId="106" borderId="27" applyNumberFormat="0" applyProtection="0">
      <alignment horizontal="right" vertical="center"/>
    </xf>
    <xf numFmtId="4" fontId="92" fillId="105" borderId="28" applyNumberFormat="0" applyProtection="0">
      <alignment horizontal="right" vertical="center"/>
    </xf>
    <xf numFmtId="0" fontId="93" fillId="118" borderId="0"/>
    <xf numFmtId="49" fontId="94" fillId="118" borderId="0"/>
    <xf numFmtId="49" fontId="95" fillId="118" borderId="35"/>
    <xf numFmtId="49" fontId="95" fillId="118" borderId="0"/>
    <xf numFmtId="0" fontId="93" fillId="108" borderId="35">
      <protection locked="0"/>
    </xf>
    <xf numFmtId="0" fontId="93" fillId="118" borderId="0"/>
    <xf numFmtId="0" fontId="96" fillId="95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1" applyNumberFormat="0" applyFill="0" applyAlignment="0" applyProtection="0"/>
    <xf numFmtId="0" fontId="45" fillId="0" borderId="36" applyNumberFormat="0" applyFill="0" applyAlignment="0" applyProtection="0"/>
    <xf numFmtId="0" fontId="45" fillId="0" borderId="37" applyNumberFormat="0" applyFill="0" applyAlignment="0" applyProtection="0"/>
    <xf numFmtId="37" fontId="18" fillId="87" borderId="0" applyNumberFormat="0" applyBorder="0" applyAlignment="0" applyProtection="0"/>
    <xf numFmtId="37" fontId="18" fillId="0" borderId="0"/>
    <xf numFmtId="3" fontId="100" fillId="0" borderId="23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85" borderId="2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7" fillId="0" borderId="2">
      <alignment horizontal="center"/>
    </xf>
    <xf numFmtId="0" fontId="77" fillId="0" borderId="2">
      <alignment horizontal="center"/>
    </xf>
    <xf numFmtId="0" fontId="5" fillId="88" borderId="28" applyNumberFormat="0" applyProtection="0">
      <alignment horizontal="left" vertical="center"/>
    </xf>
    <xf numFmtId="0" fontId="5" fillId="88" borderId="28" applyNumberFormat="0" applyProtection="0">
      <alignment horizontal="left" vertical="top"/>
    </xf>
    <xf numFmtId="0" fontId="5" fillId="109" borderId="28" applyNumberFormat="0" applyProtection="0">
      <alignment horizontal="left" vertical="center"/>
    </xf>
    <xf numFmtId="0" fontId="5" fillId="109" borderId="28" applyNumberFormat="0" applyProtection="0">
      <alignment horizontal="left" vertical="top"/>
    </xf>
    <xf numFmtId="0" fontId="5" fillId="74" borderId="28" applyNumberFormat="0" applyProtection="0">
      <alignment horizontal="left" vertical="center"/>
    </xf>
    <xf numFmtId="0" fontId="5" fillId="74" borderId="28" applyNumberFormat="0" applyProtection="0">
      <alignment horizontal="left" vertical="top"/>
    </xf>
    <xf numFmtId="0" fontId="5" fillId="113" borderId="28" applyNumberFormat="0" applyProtection="0">
      <alignment horizontal="left" vertical="center"/>
    </xf>
    <xf numFmtId="0" fontId="5" fillId="113" borderId="28" applyNumberFormat="0" applyProtection="0">
      <alignment horizontal="left" vertical="top"/>
    </xf>
    <xf numFmtId="0" fontId="98" fillId="0" borderId="0" applyNumberFormat="0" applyFill="0" applyBorder="0" applyAlignment="0" applyProtection="0"/>
    <xf numFmtId="0" fontId="5" fillId="0" borderId="0"/>
    <xf numFmtId="0" fontId="34" fillId="47" borderId="0" applyNumberFormat="0" applyBorder="0" applyAlignment="0" applyProtection="0"/>
    <xf numFmtId="0" fontId="65" fillId="41" borderId="15" applyNumberFormat="0" applyAlignment="0" applyProtection="0"/>
    <xf numFmtId="9" fontId="5" fillId="0" borderId="0" applyFont="0" applyFill="0" applyBorder="0" applyAlignment="0" applyProtection="0"/>
    <xf numFmtId="0" fontId="34" fillId="53" borderId="0" applyNumberFormat="0" applyBorder="0" applyAlignment="0" applyProtection="0"/>
    <xf numFmtId="0" fontId="34" fillId="58" borderId="0" applyNumberFormat="0" applyBorder="0" applyAlignment="0" applyProtection="0"/>
    <xf numFmtId="0" fontId="34" fillId="63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72" borderId="0" applyNumberFormat="0" applyBorder="0" applyAlignment="0" applyProtection="0"/>
    <xf numFmtId="0" fontId="65" fillId="41" borderId="15" applyNumberFormat="0" applyAlignment="0" applyProtection="0"/>
    <xf numFmtId="0" fontId="5" fillId="0" borderId="0"/>
    <xf numFmtId="0" fontId="34" fillId="53" borderId="0" applyNumberFormat="0" applyBorder="0" applyAlignment="0" applyProtection="0"/>
    <xf numFmtId="0" fontId="34" fillId="72" borderId="0" applyNumberFormat="0" applyBorder="0" applyAlignment="0" applyProtection="0"/>
    <xf numFmtId="0" fontId="32" fillId="85" borderId="26" applyNumberFormat="0" applyFont="0" applyAlignment="0" applyProtection="0"/>
    <xf numFmtId="9" fontId="5" fillId="0" borderId="0" applyFont="0" applyFill="0" applyBorder="0" applyAlignment="0" applyProtection="0"/>
    <xf numFmtId="0" fontId="34" fillId="72" borderId="0" applyNumberFormat="0" applyBorder="0" applyAlignment="0" applyProtection="0"/>
    <xf numFmtId="9" fontId="5" fillId="0" borderId="0" applyFont="0" applyFill="0" applyBorder="0" applyAlignment="0" applyProtection="0"/>
    <xf numFmtId="0" fontId="65" fillId="41" borderId="15" applyNumberFormat="0" applyAlignment="0" applyProtection="0"/>
    <xf numFmtId="0" fontId="34" fillId="48" borderId="0" applyNumberFormat="0" applyBorder="0" applyAlignment="0" applyProtection="0"/>
    <xf numFmtId="0" fontId="34" fillId="63" borderId="0" applyNumberFormat="0" applyBorder="0" applyAlignment="0" applyProtection="0"/>
    <xf numFmtId="0" fontId="34" fillId="58" borderId="0" applyNumberFormat="0" applyBorder="0" applyAlignment="0" applyProtection="0"/>
    <xf numFmtId="0" fontId="5" fillId="0" borderId="0"/>
    <xf numFmtId="0" fontId="1" fillId="0" borderId="0"/>
    <xf numFmtId="0" fontId="34" fillId="48" borderId="0" applyNumberFormat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4" fillId="47" borderId="0" applyNumberFormat="0" applyBorder="0" applyAlignment="0" applyProtection="0"/>
    <xf numFmtId="43" fontId="5" fillId="0" borderId="0" applyFont="0" applyFill="0" applyBorder="0" applyAlignment="0" applyProtection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34" fillId="5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2" fillId="0" borderId="0"/>
    <xf numFmtId="0" fontId="34" fillId="7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78" fillId="87" borderId="28" applyNumberFormat="0" applyProtection="0">
      <alignment vertical="center"/>
    </xf>
    <xf numFmtId="4" fontId="78" fillId="87" borderId="28" applyNumberFormat="0" applyProtection="0">
      <alignment vertical="center"/>
    </xf>
    <xf numFmtId="4" fontId="26" fillId="87" borderId="28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113" borderId="28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78" fillId="74" borderId="28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78" fillId="87" borderId="28" applyNumberFormat="0" applyProtection="0">
      <alignment vertical="center"/>
    </xf>
    <xf numFmtId="4" fontId="78" fillId="87" borderId="28" applyNumberFormat="0" applyProtection="0">
      <alignment vertical="center"/>
    </xf>
    <xf numFmtId="4" fontId="26" fillId="87" borderId="28" applyNumberFormat="0" applyProtection="0">
      <alignment horizontal="left" vertical="center" indent="1"/>
    </xf>
    <xf numFmtId="4" fontId="26" fillId="87" borderId="28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113" borderId="28" applyNumberFormat="0" applyProtection="0">
      <alignment horizontal="right" vertical="center"/>
    </xf>
    <xf numFmtId="4" fontId="26" fillId="113" borderId="28" applyNumberFormat="0" applyProtection="0">
      <alignment horizontal="right" vertical="center"/>
    </xf>
    <xf numFmtId="4" fontId="78" fillId="74" borderId="28" applyNumberFormat="0" applyProtection="0">
      <alignment horizontal="left" vertical="center" indent="1"/>
    </xf>
    <xf numFmtId="4" fontId="78" fillId="74" borderId="28" applyNumberFormat="0" applyProtection="0">
      <alignment horizontal="left" vertical="center" indent="1"/>
    </xf>
    <xf numFmtId="0" fontId="1" fillId="0" borderId="0"/>
    <xf numFmtId="0" fontId="1" fillId="0" borderId="0"/>
    <xf numFmtId="0" fontId="5" fillId="85" borderId="26" applyNumberFormat="0" applyFont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47" borderId="0" applyNumberFormat="0" applyBorder="0" applyAlignment="0" applyProtection="0"/>
    <xf numFmtId="0" fontId="1" fillId="0" borderId="0"/>
    <xf numFmtId="0" fontId="105" fillId="0" borderId="0" applyNumberFormat="0" applyFill="0" applyBorder="0" applyAlignment="0" applyProtection="0">
      <alignment vertical="top"/>
      <protection locked="0"/>
    </xf>
    <xf numFmtId="4" fontId="26" fillId="87" borderId="28" applyNumberFormat="0" applyProtection="0">
      <alignment horizontal="left" vertical="center" indent="1"/>
    </xf>
    <xf numFmtId="4" fontId="26" fillId="88" borderId="0" applyNumberFormat="0" applyProtection="0">
      <alignment horizontal="left" vertical="center" indent="1"/>
    </xf>
    <xf numFmtId="4" fontId="26" fillId="113" borderId="28" applyNumberFormat="0" applyProtection="0">
      <alignment horizontal="right" vertical="center"/>
    </xf>
    <xf numFmtId="0" fontId="1" fillId="0" borderId="0"/>
    <xf numFmtId="4" fontId="78" fillId="87" borderId="28" applyNumberFormat="0" applyProtection="0">
      <alignment vertical="center"/>
    </xf>
    <xf numFmtId="0" fontId="1" fillId="0" borderId="0"/>
    <xf numFmtId="0" fontId="1" fillId="0" borderId="0"/>
    <xf numFmtId="4" fontId="78" fillId="74" borderId="28" applyNumberFormat="0" applyProtection="0">
      <alignment horizontal="left" vertical="center" indent="1"/>
    </xf>
    <xf numFmtId="43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34" fillId="63" borderId="0" applyNumberFormat="0" applyBorder="0" applyAlignment="0" applyProtection="0"/>
    <xf numFmtId="0" fontId="34" fillId="48" borderId="0" applyNumberFormat="0" applyBorder="0" applyAlignment="0" applyProtection="0"/>
    <xf numFmtId="0" fontId="5" fillId="0" borderId="0"/>
    <xf numFmtId="0" fontId="34" fillId="48" borderId="0" applyNumberFormat="0" applyBorder="0" applyAlignment="0" applyProtection="0"/>
    <xf numFmtId="0" fontId="34" fillId="58" borderId="0" applyNumberFormat="0" applyBorder="0" applyAlignment="0" applyProtection="0"/>
    <xf numFmtId="0" fontId="34" fillId="53" borderId="0" applyNumberFormat="0" applyBorder="0" applyAlignment="0" applyProtection="0"/>
    <xf numFmtId="43" fontId="5" fillId="0" borderId="0" applyFont="0" applyFill="0" applyBorder="0" applyAlignment="0" applyProtection="0"/>
    <xf numFmtId="0" fontId="34" fillId="63" borderId="0" applyNumberFormat="0" applyBorder="0" applyAlignment="0" applyProtection="0"/>
    <xf numFmtId="0" fontId="65" fillId="41" borderId="15" applyNumberFormat="0" applyAlignment="0" applyProtection="0"/>
    <xf numFmtId="43" fontId="5" fillId="0" borderId="0" applyFont="0" applyFill="0" applyBorder="0" applyAlignment="0" applyProtection="0"/>
    <xf numFmtId="0" fontId="34" fillId="58" borderId="0" applyNumberFormat="0" applyBorder="0" applyAlignment="0" applyProtection="0"/>
    <xf numFmtId="0" fontId="34" fillId="53" borderId="0" applyNumberFormat="0" applyBorder="0" applyAlignment="0" applyProtection="0"/>
    <xf numFmtId="0" fontId="34" fillId="63" borderId="0" applyNumberFormat="0" applyBorder="0" applyAlignment="0" applyProtection="0"/>
    <xf numFmtId="0" fontId="34" fillId="58" borderId="0" applyNumberFormat="0" applyBorder="0" applyAlignment="0" applyProtection="0"/>
    <xf numFmtId="43" fontId="5" fillId="0" borderId="0" applyFont="0" applyFill="0" applyBorder="0" applyAlignment="0" applyProtection="0"/>
    <xf numFmtId="0" fontId="65" fillId="41" borderId="15" applyNumberFormat="0" applyAlignment="0" applyProtection="0"/>
    <xf numFmtId="179" fontId="7" fillId="74" borderId="13">
      <alignment horizontal="center" vertical="center"/>
    </xf>
    <xf numFmtId="183" fontId="5" fillId="0" borderId="0"/>
    <xf numFmtId="184" fontId="107" fillId="0" borderId="0" applyFont="0" applyFill="0" applyBorder="0" applyAlignment="0" applyProtection="0"/>
    <xf numFmtId="4" fontId="72" fillId="0" borderId="0" applyFont="0" applyFill="0" applyBorder="0" applyAlignment="0" applyProtection="0"/>
    <xf numFmtId="185" fontId="5" fillId="0" borderId="0">
      <protection locked="0"/>
    </xf>
    <xf numFmtId="185" fontId="5" fillId="0" borderId="0">
      <protection locked="0"/>
    </xf>
    <xf numFmtId="0" fontId="72" fillId="0" borderId="0" applyFont="0" applyFill="0" applyBorder="0" applyAlignment="0" applyProtection="0"/>
    <xf numFmtId="38" fontId="18" fillId="81" borderId="0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0" fontId="18" fillId="82" borderId="1" applyNumberFormat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/>
    <xf numFmtId="37" fontId="18" fillId="87" borderId="0" applyNumberFormat="0" applyBorder="0" applyAlignment="0" applyProtection="0"/>
    <xf numFmtId="37" fontId="18" fillId="87" borderId="0" applyNumberFormat="0" applyBorder="0" applyAlignment="0" applyProtection="0"/>
    <xf numFmtId="0" fontId="34" fillId="48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53" borderId="0" applyNumberFormat="0" applyBorder="0" applyAlignment="0" applyProtection="0"/>
    <xf numFmtId="0" fontId="34" fillId="58" borderId="0" applyNumberFormat="0" applyBorder="0" applyAlignment="0" applyProtection="0"/>
    <xf numFmtId="0" fontId="34" fillId="63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7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4" fillId="53" borderId="0" applyNumberFormat="0" applyBorder="0" applyAlignment="0" applyProtection="0"/>
    <xf numFmtId="0" fontId="34" fillId="58" borderId="0" applyNumberFormat="0" applyBorder="0" applyAlignment="0" applyProtection="0"/>
    <xf numFmtId="0" fontId="34" fillId="63" borderId="0" applyNumberFormat="0" applyBorder="0" applyAlignment="0" applyProtection="0"/>
    <xf numFmtId="0" fontId="34" fillId="48" borderId="0" applyNumberFormat="0" applyBorder="0" applyAlignment="0" applyProtection="0"/>
    <xf numFmtId="0" fontId="65" fillId="41" borderId="15" applyNumberFormat="0" applyAlignment="0" applyProtection="0"/>
    <xf numFmtId="0" fontId="65" fillId="41" borderId="15" applyNumberFormat="0" applyAlignment="0" applyProtection="0"/>
    <xf numFmtId="0" fontId="34" fillId="48" borderId="0" applyNumberFormat="0" applyBorder="0" applyAlignment="0" applyProtection="0"/>
    <xf numFmtId="0" fontId="34" fillId="53" borderId="0" applyNumberFormat="0" applyBorder="0" applyAlignment="0" applyProtection="0"/>
    <xf numFmtId="9" fontId="5" fillId="0" borderId="0" applyFont="0" applyFill="0" applyBorder="0" applyAlignment="0" applyProtection="0"/>
    <xf numFmtId="0" fontId="34" fillId="53" borderId="0" applyNumberFormat="0" applyBorder="0" applyAlignment="0" applyProtection="0"/>
    <xf numFmtId="0" fontId="65" fillId="41" borderId="15" applyNumberFormat="0" applyAlignment="0" applyProtection="0"/>
    <xf numFmtId="0" fontId="34" fillId="58" borderId="0" applyNumberFormat="0" applyBorder="0" applyAlignment="0" applyProtection="0"/>
    <xf numFmtId="0" fontId="65" fillId="41" borderId="15" applyNumberFormat="0" applyAlignment="0" applyProtection="0"/>
    <xf numFmtId="43" fontId="5" fillId="0" borderId="0" applyFont="0" applyFill="0" applyBorder="0" applyAlignment="0" applyProtection="0"/>
    <xf numFmtId="0" fontId="5" fillId="0" borderId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34" fillId="63" borderId="0" applyNumberFormat="0" applyBorder="0" applyAlignment="0" applyProtection="0"/>
    <xf numFmtId="0" fontId="34" fillId="53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4" fillId="63" borderId="0" applyNumberFormat="0" applyBorder="0" applyAlignment="0" applyProtection="0"/>
    <xf numFmtId="0" fontId="34" fillId="53" borderId="0" applyNumberFormat="0" applyBorder="0" applyAlignment="0" applyProtection="0"/>
    <xf numFmtId="0" fontId="65" fillId="41" borderId="15" applyNumberFormat="0" applyAlignment="0" applyProtection="0"/>
    <xf numFmtId="0" fontId="65" fillId="41" borderId="15" applyNumberFormat="0" applyAlignment="0" applyProtection="0"/>
    <xf numFmtId="0" fontId="65" fillId="41" borderId="15" applyNumberFormat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53" borderId="0" applyNumberFormat="0" applyBorder="0" applyAlignment="0" applyProtection="0"/>
    <xf numFmtId="0" fontId="34" fillId="63" borderId="0" applyNumberFormat="0" applyBorder="0" applyAlignment="0" applyProtection="0"/>
    <xf numFmtId="43" fontId="5" fillId="0" borderId="0" applyFont="0" applyFill="0" applyBorder="0" applyAlignment="0" applyProtection="0"/>
    <xf numFmtId="0" fontId="34" fillId="4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5" fillId="0" borderId="0"/>
    <xf numFmtId="0" fontId="34" fillId="5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34" fillId="72" borderId="0" applyNumberFormat="0" applyBorder="0" applyAlignment="0" applyProtection="0"/>
    <xf numFmtId="0" fontId="34" fillId="47" borderId="0" applyNumberFormat="0" applyBorder="0" applyAlignment="0" applyProtection="0"/>
    <xf numFmtId="0" fontId="5" fillId="0" borderId="0"/>
    <xf numFmtId="0" fontId="34" fillId="53" borderId="0" applyNumberFormat="0" applyBorder="0" applyAlignment="0" applyProtection="0"/>
    <xf numFmtId="0" fontId="34" fillId="58" borderId="0" applyNumberFormat="0" applyBorder="0" applyAlignment="0" applyProtection="0"/>
    <xf numFmtId="0" fontId="34" fillId="63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72" borderId="0" applyNumberFormat="0" applyBorder="0" applyAlignment="0" applyProtection="0"/>
    <xf numFmtId="43" fontId="5" fillId="0" borderId="0" applyFont="0" applyFill="0" applyBorder="0" applyAlignment="0" applyProtection="0"/>
    <xf numFmtId="0" fontId="65" fillId="41" borderId="15" applyNumberFormat="0" applyAlignment="0" applyProtection="0"/>
    <xf numFmtId="9" fontId="5" fillId="0" borderId="0" applyFont="0" applyFill="0" applyBorder="0" applyAlignment="0" applyProtection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4" fillId="0" borderId="0" xfId="0" applyFont="1"/>
    <xf numFmtId="6" fontId="2" fillId="0" borderId="0" xfId="0" quotePrefix="1" applyNumberFormat="1" applyFont="1"/>
    <xf numFmtId="0" fontId="2" fillId="0" borderId="0" xfId="0" applyFont="1" applyFill="1" applyBorder="1"/>
    <xf numFmtId="0" fontId="5" fillId="0" borderId="0" xfId="4" applyFont="1" applyFill="1" applyBorder="1"/>
    <xf numFmtId="0" fontId="7" fillId="0" borderId="0" xfId="4" applyFont="1" applyFill="1" applyBorder="1"/>
    <xf numFmtId="0" fontId="8" fillId="0" borderId="0" xfId="4" applyFont="1" applyFill="1" applyBorder="1"/>
    <xf numFmtId="0" fontId="7" fillId="0" borderId="0" xfId="4" quotePrefix="1" applyFont="1" applyFill="1" applyBorder="1" applyAlignment="1">
      <alignment horizontal="center"/>
    </xf>
    <xf numFmtId="0" fontId="6" fillId="0" borderId="0" xfId="4" applyFont="1" applyFill="1" applyBorder="1"/>
    <xf numFmtId="164" fontId="5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left"/>
    </xf>
    <xf numFmtId="167" fontId="5" fillId="0" borderId="0" xfId="5" applyNumberFormat="1" applyFont="1" applyFill="1" applyBorder="1"/>
    <xf numFmtId="49" fontId="5" fillId="0" borderId="0" xfId="4" applyNumberFormat="1" applyFont="1" applyFill="1" applyBorder="1"/>
    <xf numFmtId="167" fontId="5" fillId="0" borderId="0" xfId="2" applyNumberFormat="1" applyFont="1" applyFill="1" applyBorder="1"/>
    <xf numFmtId="49" fontId="7" fillId="0" borderId="0" xfId="4" applyNumberFormat="1" applyFont="1" applyFill="1" applyBorder="1"/>
    <xf numFmtId="44" fontId="5" fillId="0" borderId="0" xfId="1" applyNumberFormat="1" applyFont="1" applyFill="1" applyBorder="1"/>
    <xf numFmtId="168" fontId="7" fillId="0" borderId="0" xfId="1" applyNumberFormat="1" applyFont="1" applyFill="1" applyBorder="1"/>
    <xf numFmtId="44" fontId="7" fillId="0" borderId="0" xfId="1" applyFont="1" applyFill="1" applyBorder="1"/>
    <xf numFmtId="168" fontId="7" fillId="0" borderId="0" xfId="4" applyNumberFormat="1" applyFont="1" applyFill="1" applyBorder="1"/>
    <xf numFmtId="167" fontId="3" fillId="0" borderId="0" xfId="2" applyNumberFormat="1" applyFont="1"/>
    <xf numFmtId="167" fontId="10" fillId="0" borderId="0" xfId="5" applyNumberFormat="1" applyFont="1" applyFill="1" applyBorder="1"/>
    <xf numFmtId="0" fontId="11" fillId="0" borderId="0" xfId="0" applyFont="1"/>
    <xf numFmtId="0" fontId="12" fillId="0" borderId="0" xfId="6" applyFont="1" applyFill="1" applyBorder="1" applyAlignment="1">
      <alignment horizontal="left" wrapText="1"/>
    </xf>
    <xf numFmtId="168" fontId="11" fillId="0" borderId="0" xfId="1" applyNumberFormat="1" applyFont="1" applyFill="1" applyBorder="1" applyAlignment="1">
      <alignment horizontal="left" wrapText="1"/>
    </xf>
    <xf numFmtId="0" fontId="11" fillId="0" borderId="0" xfId="6" applyFont="1" applyFill="1" applyBorder="1"/>
    <xf numFmtId="169" fontId="11" fillId="0" borderId="0" xfId="3" applyNumberFormat="1" applyFont="1"/>
    <xf numFmtId="168" fontId="11" fillId="0" borderId="0" xfId="0" applyNumberFormat="1" applyFont="1"/>
    <xf numFmtId="167" fontId="11" fillId="0" borderId="0" xfId="5" applyNumberFormat="1" applyFont="1"/>
    <xf numFmtId="170" fontId="11" fillId="0" borderId="0" xfId="1" applyNumberFormat="1" applyFont="1"/>
    <xf numFmtId="171" fontId="11" fillId="0" borderId="0" xfId="1" applyNumberFormat="1" applyFont="1"/>
    <xf numFmtId="171" fontId="11" fillId="0" borderId="0" xfId="0" applyNumberFormat="1" applyFont="1"/>
    <xf numFmtId="0" fontId="2" fillId="0" borderId="0" xfId="0" applyFont="1" applyAlignment="1">
      <alignment horizontal="center" wrapText="1"/>
    </xf>
    <xf numFmtId="0" fontId="13" fillId="0" borderId="0" xfId="4" applyFont="1" applyFill="1" applyBorder="1"/>
    <xf numFmtId="168" fontId="0" fillId="0" borderId="0" xfId="1" applyNumberFormat="1" applyFont="1"/>
    <xf numFmtId="0" fontId="0" fillId="0" borderId="0" xfId="0" applyFill="1"/>
    <xf numFmtId="0" fontId="9" fillId="0" borderId="0" xfId="0" applyFont="1"/>
    <xf numFmtId="0" fontId="7" fillId="0" borderId="0" xfId="4" quotePrefix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5" fillId="2" borderId="1" xfId="6" applyFont="1" applyFill="1" applyBorder="1" applyAlignment="1">
      <alignment horizontal="left" wrapText="1"/>
    </xf>
    <xf numFmtId="0" fontId="15" fillId="2" borderId="1" xfId="6" applyFont="1" applyFill="1" applyBorder="1" applyAlignment="1">
      <alignment horizontal="center" wrapText="1"/>
    </xf>
    <xf numFmtId="0" fontId="1" fillId="0" borderId="1" xfId="0" applyFont="1" applyBorder="1"/>
    <xf numFmtId="168" fontId="0" fillId="0" borderId="0" xfId="0" applyNumberFormat="1"/>
    <xf numFmtId="167" fontId="0" fillId="0" borderId="0" xfId="2" applyNumberFormat="1" applyFont="1"/>
    <xf numFmtId="0" fontId="12" fillId="4" borderId="0" xfId="6" applyFont="1" applyFill="1" applyBorder="1" applyAlignment="1">
      <alignment horizontal="center" wrapText="1"/>
    </xf>
    <xf numFmtId="171" fontId="11" fillId="0" borderId="0" xfId="1" applyNumberFormat="1" applyFont="1" applyFill="1" applyBorder="1" applyAlignment="1">
      <alignment horizontal="left" wrapText="1"/>
    </xf>
    <xf numFmtId="0" fontId="12" fillId="0" borderId="0" xfId="6" applyFont="1" applyFill="1" applyBorder="1" applyAlignment="1">
      <alignment horizontal="center" wrapText="1"/>
    </xf>
    <xf numFmtId="169" fontId="11" fillId="0" borderId="0" xfId="3" applyNumberFormat="1" applyFont="1" applyFill="1"/>
    <xf numFmtId="167" fontId="3" fillId="0" borderId="0" xfId="2" applyNumberFormat="1" applyFont="1" applyFill="1"/>
    <xf numFmtId="164" fontId="0" fillId="0" borderId="0" xfId="0" applyNumberFormat="1" applyAlignment="1">
      <alignment horizontal="center"/>
    </xf>
    <xf numFmtId="0" fontId="0" fillId="0" borderId="0" xfId="0"/>
    <xf numFmtId="165" fontId="0" fillId="0" borderId="0" xfId="1" applyNumberFormat="1" applyFont="1" applyFill="1" applyAlignment="1"/>
    <xf numFmtId="164" fontId="0" fillId="0" borderId="0" xfId="0" applyNumberFormat="1" applyFill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7" fontId="11" fillId="0" borderId="0" xfId="5" applyNumberFormat="1" applyFont="1" applyFill="1"/>
    <xf numFmtId="167" fontId="11" fillId="0" borderId="0" xfId="2" applyNumberFormat="1" applyFont="1" applyFill="1"/>
    <xf numFmtId="0" fontId="7" fillId="0" borderId="0" xfId="4" applyFont="1" applyFill="1" applyBorder="1" applyAlignment="1">
      <alignment wrapText="1"/>
    </xf>
    <xf numFmtId="0" fontId="9" fillId="0" borderId="0" xfId="0" applyFont="1" applyFill="1"/>
    <xf numFmtId="168" fontId="5" fillId="0" borderId="0" xfId="1" applyNumberFormat="1" applyFont="1" applyFill="1" applyBorder="1"/>
    <xf numFmtId="0" fontId="0" fillId="0" borderId="0" xfId="0" applyFill="1" applyAlignment="1">
      <alignment horizontal="left" indent="1"/>
    </xf>
    <xf numFmtId="0" fontId="9" fillId="0" borderId="0" xfId="0" applyFont="1" applyFill="1" applyAlignment="1">
      <alignment horizontal="left" indent="1"/>
    </xf>
    <xf numFmtId="43" fontId="11" fillId="0" borderId="0" xfId="0" applyNumberFormat="1" applyFont="1"/>
    <xf numFmtId="43" fontId="11" fillId="0" borderId="0" xfId="0" applyNumberFormat="1" applyFont="1" applyFill="1"/>
    <xf numFmtId="0" fontId="4" fillId="0" borderId="0" xfId="0" applyFont="1" applyFill="1" applyAlignment="1">
      <alignment horizontal="right" indent="1"/>
    </xf>
    <xf numFmtId="167" fontId="20" fillId="0" borderId="0" xfId="5" applyNumberFormat="1" applyFont="1" applyFill="1" applyBorder="1"/>
    <xf numFmtId="49" fontId="20" fillId="0" borderId="0" xfId="4" applyNumberFormat="1" applyFont="1" applyFill="1" applyBorder="1" applyAlignment="1">
      <alignment horizontal="right"/>
    </xf>
    <xf numFmtId="0" fontId="12" fillId="0" borderId="0" xfId="6" applyFont="1" applyAlignment="1">
      <alignment horizontal="left" wrapText="1"/>
    </xf>
    <xf numFmtId="0" fontId="12" fillId="0" borderId="0" xfId="6" applyFont="1" applyAlignment="1">
      <alignment horizontal="center" wrapText="1"/>
    </xf>
    <xf numFmtId="0" fontId="12" fillId="4" borderId="0" xfId="6" applyFont="1" applyFill="1" applyAlignment="1">
      <alignment horizontal="center" wrapText="1"/>
    </xf>
    <xf numFmtId="0" fontId="11" fillId="0" borderId="0" xfId="6" applyFont="1"/>
    <xf numFmtId="173" fontId="1" fillId="0" borderId="1" xfId="2" applyNumberFormat="1" applyBorder="1"/>
    <xf numFmtId="0" fontId="12" fillId="5" borderId="0" xfId="6" applyFont="1" applyFill="1" applyBorder="1" applyAlignment="1">
      <alignment horizontal="center" wrapText="1"/>
    </xf>
    <xf numFmtId="0" fontId="11" fillId="5" borderId="0" xfId="6" applyFont="1" applyFill="1" applyBorder="1" applyAlignment="1">
      <alignment horizontal="left" wrapText="1"/>
    </xf>
    <xf numFmtId="172" fontId="11" fillId="5" borderId="0" xfId="3" applyNumberFormat="1" applyFont="1" applyFill="1" applyAlignment="1">
      <alignment horizontal="center"/>
    </xf>
    <xf numFmtId="0" fontId="0" fillId="0" borderId="0" xfId="0" applyFont="1" applyFill="1"/>
    <xf numFmtId="43" fontId="5" fillId="0" borderId="0" xfId="1" applyNumberFormat="1" applyFont="1" applyFill="1" applyBorder="1"/>
    <xf numFmtId="43" fontId="4" fillId="0" borderId="0" xfId="2" applyFont="1"/>
    <xf numFmtId="0" fontId="5" fillId="0" borderId="0" xfId="4"/>
    <xf numFmtId="0" fontId="6" fillId="0" borderId="0" xfId="4" applyFont="1"/>
    <xf numFmtId="43" fontId="19" fillId="0" borderId="0" xfId="2" applyFont="1" applyFill="1" applyBorder="1"/>
    <xf numFmtId="0" fontId="8" fillId="0" borderId="0" xfId="4" applyFont="1" applyAlignment="1">
      <alignment vertical="center" wrapText="1"/>
    </xf>
    <xf numFmtId="0" fontId="8" fillId="0" borderId="0" xfId="4" applyFont="1"/>
    <xf numFmtId="0" fontId="8" fillId="0" borderId="0" xfId="4" applyFont="1" applyAlignment="1">
      <alignment wrapText="1"/>
    </xf>
    <xf numFmtId="44" fontId="0" fillId="0" borderId="0" xfId="0" applyNumberFormat="1"/>
    <xf numFmtId="43" fontId="0" fillId="0" borderId="0" xfId="0" applyNumberFormat="1"/>
    <xf numFmtId="174" fontId="0" fillId="0" borderId="0" xfId="0" applyNumberFormat="1"/>
    <xf numFmtId="9" fontId="0" fillId="0" borderId="0" xfId="3" applyFont="1"/>
    <xf numFmtId="166" fontId="0" fillId="0" borderId="0" xfId="0" applyNumberFormat="1"/>
    <xf numFmtId="0" fontId="1" fillId="0" borderId="0" xfId="0" applyFont="1" applyBorder="1"/>
    <xf numFmtId="173" fontId="1" fillId="0" borderId="0" xfId="2" applyNumberFormat="1" applyBorder="1"/>
    <xf numFmtId="0" fontId="0" fillId="0" borderId="1" xfId="0" applyBorder="1"/>
    <xf numFmtId="168" fontId="7" fillId="0" borderId="0" xfId="1" applyNumberFormat="1" applyFont="1" applyFill="1" applyBorder="1"/>
    <xf numFmtId="173" fontId="0" fillId="0" borderId="0" xfId="0" applyNumberFormat="1"/>
    <xf numFmtId="10" fontId="11" fillId="5" borderId="0" xfId="3" applyNumberFormat="1" applyFont="1" applyFill="1" applyAlignment="1">
      <alignment horizontal="center"/>
    </xf>
    <xf numFmtId="0" fontId="8" fillId="0" borderId="0" xfId="4" quotePrefix="1" applyFont="1"/>
    <xf numFmtId="0" fontId="106" fillId="0" borderId="0" xfId="4" applyFont="1"/>
    <xf numFmtId="0" fontId="10" fillId="0" borderId="0" xfId="4" applyFont="1"/>
    <xf numFmtId="0" fontId="12" fillId="5" borderId="0" xfId="6" applyFont="1" applyFill="1" applyAlignment="1">
      <alignment horizontal="center" wrapText="1"/>
    </xf>
    <xf numFmtId="0" fontId="11" fillId="5" borderId="0" xfId="6" applyFont="1" applyFill="1" applyAlignment="1">
      <alignment horizontal="left" wrapText="1"/>
    </xf>
    <xf numFmtId="0" fontId="1" fillId="0" borderId="1" xfId="0" applyFont="1" applyFill="1" applyBorder="1"/>
    <xf numFmtId="173" fontId="9" fillId="0" borderId="1" xfId="2" applyNumberFormat="1" applyFont="1" applyFill="1" applyBorder="1"/>
    <xf numFmtId="43" fontId="0" fillId="0" borderId="0" xfId="2" applyFont="1"/>
    <xf numFmtId="9" fontId="0" fillId="0" borderId="0" xfId="0" applyNumberFormat="1"/>
    <xf numFmtId="0" fontId="0" fillId="0" borderId="0" xfId="0" applyFill="1" applyBorder="1"/>
    <xf numFmtId="173" fontId="1" fillId="0" borderId="0" xfId="2" applyNumberFormat="1" applyFill="1" applyBorder="1"/>
    <xf numFmtId="164" fontId="5" fillId="0" borderId="0" xfId="4" applyNumberFormat="1" applyFill="1" applyAlignment="1">
      <alignment horizontal="center"/>
    </xf>
    <xf numFmtId="0" fontId="7" fillId="0" borderId="0" xfId="4" applyFont="1" applyFill="1"/>
    <xf numFmtId="0" fontId="5" fillId="0" borderId="0" xfId="4" applyFill="1"/>
    <xf numFmtId="0" fontId="6" fillId="0" borderId="0" xfId="4" applyFont="1" applyFill="1"/>
    <xf numFmtId="0" fontId="106" fillId="0" borderId="0" xfId="4" applyFont="1" applyFill="1"/>
    <xf numFmtId="0" fontId="13" fillId="0" borderId="0" xfId="4" applyFont="1" applyFill="1"/>
    <xf numFmtId="49" fontId="5" fillId="0" borderId="0" xfId="4" applyNumberFormat="1" applyFill="1"/>
    <xf numFmtId="0" fontId="110" fillId="0" borderId="0" xfId="4" applyFont="1" applyFill="1"/>
    <xf numFmtId="0" fontId="112" fillId="0" borderId="0" xfId="4" applyFont="1" applyFill="1" applyAlignment="1">
      <alignment wrapText="1"/>
    </xf>
    <xf numFmtId="167" fontId="11" fillId="0" borderId="0" xfId="0" applyNumberFormat="1" applyFont="1"/>
    <xf numFmtId="168" fontId="3" fillId="0" borderId="0" xfId="1" applyNumberFormat="1" applyFont="1" applyFill="1"/>
    <xf numFmtId="43" fontId="5" fillId="0" borderId="0" xfId="2" applyNumberFormat="1" applyFont="1" applyFill="1" applyBorder="1"/>
    <xf numFmtId="44" fontId="3" fillId="0" borderId="0" xfId="1" applyFont="1" applyFill="1" applyAlignment="1"/>
    <xf numFmtId="9" fontId="3" fillId="0" borderId="0" xfId="3" applyFont="1" applyFill="1" applyAlignment="1"/>
    <xf numFmtId="0" fontId="0" fillId="0" borderId="0" xfId="0" applyFill="1" applyAlignment="1"/>
    <xf numFmtId="44" fontId="0" fillId="0" borderId="0" xfId="1" applyNumberFormat="1" applyFont="1" applyFill="1" applyAlignment="1"/>
    <xf numFmtId="176" fontId="3" fillId="0" borderId="0" xfId="2" applyNumberFormat="1" applyFont="1" applyFill="1" applyAlignment="1"/>
    <xf numFmtId="43" fontId="3" fillId="0" borderId="0" xfId="2" applyFont="1" applyFill="1" applyAlignment="1"/>
    <xf numFmtId="168" fontId="3" fillId="119" borderId="0" xfId="1" applyNumberFormat="1" applyFont="1" applyFill="1"/>
    <xf numFmtId="168" fontId="0" fillId="119" borderId="0" xfId="1" applyNumberFormat="1" applyFont="1" applyFill="1"/>
    <xf numFmtId="167" fontId="11" fillId="119" borderId="0" xfId="5" applyNumberFormat="1" applyFont="1" applyFill="1"/>
    <xf numFmtId="168" fontId="11" fillId="119" borderId="0" xfId="1" applyNumberFormat="1" applyFont="1" applyFill="1" applyBorder="1" applyAlignment="1">
      <alignment horizontal="left" wrapText="1"/>
    </xf>
    <xf numFmtId="168" fontId="11" fillId="119" borderId="0" xfId="0" applyNumberFormat="1" applyFont="1" applyFill="1"/>
    <xf numFmtId="167" fontId="11" fillId="119" borderId="0" xfId="5" applyNumberFormat="1" applyFont="1" applyFill="1" applyBorder="1"/>
    <xf numFmtId="173" fontId="9" fillId="0" borderId="1" xfId="2" applyNumberFormat="1" applyFont="1" applyBorder="1"/>
    <xf numFmtId="173" fontId="9" fillId="0" borderId="1" xfId="0" applyNumberFormat="1" applyFont="1" applyBorder="1"/>
    <xf numFmtId="168" fontId="5" fillId="119" borderId="0" xfId="1" applyNumberFormat="1" applyFont="1" applyFill="1" applyBorder="1"/>
    <xf numFmtId="165" fontId="7" fillId="119" borderId="0" xfId="1" applyNumberFormat="1" applyFont="1" applyFill="1" applyBorder="1" applyAlignment="1">
      <alignment horizontal="center"/>
    </xf>
    <xf numFmtId="168" fontId="7" fillId="119" borderId="0" xfId="1" applyNumberFormat="1" applyFont="1" applyFill="1" applyBorder="1"/>
    <xf numFmtId="168" fontId="7" fillId="119" borderId="0" xfId="4" applyNumberFormat="1" applyFont="1" applyFill="1" applyBorder="1"/>
    <xf numFmtId="168" fontId="5" fillId="119" borderId="0" xfId="4" applyNumberFormat="1" applyFont="1" applyFill="1" applyBorder="1"/>
    <xf numFmtId="0" fontId="5" fillId="119" borderId="0" xfId="4" applyFont="1" applyFill="1" applyBorder="1"/>
    <xf numFmtId="168" fontId="111" fillId="119" borderId="0" xfId="4" applyNumberFormat="1" applyFont="1" applyFill="1"/>
    <xf numFmtId="168" fontId="7" fillId="119" borderId="0" xfId="4" applyNumberFormat="1" applyFont="1" applyFill="1"/>
    <xf numFmtId="175" fontId="19" fillId="0" borderId="0" xfId="13" applyFont="1" applyFill="1" applyBorder="1" applyAlignment="1">
      <alignment horizontal="left" vertical="top"/>
    </xf>
    <xf numFmtId="0" fontId="17" fillId="0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175" fontId="19" fillId="0" borderId="0" xfId="13" applyFont="1" applyFill="1" applyAlignment="1">
      <alignment horizontal="center" vertical="top"/>
    </xf>
    <xf numFmtId="0" fontId="17" fillId="0" borderId="0" xfId="0" applyFont="1" applyFill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7" fontId="5" fillId="0" borderId="0" xfId="4" applyNumberFormat="1" applyFont="1" applyFill="1" applyBorder="1"/>
    <xf numFmtId="175" fontId="7" fillId="0" borderId="0" xfId="13" applyFont="1" applyFill="1" applyAlignment="1">
      <alignment vertical="top"/>
    </xf>
    <xf numFmtId="0" fontId="21" fillId="0" borderId="0" xfId="0" applyFont="1" applyFill="1" applyAlignment="1"/>
  </cellXfs>
  <cellStyles count="1038">
    <cellStyle name="_x000d__x000a_JournalTemplate=C:\COMFO\CTALK\JOURSTD.TPL_x000d__x000a_LbStateAddress=3 3 0 251 1 89 2 311_x000d__x000a_LbStateJou" xfId="49" xr:uid="{37F49A1C-7047-4DA7-9778-77C0FF54373D}"/>
    <cellStyle name="_TableHead" xfId="50" xr:uid="{611F5DBA-705E-4CDE-99FD-807150B41709}"/>
    <cellStyle name="_TableHead_Book2 (2)" xfId="51" xr:uid="{6707470B-9D3D-4994-A9EF-2BBED9DD4398}"/>
    <cellStyle name="_TableHead_Book8a" xfId="52" xr:uid="{C32955BB-84BB-435E-B623-1607C3DBE390}"/>
    <cellStyle name="_TableSuperHead" xfId="53" xr:uid="{7B872C96-3A33-45B2-A67E-CDC2A9406D88}"/>
    <cellStyle name="_x0010_“+ˆÉ•?pý¤" xfId="54" xr:uid="{E20738D4-2CB0-4AE8-9EC5-86C110CF4B03}"/>
    <cellStyle name="000" xfId="55" xr:uid="{6AAF44BC-7F3F-445A-9179-21020A7BE492}"/>
    <cellStyle name="0000" xfId="56" xr:uid="{49DC5A7A-8499-403F-B36A-A6D77EF6EADB}"/>
    <cellStyle name="20% - Accent1 2" xfId="57" xr:uid="{CF57D1A4-B88C-40C0-8E1B-38342799A2E7}"/>
    <cellStyle name="20% - Accent1 3" xfId="58" xr:uid="{54CE137E-BE20-4BAD-96CF-F41889CFAA7A}"/>
    <cellStyle name="20% - Accent2 2" xfId="59" xr:uid="{976460C3-0C42-4DA1-A574-45FBE801FA34}"/>
    <cellStyle name="20% - Accent2 3" xfId="60" xr:uid="{9B805EF9-508E-4E30-8EF5-037E897A8B53}"/>
    <cellStyle name="20% - Accent3 2" xfId="61" xr:uid="{E36F8345-66A9-4433-AF8D-F98AFDCEE3ED}"/>
    <cellStyle name="20% - Accent3 3" xfId="62" xr:uid="{0B1AEB29-A9B7-4424-B705-B797CB39C709}"/>
    <cellStyle name="20% - Accent4 2" xfId="63" xr:uid="{A963DD3A-53A8-4CBD-ABD5-717CBBF9B87A}"/>
    <cellStyle name="20% - Accent4 3" xfId="64" xr:uid="{538551CE-E414-4F9C-B8CF-2C4554215934}"/>
    <cellStyle name="20% - Accent5 2" xfId="65" xr:uid="{B8B556E5-530C-422E-96B2-8AD84C3F0BBA}"/>
    <cellStyle name="20% - Accent5 3" xfId="66" xr:uid="{88CC8573-ABF3-4800-9D04-96E92954EA83}"/>
    <cellStyle name="20% - Accent6 2" xfId="67" xr:uid="{BAA29499-59CE-4C38-AB2C-36769F2A8E5F}"/>
    <cellStyle name="20% - Accent6 3" xfId="68" xr:uid="{24151DD1-0942-4540-B28E-618AE4C68188}"/>
    <cellStyle name="40% - Accent1 2" xfId="69" xr:uid="{AD3CA7CD-AB9A-4E9C-BEE1-F9CAA211DBC6}"/>
    <cellStyle name="40% - Accent1 3" xfId="70" xr:uid="{8A056143-40A4-4D18-9338-87CC71579A5C}"/>
    <cellStyle name="40% - Accent2 2" xfId="71" xr:uid="{390F4303-46A0-40E4-9C93-638B3E2175A6}"/>
    <cellStyle name="40% - Accent2 3" xfId="72" xr:uid="{40EF23FA-4D32-4F97-BC4D-B56D11459DFB}"/>
    <cellStyle name="40% - Accent3 2" xfId="73" xr:uid="{5947D886-8AFB-4442-A46C-F4089E2910E1}"/>
    <cellStyle name="40% - Accent3 3" xfId="74" xr:uid="{FFA302BF-B03A-45E5-B5D6-C9A2214A2AEA}"/>
    <cellStyle name="40% - Accent4 2" xfId="75" xr:uid="{F3C8D86B-97D8-4952-A7A8-FDC552D609C7}"/>
    <cellStyle name="40% - Accent4 3" xfId="76" xr:uid="{0C183A94-86E9-4EBC-AE10-4610FBF5DAFB}"/>
    <cellStyle name="40% - Accent5 2" xfId="77" xr:uid="{AE7E1919-324C-419E-A945-075BDD8CC3B5}"/>
    <cellStyle name="40% - Accent5 3" xfId="78" xr:uid="{2725F5B9-16A5-4C94-B9F3-1B1527F0FF94}"/>
    <cellStyle name="40% - Accent6 2" xfId="79" xr:uid="{FF811840-90EA-471B-BCCE-073C2D0B4A70}"/>
    <cellStyle name="40% - Accent6 3" xfId="80" xr:uid="{78A0148F-2372-4199-AB23-5D0834BD80F2}"/>
    <cellStyle name="60% - Accent1 2" xfId="81" xr:uid="{9BB6C59F-81B4-474E-8E5B-7362A95F3E32}"/>
    <cellStyle name="60% - Accent1 3" xfId="82" xr:uid="{3B3AFF36-E0C2-4326-9180-4B53FB6C5AE4}"/>
    <cellStyle name="60% - Accent2 2" xfId="83" xr:uid="{8137E82A-E469-4EA4-B6CF-0C94F5A07453}"/>
    <cellStyle name="60% - Accent2 3" xfId="84" xr:uid="{8AE29954-F4DF-4D9F-A9D1-DDABABDFB07B}"/>
    <cellStyle name="60% - Accent3 2" xfId="85" xr:uid="{14DE9AE2-ED5D-46D2-BE88-7B72534CF12B}"/>
    <cellStyle name="60% - Accent3 3" xfId="86" xr:uid="{0BD36C5A-305B-447C-895D-AC6286AD1848}"/>
    <cellStyle name="60% - Accent4 2" xfId="87" xr:uid="{D0488112-8C7A-48DF-93A7-F0CE93AAB236}"/>
    <cellStyle name="60% - Accent4 3" xfId="88" xr:uid="{C024EA8E-155F-4AC1-8B3A-73A84E095D8C}"/>
    <cellStyle name="60% - Accent5 2" xfId="89" xr:uid="{DB19E403-33CE-4293-AFE2-1C623F54AEA5}"/>
    <cellStyle name="60% - Accent5 3" xfId="90" xr:uid="{ED92D8F5-63B9-4980-BE3D-B2CC2AEF020F}"/>
    <cellStyle name="60% - Accent6 2" xfId="91" xr:uid="{8EC095B4-AA3B-41DA-9A01-17A9A9FFC6BE}"/>
    <cellStyle name="60% - Accent6 3" xfId="92" xr:uid="{B74761CC-16F3-46DF-B4CE-585636E2E3A9}"/>
    <cellStyle name="Accent1 - 20%" xfId="93" xr:uid="{417600EA-B2E9-4F1C-B458-2306BD19B6B2}"/>
    <cellStyle name="Accent1 - 40%" xfId="94" xr:uid="{6AE906FE-D079-4460-8920-A08FF91FFFE7}"/>
    <cellStyle name="Accent1 - 60%" xfId="95" xr:uid="{9143A547-85D8-4CDE-A9B5-455A789C551B}"/>
    <cellStyle name="Accent1 10" xfId="96" xr:uid="{57BFD032-481C-4FD2-B279-A53D1B0BFAEF}"/>
    <cellStyle name="Accent1 11" xfId="97" xr:uid="{9EF1EBB7-9DBA-486A-A55D-4859CE52E47B}"/>
    <cellStyle name="Accent1 12" xfId="98" xr:uid="{DCE3F178-96B7-46E3-A5CD-414BF1D89BE4}"/>
    <cellStyle name="Accent1 13" xfId="99" xr:uid="{88EBFCE2-2543-4C5F-AD3E-1A5AEAA2862E}"/>
    <cellStyle name="Accent1 14" xfId="100" xr:uid="{45863F26-BBE3-4ADC-86EA-3DF78CEE63F7}"/>
    <cellStyle name="Accent1 15" xfId="101" xr:uid="{9C8996C2-D22E-4D11-AFD8-287AD561ED2B}"/>
    <cellStyle name="Accent1 16" xfId="102" xr:uid="{FDEE4B58-6CB5-41D1-872B-A0B91DAFE311}"/>
    <cellStyle name="Accent1 17" xfId="696" xr:uid="{361CCC83-4B4C-4B05-9E86-42873192092F}"/>
    <cellStyle name="Accent1 18" xfId="724" xr:uid="{58E9D735-67EF-4F96-BA5A-B292D747B0E7}"/>
    <cellStyle name="Accent1 19" xfId="704" xr:uid="{7CAB7256-E6AA-496A-8811-652DD47E4FAB}"/>
    <cellStyle name="Accent1 2" xfId="103" xr:uid="{8C8B1CCF-B934-4464-85F2-2DA5CCA70CBB}"/>
    <cellStyle name="Accent1 20" xfId="914" xr:uid="{ADFFF765-F3BE-4E3D-8C55-38380AA623E8}"/>
    <cellStyle name="Accent1 21" xfId="920" xr:uid="{50426632-BE19-4527-9567-2B7608454C42}"/>
    <cellStyle name="Accent1 22" xfId="946" xr:uid="{D42FBE26-FF73-45B1-9A12-181070A3AEBE}"/>
    <cellStyle name="Accent1 23" xfId="974" xr:uid="{1BDB322E-1655-478F-A102-F92877019B39}"/>
    <cellStyle name="Accent1 24" xfId="956" xr:uid="{7185993B-29D6-42D6-80D9-EC934FF632E5}"/>
    <cellStyle name="Accent1 25" xfId="984" xr:uid="{E255C8BB-43C9-47D9-896B-7555D555A339}"/>
    <cellStyle name="Accent1 26" xfId="978" xr:uid="{6B5F8425-52B1-4380-B79F-BB4201767F5D}"/>
    <cellStyle name="Accent1 27" xfId="965" xr:uid="{4D031713-CCAC-4FAC-81A5-384935B8DE8F}"/>
    <cellStyle name="Accent1 28" xfId="963" xr:uid="{B7943820-778A-44BC-9079-69853705E58C}"/>
    <cellStyle name="Accent1 29" xfId="1007" xr:uid="{EC1A0E54-F8A1-44B2-8018-0857DC25CA2B}"/>
    <cellStyle name="Accent1 3" xfId="104" xr:uid="{FFCAC4CA-8610-40C2-9A5C-F9C8C1B83475}"/>
    <cellStyle name="Accent1 4" xfId="105" xr:uid="{1A3B7237-EF2D-44AD-A6EA-4A797B24F390}"/>
    <cellStyle name="Accent1 5" xfId="106" xr:uid="{64D5419D-4C85-4E62-9E24-834166F540D6}"/>
    <cellStyle name="Accent1 6" xfId="107" xr:uid="{B94D137A-75C7-4DC3-9416-E71386BFB5E7}"/>
    <cellStyle name="Accent1 7" xfId="108" xr:uid="{9E525675-BD8D-4F78-A7B3-51D5A2E60E90}"/>
    <cellStyle name="Accent1 8" xfId="109" xr:uid="{47674438-85D6-44D7-AF39-118BF5807D93}"/>
    <cellStyle name="Accent1 9" xfId="110" xr:uid="{D0A65459-A9EF-4FA3-BBB1-CF2FD91050C9}"/>
    <cellStyle name="Accent2 - 20%" xfId="111" xr:uid="{655400D6-2A4C-4FA7-A42D-76A8A10959A0}"/>
    <cellStyle name="Accent2 - 40%" xfId="112" xr:uid="{0F4A0744-4D94-4AAA-8F6A-FB5B13062405}"/>
    <cellStyle name="Accent2 - 60%" xfId="113" xr:uid="{997D5761-B6D1-4339-B63A-E0E4EF8EB0D0}"/>
    <cellStyle name="Accent2 10" xfId="114" xr:uid="{11D91324-46AD-4E19-82B2-15337A62DEC0}"/>
    <cellStyle name="Accent2 11" xfId="115" xr:uid="{96BA3098-BBA0-403F-9900-EA32AEA9E49A}"/>
    <cellStyle name="Accent2 12" xfId="116" xr:uid="{02C67B0F-2EA4-49BC-84FF-C47EEE465C3F}"/>
    <cellStyle name="Accent2 13" xfId="117" xr:uid="{80F9D4D0-80D0-484E-BC61-4DD2AE7AF97B}"/>
    <cellStyle name="Accent2 14" xfId="118" xr:uid="{110C37B5-C3AA-4266-BC8E-B7EA4DA132E0}"/>
    <cellStyle name="Accent2 15" xfId="119" xr:uid="{A20722D1-905F-468A-9CAE-4381C8B09EE7}"/>
    <cellStyle name="Accent2 16" xfId="120" xr:uid="{FDA4736D-9474-4F48-9287-FB45ED877505}"/>
    <cellStyle name="Accent2 17" xfId="697" xr:uid="{5BAAC442-A009-41CB-B54D-3F525A5C5D4B}"/>
    <cellStyle name="Accent2 18" xfId="713" xr:uid="{1E6D15F9-A3B2-4350-9BCA-73CA9B8AB7A9}"/>
    <cellStyle name="Accent2 19" xfId="913" xr:uid="{D3DAB0C6-8019-4F5D-9C27-865B48F2E50A}"/>
    <cellStyle name="Accent2 2" xfId="121" xr:uid="{5774ADA1-D436-4EA0-830C-07637EF8795F}"/>
    <cellStyle name="Accent2 20" xfId="919" xr:uid="{3FC0C708-9152-461E-A71B-BB6EA2A92CEE}"/>
    <cellStyle name="Accent2 21" xfId="922" xr:uid="{2E2DC038-C755-4B2A-BA2D-ED3E5A8B0982}"/>
    <cellStyle name="Accent2 22" xfId="947" xr:uid="{913F5225-8F6E-4C57-ACCD-BEB0CC90F929}"/>
    <cellStyle name="Accent2 23" xfId="988" xr:uid="{711D9E85-BF55-47F7-A85C-B5F74EE55E16}"/>
    <cellStyle name="Accent2 24" xfId="957" xr:uid="{A8F59465-0CD8-4FC4-A396-A64F394C5EB1}"/>
    <cellStyle name="Accent2 25" xfId="967" xr:uid="{ED1D9892-1701-45C8-AE91-951B601738A4}"/>
    <cellStyle name="Accent2 26" xfId="991" xr:uid="{D70E40E9-EE43-4085-A334-8855450B076F}"/>
    <cellStyle name="Accent2 27" xfId="989" xr:uid="{59480110-5D4A-4D03-90F4-085A9DB53D89}"/>
    <cellStyle name="Accent2 28" xfId="997" xr:uid="{AFB087AB-6A4E-4031-9255-CB7CC60E9826}"/>
    <cellStyle name="Accent2 29" xfId="1008" xr:uid="{045B4068-7888-4913-AD59-5CCC371C51DD}"/>
    <cellStyle name="Accent2 3" xfId="122" xr:uid="{133402A9-C6F0-4A61-8B49-0C63942055B5}"/>
    <cellStyle name="Accent2 4" xfId="123" xr:uid="{6CA9CCEF-E2C2-4174-BA7D-38C307BC701E}"/>
    <cellStyle name="Accent2 5" xfId="124" xr:uid="{25BF9113-F2DA-4057-A39D-61E5EF86AAA2}"/>
    <cellStyle name="Accent2 6" xfId="125" xr:uid="{0E898F8A-7DE4-4EF2-8BC9-60452FEA5C5A}"/>
    <cellStyle name="Accent2 7" xfId="126" xr:uid="{2CFBD31D-EDB9-4C44-B672-C52D0F981DA2}"/>
    <cellStyle name="Accent2 8" xfId="127" xr:uid="{0C3482E7-3ADC-46E4-92CF-93964EDB12D6}"/>
    <cellStyle name="Accent2 9" xfId="128" xr:uid="{CD63E0B3-EDF0-4A00-A18D-6ECC2F8FEE6B}"/>
    <cellStyle name="Accent3 - 20%" xfId="129" xr:uid="{FE0AC6A8-779F-404B-AE19-1799D4AB09BE}"/>
    <cellStyle name="Accent3 - 40%" xfId="130" xr:uid="{186561F4-EE14-4850-828A-B9A4C4BF12B0}"/>
    <cellStyle name="Accent3 - 60%" xfId="131" xr:uid="{26A9AD03-D477-4B9F-8CF7-81A70D7E0CF7}"/>
    <cellStyle name="Accent3 10" xfId="132" xr:uid="{E91A054E-FD69-4CFA-B390-B4A8997B3CC0}"/>
    <cellStyle name="Accent3 11" xfId="133" xr:uid="{31C98462-9CF7-413E-8CA2-F80E79FD9541}"/>
    <cellStyle name="Accent3 12" xfId="134" xr:uid="{E2C6C2D8-1EA8-4596-B94B-0A5C15D761C2}"/>
    <cellStyle name="Accent3 13" xfId="135" xr:uid="{8B514C74-42CC-4FBA-B651-B9D43B7EF67B}"/>
    <cellStyle name="Accent3 14" xfId="136" xr:uid="{47CE2265-A494-47A9-BB4D-6D8FDA8E38E4}"/>
    <cellStyle name="Accent3 15" xfId="137" xr:uid="{83A239B0-603A-4A2D-8A8A-FDDE8502D973}"/>
    <cellStyle name="Accent3 16" xfId="138" xr:uid="{4803D3E8-9FDB-4ED1-8DC5-7BF70C6F13F2}"/>
    <cellStyle name="Accent3 17" xfId="698" xr:uid="{E2B469D2-85DA-438E-8DEE-9799E39FFF82}"/>
    <cellStyle name="Accent3 18" xfId="712" xr:uid="{1D9DBF3F-C9CF-435C-8BC4-1E9EE5C9681F}"/>
    <cellStyle name="Accent3 19" xfId="916" xr:uid="{BC2CFE98-8269-4FEA-8061-DF077454B81D}"/>
    <cellStyle name="Accent3 2" xfId="139" xr:uid="{8A355ACA-347C-4204-A534-3474D0F68976}"/>
    <cellStyle name="Accent3 20" xfId="921" xr:uid="{985532E9-3FBB-4D13-B81F-2488AC546423}"/>
    <cellStyle name="Accent3 21" xfId="909" xr:uid="{4145A52F-9287-4B9B-A56F-1CA81724DFBC}"/>
    <cellStyle name="Accent3 22" xfId="948" xr:uid="{FE228DFC-7CEF-4964-AC46-9CAAE374B0E4}"/>
    <cellStyle name="Accent3 23" xfId="973" xr:uid="{A74E0773-82BE-4786-8910-FEA04726E72C}"/>
    <cellStyle name="Accent3 24" xfId="958" xr:uid="{BB93121D-0939-4702-A20C-3389BFA9C689}"/>
    <cellStyle name="Accent3 25" xfId="944" xr:uid="{6223CDCE-F7C1-4E54-917B-882B07B731C5}"/>
    <cellStyle name="Accent3 26" xfId="945" xr:uid="{FA85C5DE-2303-4A16-974D-4C3ACD89E417}"/>
    <cellStyle name="Accent3 27" xfId="985" xr:uid="{458FFE9B-6200-4304-BFC1-034B595D4DD7}"/>
    <cellStyle name="Accent3 28" xfId="977" xr:uid="{4EA2BBEB-F5A0-4789-B456-C474BC3509B5}"/>
    <cellStyle name="Accent3 29" xfId="1009" xr:uid="{25662D53-96CF-4863-B7B7-767FF6CAB205}"/>
    <cellStyle name="Accent3 3" xfId="140" xr:uid="{5C6C27F3-FA7A-4014-972B-AC6A0F0B425B}"/>
    <cellStyle name="Accent3 4" xfId="141" xr:uid="{1395119E-AF2D-4F3A-AF5A-54F275203B72}"/>
    <cellStyle name="Accent3 5" xfId="142" xr:uid="{6AFC7614-5546-4080-9654-933B618BA89A}"/>
    <cellStyle name="Accent3 6" xfId="143" xr:uid="{B55E3046-E8E6-4069-8375-A059C797683D}"/>
    <cellStyle name="Accent3 7" xfId="144" xr:uid="{BD5CAA5D-2017-4ADC-B863-6ADBA704922F}"/>
    <cellStyle name="Accent3 8" xfId="145" xr:uid="{33478F54-E182-426A-A811-C9EE52D9530F}"/>
    <cellStyle name="Accent3 9" xfId="146" xr:uid="{3054369C-4B87-49AF-8C12-998484008D1F}"/>
    <cellStyle name="Accent4 - 20%" xfId="147" xr:uid="{A1A70213-1920-46CC-A9B9-74C79BCFB17C}"/>
    <cellStyle name="Accent4 - 40%" xfId="148" xr:uid="{125EFDFA-F376-40FA-8FA7-092D21EA5204}"/>
    <cellStyle name="Accent4 - 60%" xfId="149" xr:uid="{72AD0BA3-B42E-4D65-896A-0A7DE345C923}"/>
    <cellStyle name="Accent4 10" xfId="150" xr:uid="{FA292778-FDAC-46FA-A697-42AFB943AE2E}"/>
    <cellStyle name="Accent4 11" xfId="151" xr:uid="{703D19DD-86AD-4900-8E6D-14E3B526805E}"/>
    <cellStyle name="Accent4 12" xfId="152" xr:uid="{FBB21C80-C458-4861-AFF8-9F405441F54B}"/>
    <cellStyle name="Accent4 13" xfId="153" xr:uid="{6B4A1857-EAA1-44E1-9FBD-034E785AE2F4}"/>
    <cellStyle name="Accent4 14" xfId="154" xr:uid="{785325A4-630F-4100-8932-DA8C5754FF60}"/>
    <cellStyle name="Accent4 15" xfId="155" xr:uid="{63C21EC5-442D-4961-A7FB-9EF905F9F090}"/>
    <cellStyle name="Accent4 16" xfId="156" xr:uid="{701A8801-623B-4166-912D-CA305F3AA6B9}"/>
    <cellStyle name="Accent4 17" xfId="699" xr:uid="{9CA6DAE9-6040-4E73-A932-C946C689B41F}"/>
    <cellStyle name="Accent4 18" xfId="723" xr:uid="{3D6F3F41-AB29-47E5-883D-7804A6DF59E4}"/>
    <cellStyle name="Accent4 19" xfId="693" xr:uid="{1DE932DE-12E5-4FEF-8C24-E166EE418CBD}"/>
    <cellStyle name="Accent4 2" xfId="157" xr:uid="{54C369D6-32B0-4396-B4AA-BC729B247BCA}"/>
    <cellStyle name="Accent4 20" xfId="858" xr:uid="{458A7EA9-E6F2-4EB8-AEB0-AF10542B3BCF}"/>
    <cellStyle name="Accent4 21" xfId="720" xr:uid="{A065D472-59C1-411F-BA95-C3D37B097717}"/>
    <cellStyle name="Accent4 22" xfId="949" xr:uid="{E163DB26-94A3-4764-857E-0DF349BB66CB}"/>
    <cellStyle name="Accent4 23" xfId="972" xr:uid="{F89D70FE-0F24-44E9-A13C-50B23F605D84}"/>
    <cellStyle name="Accent4 24" xfId="996" xr:uid="{537B1D7F-26A4-4B5C-AC3A-E20BD4E81ECC}"/>
    <cellStyle name="Accent4 25" xfId="999" xr:uid="{67291C68-F958-4C5A-9172-88C6C0ECD683}"/>
    <cellStyle name="Accent4 26" xfId="1001" xr:uid="{74F16B14-EE9E-4903-A689-AE1C9330B04C}"/>
    <cellStyle name="Accent4 27" xfId="1003" xr:uid="{A83726F5-C191-4D91-9721-7A38E15181BD}"/>
    <cellStyle name="Accent4 28" xfId="1005" xr:uid="{EC35DD8F-FD0B-4048-A485-FFFC8B982C9A}"/>
    <cellStyle name="Accent4 29" xfId="1010" xr:uid="{87CE377E-06EC-404C-99C4-D6A003EE36A1}"/>
    <cellStyle name="Accent4 3" xfId="158" xr:uid="{645FD5D4-58B8-4211-9B59-84C845800E65}"/>
    <cellStyle name="Accent4 4" xfId="159" xr:uid="{1A92B5B9-D7FA-4AD3-800D-41AC72EAB1C0}"/>
    <cellStyle name="Accent4 5" xfId="160" xr:uid="{318D351E-E510-47F9-8367-C9993ABC7AFF}"/>
    <cellStyle name="Accent4 6" xfId="161" xr:uid="{F1216E92-5081-4C83-998E-93731968B23D}"/>
    <cellStyle name="Accent4 7" xfId="162" xr:uid="{2604B6CF-4711-4AEB-A763-8E4BE74198A9}"/>
    <cellStyle name="Accent4 8" xfId="163" xr:uid="{C115EE92-B42D-43D7-B1BA-8EA458E72CA4}"/>
    <cellStyle name="Accent4 9" xfId="164" xr:uid="{BBCB93E2-4BFC-4769-90E5-25F99DA561A6}"/>
    <cellStyle name="Accent5 - 20%" xfId="165" xr:uid="{1498DA74-6143-420F-B87F-440C60A7F9C4}"/>
    <cellStyle name="Accent5 - 40%" xfId="166" xr:uid="{0F422983-2925-42C1-AC94-67B140FD73F0}"/>
    <cellStyle name="Accent5 - 60%" xfId="167" xr:uid="{6A0B3EF1-5E64-4274-A6E1-2889E8421073}"/>
    <cellStyle name="Accent5 10" xfId="168" xr:uid="{311AA83F-FFD1-4296-B32B-01177A172FE9}"/>
    <cellStyle name="Accent5 11" xfId="169" xr:uid="{4A6074EC-3ABA-4000-A42E-E7CA96406B47}"/>
    <cellStyle name="Accent5 12" xfId="170" xr:uid="{3665EFA4-E08F-4457-B3A2-363B11937523}"/>
    <cellStyle name="Accent5 13" xfId="171" xr:uid="{E2F37826-FA0A-4397-9876-BFFB3F96FBE7}"/>
    <cellStyle name="Accent5 14" xfId="172" xr:uid="{D7C5F968-50EC-4A75-A3AB-DDDFE3CB2A4E}"/>
    <cellStyle name="Accent5 15" xfId="173" xr:uid="{D5BB0C9F-376F-4A31-82DF-CFE4D12F917E}"/>
    <cellStyle name="Accent5 16" xfId="174" xr:uid="{35FBFF1D-B8F2-481C-8BB9-AD0D4D00C768}"/>
    <cellStyle name="Accent5 17" xfId="700" xr:uid="{0683D27E-E1DF-40DF-AEF2-6A3A140B4F45}"/>
    <cellStyle name="Accent5 18" xfId="711" xr:uid="{0CFEF0B7-F44A-4DD2-8DFD-26B9937D003C}"/>
    <cellStyle name="Accent5 19" xfId="716" xr:uid="{E6071D67-B74E-4D62-A572-841C90F0EC82}"/>
    <cellStyle name="Accent5 2" xfId="175" xr:uid="{83CC16D5-B994-4250-9894-926A6B529B8F}"/>
    <cellStyle name="Accent5 20" xfId="912" xr:uid="{076BC537-DA87-4BF8-ABE0-36975A40C1B3}"/>
    <cellStyle name="Accent5 21" xfId="910" xr:uid="{61E82961-D144-4889-ABA8-AF95EC85F3C9}"/>
    <cellStyle name="Accent5 22" xfId="950" xr:uid="{990E31FC-46B6-45C4-907A-AE20F088B1BE}"/>
    <cellStyle name="Accent5 23" xfId="987" xr:uid="{E724AEA9-B9FE-4DD6-B501-7454E3991514}"/>
    <cellStyle name="Accent5 24" xfId="959" xr:uid="{C570739F-A325-42E2-8556-D5BEB3D901B5}"/>
    <cellStyle name="Accent5 25" xfId="983" xr:uid="{2C562737-5CB4-40DA-9D56-2A0A9A61C94E}"/>
    <cellStyle name="Accent5 26" xfId="962" xr:uid="{834EF968-67C0-44B4-ACEA-E8838B61317E}"/>
    <cellStyle name="Accent5 27" xfId="982" xr:uid="{0E4BEF56-54E7-4AB4-99E7-162CB7A100FE}"/>
    <cellStyle name="Accent5 28" xfId="943" xr:uid="{28D8E6D0-5C10-4F62-9366-82B4C8679184}"/>
    <cellStyle name="Accent5 29" xfId="1011" xr:uid="{0D6BF2CE-A273-472B-A7CD-4CEFC75E2DAE}"/>
    <cellStyle name="Accent5 3" xfId="176" xr:uid="{2254CB07-0194-4536-A2A0-50CE620FA46C}"/>
    <cellStyle name="Accent5 4" xfId="177" xr:uid="{DFC09C60-95DD-47BC-B73A-99ED90ACBE7A}"/>
    <cellStyle name="Accent5 5" xfId="178" xr:uid="{AC7DACDE-B18A-40E4-A06B-49BD5436D5F4}"/>
    <cellStyle name="Accent5 6" xfId="179" xr:uid="{46D1AA1D-A377-4053-AA98-C8F4275E2A89}"/>
    <cellStyle name="Accent5 7" xfId="180" xr:uid="{C1722C57-E0E2-456D-9695-ABBF3FD94F26}"/>
    <cellStyle name="Accent5 8" xfId="181" xr:uid="{50F3DEDD-D7B7-4135-A197-D93BD11754B5}"/>
    <cellStyle name="Accent5 9" xfId="182" xr:uid="{8B01DA5A-2284-4528-8AEA-EAE69D3A7E43}"/>
    <cellStyle name="Accent6 - 20%" xfId="183" xr:uid="{4C86378A-4199-4764-8CA4-9A1C952337A7}"/>
    <cellStyle name="Accent6 - 40%" xfId="184" xr:uid="{0FFAED21-68EB-4A27-8365-7F7FD3D4C9A4}"/>
    <cellStyle name="Accent6 - 60%" xfId="185" xr:uid="{72DDA886-B8C2-47B2-A26C-60EC97FBB472}"/>
    <cellStyle name="Accent6 10" xfId="186" xr:uid="{61BF949C-7C96-46F6-85AD-A0D57B98378E}"/>
    <cellStyle name="Accent6 11" xfId="187" xr:uid="{CB9E30CA-141C-4C66-8E87-AD02F4151E1B}"/>
    <cellStyle name="Accent6 12" xfId="188" xr:uid="{7509E0DE-78D0-422A-A772-1E52071C55F6}"/>
    <cellStyle name="Accent6 13" xfId="189" xr:uid="{605CE11F-A69C-4334-88C2-6B7D79354B32}"/>
    <cellStyle name="Accent6 14" xfId="190" xr:uid="{4F55D7AD-960D-492A-8F72-B1F4CC3235AB}"/>
    <cellStyle name="Accent6 15" xfId="191" xr:uid="{53832AEF-80AF-462B-936B-D82A25D9F068}"/>
    <cellStyle name="Accent6 16" xfId="192" xr:uid="{46930F4B-38B4-4A92-8279-5BB5855D6470}"/>
    <cellStyle name="Accent6 17" xfId="701" xr:uid="{3036B088-47D3-4E04-A6CB-9AF7A3339CC0}"/>
    <cellStyle name="Accent6 18" xfId="722" xr:uid="{299C14B9-9B8A-4C26-B794-057A800E001F}"/>
    <cellStyle name="Accent6 19" xfId="728" xr:uid="{B80EAFE8-397E-4AA1-9FBB-E6EC8EE912D2}"/>
    <cellStyle name="Accent6 2" xfId="193" xr:uid="{61A94C06-C6F5-4844-94DD-0E88CCE39F14}"/>
    <cellStyle name="Accent6 20" xfId="708" xr:uid="{6BAA21CC-5427-43F2-8507-C3C55D9881BB}"/>
    <cellStyle name="Accent6 21" xfId="705" xr:uid="{B97587DD-5752-433E-975D-DDBCCCD382B7}"/>
    <cellStyle name="Accent6 22" xfId="951" xr:uid="{5CD1A802-625A-4823-A878-3F146D4C02E3}"/>
    <cellStyle name="Accent6 23" xfId="971" xr:uid="{DA29167A-6A56-4801-AD06-380FB27A2333}"/>
    <cellStyle name="Accent6 24" xfId="995" xr:uid="{7240ED56-5F99-4BA0-BED4-25F430A1FB79}"/>
    <cellStyle name="Accent6 25" xfId="998" xr:uid="{CA11C2DF-1415-4F78-A9CB-7ABABB45D31B}"/>
    <cellStyle name="Accent6 26" xfId="1000" xr:uid="{9045B70E-81D5-40D1-8442-B18B3954E7BA}"/>
    <cellStyle name="Accent6 27" xfId="1002" xr:uid="{B4388060-981E-4EA6-8D9B-024AAF0913E2}"/>
    <cellStyle name="Accent6 28" xfId="1004" xr:uid="{38783E30-6281-4C66-A76B-3F02BDC2ED82}"/>
    <cellStyle name="Accent6 29" xfId="1012" xr:uid="{181D1E7A-9AD5-492D-A31B-CDBB3854C5F3}"/>
    <cellStyle name="Accent6 3" xfId="194" xr:uid="{364A1F39-79BC-4707-B0B2-98246374B213}"/>
    <cellStyle name="Accent6 4" xfId="195" xr:uid="{F726DB88-3E7D-4D89-8F0C-436E70B665A8}"/>
    <cellStyle name="Accent6 5" xfId="196" xr:uid="{A93F9D73-7A6F-4C19-AE6A-A39C26B0521B}"/>
    <cellStyle name="Accent6 6" xfId="197" xr:uid="{5C2F734E-FEB4-4C85-87BF-6221919504F9}"/>
    <cellStyle name="Accent6 7" xfId="198" xr:uid="{4C9A4B18-2346-48D0-AA0A-0CB9A0F1D246}"/>
    <cellStyle name="Accent6 8" xfId="199" xr:uid="{23884CA8-2D77-4B71-8FE9-0DC666B2D916}"/>
    <cellStyle name="Accent6 9" xfId="200" xr:uid="{731D8641-DCE9-462E-AB97-5193E5BB9511}"/>
    <cellStyle name="Actual Date" xfId="201" xr:uid="{76D3DC03-BD5B-4F80-AED1-9E4F6794C2E9}"/>
    <cellStyle name="Actual Date 2" xfId="925" xr:uid="{CA3A29AA-2AFE-42EE-BC8A-594352B16A9B}"/>
    <cellStyle name="ariel" xfId="202" xr:uid="{BADD9C51-F9D0-4C08-975B-AE6C129FDF6F}"/>
    <cellStyle name="Bad 2" xfId="203" xr:uid="{622FF03C-FC19-4930-A36F-4BF87F1A4DFB}"/>
    <cellStyle name="Bad 3" xfId="204" xr:uid="{FE02F723-BBB4-4A46-809A-49E80BBD308A}"/>
    <cellStyle name="Bad 4" xfId="205" xr:uid="{2DADDE3C-4874-4A4B-BB2C-A93832A9E661}"/>
    <cellStyle name="Calculation 2" xfId="206" xr:uid="{3966968A-DA7C-4EE1-BEFF-F6CE9A6F4A7F}"/>
    <cellStyle name="Calculation 3" xfId="207" xr:uid="{7A77FFEC-B2EC-4D00-9E5D-DB87DE811BE5}"/>
    <cellStyle name="Calculation 4" xfId="208" xr:uid="{C1849E2D-36BE-4575-B095-F7DDD2A12DE8}"/>
    <cellStyle name="Cents" xfId="926" xr:uid="{A0306C20-F86E-42CB-9C99-2212082B3E80}"/>
    <cellStyle name="Check Cell 2" xfId="209" xr:uid="{1E47E06D-1D55-405A-BBE5-15A73569D4FD}"/>
    <cellStyle name="Check Cell 3" xfId="210" xr:uid="{691AFA48-6D0D-42CB-B729-DDAE68454DC8}"/>
    <cellStyle name="Check Cell 4" xfId="211" xr:uid="{FC053DC1-DA63-462C-8B40-9AA0FD192957}"/>
    <cellStyle name="Comma" xfId="2" builtinId="3"/>
    <cellStyle name="Comma [0] 2" xfId="832" xr:uid="{1EB86752-6404-4DA5-BA20-B558BF619998}"/>
    <cellStyle name="Comma [0] 3" xfId="811" xr:uid="{580F5815-426E-4243-BBB5-B20D2E75C710}"/>
    <cellStyle name="Comma 10" xfId="5" xr:uid="{00000000-0005-0000-0000-000001000000}"/>
    <cellStyle name="Comma 10 2" xfId="644" xr:uid="{5CB789CA-1908-4646-98E4-6D1EA6B6A895}"/>
    <cellStyle name="Comma 10 3" xfId="15" xr:uid="{6DFACEAA-415F-45CB-8F07-15E5AAEEA7B1}"/>
    <cellStyle name="Comma 11" xfId="645" xr:uid="{905C2CFA-8798-4225-9D24-9E65AC79408D}"/>
    <cellStyle name="Comma 12" xfId="646" xr:uid="{22DE781E-9274-447A-BE40-E26037BF1CC5}"/>
    <cellStyle name="Comma 12 2" xfId="647" xr:uid="{DA705A53-BF08-4409-9DC6-B82918053F99}"/>
    <cellStyle name="Comma 13" xfId="814" xr:uid="{5C40A7BE-D50A-4B4B-B530-6A54E2980B63}"/>
    <cellStyle name="Comma 13 2" xfId="835" xr:uid="{881B4250-3B39-4E84-85D4-418AEFA2AF4B}"/>
    <cellStyle name="Comma 14" xfId="721" xr:uid="{0F2D8264-3A40-4CC9-A489-9CC8952CF1E0}"/>
    <cellStyle name="Comma 15" xfId="915" xr:uid="{171779AC-4FFE-42B4-8061-98E5212FB8A9}"/>
    <cellStyle name="Comma 16" xfId="44" xr:uid="{BC11BEE3-77CA-46C5-BC1A-65227B313208}"/>
    <cellStyle name="Comma 16 2" xfId="923" xr:uid="{832243DB-F258-4A75-B5AC-1937FC0BABCF}"/>
    <cellStyle name="Comma 17" xfId="918" xr:uid="{74D9C79F-E31E-497C-9E70-C0AB2967EF64}"/>
    <cellStyle name="Comma 18" xfId="953" xr:uid="{9640C3F6-8BDB-433A-AC93-BC9287AF6798}"/>
    <cellStyle name="Comma 185" xfId="41" xr:uid="{FF1A84F7-0494-4D21-B53D-EAAAD6AC5F25}"/>
    <cellStyle name="Comma 186" xfId="42" xr:uid="{C78978F6-13D0-46BB-8BA0-9C46CB9005C4}"/>
    <cellStyle name="Comma 19" xfId="986" xr:uid="{5B4D390D-9D7F-4C1D-9A19-C846583D9E8A}"/>
    <cellStyle name="Comma 2" xfId="18" xr:uid="{59EE0AE6-7367-42BB-A350-5FD9E4E9D0FF}"/>
    <cellStyle name="Comma 2 2" xfId="212" xr:uid="{E3DDE19F-F47F-4F40-8B97-D5917AC44D6D}"/>
    <cellStyle name="Comma 2 2 2" xfId="213" xr:uid="{6A627138-30B1-4A6F-B8B4-E8E5EF43B9BB}"/>
    <cellStyle name="Comma 2 2 3" xfId="798" xr:uid="{C98B6C2A-622D-4D81-8B58-274160F04DAF}"/>
    <cellStyle name="Comma 2 3" xfId="214" xr:uid="{BBACC5F8-809B-4058-B633-4977CD0B2760}"/>
    <cellStyle name="Comma 2 4" xfId="8" xr:uid="{00000000-0005-0000-0000-000002000000}"/>
    <cellStyle name="Comma 2 4 2" xfId="9" xr:uid="{00000000-0005-0000-0000-000003000000}"/>
    <cellStyle name="Comma 20" xfId="994" xr:uid="{D0C955DC-6B36-4D29-ADED-7691920201DA}"/>
    <cellStyle name="Comma 21" xfId="975" xr:uid="{A9201E57-7DB9-42E4-82C2-A217BA80EA44}"/>
    <cellStyle name="Comma 22" xfId="954" xr:uid="{2E74C6B2-D935-4C6C-9B60-E82F0CAF1003}"/>
    <cellStyle name="Comma 23" xfId="969" xr:uid="{57228664-8DFC-4915-8049-219ECC4DC9F9}"/>
    <cellStyle name="Comma 24" xfId="993" xr:uid="{63E5C52A-BA5E-403D-BCB8-E038CF754000}"/>
    <cellStyle name="Comma 25" xfId="1013" xr:uid="{6B899760-5935-46FA-B9C0-82B1AA57783B}"/>
    <cellStyle name="Comma 3" xfId="46" xr:uid="{AB17A1B6-1936-413F-B028-64357907A392}"/>
    <cellStyle name="Comma 3 2" xfId="216" xr:uid="{4AB32D97-6EDF-43FA-93E8-AFF9D0D032A4}"/>
    <cellStyle name="Comma 3 2 2" xfId="734" xr:uid="{F8BD2F14-A21A-41B1-9F4B-A4F29EFB6FCF}"/>
    <cellStyle name="Comma 3 2 2 2" xfId="826" xr:uid="{25203C60-7DCF-401C-9D14-79AEBEE23BBE}"/>
    <cellStyle name="Comma 3 2 3" xfId="767" xr:uid="{FDD4A832-6316-455B-A3DF-390679F98842}"/>
    <cellStyle name="Comma 3 2 4" xfId="805" xr:uid="{1DA60851-84E6-42E1-9809-3080E6DD48BB}"/>
    <cellStyle name="Comma 3 2 5" xfId="717" xr:uid="{E2C5E7EF-283C-4E57-BDE3-7AF70349CA25}"/>
    <cellStyle name="Comma 3 3" xfId="217" xr:uid="{F41B1AA2-D289-415E-9176-4C3D40DAC022}"/>
    <cellStyle name="Comma 3 3 2" xfId="821" xr:uid="{6E7F0979-7CED-47AC-AC6F-77A3BEF42DE6}"/>
    <cellStyle name="Comma 3 3 3" xfId="729" xr:uid="{F2B6D1EE-76CC-4975-A41C-112C40C22D5C}"/>
    <cellStyle name="Comma 3 4" xfId="739" xr:uid="{447C72EE-4EBB-450F-BADB-EA10EE5A2F9E}"/>
    <cellStyle name="Comma 3 5" xfId="30" xr:uid="{25E1B989-FAA4-41F0-AE3B-709DA40188A3}"/>
    <cellStyle name="Comma 3 6" xfId="215" xr:uid="{0F665233-C524-47C0-84FE-527C17E0C049}"/>
    <cellStyle name="Comma 4" xfId="218" xr:uid="{94156D09-FBA1-4B14-8BF5-2E5128EB051E}"/>
    <cellStyle name="Comma 4 2" xfId="219" xr:uid="{FD0B487A-FF54-4D2C-B2E5-D2282F321D77}"/>
    <cellStyle name="Comma 4 2 2" xfId="735" xr:uid="{05F80CAA-F3F1-4777-95F0-936952BFFAA8}"/>
    <cellStyle name="Comma 4 2 3" xfId="768" xr:uid="{6904F29B-2E3B-45F9-ADEC-5A412192E12C}"/>
    <cellStyle name="Comma 4 2 4" xfId="827" xr:uid="{AB9ABDCE-EEF8-4E0C-B902-9A5CAA8935F6}"/>
    <cellStyle name="Comma 4 3" xfId="730" xr:uid="{DCEAEDBF-E796-492D-BD69-ED788911C38D}"/>
    <cellStyle name="Comma 4 4" xfId="740" xr:uid="{154BBDC8-3CBC-4C7A-A78F-0B65EEB2E4A1}"/>
    <cellStyle name="Comma 4 5" xfId="806" xr:uid="{4EDAFBA5-2EAE-4F9B-A58C-D9225C3B55A9}"/>
    <cellStyle name="Comma 4 6" xfId="28" xr:uid="{B0C99944-D115-4811-8A54-DD0C1DAC322C}"/>
    <cellStyle name="Comma 5" xfId="220" xr:uid="{C8B2F628-032B-440C-9295-445D42B5B449}"/>
    <cellStyle name="Comma 5 2" xfId="221" xr:uid="{B7D6A126-63FA-41C4-BB0C-099936AC7CBE}"/>
    <cellStyle name="Comma 5 2 2" xfId="769" xr:uid="{920DFB9D-BAF4-4966-B622-5FF8BAAE213F}"/>
    <cellStyle name="Comma 5 2 3" xfId="830" xr:uid="{1E7A2966-23FB-4B4A-83E2-5D99B06AD2E0}"/>
    <cellStyle name="Comma 5 3" xfId="741" xr:uid="{4BEB3566-EDA2-4F49-884F-927B410358A3}"/>
    <cellStyle name="Comma 5 4" xfId="809" xr:uid="{B484E27C-D144-4509-9AED-0C6939F063B8}"/>
    <cellStyle name="Comma 6" xfId="222" xr:uid="{7782248C-0140-4192-80F5-B63B8BFE11E7}"/>
    <cellStyle name="Comma 6 2" xfId="223" xr:uid="{F6C167DB-E7AF-4F9A-956E-B130168C27A4}"/>
    <cellStyle name="Comma 6 2 2" xfId="770" xr:uid="{BB89C6B9-BF8F-4B71-87C1-E26CF419A923}"/>
    <cellStyle name="Comma 6 3" xfId="742" xr:uid="{FF8025B9-F592-4F2A-AB06-1D8EE4A36F44}"/>
    <cellStyle name="Comma 7" xfId="224" xr:uid="{6B89B74D-4B63-4AB4-A7E6-DBD6E7BD0BF4}"/>
    <cellStyle name="Comma 7 2" xfId="648" xr:uid="{EFB447FE-BD87-4100-977A-48D458440083}"/>
    <cellStyle name="Comma 7 3" xfId="649" xr:uid="{B0C75BD1-D708-432B-A704-D4F8DD56BE54}"/>
    <cellStyle name="Comma 8" xfId="225" xr:uid="{6E78CA4C-E2D5-493A-8A43-04AF80C9FF25}"/>
    <cellStyle name="Comma 8 2" xfId="650" xr:uid="{9131BE77-A934-416F-90F7-DD61A2F531CB}"/>
    <cellStyle name="Comma 8 2 2" xfId="833" xr:uid="{01334B48-7F6D-488D-AC61-8263BBEE3E3E}"/>
    <cellStyle name="Comma 8 3" xfId="869" xr:uid="{A291C895-360B-4623-ACD3-912DAFDF600A}"/>
    <cellStyle name="Comma 8 4" xfId="812" xr:uid="{9AF2F822-48C6-4DA5-AFF8-9495DC37F390}"/>
    <cellStyle name="Comma 9" xfId="651" xr:uid="{0DE10DE2-335C-4C27-AFFD-35E18E63FBFE}"/>
    <cellStyle name="Currency" xfId="1" builtinId="4"/>
    <cellStyle name="Currency 10" xfId="652" xr:uid="{7D61193C-6074-45D8-A801-B1AD59C3BFAC}"/>
    <cellStyle name="Currency 10 3" xfId="16" xr:uid="{88BBEF20-41C2-4A99-838E-F0AA65A53359}"/>
    <cellStyle name="Currency 11" xfId="653" xr:uid="{F28E7EB5-FA7A-4327-B7D6-7DFC003391CE}"/>
    <cellStyle name="Currency 12" xfId="31" xr:uid="{37B355B3-7A7A-4040-8599-79F6338D3E0E}"/>
    <cellStyle name="Currency 2" xfId="226" xr:uid="{2CBE11BE-93C5-4058-BCA8-AEF9BBD975D6}"/>
    <cellStyle name="Currency 2 2" xfId="227" xr:uid="{0C74A7C6-EC24-42AF-9AEA-47692053FBC7}"/>
    <cellStyle name="Currency 2 3" xfId="11" xr:uid="{00000000-0005-0000-0000-000005000000}"/>
    <cellStyle name="Currency 2 3 2" xfId="654" xr:uid="{2AC884B2-E621-4A85-A6BB-118F518D4376}"/>
    <cellStyle name="Currency 3" xfId="228" xr:uid="{5C4C3B17-FE46-4409-8F03-91142620D08B}"/>
    <cellStyle name="Currency 3 2" xfId="32" xr:uid="{C5158E42-88A0-4B10-8D9F-7E0FCF56FE3F}"/>
    <cellStyle name="Currency 4" xfId="48" xr:uid="{EC800D33-66FE-44C6-BF2C-61A26FD6A699}"/>
    <cellStyle name="Currency 5" xfId="655" xr:uid="{B4473DEA-9562-4508-8EA4-F051E709C03A}"/>
    <cellStyle name="Currency 6" xfId="656" xr:uid="{5790F068-9FD0-4DF2-BF93-B1C12677A209}"/>
    <cellStyle name="Currency 7" xfId="657" xr:uid="{DC3285DE-6321-4CB8-BCCA-A571EB3E9830}"/>
    <cellStyle name="Currency 8" xfId="658" xr:uid="{4D8D5D11-8AA1-404C-BC53-83893554ECC4}"/>
    <cellStyle name="Currency 9" xfId="659" xr:uid="{381F02D7-E7AE-4D8E-A89B-F4326C1B7293}"/>
    <cellStyle name="Currency.00" xfId="927" xr:uid="{2AA974FE-EB83-4A5A-B33D-2727C22835AA}"/>
    <cellStyle name="Date" xfId="229" xr:uid="{788F2CCC-E7C2-41A4-A18C-228F8B07B14F}"/>
    <cellStyle name="Decimal" xfId="928" xr:uid="{3CD147EC-4D6B-46CA-BF9E-A94D5CF20E5B}"/>
    <cellStyle name="Emphasis 1" xfId="230" xr:uid="{FB4A3B72-E63C-4DE0-94FB-673F2D657853}"/>
    <cellStyle name="Emphasis 2" xfId="231" xr:uid="{064ED31D-FF44-44D8-9B67-9F1B43A21AB3}"/>
    <cellStyle name="Emphasis 3" xfId="232" xr:uid="{53052932-4ADC-4FC3-95AE-C88429F6DB74}"/>
    <cellStyle name="Explanatory Text 2" xfId="233" xr:uid="{01D97D4C-43AC-4354-95A5-8B0B3FB559C6}"/>
    <cellStyle name="Explanatory Text 3" xfId="234" xr:uid="{AE7B224B-8160-4011-85AE-952CC8690FDB}"/>
    <cellStyle name="Fixed" xfId="235" xr:uid="{20AF1AEC-07D9-40A0-8E8F-06935012C102}"/>
    <cellStyle name="Fixed 2" xfId="929" xr:uid="{BC52FA5B-3087-4BE2-BDC7-3126EDAB2756}"/>
    <cellStyle name="Fixed 3" xfId="930" xr:uid="{46B18097-86AE-47D0-8DF8-90A06531C540}"/>
    <cellStyle name="Floating" xfId="931" xr:uid="{4D21364D-0BF1-4FC7-B51D-C9FAEFD438BF}"/>
    <cellStyle name="Good 2" xfId="236" xr:uid="{B7514EDC-F385-4A08-9C97-349BB0261457}"/>
    <cellStyle name="Good 3" xfId="237" xr:uid="{F881B3A8-2874-464C-BAE3-7039D17304C3}"/>
    <cellStyle name="Good 4" xfId="238" xr:uid="{73F9594C-F7FA-4BC4-8EB8-8D4B82733570}"/>
    <cellStyle name="Grey" xfId="239" xr:uid="{9BEE87F1-D7D5-4833-936A-3D259632D873}"/>
    <cellStyle name="Grey 2" xfId="932" xr:uid="{59BADB03-254C-43C5-A8D8-2B6F02F21EF5}"/>
    <cellStyle name="HEADER" xfId="240" xr:uid="{22C3FA11-307B-4591-8418-A4F4EEE118DA}"/>
    <cellStyle name="Heading 1 2" xfId="241" xr:uid="{593C2721-04A4-48C4-952F-5B04B09740AF}"/>
    <cellStyle name="Heading 1 3" xfId="242" xr:uid="{09167DC7-E8DD-4661-B045-8C51323C2B74}"/>
    <cellStyle name="Heading 1 4" xfId="243" xr:uid="{08DAF4F7-F940-4F9E-A478-328D1EA6DFA7}"/>
    <cellStyle name="Heading 2 2" xfId="244" xr:uid="{FAB2A0A5-7F7E-4AC5-877A-C0309B6788E5}"/>
    <cellStyle name="Heading 2 3" xfId="245" xr:uid="{0C4DB8AC-7578-4199-8E07-D7383FFB256B}"/>
    <cellStyle name="Heading 2 4" xfId="246" xr:uid="{180B5355-90EB-40CB-9EF5-6A24701B95EB}"/>
    <cellStyle name="Heading 3 2" xfId="247" xr:uid="{CFCD04C5-7D33-48C7-8539-8B4BEAD30C2F}"/>
    <cellStyle name="Heading 3 3" xfId="248" xr:uid="{3A750353-9240-41DB-8503-AF81A7F5B9F9}"/>
    <cellStyle name="Heading 3 4" xfId="249" xr:uid="{B847D554-A5EC-4C9E-9DD5-0AB03F83A5B4}"/>
    <cellStyle name="Heading 4 2" xfId="250" xr:uid="{2B8FE923-1F80-4FF9-8166-2CE6CDB2AD46}"/>
    <cellStyle name="Heading 4 3" xfId="251" xr:uid="{73137700-4E03-4BC1-81C6-3D8954692EAD}"/>
    <cellStyle name="Heading 4 4" xfId="252" xr:uid="{01FCBA50-00BB-4CCA-80CA-5C1D0F78AC4F}"/>
    <cellStyle name="Heading1" xfId="253" xr:uid="{5BC1DF9E-2A4F-4320-8257-AB8C3FEA8F55}"/>
    <cellStyle name="Heading1 2" xfId="933" xr:uid="{6AAEFC12-9A91-4A1A-8416-971E42F56C70}"/>
    <cellStyle name="Heading1 3" xfId="934" xr:uid="{B24DF9D8-64A7-44A4-A620-7A922E17C588}"/>
    <cellStyle name="Heading2" xfId="254" xr:uid="{64DB2033-06AC-4FC2-BB9C-A051EF1B21F2}"/>
    <cellStyle name="Heading2 2" xfId="935" xr:uid="{465F091F-8A5F-4665-ACD4-4D4BB82DEFAC}"/>
    <cellStyle name="Heading2 3" xfId="936" xr:uid="{CBE6A523-B6FE-4429-95B8-B458431D0CCA}"/>
    <cellStyle name="HIGHLIGHT" xfId="255" xr:uid="{E842CD3E-74FF-42E4-A251-08F01901A1D3}"/>
    <cellStyle name="Hyperlink 2" xfId="256" xr:uid="{B1EBEBBE-A1A7-48E3-A9E0-C01A77DD464F}"/>
    <cellStyle name="Hyperlink 3" xfId="257" xr:uid="{E190CCB3-3223-4FC5-B3D0-DB601423AF29}"/>
    <cellStyle name="Hyperlink 4" xfId="258" xr:uid="{AE3EE650-9F18-437F-A380-4C2D5C195DEA}"/>
    <cellStyle name="Hyperlink 4 2" xfId="660" xr:uid="{B4EB69F5-A3AC-4345-9CCC-3BBD003EE08D}"/>
    <cellStyle name="Hyperlink 5" xfId="661" xr:uid="{6BA8AD5C-CA32-4173-BB51-F36F13897CD9}"/>
    <cellStyle name="Hyperlink 5 2" xfId="860" xr:uid="{FE7CFEB1-6CDD-4CBB-80FB-BEA0832F80ED}"/>
    <cellStyle name="Input [yellow]" xfId="259" xr:uid="{A6C320E7-0276-4FEA-8236-60A92026EEAC}"/>
    <cellStyle name="Input [yellow] 2" xfId="937" xr:uid="{D3153AF8-5890-40BE-B434-8AFA0448BC7B}"/>
    <cellStyle name="Input 10" xfId="960" xr:uid="{BD776FB7-2488-4BE6-8431-ADC7DCF51D0C}"/>
    <cellStyle name="Input 11" xfId="968" xr:uid="{E5D63BBB-020D-40D9-9A52-EF49B497F4D7}"/>
    <cellStyle name="Input 12" xfId="961" xr:uid="{9C810371-128D-4C58-9507-80E5C2D02478}"/>
    <cellStyle name="Input 13" xfId="966" xr:uid="{F994006F-81B7-40A1-BE7E-5BA5031B2893}"/>
    <cellStyle name="Input 14" xfId="979" xr:uid="{48972484-B41C-406B-A1B2-60916BE4774E}"/>
    <cellStyle name="Input 15" xfId="981" xr:uid="{37B941CD-5E4F-4781-BF3C-B1D3BA994AC0}"/>
    <cellStyle name="Input 16" xfId="980" xr:uid="{C0963389-221B-428C-BD05-8FEEF2640FD7}"/>
    <cellStyle name="Input 17" xfId="1014" xr:uid="{BB8CD604-6AE7-4679-AF1E-D37C80EF87E4}"/>
    <cellStyle name="Input 2" xfId="260" xr:uid="{0317899C-1F76-4A00-9CC2-17891DDE35CA}"/>
    <cellStyle name="Input 3" xfId="261" xr:uid="{2D3EB460-318C-434D-8B48-CBE516AE8A45}"/>
    <cellStyle name="Input 4" xfId="262" xr:uid="{011F8133-1E0F-4EE4-ADB2-D99D3161397F}"/>
    <cellStyle name="Input 5" xfId="702" xr:uid="{3B06537E-E3AE-467A-9C5A-AC7C53306350}"/>
    <cellStyle name="Input 6" xfId="710" xr:uid="{AB4E8BE2-966E-4667-926F-88B3B23957FE}"/>
    <cellStyle name="Input 7" xfId="694" xr:uid="{12A0C167-9597-4094-B306-A5F139AAB5BF}"/>
    <cellStyle name="Input 8" xfId="917" xr:uid="{A1910CA7-CFD4-4A2B-BB02-E0404A2EA6CD}"/>
    <cellStyle name="Input 9" xfId="924" xr:uid="{8CF94C8E-66A3-4A54-A624-58B6FD6D2C64}"/>
    <cellStyle name="Linked Cell 2" xfId="263" xr:uid="{1D03752C-AAC2-4A27-9949-58E48529A06E}"/>
    <cellStyle name="Linked Cell 3" xfId="264" xr:uid="{D4FFBB5A-406D-4BCA-B9C1-30D7F95727B7}"/>
    <cellStyle name="Linked Cell 4" xfId="265" xr:uid="{FC7E2BE1-41DB-43BA-B774-21707263E0A0}"/>
    <cellStyle name="Neutral 2" xfId="266" xr:uid="{1E10A976-21E3-4082-87E5-5CE34A0C0B38}"/>
    <cellStyle name="Neutral 3" xfId="267" xr:uid="{E158F4E2-F2DC-4C6C-A3BE-40FBA78387C8}"/>
    <cellStyle name="Neutral 4" xfId="268" xr:uid="{C5247B2E-D4B3-4B1F-86BC-043FB51DEFEF}"/>
    <cellStyle name="no dec" xfId="269" xr:uid="{C0D4B36F-F8A3-4068-9912-14ECE643E24C}"/>
    <cellStyle name="no dec 2" xfId="270" xr:uid="{42CEA066-2989-4996-80B5-6E2F2B169AFE}"/>
    <cellStyle name="no dec 2 2" xfId="271" xr:uid="{83A9C428-66E8-44FA-99B8-D08981647DA2}"/>
    <cellStyle name="no dec 3" xfId="272" xr:uid="{DC5EDA57-DFFF-4B0E-96C1-64F9D145D44E}"/>
    <cellStyle name="no dec 3 2" xfId="273" xr:uid="{F81FAAD6-5B96-4644-B807-C0D60037786A}"/>
    <cellStyle name="Normal" xfId="0" builtinId="0"/>
    <cellStyle name="Normal - Style1" xfId="274" xr:uid="{0904FACB-8BD7-4425-B428-B27691FBDC7C}"/>
    <cellStyle name="Normal - Style1 24" xfId="7" xr:uid="{00000000-0005-0000-0000-000004000000}"/>
    <cellStyle name="Normal 10" xfId="4" xr:uid="{00000000-0005-0000-0000-000005000000}"/>
    <cellStyle name="Normal 10 10" xfId="854" xr:uid="{E955D1B8-66CF-47B8-AA02-E650C4E6BC77}"/>
    <cellStyle name="Normal 10 11" xfId="859" xr:uid="{93BE1852-0B75-4A36-AC07-B156D24297A0}"/>
    <cellStyle name="Normal 10 12" xfId="871" xr:uid="{9BC5306A-47E6-430B-8076-6DE9FB3F78EE}"/>
    <cellStyle name="Normal 10 13" xfId="875" xr:uid="{2F3138DF-6CB0-4801-87BD-1D1B9E2A79DA}"/>
    <cellStyle name="Normal 10 14" xfId="879" xr:uid="{5192ABB5-66E8-4101-8D61-D6399670DC34}"/>
    <cellStyle name="Normal 10 15" xfId="883" xr:uid="{F6274A2E-71C2-423F-B2FC-2DCFAD5CF5E1}"/>
    <cellStyle name="Normal 10 16" xfId="887" xr:uid="{EDCDC52B-B438-41FC-8DA1-6B654CDCCA41}"/>
    <cellStyle name="Normal 10 17" xfId="891" xr:uid="{D2FA0B9D-4B46-4547-BD59-BD79D4A928B1}"/>
    <cellStyle name="Normal 10 18" xfId="895" xr:uid="{1D525FBD-1681-4B97-9623-069A728C9EA3}"/>
    <cellStyle name="Normal 10 19" xfId="899" xr:uid="{574E28B7-7D95-4545-89E9-39B6CF31223C}"/>
    <cellStyle name="Normal 10 2" xfId="276" xr:uid="{79F30DBD-EC62-458C-A4AB-025D4B7A3790}"/>
    <cellStyle name="Normal 10 2 10" xfId="872" xr:uid="{20FD3397-0D5F-4CF3-86AD-A4D3F9DA3178}"/>
    <cellStyle name="Normal 10 2 11" xfId="876" xr:uid="{286DEBAC-8167-4127-9B12-3CD69BDC3BD0}"/>
    <cellStyle name="Normal 10 2 12" xfId="880" xr:uid="{AA214F9A-EA5F-4183-96AA-3625D6DA0C7F}"/>
    <cellStyle name="Normal 10 2 13" xfId="884" xr:uid="{11D9191D-BFE8-47DA-BC5F-BCE109A889F8}"/>
    <cellStyle name="Normal 10 2 14" xfId="888" xr:uid="{C0D4862E-ECA1-4068-8A1C-39E5D037E102}"/>
    <cellStyle name="Normal 10 2 15" xfId="892" xr:uid="{F9E34338-3E1C-4DE6-804B-44D74A5AFD12}"/>
    <cellStyle name="Normal 10 2 16" xfId="896" xr:uid="{0CCFEF1A-F50F-499E-BD66-CF7070097A61}"/>
    <cellStyle name="Normal 10 2 17" xfId="900" xr:uid="{A7DEEB10-B05A-49A5-BCD3-61A2E87EE6CE}"/>
    <cellStyle name="Normal 10 2 18" xfId="904" xr:uid="{17DE29B0-64DE-40B4-A19D-A4AB540583E7}"/>
    <cellStyle name="Normal 10 2 2" xfId="277" xr:uid="{31CABED1-1295-4951-A904-96324A8CB888}"/>
    <cellStyle name="Normal 10 2 2 10" xfId="878" xr:uid="{2CA80DB1-F91C-4B0F-916D-09A457A5ADD1}"/>
    <cellStyle name="Normal 10 2 2 11" xfId="882" xr:uid="{C6F1AC6B-5A4D-4FA4-AA14-4FC964C513CC}"/>
    <cellStyle name="Normal 10 2 2 12" xfId="886" xr:uid="{9FFC5AED-0F6D-49F2-997C-60D5C724C5A7}"/>
    <cellStyle name="Normal 10 2 2 13" xfId="890" xr:uid="{A8435C40-1A7E-4B98-AA18-BBC2FD880FC7}"/>
    <cellStyle name="Normal 10 2 2 14" xfId="894" xr:uid="{286BA79F-2D2D-4A59-8453-942DFA790B53}"/>
    <cellStyle name="Normal 10 2 2 15" xfId="898" xr:uid="{4CD819A0-080C-4CDE-8BE4-408AE402CE18}"/>
    <cellStyle name="Normal 10 2 2 16" xfId="902" xr:uid="{8B8E7300-4F0F-4539-A9C3-7EDA565299C4}"/>
    <cellStyle name="Normal 10 2 2 17" xfId="906" xr:uid="{FDBB5116-1BAB-4236-A1CC-DC9FF774FD63}"/>
    <cellStyle name="Normal 10 2 2 2" xfId="795" xr:uid="{02029CA8-44D5-4E20-9C9B-33002B486B29}"/>
    <cellStyle name="Normal 10 2 2 3" xfId="841" xr:uid="{873A3B78-E328-4D2D-8CEC-20BD9743572D}"/>
    <cellStyle name="Normal 10 2 2 4" xfId="845" xr:uid="{899FBC4B-01CC-475F-84D8-4BAD1C0A6E61}"/>
    <cellStyle name="Normal 10 2 2 5" xfId="849" xr:uid="{150DB8C0-EDB4-4FB9-A265-CB5390FF15A8}"/>
    <cellStyle name="Normal 10 2 2 6" xfId="853" xr:uid="{4D1E6507-2541-408D-AA9D-231A4ADEA110}"/>
    <cellStyle name="Normal 10 2 2 7" xfId="857" xr:uid="{0CAF34DF-64C0-49DE-BAB5-E4C2A57D0822}"/>
    <cellStyle name="Normal 10 2 2 8" xfId="867" xr:uid="{8C89BB72-8515-4BD3-93CC-64DD0E847EC2}"/>
    <cellStyle name="Normal 10 2 2 9" xfId="874" xr:uid="{01C7A87F-9351-45DB-A1F1-F054EBD10A12}"/>
    <cellStyle name="Normal 10 2 3" xfId="766" xr:uid="{8C033B4C-B70C-42D3-A0AD-C1805493823D}"/>
    <cellStyle name="Normal 10 2 4" xfId="839" xr:uid="{7F881B75-FD8A-49DA-BF35-639D94ABB57E}"/>
    <cellStyle name="Normal 10 2 5" xfId="843" xr:uid="{86165E81-52F1-497B-86C7-41AF6B255127}"/>
    <cellStyle name="Normal 10 2 6" xfId="847" xr:uid="{DC0C07E2-09DB-427C-A583-1ACFBAA37CA2}"/>
    <cellStyle name="Normal 10 2 7" xfId="851" xr:uid="{FBDFF6DA-621B-4470-81B7-9213147CB485}"/>
    <cellStyle name="Normal 10 2 8" xfId="855" xr:uid="{8AB30C64-2373-4321-BC32-09B50CB841A3}"/>
    <cellStyle name="Normal 10 2 9" xfId="864" xr:uid="{9F87AB92-9FE0-4683-9A58-A182C58850D6}"/>
    <cellStyle name="Normal 10 20" xfId="903" xr:uid="{7499EE28-AF5E-4434-AC10-A4F3E6067782}"/>
    <cellStyle name="Normal 10 21" xfId="275" xr:uid="{9AE1A408-A9B1-4058-A816-E6C163B99CAF}"/>
    <cellStyle name="Normal 10 3" xfId="278" xr:uid="{59DB3F6F-71C6-408E-B7A7-77ED1D5D806A}"/>
    <cellStyle name="Normal 10 3 10" xfId="877" xr:uid="{0E852130-0447-43CB-A4DF-2DEEE539389F}"/>
    <cellStyle name="Normal 10 3 11" xfId="881" xr:uid="{9B9EFFA2-546D-451B-9C32-750809023986}"/>
    <cellStyle name="Normal 10 3 12" xfId="885" xr:uid="{73830430-5B61-4002-807D-1F50888E8DAE}"/>
    <cellStyle name="Normal 10 3 13" xfId="889" xr:uid="{C9CE1D8B-8FD6-4024-B0CD-A3552FAC2E58}"/>
    <cellStyle name="Normal 10 3 14" xfId="893" xr:uid="{B1A7C4EF-E94E-48F5-8382-62ABB238708A}"/>
    <cellStyle name="Normal 10 3 15" xfId="897" xr:uid="{2C181151-AD02-4E4A-A995-4E8932DB4D2D}"/>
    <cellStyle name="Normal 10 3 16" xfId="901" xr:uid="{00A62D57-AB74-44CE-8CC2-75C082773DF9}"/>
    <cellStyle name="Normal 10 3 17" xfId="905" xr:uid="{D7348151-9314-41F3-9E4E-C3B8C4B7CCEE}"/>
    <cellStyle name="Normal 10 3 2" xfId="771" xr:uid="{26EDA639-15C7-46E8-9F08-133E6294545E}"/>
    <cellStyle name="Normal 10 3 3" xfId="840" xr:uid="{5E5B1E26-6232-4D87-91C2-A79A0155C542}"/>
    <cellStyle name="Normal 10 3 4" xfId="844" xr:uid="{AFE580B4-1C17-4E7C-8077-C4E8ED5E0180}"/>
    <cellStyle name="Normal 10 3 5" xfId="848" xr:uid="{0058FFC1-0DAE-43A8-A07D-8A4B3CD72B16}"/>
    <cellStyle name="Normal 10 3 6" xfId="852" xr:uid="{9AE811BF-A171-4398-84A7-7B266EAA24BB}"/>
    <cellStyle name="Normal 10 3 7" xfId="856" xr:uid="{083C4EFC-8D83-4883-9D66-4C502546FDC8}"/>
    <cellStyle name="Normal 10 3 8" xfId="866" xr:uid="{BEEBE35F-BD6D-4BB2-9059-C11343BF2781}"/>
    <cellStyle name="Normal 10 3 9" xfId="873" xr:uid="{A6999A51-74E1-49C6-9459-9ADD64703F29}"/>
    <cellStyle name="Normal 10 4" xfId="715" xr:uid="{C24D351D-FB87-4744-8B41-1609589FF6E1}"/>
    <cellStyle name="Normal 10 5" xfId="743" xr:uid="{3AB25A97-8A42-416F-A688-F5368FA3D999}"/>
    <cellStyle name="Normal 10 6" xfId="838" xr:uid="{20BDEDAF-C488-403B-9B9A-CE021BD85A8D}"/>
    <cellStyle name="Normal 10 7" xfId="842" xr:uid="{6C425F50-0CF5-438D-8FA9-A2AF2EC7F915}"/>
    <cellStyle name="Normal 10 8" xfId="846" xr:uid="{23C365FD-99C1-41CD-9F18-487BB796415D}"/>
    <cellStyle name="Normal 10 9" xfId="850" xr:uid="{A51AF143-E8DB-4FC9-BB35-D827C19F1D40}"/>
    <cellStyle name="Normal 11" xfId="279" xr:uid="{59184DDA-51D6-4546-955A-9BEA6D5D4529}"/>
    <cellStyle name="Normal 11 2" xfId="662" xr:uid="{ABCC752C-44BA-4270-8C99-1E57BCD20B10}"/>
    <cellStyle name="Normal 11 3" xfId="836" xr:uid="{82ECF7BB-F81A-4C68-B854-76FBF32AC989}"/>
    <cellStyle name="Normal 11 4" xfId="29" xr:uid="{3072ED36-E42C-495A-99E2-4269739BD1A0}"/>
    <cellStyle name="Normal 12" xfId="663" xr:uid="{D311B6E4-BCC4-4F1D-9437-7FCBDC51216D}"/>
    <cellStyle name="Normal 12 2" xfId="664" xr:uid="{9CD9EEBB-A034-4712-B3E1-9FA5C18D89A3}"/>
    <cellStyle name="Normal 12 3" xfId="665" xr:uid="{82CEF2B4-071D-4307-AFDF-FFF1572742FA}"/>
    <cellStyle name="Normal 13" xfId="666" xr:uid="{2983D6A7-4667-4941-A70D-DAF8DDF865B7}"/>
    <cellStyle name="Normal 13 2" xfId="1016" xr:uid="{7953E220-76FF-4187-8349-14A95F6A73C8}"/>
    <cellStyle name="Normal 14" xfId="667" xr:uid="{0A510403-1AA5-4240-8752-96815BA8CB69}"/>
    <cellStyle name="Normal 14 2" xfId="668" xr:uid="{8958A199-4658-470E-BEC0-FBD32575CEC7}"/>
    <cellStyle name="Normal 14 3" xfId="669" xr:uid="{7388454F-FCED-4456-A2D0-7692680CFCE0}"/>
    <cellStyle name="Normal 15" xfId="670" xr:uid="{E94DD9F8-D1F3-4590-ABAD-85D580F76443}"/>
    <cellStyle name="Normal 15 2" xfId="671" xr:uid="{2D6FCCD7-A73A-408E-B6D8-09DBA6FE2DF4}"/>
    <cellStyle name="Normal 16" xfId="692" xr:uid="{B3060706-F048-40F9-8732-F30C18CB8E78}"/>
    <cellStyle name="Normal 16 2" xfId="43" xr:uid="{421D5315-636C-4EFC-A185-5793EF40E6EB}"/>
    <cellStyle name="Normal 16 2 2" xfId="1017" xr:uid="{E7C992AC-EBF9-41E8-9C9A-6B76BCA8A687}"/>
    <cellStyle name="Normal 17" xfId="714" xr:uid="{C76FFB0A-C35F-4866-BCF4-85D7816BD4C0}"/>
    <cellStyle name="Normal 17 2" xfId="1018" xr:uid="{96708B38-AF6F-419B-91BD-E46CE602DBA3}"/>
    <cellStyle name="Normal 18" xfId="703" xr:uid="{66C37D96-70AD-4C86-832F-5253B9B28C9D}"/>
    <cellStyle name="Normal 18 2" xfId="1019" xr:uid="{D1D5CA82-C406-4F9E-8A61-4C72012A0267}"/>
    <cellStyle name="Normal 19" xfId="911" xr:uid="{D9FE46B2-B229-488C-A620-548D0BD298F0}"/>
    <cellStyle name="Normal 2" xfId="14" xr:uid="{B4021375-3242-413A-8AD1-0226076E34B6}"/>
    <cellStyle name="Normal 2 10" xfId="19" xr:uid="{E0053C3C-666F-4E6A-A656-30760B9B3784}"/>
    <cellStyle name="Normal 2 2" xfId="17" xr:uid="{D3CEBCFC-C736-44AF-95CE-686FFEDF945B}"/>
    <cellStyle name="Normal 2 2 2" xfId="280" xr:uid="{B2CF3DF3-4B05-41ED-A960-CBD0B229C71F}"/>
    <cellStyle name="Normal 2 2 3" xfId="738" xr:uid="{8D142957-F95A-47C0-8C18-9AEF98A12B9B}"/>
    <cellStyle name="Normal 2 2 4" xfId="799" xr:uid="{23A9C0A7-272A-47DA-8176-4680BE296062}"/>
    <cellStyle name="Normal 2 3" xfId="281" xr:uid="{88DAB757-7835-403B-8299-FF84224864E6}"/>
    <cellStyle name="Normal 2 3 2" xfId="727" xr:uid="{B7D8703E-1EB3-47CC-A48F-978D3A6C9FCF}"/>
    <cellStyle name="Normal 2 3 3" xfId="725" xr:uid="{79B9B42A-4165-44C3-8529-416EB73DF229}"/>
    <cellStyle name="Normal 2 4" xfId="732" xr:uid="{773F5197-96E7-4DFB-8F49-2BD6169BEC7C}"/>
    <cellStyle name="Normal 2 5" xfId="737" xr:uid="{38C3CD63-8C31-4B00-926C-EC6B0C0B5BDB}"/>
    <cellStyle name="Normal 2 6" xfId="39" xr:uid="{BBB9A101-13E3-4D91-9BE4-C51094994AC4}"/>
    <cellStyle name="Normal 2_SCG TIMP_DIMP_04122012" xfId="282" xr:uid="{FE6F6B21-3517-4023-8046-3DC3C70E7DFD}"/>
    <cellStyle name="Normal 20" xfId="908" xr:uid="{9B2DFF06-6DBC-4804-9333-BBCF3D714C6E}"/>
    <cellStyle name="Normal 205" xfId="40" xr:uid="{D060A4E6-9DCF-4093-8855-E88571AAFA74}"/>
    <cellStyle name="Normal 21" xfId="36" xr:uid="{FC054F1F-EF34-4B00-A744-7DAFB1CDE8B5}"/>
    <cellStyle name="Normal 21 2" xfId="1020" xr:uid="{55EC7D99-F5DA-43EC-ACFA-1B6DFC5102B3}"/>
    <cellStyle name="Normal 22" xfId="976" xr:uid="{68AB1B56-596E-445C-9197-B3DB637FAB95}"/>
    <cellStyle name="Normal 22 2" xfId="1021" xr:uid="{5D9756F8-65DB-4BA8-9A2E-7AD34B767396}"/>
    <cellStyle name="Normal 23" xfId="952" xr:uid="{DEEAA65F-66B1-4E99-BEE1-77F0C95462F3}"/>
    <cellStyle name="Normal 23 2" xfId="1022" xr:uid="{B6E46856-0FA6-4502-8A0F-501CCF9F1FC5}"/>
    <cellStyle name="Normal 24" xfId="970" xr:uid="{42564A19-84A2-49BE-AC0E-3B87FF6E7E29}"/>
    <cellStyle name="Normal 25" xfId="992" xr:uid="{1FF1E160-2B19-46A0-8966-84309C30DD0F}"/>
    <cellStyle name="Normal 26" xfId="990" xr:uid="{998C2AC3-C0A6-494E-A042-771D1369DDB4}"/>
    <cellStyle name="Normal 27" xfId="955" xr:uid="{175CA9B2-16C1-48F6-AEF8-BCF5462FB50D}"/>
    <cellStyle name="Normal 28" xfId="1006" xr:uid="{AA40D3B8-40E1-4AFC-B56C-AAC4116C65ED}"/>
    <cellStyle name="Normal 29" xfId="1023" xr:uid="{78107D42-4283-4A33-BE42-F61B70E70A3A}"/>
    <cellStyle name="Normal 3" xfId="6" xr:uid="{00000000-0005-0000-0000-000006000000}"/>
    <cellStyle name="Normal 3 10" xfId="1036" xr:uid="{9EDAA46B-8B42-4BF7-9E78-7F3F75A7AE0A}"/>
    <cellStyle name="Normal 3 2" xfId="283" xr:uid="{DC5136A1-02D7-4C8E-A314-AC2BE87E951F}"/>
    <cellStyle name="Normal 3 2 2" xfId="284" xr:uid="{8F61C543-9FB8-478A-8B39-28D8E11E4B3B}"/>
    <cellStyle name="Normal 3 2 2 2" xfId="819" xr:uid="{849C769B-0B87-4EE7-9C42-A46BD99E401D}"/>
    <cellStyle name="Normal 3 2 2 3" xfId="803" xr:uid="{25172984-6ED3-401A-B607-40F1CF265C05}"/>
    <cellStyle name="Normal 3 2 3" xfId="772" xr:uid="{52E49C31-C8CA-46E0-8DEB-4B3029B44659}"/>
    <cellStyle name="Normal 3 2 3 2" xfId="816" xr:uid="{6BEDC531-B67C-4D76-BC85-E0FD71A86CB1}"/>
    <cellStyle name="Normal 3 2 4" xfId="800" xr:uid="{F4624900-F471-4FED-AC62-573B5FED65FB}"/>
    <cellStyle name="Normal 3 2 5" xfId="719" xr:uid="{0853A5AB-F5FC-4366-879F-E799C9E4A435}"/>
    <cellStyle name="Normal 3 3" xfId="285" xr:uid="{EF098AD2-211A-452D-A659-F792C0F5F2EF}"/>
    <cellStyle name="Normal 3 3 2" xfId="286" xr:uid="{62BDDF21-0B04-4C8E-A373-B9956A36BB93}"/>
    <cellStyle name="Normal 3 3 2 2" xfId="820" xr:uid="{5C6E09EC-3BA2-4F6E-9012-3F0B8FD63F70}"/>
    <cellStyle name="Normal 3 3 3" xfId="817" xr:uid="{760C1D24-676C-40DA-8752-1BC5F33E50F5}"/>
    <cellStyle name="Normal 3 3 4" xfId="801" xr:uid="{568EC190-7764-44EA-B9C3-D3BCC1E6D253}"/>
    <cellStyle name="Normal 3 4" xfId="12" xr:uid="{00000000-0005-0000-0000-000008000000}"/>
    <cellStyle name="Normal 3 4 2" xfId="818" xr:uid="{BDAABA9D-7038-497C-9FEC-BEFDFD59A70D}"/>
    <cellStyle name="Normal 3 4 3" xfId="802" xr:uid="{FA9540BF-F049-4C16-A7B8-E9BA54A995EA}"/>
    <cellStyle name="Normal 3 4 4" xfId="744" xr:uid="{F0F68EEF-1497-440B-93B6-8243D5F6ABF8}"/>
    <cellStyle name="Normal 3 4 5" xfId="287" xr:uid="{85D7C6D6-6A25-4878-87BD-D086B7E03AD7}"/>
    <cellStyle name="Normal 3 5" xfId="288" xr:uid="{66378F70-65CA-4D0F-ACF4-76947C7C6287}"/>
    <cellStyle name="Normal 3 5 2" xfId="822" xr:uid="{70878D05-0A1F-4EDE-8658-88BA3C27A9A0}"/>
    <cellStyle name="Normal 3 6" xfId="289" xr:uid="{C216E57C-AF0E-4968-86B0-B5A9CDB5360C}"/>
    <cellStyle name="Normal 3 6 2" xfId="825" xr:uid="{C7F0A9C7-4711-4ED8-9DC0-C3299A823BE9}"/>
    <cellStyle name="Normal 3 7" xfId="38" xr:uid="{F8792946-20C9-47CE-AEB3-48B938639BC5}"/>
    <cellStyle name="Normal 3 7 2" xfId="815" xr:uid="{6C7AF07E-B753-4A02-A365-9353686A192F}"/>
    <cellStyle name="Normal 3 8" xfId="796" xr:uid="{32FCD788-7452-42BF-BBC1-488183170ED4}"/>
    <cellStyle name="Normal 30" xfId="1024" xr:uid="{925C3A74-3392-4AE6-8549-7D06748F9B94}"/>
    <cellStyle name="Normal 31" xfId="1025" xr:uid="{2ACB458D-7A2E-4097-99BE-34F69C703A71}"/>
    <cellStyle name="Normal 32" xfId="1026" xr:uid="{C326CBC2-EE79-4860-BCB6-72CDC49217CB}"/>
    <cellStyle name="Normal 33" xfId="1027" xr:uid="{0389F0CB-0A6E-4B30-9C13-3617843EA7BE}"/>
    <cellStyle name="Normal 34" xfId="1028" xr:uid="{F867EFE8-594E-473F-8F4D-8224A0950AF2}"/>
    <cellStyle name="Normal 35" xfId="1029" xr:uid="{BF9DC3FA-7F6C-4758-802C-B4115B7D9F45}"/>
    <cellStyle name="Normal 36" xfId="1030" xr:uid="{3AB6767B-6551-4EFD-BA13-322079A4635D}"/>
    <cellStyle name="Normal 37" xfId="1031" xr:uid="{32D54FAB-D25B-422B-BDE7-6C8E943AA386}"/>
    <cellStyle name="Normal 38" xfId="1032" xr:uid="{71C4953C-5C66-40C0-A5D9-A06CBEA2F53B}"/>
    <cellStyle name="Normal 39" xfId="1034" xr:uid="{F73616D0-615B-4408-87D7-C80E028D1F76}"/>
    <cellStyle name="Normal 4" xfId="290" xr:uid="{AF005F65-4859-42EA-B4E5-48B5B12629AA}"/>
    <cellStyle name="Normal 4 2" xfId="291" xr:uid="{2D39246C-B4AF-42D3-861A-94450595C333}"/>
    <cellStyle name="Normal 4 2 2" xfId="736" xr:uid="{51D13B09-95C0-4B39-B837-E0D0BE9FF746}"/>
    <cellStyle name="Normal 4 2 2 2" xfId="834" xr:uid="{372EFAA5-E51E-4CFA-A491-A39236EDAD18}"/>
    <cellStyle name="Normal 4 2 3" xfId="773" xr:uid="{7D3391DE-DD35-4ADF-819F-7992AAF066A4}"/>
    <cellStyle name="Normal 4 2 4" xfId="813" xr:uid="{E8BBC9EF-CF1B-4674-9F18-CE76088FA6FA}"/>
    <cellStyle name="Normal 4 3" xfId="731" xr:uid="{6E37B747-CA41-41AA-8335-B11674809A93}"/>
    <cellStyle name="Normal 4 3 2" xfId="828" xr:uid="{5F5D4E5F-63C0-4118-99F0-63A94EA80C89}"/>
    <cellStyle name="Normal 4 4" xfId="745" xr:uid="{6EB36238-92C1-42A9-8F38-925A43132E22}"/>
    <cellStyle name="Normal 4 5" xfId="807" xr:uid="{EAB903FD-8ECB-4C89-9980-CA6FA6856D80}"/>
    <cellStyle name="Normal 40" xfId="1035" xr:uid="{CA4B0E59-5ECE-4D85-B48E-AA056B2EA843}"/>
    <cellStyle name="Normal 41" xfId="1037" xr:uid="{C0091075-B79E-4981-B4A1-66A687F76041}"/>
    <cellStyle name="Normal 5" xfId="10" xr:uid="{00000000-0005-0000-0000-000009000000}"/>
    <cellStyle name="Normal 5 2" xfId="292" xr:uid="{37939921-6E5E-4A1C-AE26-BB19470DC993}"/>
    <cellStyle name="Normal 5 2 2" xfId="774" xr:uid="{FAFF7E6A-913A-4476-8010-8929A7AF8336}"/>
    <cellStyle name="Normal 5 2 3" xfId="829" xr:uid="{D7FC8850-16F3-4A88-BE4D-4317666F0FF8}"/>
    <cellStyle name="Normal 5 3" xfId="293" xr:uid="{7F7C3547-641D-4FB4-AB09-D93B2AFE2B83}"/>
    <cellStyle name="Normal 5 3 2" xfId="746" xr:uid="{B124CDC9-8B33-4600-9FB1-046336837C39}"/>
    <cellStyle name="Normal 5 4" xfId="808" xr:uid="{23F07C38-4A2D-4FA4-95FB-3E8A61B29116}"/>
    <cellStyle name="Normal 5_O&amp;M_Sample_04-01-09" xfId="294" xr:uid="{74D61DEB-FE92-4F21-A4B7-9CAAD9317B47}"/>
    <cellStyle name="Normal 6" xfId="295" xr:uid="{3B7F89B5-5875-4A14-B631-9C25028BE29B}"/>
    <cellStyle name="Normal 6 2" xfId="296" xr:uid="{35C0A5CC-06F1-467E-9B01-D610EB92135E}"/>
    <cellStyle name="Normal 6 2 2" xfId="775" xr:uid="{B7110094-C0CB-4F46-B2AF-8FD4BFA5FDB7}"/>
    <cellStyle name="Normal 6 3" xfId="747" xr:uid="{92010581-E937-4110-AE83-502217938939}"/>
    <cellStyle name="Normal 7" xfId="297" xr:uid="{320587B0-4272-48E4-961E-84ECE370A386}"/>
    <cellStyle name="Normal 7 2" xfId="298" xr:uid="{95498A9A-F5FA-4747-91FF-79CABFABC4D5}"/>
    <cellStyle name="Normal 7 2 2" xfId="776" xr:uid="{2E87A298-8A5B-401E-A97C-A7290E7EE67D}"/>
    <cellStyle name="Normal 7 3" xfId="748" xr:uid="{63C0791F-69C8-40F6-98D0-572A21FFE933}"/>
    <cellStyle name="Normal 8" xfId="299" xr:uid="{3DA63B64-894E-45F1-8248-558A8667C74B}"/>
    <cellStyle name="Normal 8 2" xfId="300" xr:uid="{57F15D90-8016-4A62-A56B-9BB8E82A6275}"/>
    <cellStyle name="Normal 8 2 2" xfId="777" xr:uid="{6300FF76-0C39-419B-9E34-036DDBEA7C7F}"/>
    <cellStyle name="Normal 8 3" xfId="749" xr:uid="{07B53E6A-C24E-4275-AD5C-5AC87420762D}"/>
    <cellStyle name="Normal 8 4" xfId="26" xr:uid="{F4DB3F22-EC80-4E4C-A85D-53FB4E32C772}"/>
    <cellStyle name="Normal 9" xfId="301" xr:uid="{73394B90-098B-423C-B0B4-C9465E8901AF}"/>
    <cellStyle name="Normal 9 2" xfId="302" xr:uid="{F2010F5E-ED6A-48DD-86EC-DD937B9193FB}"/>
    <cellStyle name="Normal 9 2 2" xfId="778" xr:uid="{BDE9960D-F02F-4529-9BD9-C9269B339323}"/>
    <cellStyle name="Normal 9 2 3" xfId="35" xr:uid="{A5ED831E-05FA-4D6B-8E36-D3ABC1F39756}"/>
    <cellStyle name="Normal 9 3" xfId="750" xr:uid="{E22C0B37-BC36-40E0-B960-54AAF2169CAA}"/>
    <cellStyle name="Normal 9 4" xfId="27" xr:uid="{1688AE31-5D27-4A7A-BD31-C28F9295B185}"/>
    <cellStyle name="Normal_RD-WP(Combined 1-01-01 filing)" xfId="13" xr:uid="{9859C5C9-B6DE-429B-8C57-4287CD340931}"/>
    <cellStyle name="Note 2" xfId="303" xr:uid="{A0E03E59-2FFC-468D-8CBA-E9C97974E1CC}"/>
    <cellStyle name="Note 3" xfId="304" xr:uid="{379CBFBA-A738-40FA-AD4E-28A699725AF1}"/>
    <cellStyle name="Note 3 2" xfId="797" xr:uid="{8EA3AB38-27C6-4922-A392-DCBBA7312F87}"/>
    <cellStyle name="Note 4" xfId="305" xr:uid="{5DF4ED09-AA85-4F43-AC68-07A10571583D}"/>
    <cellStyle name="Note 5" xfId="672" xr:uid="{C191B9F9-3571-451B-B048-EF0117AB11BB}"/>
    <cellStyle name="Note 6" xfId="706" xr:uid="{1D9C4E9B-D7A3-4F66-8DFF-DE8687476C02}"/>
    <cellStyle name="Output 2" xfId="306" xr:uid="{2D60A494-B3DA-4570-859C-EA4C3EE6774B}"/>
    <cellStyle name="Output 3" xfId="307" xr:uid="{0CEDF38A-5853-4E5C-B2D1-19A1FD91126F}"/>
    <cellStyle name="Output 4" xfId="308" xr:uid="{F0D096F8-8E5A-409E-BC60-5DE53DC95506}"/>
    <cellStyle name="Percent" xfId="3" builtinId="5"/>
    <cellStyle name="Percent [2]" xfId="309" xr:uid="{5BC1E9B3-8C44-4B13-A740-8CEEA8A2FA21}"/>
    <cellStyle name="Percent [2] 2" xfId="938" xr:uid="{5125D1E5-8365-477D-BCD9-3CCD27315186}"/>
    <cellStyle name="Percent [2] 3" xfId="939" xr:uid="{8CB609DC-AAD9-495E-8651-CF98328D9C65}"/>
    <cellStyle name="Percent 10" xfId="673" xr:uid="{CB9BFF78-3757-47A1-9D7F-10914CF98E4F}"/>
    <cellStyle name="Percent 10 2" xfId="674" xr:uid="{3081F023-E108-4C1D-B8E4-EE6591203F03}"/>
    <cellStyle name="Percent 10 3" xfId="675" xr:uid="{EFC18711-886C-4A80-8A13-0699CC9876B0}"/>
    <cellStyle name="Percent 11" xfId="676" xr:uid="{DA9AF13D-3052-420B-966D-046A24735CC4}"/>
    <cellStyle name="Percent 11 2" xfId="677" xr:uid="{E028744F-B3C5-47C0-A4C9-AA156301D75F}"/>
    <cellStyle name="Percent 12" xfId="707" xr:uid="{599E7D97-D9D4-4CA9-8394-C3324462420E}"/>
    <cellStyle name="Percent 13" xfId="709" xr:uid="{2C90E937-EDA8-4636-B057-16A614AC03AA}"/>
    <cellStyle name="Percent 14" xfId="695" xr:uid="{B6972588-2DFE-4BB3-8A06-9B27A67058CF}"/>
    <cellStyle name="Percent 15" xfId="718" xr:uid="{D5AD8813-8721-4C70-AF73-34A2CFB46A5A}"/>
    <cellStyle name="Percent 16" xfId="907" xr:uid="{746FAC0D-C73B-4364-BEF0-00DAA1865141}"/>
    <cellStyle name="Percent 17" xfId="20" xr:uid="{DBD2FD2D-9FCA-43FF-96C5-2C1AEA5446FF}"/>
    <cellStyle name="Percent 18" xfId="964" xr:uid="{C2A13A43-AA4C-4DD2-B8F4-7081B5239EA9}"/>
    <cellStyle name="Percent 19" xfId="21" xr:uid="{01E2ECE9-67FA-4972-8909-E933F90C9D8F}"/>
    <cellStyle name="Percent 19 2" xfId="45" xr:uid="{273F3DBF-0BA9-46B5-9ECF-266E0064CDAD}"/>
    <cellStyle name="Percent 2" xfId="37" xr:uid="{2E20B45A-0DAE-4DFC-89A9-43B7B580A46B}"/>
    <cellStyle name="Percent 2 2" xfId="47" xr:uid="{01F20726-4EBF-4A99-A752-82F692309D7B}"/>
    <cellStyle name="Percent 2 2 2" xfId="733" xr:uid="{582B55AE-D4B7-443E-9429-20E30DAD4D5D}"/>
    <cellStyle name="Percent 2 2 3" xfId="823" xr:uid="{64D60167-9850-42AC-A4A4-FBA3D33CCE6B}"/>
    <cellStyle name="Percent 2 2 4" xfId="310" xr:uid="{0F76D58C-7FF3-4AAA-8163-8471D57458A2}"/>
    <cellStyle name="Percent 2 3" xfId="311" xr:uid="{9E8BBFD2-76A1-4343-B6C5-5377A037CC0F}"/>
    <cellStyle name="Percent 2 3 2" xfId="726" xr:uid="{0EBB13EE-8206-4440-84C8-5171BE24BCAB}"/>
    <cellStyle name="Percent 20" xfId="24" xr:uid="{114F4BF1-0E80-4C02-8B83-935CBCE21F1C}"/>
    <cellStyle name="Percent 21" xfId="23" xr:uid="{AE2D193B-5B97-4289-BB30-A402CAF30DA7}"/>
    <cellStyle name="Percent 22" xfId="25" xr:uid="{9766F6AA-3D2A-4E46-A72B-BC357B32E089}"/>
    <cellStyle name="Percent 23" xfId="22" xr:uid="{9FEEE47C-C9FB-4A5F-9961-06641C8EBBEA}"/>
    <cellStyle name="Percent 24" xfId="1015" xr:uid="{A79AB01E-35E2-464D-BE08-1E8B3A6CA75B}"/>
    <cellStyle name="Percent 25" xfId="1033" xr:uid="{94AEC8B0-85E5-4EC6-9DBD-151015521E83}"/>
    <cellStyle name="Percent 3" xfId="312" xr:uid="{FBAB8B6E-D5D2-4321-B0D0-A8022139C39D}"/>
    <cellStyle name="Percent 3 2" xfId="313" xr:uid="{AEFAA989-401B-4901-9A2C-D928E6BBA6C8}"/>
    <cellStyle name="Percent 3 2 2" xfId="779" xr:uid="{021EBE42-8D6D-46D0-BB36-D68B49C5DB8B}"/>
    <cellStyle name="Percent 3 2 3" xfId="824" xr:uid="{185BD3C0-62A9-408E-BB5D-0AF2DDE7780E}"/>
    <cellStyle name="Percent 3 3" xfId="314" xr:uid="{AD4AB6AF-F761-4DAD-99F6-8F9B00CA32DB}"/>
    <cellStyle name="Percent 3 4" xfId="804" xr:uid="{097FEF4B-C139-4674-A786-6E850F43DEEC}"/>
    <cellStyle name="Percent 4" xfId="315" xr:uid="{BE41649A-FF53-4432-A720-A5A9C65D7522}"/>
    <cellStyle name="Percent 4 2" xfId="316" xr:uid="{EE0D07E4-61B0-48B3-A5A4-B186E139E9B2}"/>
    <cellStyle name="Percent 4 2 2" xfId="317" xr:uid="{80B91039-AC2E-42BF-9EA7-6FD6B44C08E2}"/>
    <cellStyle name="Percent 4 2 2 2" xfId="781" xr:uid="{151FF68C-EC79-429B-9CBE-D95EFE74845B}"/>
    <cellStyle name="Percent 4 2 3" xfId="752" xr:uid="{C96B0120-0891-4A35-A57C-24060A27E679}"/>
    <cellStyle name="Percent 4 2 4" xfId="831" xr:uid="{3EB6E503-5F63-40BF-95A1-60E672E6280A}"/>
    <cellStyle name="Percent 4 3" xfId="318" xr:uid="{ADB08F02-7779-437D-A058-9EED031D5909}"/>
    <cellStyle name="Percent 4 3 2" xfId="780" xr:uid="{018D1641-64F3-4E19-BEE1-8A585D0E5AB7}"/>
    <cellStyle name="Percent 4 4" xfId="751" xr:uid="{641B88C4-5467-4926-B68C-4D6294A1235A}"/>
    <cellStyle name="Percent 4 5" xfId="810" xr:uid="{C159EFE5-2A73-443B-BF5B-BBBB6AB73636}"/>
    <cellStyle name="Percent 5" xfId="319" xr:uid="{A1BE3FA0-218B-4B85-965C-437B221AABFF}"/>
    <cellStyle name="Percent 5 2" xfId="320" xr:uid="{D1EE3E48-2FF8-4679-87C5-C0CAB38E285A}"/>
    <cellStyle name="Percent 5 2 2" xfId="782" xr:uid="{DD41227E-C02E-47BA-B50B-27C93E82B1D5}"/>
    <cellStyle name="Percent 5 3" xfId="753" xr:uid="{9C46C3D2-2666-4D4B-97A9-F58226211862}"/>
    <cellStyle name="Percent 5 4" xfId="33" xr:uid="{FEAA3495-C313-4196-AC4B-01036378B772}"/>
    <cellStyle name="Percent 6" xfId="321" xr:uid="{B20F4BA0-FC31-4FB4-9033-AA6FAA752B59}"/>
    <cellStyle name="Percent 6 2" xfId="322" xr:uid="{556568B6-0F16-4E25-AB2B-0B2B0830C4EE}"/>
    <cellStyle name="Percent 6 2 2" xfId="783" xr:uid="{AE877A57-0A4F-4728-9BF8-A7AFEE3AF0A4}"/>
    <cellStyle name="Percent 6 3" xfId="754" xr:uid="{FAE43E22-6AD8-4D99-8CCB-ACB9CE713CE1}"/>
    <cellStyle name="Percent 6 4" xfId="34" xr:uid="{C9DDE276-19C9-4CDD-9239-159C9F74AF21}"/>
    <cellStyle name="Percent 7" xfId="323" xr:uid="{D2545038-E956-4447-80F6-1393725A9448}"/>
    <cellStyle name="Percent 7 2" xfId="324" xr:uid="{1394723B-10D2-49BF-B4B2-8B672B8E6D75}"/>
    <cellStyle name="Percent 7 2 2" xfId="784" xr:uid="{A538772A-0631-41F8-83FC-37C0CEC38212}"/>
    <cellStyle name="Percent 7 3" xfId="755" xr:uid="{7AD9DB1B-9347-4FD8-8CF8-B9E41579AC03}"/>
    <cellStyle name="Percent 8" xfId="678" xr:uid="{20BBEDBE-294C-480F-A3A6-00E27F17AE8C}"/>
    <cellStyle name="Percent 8 2" xfId="679" xr:uid="{EB05389E-EB97-46A8-8C60-CF1C8C95238B}"/>
    <cellStyle name="Percent 8 3" xfId="837" xr:uid="{219619B3-5966-47EC-B63A-949F855A9A1B}"/>
    <cellStyle name="Percent 9" xfId="680" xr:uid="{12D54AA3-CC72-4313-ADB8-B893B09B1CC3}"/>
    <cellStyle name="Percent 9 2" xfId="870" xr:uid="{BAC808D1-D416-4784-BA90-60AA19A4156D}"/>
    <cellStyle name="Percent[0]" xfId="940" xr:uid="{EA5ECF16-2ED3-480C-A7EB-F24F32A1BD6E}"/>
    <cellStyle name="PillarData" xfId="325" xr:uid="{8653E253-867E-4C0F-BFE6-96C00EC8177D}"/>
    <cellStyle name="PillarHeading" xfId="326" xr:uid="{4EE2AE08-D1AC-42D5-8DE3-75E5BC7371A0}"/>
    <cellStyle name="PillarText" xfId="327" xr:uid="{398BBC8E-7A42-40FD-9938-E64CBAAC302D}"/>
    <cellStyle name="PillarTotal" xfId="328" xr:uid="{BB500342-43B9-4E42-B0A8-942FA54AE137}"/>
    <cellStyle name="PSChar" xfId="329" xr:uid="{0D8EA076-42E4-41AE-B91C-3967553F56E2}"/>
    <cellStyle name="PSChar 2" xfId="330" xr:uid="{B9794643-2593-421D-9601-18F6F1A00325}"/>
    <cellStyle name="PSChar 2 2" xfId="331" xr:uid="{BFA773DE-4EB8-49A1-B1FE-02A41DDCC91E}"/>
    <cellStyle name="PSChar 3" xfId="332" xr:uid="{1166A548-BD6A-4721-9A88-C73C3364F7E9}"/>
    <cellStyle name="PSChar 3 2" xfId="333" xr:uid="{E017F254-C9FF-460C-9DF0-EA99CE128AF1}"/>
    <cellStyle name="PSChar 4" xfId="334" xr:uid="{BE7BEDAB-6E75-4AB2-A0E0-233A99521283}"/>
    <cellStyle name="PSDate" xfId="335" xr:uid="{39A041B3-17F3-43A1-B970-EF1E6F4C8437}"/>
    <cellStyle name="PSDate 2" xfId="336" xr:uid="{36C16D96-7B94-491B-A11D-02CAD0B58A10}"/>
    <cellStyle name="PSDate 2 2" xfId="337" xr:uid="{935923FD-BC78-4706-AAB0-BEAF36CFF827}"/>
    <cellStyle name="PSDate 3" xfId="338" xr:uid="{AC1B4802-DA76-4EFE-8B2D-5476F5675116}"/>
    <cellStyle name="PSDate 3 2" xfId="339" xr:uid="{DF322C90-E7C3-4217-991E-E0FDA43FD4C1}"/>
    <cellStyle name="PSDate 4" xfId="340" xr:uid="{422CD312-7265-4793-AB6A-B3F57487D304}"/>
    <cellStyle name="PSDec" xfId="341" xr:uid="{82C1FB9B-A716-4B3A-9356-82A93B44EB54}"/>
    <cellStyle name="PSDec 2" xfId="342" xr:uid="{1AA94624-140D-4F6B-A81F-FE90F400132D}"/>
    <cellStyle name="PSDec 2 2" xfId="343" xr:uid="{86D556B1-3F20-4988-AD20-D8A9C098F2F9}"/>
    <cellStyle name="PSDec 3" xfId="344" xr:uid="{F6F3D2CD-7646-4AF3-9973-DDB0953FEC43}"/>
    <cellStyle name="PSDec 3 2" xfId="345" xr:uid="{44A53381-0F5C-4CA4-BC2E-A39F6DAB9AAA}"/>
    <cellStyle name="PSDec 4" xfId="346" xr:uid="{CD35EBEB-08CB-4541-96DC-190F65526E6D}"/>
    <cellStyle name="PSHeading" xfId="347" xr:uid="{EC320C46-1898-4664-B350-C8E74CC3D4CE}"/>
    <cellStyle name="PSHeading 2" xfId="348" xr:uid="{0285A25D-57BB-4A4A-97F3-FA4E87F0C8D7}"/>
    <cellStyle name="PSHeading 2 2" xfId="681" xr:uid="{93E9EA4C-5302-4E29-AA0A-6AA121A2E6AE}"/>
    <cellStyle name="PSHeading 3" xfId="349" xr:uid="{9F349752-052A-498B-9360-139CBF2F46D5}"/>
    <cellStyle name="PSHeading 3 2" xfId="682" xr:uid="{166A2A74-C0D9-4547-B95A-A0CAB3A381FB}"/>
    <cellStyle name="PSHeading_(chuck) OpEx On-going GRC Forecast Sum 4-20-10" xfId="350" xr:uid="{93E6E974-3FED-4B31-BAA4-A002E782B5D1}"/>
    <cellStyle name="PSInt" xfId="351" xr:uid="{B5B0889E-C5EA-4DEB-8653-719C691F45E3}"/>
    <cellStyle name="PSInt 2" xfId="352" xr:uid="{87870C38-97E8-4C20-821C-690AB920256B}"/>
    <cellStyle name="PSInt 2 2" xfId="353" xr:uid="{2C68775A-7FBC-45E3-B1DA-2AB4EC640212}"/>
    <cellStyle name="PSInt 3" xfId="354" xr:uid="{658A49EF-21C3-4240-9CA4-CE78EC31A8A2}"/>
    <cellStyle name="PSInt 3 2" xfId="355" xr:uid="{C07A644E-5F2F-4861-941A-4381C4F6E7E8}"/>
    <cellStyle name="PSInt 4" xfId="356" xr:uid="{22B8C743-0839-4235-9B6F-75A9AF67B390}"/>
    <cellStyle name="PSSpacer" xfId="357" xr:uid="{20EB2B74-8767-4B15-A5A8-F4B75B86C8C3}"/>
    <cellStyle name="PSSpacer 2" xfId="358" xr:uid="{B74F7E16-0819-4796-B94F-D670B38311E3}"/>
    <cellStyle name="PSSpacer 2 2" xfId="359" xr:uid="{BAB4033E-4A3D-4136-9BE3-916160B7067E}"/>
    <cellStyle name="PSSpacer 3" xfId="360" xr:uid="{69438260-A876-4E19-A567-FDEECCA477F3}"/>
    <cellStyle name="PSSpacer 3 2" xfId="361" xr:uid="{5881B9E9-81FF-4775-BFE4-58D52978EE5B}"/>
    <cellStyle name="PSSpacer 4" xfId="362" xr:uid="{4AD28439-2F0C-4642-9341-75554FA98984}"/>
    <cellStyle name="SAPBEXaggData" xfId="363" xr:uid="{57CEE3B8-87E8-4F99-9664-6F1834DC56A3}"/>
    <cellStyle name="SAPBEXaggData 2" xfId="364" xr:uid="{D1544A3B-82F5-4A18-9EC3-970D104871E9}"/>
    <cellStyle name="SAPBEXaggData 2 2" xfId="365" xr:uid="{F236002A-886E-43C1-8501-6DB5DAFE58A9}"/>
    <cellStyle name="SAPBEXaggData 2 2 2" xfId="785" xr:uid="{9249135E-8E9B-4D84-AE1B-672C25496B6E}"/>
    <cellStyle name="SAPBEXaggData 2 3" xfId="756" xr:uid="{F1317D05-8DC9-498C-BBD4-566FF32E1624}"/>
    <cellStyle name="SAPBEXaggData 3" xfId="366" xr:uid="{AAD0ADA8-70E3-489E-A304-2B2E9320A181}"/>
    <cellStyle name="SAPBEXaggData 3 2" xfId="367" xr:uid="{6D4C5FD4-3F62-44EE-8061-5D5B907A3A19}"/>
    <cellStyle name="SAPBEXaggData 3 2 2" xfId="786" xr:uid="{8D7DF11F-20D5-484D-B0FF-40C19FB46CEE}"/>
    <cellStyle name="SAPBEXaggData 3 3" xfId="757" xr:uid="{BB78C5EC-3845-45E8-9BBF-8463009416C2}"/>
    <cellStyle name="SAPBEXaggData 4" xfId="368" xr:uid="{37521BCB-0840-4B17-83F1-5C56914E1C1B}"/>
    <cellStyle name="SAPBEXaggData 4 2" xfId="865" xr:uid="{D9120790-1949-46D5-9051-CDB259EC9EC9}"/>
    <cellStyle name="SAPBEXaggData 5" xfId="369" xr:uid="{64D8ED04-7A11-438D-A274-966078BE7AC0}"/>
    <cellStyle name="SAPBEXaggData 6" xfId="370" xr:uid="{65DC6EFF-37A1-4641-9788-01AFCDD41B43}"/>
    <cellStyle name="SAPBEXaggData_(chuck) OpEx On-going GRC Forecast Sum 4-20-10" xfId="371" xr:uid="{BB8809DD-F14C-4030-B1FB-0D6A884B6FE3}"/>
    <cellStyle name="SAPBEXaggDataEmph" xfId="372" xr:uid="{64BDCBBB-AF25-4A1F-A3C9-D1AB4778801F}"/>
    <cellStyle name="SAPBEXaggDataEmph 2" xfId="373" xr:uid="{8DF2FD3B-2C8E-438E-B4FE-45CCB863B1F6}"/>
    <cellStyle name="SAPBEXaggDataEmph 3" xfId="374" xr:uid="{7BEE784A-5D37-42F3-850C-B5DF04D3D60C}"/>
    <cellStyle name="SAPBEXaggItem" xfId="375" xr:uid="{3459ACBE-89CF-4CEC-8E2E-A8D5C1EBA23D}"/>
    <cellStyle name="SAPBEXaggItem 2" xfId="376" xr:uid="{9A0F6008-4691-4AD6-98ED-D19C55011619}"/>
    <cellStyle name="SAPBEXaggItem 2 2" xfId="377" xr:uid="{04F8F7CC-7318-4E92-9DEA-A2941DB0CF17}"/>
    <cellStyle name="SAPBEXaggItem 2 2 2" xfId="787" xr:uid="{B13D7455-B713-4A11-BB61-0361CE03B6A1}"/>
    <cellStyle name="SAPBEXaggItem 2 3" xfId="758" xr:uid="{726ED6C7-5D04-474F-A49C-5B11AD401129}"/>
    <cellStyle name="SAPBEXaggItem 3" xfId="378" xr:uid="{EBD36588-A59B-44DF-97C1-CD529B6EB46E}"/>
    <cellStyle name="SAPBEXaggItem 3 2" xfId="379" xr:uid="{EF74941D-28D8-4491-B1B3-BE4AD3DF2AF7}"/>
    <cellStyle name="SAPBEXaggItem 3 2 2" xfId="788" xr:uid="{1AED44F0-0C58-4478-B2E3-93F66390E5F9}"/>
    <cellStyle name="SAPBEXaggItem 3 3" xfId="759" xr:uid="{15988072-374F-4D91-A8CA-0F2C4B2F1D57}"/>
    <cellStyle name="SAPBEXaggItem 4" xfId="380" xr:uid="{B7C56841-B21C-49DD-A176-476E8DF801F0}"/>
    <cellStyle name="SAPBEXaggItem 4 2" xfId="861" xr:uid="{0EC42496-C157-4AAB-BA75-B0DF92D7CE87}"/>
    <cellStyle name="SAPBEXaggItem 5" xfId="381" xr:uid="{A9D98D80-A2F0-4C8C-B8FA-9DC321F60B2B}"/>
    <cellStyle name="SAPBEXaggItem 6" xfId="382" xr:uid="{F8379B56-7088-4916-B731-2421188691B0}"/>
    <cellStyle name="SAPBEXaggItem_(chuck) OpEx On-going GRC Forecast Sum 4-20-10" xfId="383" xr:uid="{6E7BCE24-B910-44C6-92BC-D6591647361C}"/>
    <cellStyle name="SAPBEXaggItemX" xfId="384" xr:uid="{FBAE2750-E3EE-4BF4-84C0-9395FCA4E749}"/>
    <cellStyle name="SAPBEXaggItemX 2" xfId="385" xr:uid="{4AF666D0-F61D-4D2A-AC44-78B9C73FA25C}"/>
    <cellStyle name="SAPBEXaggItemX 2 2" xfId="386" xr:uid="{A358883C-A638-4EF6-B28F-DC5ACE8E89BE}"/>
    <cellStyle name="SAPBEXaggItemX 3" xfId="387" xr:uid="{1DFCF920-3390-42D5-944E-214F8755F26C}"/>
    <cellStyle name="SAPBEXaggItemX 4" xfId="388" xr:uid="{3697B4E9-741C-41E0-B46F-030FA495AA7F}"/>
    <cellStyle name="SAPBEXchaText" xfId="389" xr:uid="{78007CAD-0261-4F35-8D58-A76D8CDD469E}"/>
    <cellStyle name="SAPBEXchaText 2" xfId="390" xr:uid="{9B00818F-0DE9-47B7-B889-6E1CF4FE8B6E}"/>
    <cellStyle name="SAPBEXchaText 2 2" xfId="391" xr:uid="{DC8133B9-859D-441C-9A3E-AE7F6B157B56}"/>
    <cellStyle name="SAPBEXchaText 2 2 2" xfId="789" xr:uid="{41BACF2F-1562-4AF8-A290-D40570F6C88C}"/>
    <cellStyle name="SAPBEXchaText 2 3" xfId="760" xr:uid="{94F26812-634E-4E8F-82FF-ACF4C2B20389}"/>
    <cellStyle name="SAPBEXchaText 3" xfId="392" xr:uid="{47D59E79-CCA4-4AEA-AA86-C147DCE7B65B}"/>
    <cellStyle name="SAPBEXchaText 3 2" xfId="393" xr:uid="{106E8AB8-CFB4-4556-84A0-87F5C18DEE69}"/>
    <cellStyle name="SAPBEXchaText 3 2 2" xfId="790" xr:uid="{5A20B23D-72CD-4B27-88E9-DD3F316BC6C0}"/>
    <cellStyle name="SAPBEXchaText 3 3" xfId="761" xr:uid="{E2477581-90B0-45A7-AD7F-4618F1260726}"/>
    <cellStyle name="SAPBEXchaText 4" xfId="394" xr:uid="{431976DF-9388-4C0F-858C-09C3D37C912D}"/>
    <cellStyle name="SAPBEXchaText 4 2" xfId="862" xr:uid="{24876919-77CC-4BA7-A82E-AFD54F0EFB2C}"/>
    <cellStyle name="SAPBEXchaText 5" xfId="395" xr:uid="{6D375758-CC11-456E-A149-53CB73A6EC70}"/>
    <cellStyle name="SAPBEXchaText 5 2" xfId="396" xr:uid="{B3736A37-BD5C-4D20-B93A-98C2AEF084C0}"/>
    <cellStyle name="SAPBEXchaText_(chuck) OpEx On-going GRC Forecast Sum 4-20-10" xfId="397" xr:uid="{B0A77D0C-1946-4C22-81DE-9F2BB94B7728}"/>
    <cellStyle name="SAPBEXexcBad" xfId="398" xr:uid="{BFD422E1-BB35-462E-932F-F4B3C942EEE5}"/>
    <cellStyle name="SAPBEXexcBad7" xfId="399" xr:uid="{76B29301-E046-467B-B4EF-A817147831DB}"/>
    <cellStyle name="SAPBEXexcBad7 2" xfId="400" xr:uid="{C838AC3D-EA83-4448-9028-A767D0287E69}"/>
    <cellStyle name="SAPBEXexcBad7 2 2" xfId="401" xr:uid="{C1B0210D-4A8E-45E4-BD90-222B628414AF}"/>
    <cellStyle name="SAPBEXexcBad7 3" xfId="402" xr:uid="{9EB188AD-BFB4-4B21-AD5F-0BA8D4557672}"/>
    <cellStyle name="SAPBEXexcBad7 3 2" xfId="403" xr:uid="{91044F62-9007-4076-9C65-4C310FB2D04F}"/>
    <cellStyle name="SAPBEXexcBad7 4" xfId="404" xr:uid="{D2DADF7C-391E-4040-B690-6945BA117F64}"/>
    <cellStyle name="SAPBEXexcBad7 5" xfId="405" xr:uid="{6311669B-444C-478C-9946-DB74AE942BDF}"/>
    <cellStyle name="SAPBEXexcBad8" xfId="406" xr:uid="{11073CFA-646D-4BF7-BD96-0DFFA7DE9F67}"/>
    <cellStyle name="SAPBEXexcBad8 2" xfId="407" xr:uid="{850F8389-A8CD-4484-AE1E-7501E9BA7F50}"/>
    <cellStyle name="SAPBEXexcBad8 2 2" xfId="408" xr:uid="{D8E4A133-1543-431F-9F4E-EABC7981DDFF}"/>
    <cellStyle name="SAPBEXexcBad8 3" xfId="409" xr:uid="{BD9CE6B0-FA2B-433D-9079-3B0286A0BA34}"/>
    <cellStyle name="SAPBEXexcBad8 3 2" xfId="410" xr:uid="{7ADB0859-215A-4A49-B6C2-0A2261F95B26}"/>
    <cellStyle name="SAPBEXexcBad8 4" xfId="411" xr:uid="{B70C1EB6-BC45-4755-AAA3-BC397E658029}"/>
    <cellStyle name="SAPBEXexcBad8 5" xfId="412" xr:uid="{F0FE4949-2169-4BED-B885-3E91CFF64EE3}"/>
    <cellStyle name="SAPBEXexcBad9" xfId="413" xr:uid="{78F85103-9103-46CC-A300-C49000F6FE49}"/>
    <cellStyle name="SAPBEXexcBad9 2" xfId="414" xr:uid="{D729E8CC-610E-483D-AE53-BEE2881C182B}"/>
    <cellStyle name="SAPBEXexcBad9 2 2" xfId="415" xr:uid="{86ABE98B-A25C-405F-93E9-22D231F2E1E0}"/>
    <cellStyle name="SAPBEXexcBad9 3" xfId="416" xr:uid="{76EE3274-4514-4581-8F49-01045145E03A}"/>
    <cellStyle name="SAPBEXexcBad9 3 2" xfId="417" xr:uid="{294D5C6E-C311-4881-AAC8-A943E2040077}"/>
    <cellStyle name="SAPBEXexcBad9 4" xfId="418" xr:uid="{4F201614-E50F-4702-975B-29A4A2AFB944}"/>
    <cellStyle name="SAPBEXexcBad9 5" xfId="419" xr:uid="{87F0594C-F44E-4916-AB4C-07E98773A0EC}"/>
    <cellStyle name="SAPBEXexcCritical" xfId="420" xr:uid="{5CA2BA53-AAF6-480D-8AFC-A490179083E7}"/>
    <cellStyle name="SAPBEXexcCritical4" xfId="421" xr:uid="{D2BFDD03-214E-4674-B21E-B8D61EEAF84E}"/>
    <cellStyle name="SAPBEXexcCritical4 2" xfId="422" xr:uid="{DB01BE6E-40E6-42CE-B40C-CDD7CB2D89EF}"/>
    <cellStyle name="SAPBEXexcCritical4 2 2" xfId="423" xr:uid="{95D344AE-FD31-4B46-8336-75F92D1918A9}"/>
    <cellStyle name="SAPBEXexcCritical4 3" xfId="424" xr:uid="{755E89FB-88D0-49D5-B8F1-1F4E3568F911}"/>
    <cellStyle name="SAPBEXexcCritical4 3 2" xfId="425" xr:uid="{B3A33C4A-4D05-42E7-9FD9-6116D365C4D9}"/>
    <cellStyle name="SAPBEXexcCritical4 4" xfId="426" xr:uid="{F662F34F-9A16-40A3-9A5D-C83157B6F455}"/>
    <cellStyle name="SAPBEXexcCritical4 5" xfId="427" xr:uid="{4655A523-ED46-441B-BF43-F206F4EE8F10}"/>
    <cellStyle name="SAPBEXexcCritical5" xfId="428" xr:uid="{138BE1BC-7BE6-4872-80A3-5C90FB7ABD15}"/>
    <cellStyle name="SAPBEXexcCritical5 2" xfId="429" xr:uid="{6ACE0F01-E8F3-4234-900B-FB5327EA2429}"/>
    <cellStyle name="SAPBEXexcCritical5 2 2" xfId="430" xr:uid="{03975DC9-25DA-49B3-B096-84F813304D29}"/>
    <cellStyle name="SAPBEXexcCritical5 3" xfId="431" xr:uid="{B7DBEA95-094B-41CC-B8BE-775FA9246783}"/>
    <cellStyle name="SAPBEXexcCritical5 3 2" xfId="432" xr:uid="{EFD54EEA-B2FB-4361-BA34-E958F75677A3}"/>
    <cellStyle name="SAPBEXexcCritical5 4" xfId="433" xr:uid="{E780EC29-FF47-4C55-AD7D-F47AAA8894E3}"/>
    <cellStyle name="SAPBEXexcCritical5 5" xfId="434" xr:uid="{DA28344D-3C5C-4A5E-8A79-61B407F421EF}"/>
    <cellStyle name="SAPBEXexcCritical6" xfId="435" xr:uid="{3A848959-DE87-4927-852F-73A808AA323F}"/>
    <cellStyle name="SAPBEXexcCritical6 2" xfId="436" xr:uid="{C4B293CD-B5A7-4C35-B155-36C64BACE229}"/>
    <cellStyle name="SAPBEXexcCritical6 2 2" xfId="437" xr:uid="{4EC86530-5804-484F-8DF1-F78DADC11AC2}"/>
    <cellStyle name="SAPBEXexcCritical6 3" xfId="438" xr:uid="{3371D180-4CFB-4298-8DD2-2BDBD67B2EC9}"/>
    <cellStyle name="SAPBEXexcCritical6 3 2" xfId="439" xr:uid="{2A9DF223-906D-4AD1-B5C1-4771CD375D5E}"/>
    <cellStyle name="SAPBEXexcCritical6 4" xfId="440" xr:uid="{67434967-CD66-4A2A-A35F-AB5C4413BDFA}"/>
    <cellStyle name="SAPBEXexcCritical6 5" xfId="441" xr:uid="{F0265246-2595-46DB-AF92-DE1CC352D8DA}"/>
    <cellStyle name="SAPBEXexcGood" xfId="442" xr:uid="{1EB1B754-AE26-4B58-A5FD-F29AFDA8B018}"/>
    <cellStyle name="SAPBEXexcGood1" xfId="443" xr:uid="{BB302B75-0FDF-414D-975D-113AA195B6EE}"/>
    <cellStyle name="SAPBEXexcGood1 2" xfId="444" xr:uid="{060AE219-9DC5-456B-AC81-3978F7565661}"/>
    <cellStyle name="SAPBEXexcGood1 2 2" xfId="445" xr:uid="{BC7B0B85-C763-437A-B399-CB3166FCABF3}"/>
    <cellStyle name="SAPBEXexcGood1 3" xfId="446" xr:uid="{E75C8658-F14B-45E0-9B95-D8344A100701}"/>
    <cellStyle name="SAPBEXexcGood1 3 2" xfId="447" xr:uid="{2E58A82E-7B75-4876-B8D3-F4DA2BF7B8AF}"/>
    <cellStyle name="SAPBEXexcGood1 4" xfId="448" xr:uid="{C3DFF181-23FC-41E6-967F-28A23636C55A}"/>
    <cellStyle name="SAPBEXexcGood1 5" xfId="449" xr:uid="{8D5D2B20-04F0-443D-9DCC-4FDC987E3CA9}"/>
    <cellStyle name="SAPBEXexcGood2" xfId="450" xr:uid="{06BC466B-F4B5-40F1-B5E7-2AC3608FFB08}"/>
    <cellStyle name="SAPBEXexcGood2 2" xfId="451" xr:uid="{F7997B32-6804-41CD-9F51-DFE244C0C11B}"/>
    <cellStyle name="SAPBEXexcGood2 2 2" xfId="452" xr:uid="{0726FDF9-A598-4EB8-AF34-41BD1CE90CF9}"/>
    <cellStyle name="SAPBEXexcGood2 3" xfId="453" xr:uid="{8D7743C3-7980-4080-86F3-A7BA0A571DD4}"/>
    <cellStyle name="SAPBEXexcGood2 3 2" xfId="454" xr:uid="{61360BAB-91EF-4A21-B0E0-1C7452529932}"/>
    <cellStyle name="SAPBEXexcGood2 4" xfId="455" xr:uid="{DA2C668D-DAFE-446F-BFCA-B337B0EEA526}"/>
    <cellStyle name="SAPBEXexcGood2 5" xfId="456" xr:uid="{4906B9B9-16EC-4EFB-A6EA-B8284682C7FE}"/>
    <cellStyle name="SAPBEXexcGood3" xfId="457" xr:uid="{97CEBA8E-3D8A-424B-A94D-2A8B80EAC161}"/>
    <cellStyle name="SAPBEXexcGood3 2" xfId="458" xr:uid="{24DF42AE-4ECE-4FF4-AE2D-4188397B793A}"/>
    <cellStyle name="SAPBEXexcGood3 2 2" xfId="459" xr:uid="{549D8E39-EE79-4AF7-A6B0-D530C21E47ED}"/>
    <cellStyle name="SAPBEXexcGood3 3" xfId="460" xr:uid="{23C2DE0C-DF5B-41BC-8602-8B25C31941AB}"/>
    <cellStyle name="SAPBEXexcGood3 3 2" xfId="461" xr:uid="{98A662B8-5317-4CB2-B44D-21AC75D4DCE7}"/>
    <cellStyle name="SAPBEXexcGood3 4" xfId="462" xr:uid="{6C59D64F-7CF6-42BB-8468-D3BA2CFD2C31}"/>
    <cellStyle name="SAPBEXexcGood3 5" xfId="463" xr:uid="{5BC5F051-AA0E-4BD1-8D17-C46A68101F28}"/>
    <cellStyle name="SAPBEXexcVeryBad" xfId="464" xr:uid="{51430E1D-460E-4EF7-8044-19A96BE11DF9}"/>
    <cellStyle name="SAPBEXfilterDrill" xfId="465" xr:uid="{8FD7D58E-D15D-44DA-9267-8ADCCEE9D25F}"/>
    <cellStyle name="SAPBEXfilterDrill 2" xfId="466" xr:uid="{E43BD69F-B3A1-4E88-ACD8-1D7703B288AD}"/>
    <cellStyle name="SAPBEXfilterDrill 3" xfId="467" xr:uid="{34AFA55C-63C9-482E-AE9F-D602BF9DAB7E}"/>
    <cellStyle name="SAPBEXfilterDrill 4" xfId="468" xr:uid="{6E5270C4-DE0B-45AB-BC38-0FFA0B514268}"/>
    <cellStyle name="SAPBEXfilterItem" xfId="469" xr:uid="{A870BA3F-829D-446E-96DC-D8DBCC7628DE}"/>
    <cellStyle name="SAPBEXfilterItem 2" xfId="470" xr:uid="{7F505CB2-AD86-4F6A-AC47-5C2795837706}"/>
    <cellStyle name="SAPBEXfilterItem 2 2" xfId="471" xr:uid="{9C8AC83F-853C-4E56-AAF2-29B396D0CE1D}"/>
    <cellStyle name="SAPBEXfilterItem 3" xfId="472" xr:uid="{9AF5EECA-7F41-4CAE-9FF4-5517601CAEF3}"/>
    <cellStyle name="SAPBEXfilterItem 3 2" xfId="473" xr:uid="{F645B772-E896-48FB-BE28-00AFD0491416}"/>
    <cellStyle name="SAPBEXfilterItem 4" xfId="474" xr:uid="{29165F32-81DE-4AD3-B101-03046EDCC6D8}"/>
    <cellStyle name="SAPBEXfilterText" xfId="475" xr:uid="{6468A062-019D-4118-A6B6-FC31F446A192}"/>
    <cellStyle name="SAPBEXfilterText 2" xfId="476" xr:uid="{5120835D-0D9D-42B5-8954-C7C7DDDBEC20}"/>
    <cellStyle name="SAPBEXfilterText 3" xfId="477" xr:uid="{DF490A34-F3AF-4A7C-A12E-CCBB52D12966}"/>
    <cellStyle name="SAPBEXfilterText 3 2" xfId="478" xr:uid="{42DB0B21-E59F-4594-9F6A-006380CB43F1}"/>
    <cellStyle name="SAPBEXformats" xfId="479" xr:uid="{1C08096E-E89E-4E1C-88BC-E5345C402A92}"/>
    <cellStyle name="SAPBEXformats 2" xfId="480" xr:uid="{62CB66EC-F7CF-4E82-9920-5A3C566F8A9D}"/>
    <cellStyle name="SAPBEXformats 3" xfId="481" xr:uid="{D94C9EAA-CF3A-4FEB-815E-28DB05B6FD1B}"/>
    <cellStyle name="SAPBEXformats 3 2" xfId="482" xr:uid="{D68D111E-02D8-4145-BFE5-D698BD43E096}"/>
    <cellStyle name="SAPBEXformats 4" xfId="483" xr:uid="{F6A156D9-39DA-4353-AC24-2BDFC6DBECB6}"/>
    <cellStyle name="SAPBEXformats 4 2" xfId="484" xr:uid="{DFB42005-C6E0-4A95-A94D-9F2AE2A69FEB}"/>
    <cellStyle name="SAPBEXformats 5" xfId="485" xr:uid="{E07B9ABF-584B-48F6-901C-316EE6B044EF}"/>
    <cellStyle name="SAPBEXheaderData" xfId="486" xr:uid="{F6556169-D675-4680-9E3B-5BDCFCC8A2BA}"/>
    <cellStyle name="SAPBEXheaderItem" xfId="487" xr:uid="{A6D443A1-8A87-43F8-BFBF-CD8D60F6463A}"/>
    <cellStyle name="SAPBEXheaderItem 2" xfId="488" xr:uid="{DAD3E1A4-6849-4ABE-BA59-DC5E24950D8B}"/>
    <cellStyle name="SAPBEXheaderItem 2 2" xfId="489" xr:uid="{7C4DAAB1-99DC-4218-AEB9-9824B3610FC8}"/>
    <cellStyle name="SAPBEXheaderItem 3" xfId="490" xr:uid="{9AC27D62-D419-48B5-A9DE-088A759AA167}"/>
    <cellStyle name="SAPBEXheaderItem 3 2" xfId="491" xr:uid="{62FAF72B-A5C8-4B0C-B432-68B677CAA498}"/>
    <cellStyle name="SAPBEXheaderItem 4" xfId="492" xr:uid="{07A92B80-8FAC-42C3-AC7E-902BC1F61A68}"/>
    <cellStyle name="SAPBEXheaderItem 4 2" xfId="493" xr:uid="{E8151B76-DAA0-4B8A-A6F9-D59801800AAE}"/>
    <cellStyle name="SAPBEXheaderItem 5" xfId="494" xr:uid="{8A3EFF05-667A-44AF-9D90-D90019A2D8A3}"/>
    <cellStyle name="SAPBEXheaderItem 6" xfId="495" xr:uid="{AB475B8B-DBC8-40D9-9A9B-EBDA5DC37E34}"/>
    <cellStyle name="SAPBEXheaderText" xfId="496" xr:uid="{7B109C16-A841-4023-B2BE-1A91B18CC59D}"/>
    <cellStyle name="SAPBEXheaderText 2" xfId="497" xr:uid="{BD5679A1-2553-472B-A658-9A5FAE216AD7}"/>
    <cellStyle name="SAPBEXheaderText 2 2" xfId="498" xr:uid="{D3E9A375-EE84-4249-B074-AE46887F7B49}"/>
    <cellStyle name="SAPBEXheaderText 3" xfId="499" xr:uid="{55D6A14E-984D-4F92-9D59-502D125A8B4F}"/>
    <cellStyle name="SAPBEXheaderText 3 2" xfId="500" xr:uid="{601103FC-A6F0-4AC5-ADE2-CD39EC64D67B}"/>
    <cellStyle name="SAPBEXheaderText 4" xfId="501" xr:uid="{E4A80B89-ACB7-44A4-AAA0-CC8FF2DBCB0F}"/>
    <cellStyle name="SAPBEXheaderText 4 2" xfId="502" xr:uid="{27B7265E-1540-4B39-8687-9169869E54FB}"/>
    <cellStyle name="SAPBEXheaderText 5" xfId="503" xr:uid="{9BF3665C-3635-4685-A450-FAADAD7B0947}"/>
    <cellStyle name="SAPBEXheaderText 6" xfId="504" xr:uid="{1F6B153A-440B-4CBB-990F-38A1D3559357}"/>
    <cellStyle name="SAPBEXHLevel0" xfId="505" xr:uid="{0D85AEDA-96D1-4D04-8F44-A2B80EE4C385}"/>
    <cellStyle name="SAPBEXHLevel0 2" xfId="506" xr:uid="{B6E424F6-B3E2-4B4C-9E0B-AAE2896704EE}"/>
    <cellStyle name="SAPBEXHLevel0 2 2" xfId="683" xr:uid="{5BF74FEF-2A96-4D93-BEEF-05E2A4C35ACB}"/>
    <cellStyle name="SAPBEXHLevel0 3" xfId="507" xr:uid="{146E4B8E-071C-4BAC-A973-054561493768}"/>
    <cellStyle name="SAPBEXHLevel0 4" xfId="508" xr:uid="{AF1A6273-2089-4791-9A9E-DF05E8C71667}"/>
    <cellStyle name="SAPBEXHLevel0 4 2" xfId="509" xr:uid="{EFFB967A-FEE9-4D23-A398-6F6F893E992B}"/>
    <cellStyle name="SAPBEXHLevel0 5" xfId="510" xr:uid="{8310F4FE-963D-4414-A112-9E20DD2E0986}"/>
    <cellStyle name="SAPBEXHLevel0 6" xfId="511" xr:uid="{A45FC2DC-F521-449A-811D-7DC4C5CBF138}"/>
    <cellStyle name="SAPBEXHLevel0X" xfId="512" xr:uid="{859D3AC5-BDD3-41B5-9C3A-1CEBEFC10BDF}"/>
    <cellStyle name="SAPBEXHLevel0X 2" xfId="513" xr:uid="{796302A8-FEF2-4672-B8E9-D04678179320}"/>
    <cellStyle name="SAPBEXHLevel0X 2 2" xfId="684" xr:uid="{7B21A2DE-17D3-4365-B276-9F0612FA56FD}"/>
    <cellStyle name="SAPBEXHLevel0X 3" xfId="514" xr:uid="{D936B4C7-E4F1-48BA-B049-6FE88151C23A}"/>
    <cellStyle name="SAPBEXHLevel0X 4" xfId="515" xr:uid="{0D17533B-DB0D-4759-B68C-6F102D1559C9}"/>
    <cellStyle name="SAPBEXHLevel0X 4 2" xfId="516" xr:uid="{52232511-5914-441F-8BE7-5B51EAD7A1B9}"/>
    <cellStyle name="SAPBEXHLevel0X 5" xfId="517" xr:uid="{58538C88-0A77-467A-8B06-9AD2809D6D3D}"/>
    <cellStyle name="SAPBEXHLevel1" xfId="518" xr:uid="{94E27642-B32F-4BC9-A0F8-379C844EE757}"/>
    <cellStyle name="SAPBEXHLevel1 2" xfId="519" xr:uid="{DD5C52B2-F690-438F-A144-430ABBC0ADCB}"/>
    <cellStyle name="SAPBEXHLevel1 2 2" xfId="685" xr:uid="{C92AB62B-DC02-4D48-B23F-D0EA21957040}"/>
    <cellStyle name="SAPBEXHLevel1 3" xfId="520" xr:uid="{9F4B63E3-9479-4E6C-A641-58AA433763F6}"/>
    <cellStyle name="SAPBEXHLevel1 4" xfId="521" xr:uid="{16B99448-4B45-44DC-98D2-59EA9F1CB842}"/>
    <cellStyle name="SAPBEXHLevel1 4 2" xfId="522" xr:uid="{48AB546E-4EF0-42D3-A9A3-BF6A17373EAC}"/>
    <cellStyle name="SAPBEXHLevel1 5" xfId="523" xr:uid="{804F5B5D-3297-46AF-83D0-77B121CD085D}"/>
    <cellStyle name="SAPBEXHLevel1 6" xfId="524" xr:uid="{7011FA14-5F6A-4C51-9799-57B175B4CBD0}"/>
    <cellStyle name="SAPBEXHLevel1X" xfId="525" xr:uid="{9D22EA13-1221-421B-A1F5-56B8CB93B561}"/>
    <cellStyle name="SAPBEXHLevel1X 2" xfId="526" xr:uid="{B97F317E-D342-49F2-909A-17BB54B0AF9B}"/>
    <cellStyle name="SAPBEXHLevel1X 2 2" xfId="686" xr:uid="{1AC3CBA6-5F44-42A8-A112-C5A4C255333F}"/>
    <cellStyle name="SAPBEXHLevel1X 3" xfId="527" xr:uid="{A229FB95-A9C3-4A82-83CE-37D39FF52910}"/>
    <cellStyle name="SAPBEXHLevel1X 4" xfId="528" xr:uid="{B9D3B9E6-4F7D-4D02-9769-722AF28D5884}"/>
    <cellStyle name="SAPBEXHLevel1X 4 2" xfId="529" xr:uid="{C67AE5B6-8972-4110-BF38-E2543E414900}"/>
    <cellStyle name="SAPBEXHLevel1X 5" xfId="530" xr:uid="{C39F2573-DB4D-4B6A-ACB9-0C7C62EA5AEF}"/>
    <cellStyle name="SAPBEXHLevel2" xfId="531" xr:uid="{64EFFEA8-F900-4504-AC48-88755DEDAE3B}"/>
    <cellStyle name="SAPBEXHLevel2 2" xfId="532" xr:uid="{B026363D-30B0-48E7-B016-E0946C77744D}"/>
    <cellStyle name="SAPBEXHLevel2 2 2" xfId="687" xr:uid="{3E7C5042-A085-4CE4-98EA-FB941A3437F6}"/>
    <cellStyle name="SAPBEXHLevel2 3" xfId="533" xr:uid="{22DE54E2-C50D-4FA3-AF90-AF19734AF4E0}"/>
    <cellStyle name="SAPBEXHLevel2 4" xfId="534" xr:uid="{05075131-64D1-4F3E-9D38-4E56DFAB18B8}"/>
    <cellStyle name="SAPBEXHLevel2 4 2" xfId="535" xr:uid="{B2377A74-BB86-4905-A71E-1D4D9ACD9B43}"/>
    <cellStyle name="SAPBEXHLevel2 5" xfId="536" xr:uid="{B4CE3CBE-692C-4713-8419-A16FD1843582}"/>
    <cellStyle name="SAPBEXHLevel2 6" xfId="537" xr:uid="{06F6A3EF-E2DE-4C58-AD52-91EE6C3546BD}"/>
    <cellStyle name="SAPBEXHLevel2X" xfId="538" xr:uid="{6C0746E8-48F4-47F7-A0B5-D64888434882}"/>
    <cellStyle name="SAPBEXHLevel2X 2" xfId="539" xr:uid="{7A4EA211-2DEE-4030-B32B-DC53F42C68DD}"/>
    <cellStyle name="SAPBEXHLevel2X 2 2" xfId="688" xr:uid="{A5425F0D-1150-4AED-8518-77402BCD2A38}"/>
    <cellStyle name="SAPBEXHLevel2X 3" xfId="540" xr:uid="{342A7AFB-FDE9-40E8-A11C-0A79842E3838}"/>
    <cellStyle name="SAPBEXHLevel2X 4" xfId="541" xr:uid="{FE6E12D3-D24B-47FF-8887-031A4E95339C}"/>
    <cellStyle name="SAPBEXHLevel2X 4 2" xfId="542" xr:uid="{A390C805-5467-45F3-B4AF-3660F2146622}"/>
    <cellStyle name="SAPBEXHLevel2X 5" xfId="543" xr:uid="{0A397843-4BE6-49AE-8047-ABBB6CFABD76}"/>
    <cellStyle name="SAPBEXHLevel3" xfId="544" xr:uid="{761BFF8D-FC84-4D3D-A28A-092B8494B64A}"/>
    <cellStyle name="SAPBEXHLevel3 2" xfId="545" xr:uid="{FA790550-20A7-44E9-B99B-3AFB90095990}"/>
    <cellStyle name="SAPBEXHLevel3 2 2" xfId="689" xr:uid="{00916ED5-588A-4606-8D0A-90CCD92911D4}"/>
    <cellStyle name="SAPBEXHLevel3 3" xfId="546" xr:uid="{0A12C8AD-FE20-419F-A51D-CE938B42F28F}"/>
    <cellStyle name="SAPBEXHLevel3 4" xfId="547" xr:uid="{68064ECA-0CDA-46A9-A954-E2F8FDE7BD18}"/>
    <cellStyle name="SAPBEXHLevel3 4 2" xfId="548" xr:uid="{0268CE8D-F56C-4FD4-AC9E-B9EC1BE5F843}"/>
    <cellStyle name="SAPBEXHLevel3 5" xfId="549" xr:uid="{FFE0E95A-F0C8-45BC-B86E-CD74EAF66616}"/>
    <cellStyle name="SAPBEXHLevel3 6" xfId="550" xr:uid="{78F7A075-A295-473B-A988-F7E9B4EB106B}"/>
    <cellStyle name="SAPBEXHLevel3X" xfId="551" xr:uid="{F1E34421-0BA1-4F83-9E64-E3A2ADA43DF5}"/>
    <cellStyle name="SAPBEXHLevel3X 2" xfId="552" xr:uid="{BE4B6649-9B22-4325-942E-E1FC7ADCB001}"/>
    <cellStyle name="SAPBEXHLevel3X 2 2" xfId="690" xr:uid="{B3BAD5AF-3E3B-4DF0-9EEF-A6E860684D72}"/>
    <cellStyle name="SAPBEXHLevel3X 3" xfId="553" xr:uid="{3DF0B628-51EF-4A12-8969-B901766BACCB}"/>
    <cellStyle name="SAPBEXHLevel3X 4" xfId="554" xr:uid="{E0B3139C-F2C5-403E-9FA7-29A550E4F752}"/>
    <cellStyle name="SAPBEXHLevel3X 4 2" xfId="555" xr:uid="{C1484A4D-B922-4BFC-878B-96803E1E30A0}"/>
    <cellStyle name="SAPBEXHLevel3X 5" xfId="556" xr:uid="{AC5F6D2F-197E-4FAB-A07E-4D011CEC34FE}"/>
    <cellStyle name="SAPBEXinputData" xfId="557" xr:uid="{CCF00C02-BA93-4AC8-8955-310C3A731125}"/>
    <cellStyle name="SAPBEXinputData 2" xfId="558" xr:uid="{55C50ECF-9295-48B7-9324-2B7FEE34F033}"/>
    <cellStyle name="SAPBEXItemHeader" xfId="559" xr:uid="{D8056AA7-C5B5-44BC-87A5-F5FA89DBFBB2}"/>
    <cellStyle name="SAPBEXresData" xfId="560" xr:uid="{51EF19E6-9728-4A0E-AFCA-3DA8267F3845}"/>
    <cellStyle name="SAPBEXresData 2" xfId="561" xr:uid="{78B88049-BE77-458D-9EB6-0F5ADCA9A70E}"/>
    <cellStyle name="SAPBEXresData 2 2" xfId="562" xr:uid="{0EC0F628-4E62-45BA-A811-17D16A442DC7}"/>
    <cellStyle name="SAPBEXresData 3" xfId="563" xr:uid="{E829C33B-217A-4966-BF14-4AF049B080A4}"/>
    <cellStyle name="SAPBEXresData 3 2" xfId="564" xr:uid="{7310A141-DB2C-4138-A6F6-703A60226B57}"/>
    <cellStyle name="SAPBEXresData 4" xfId="565" xr:uid="{0AEDEC1A-4AC0-49E5-9D29-29F5CE1A0830}"/>
    <cellStyle name="SAPBEXresDataEmph" xfId="566" xr:uid="{C83DC2C1-6275-4C5F-B73D-3EA47480D7D3}"/>
    <cellStyle name="SAPBEXresDataEmph 2" xfId="567" xr:uid="{6F773366-A1DC-4A1F-90FF-84556F11BA5F}"/>
    <cellStyle name="SAPBEXresDataEmph 3" xfId="568" xr:uid="{546E9BD9-7646-4B1B-9022-F1F69CCD27D9}"/>
    <cellStyle name="SAPBEXresItem" xfId="569" xr:uid="{FE40433B-BA66-4221-8097-C163CC7D02B9}"/>
    <cellStyle name="SAPBEXresItem 2" xfId="570" xr:uid="{6C6BDC25-EC43-436D-934A-DB30E4C029C1}"/>
    <cellStyle name="SAPBEXresItem 2 2" xfId="571" xr:uid="{FB450548-E0D9-4AB4-A1E2-A3FF8C59034D}"/>
    <cellStyle name="SAPBEXresItem 3" xfId="572" xr:uid="{B0C0863F-DC5A-464E-BA7A-996288AE77CF}"/>
    <cellStyle name="SAPBEXresItem 3 2" xfId="573" xr:uid="{39196A53-13B8-4E5F-AA61-CF6AD43DDDD5}"/>
    <cellStyle name="SAPBEXresItem 4" xfId="574" xr:uid="{F4ECE522-D6D5-4FB6-8660-DD0F6D0B2011}"/>
    <cellStyle name="SAPBEXresItemX" xfId="575" xr:uid="{7EBD083F-2AF5-45AC-83D0-F92D06282477}"/>
    <cellStyle name="SAPBEXresItemX 2" xfId="576" xr:uid="{50B36EFA-D0D4-4032-9896-930FE27D7BC3}"/>
    <cellStyle name="SAPBEXresItemX 2 2" xfId="577" xr:uid="{D0E648A8-1A01-4C18-91AD-903F5C8F7CDC}"/>
    <cellStyle name="SAPBEXresItemX 3" xfId="578" xr:uid="{55D42D85-53B4-4C5B-8669-94A4F36FA841}"/>
    <cellStyle name="SAPBEXresItemX 3 2" xfId="579" xr:uid="{03DB9D8D-AF6B-4373-823C-B08408AC8BDD}"/>
    <cellStyle name="SAPBEXresItemX 4" xfId="580" xr:uid="{80D00971-2A7F-488D-8C3E-34D173CF8C69}"/>
    <cellStyle name="SAPBEXresItemX 5" xfId="581" xr:uid="{F6D40564-1E3C-4351-8124-5D7C7960434E}"/>
    <cellStyle name="SAPBEXstdData" xfId="582" xr:uid="{164E22D0-EE2A-46C6-BBFA-31B13F1ACD4F}"/>
    <cellStyle name="SAPBEXstdData 2" xfId="583" xr:uid="{EA877774-6804-468C-9BF0-E96ED38BA56A}"/>
    <cellStyle name="SAPBEXstdData 2 2" xfId="584" xr:uid="{FD27710B-2C79-42CB-8586-4821C5FA2150}"/>
    <cellStyle name="SAPBEXstdData 2 2 2" xfId="791" xr:uid="{432E6424-F74D-4677-A416-9762619BD6FF}"/>
    <cellStyle name="SAPBEXstdData 2 3" xfId="762" xr:uid="{64F93DDC-BDC5-4909-86F1-A89E25159A11}"/>
    <cellStyle name="SAPBEXstdData 3" xfId="585" xr:uid="{10B4BE58-8DF1-4F90-A0A7-A14997116026}"/>
    <cellStyle name="SAPBEXstdData 3 2" xfId="586" xr:uid="{842871CA-3EDE-482E-AC2E-5F472348D511}"/>
    <cellStyle name="SAPBEXstdData 3 2 2" xfId="792" xr:uid="{06FC3F35-CE55-4FA5-BE71-00BF74475B8A}"/>
    <cellStyle name="SAPBEXstdData 3 3" xfId="763" xr:uid="{B746E3CA-BAA1-46A4-BE4B-CFE2C7EB3C95}"/>
    <cellStyle name="SAPBEXstdData 4" xfId="587" xr:uid="{08B8B342-4617-401C-A06E-147DA95F7528}"/>
    <cellStyle name="SAPBEXstdData 4 2" xfId="588" xr:uid="{9CC07E1D-D1A5-41E6-8AE4-A3FF05CEC2FC}"/>
    <cellStyle name="SAPBEXstdData 4 3" xfId="863" xr:uid="{4325ED40-3D62-4FA1-9128-E60D1DEEF675}"/>
    <cellStyle name="SAPBEXstdData 5" xfId="589" xr:uid="{1B0EEBBF-A31F-4F42-AA73-BC2456444FC8}"/>
    <cellStyle name="SAPBEXstdData 6" xfId="590" xr:uid="{853AC1A4-5C84-4CFD-910A-D113DADADF13}"/>
    <cellStyle name="SAPBEXstdData_(chuck) OpEx On-going GRC Forecast Sum 4-20-10" xfId="591" xr:uid="{98552B29-79EF-4B0B-8A4C-6F29F0EF3DAC}"/>
    <cellStyle name="SAPBEXstdDataEmph" xfId="592" xr:uid="{DAE0D0B1-79B0-415E-BD44-1DABA5A5471D}"/>
    <cellStyle name="SAPBEXstdDataEmph 2" xfId="593" xr:uid="{7A4574DF-3E45-43D8-B869-568176377AEC}"/>
    <cellStyle name="SAPBEXstdDataEmph 3" xfId="594" xr:uid="{2E03F435-6924-4DCF-9630-53F30D4E4F8C}"/>
    <cellStyle name="SAPBEXstdItem" xfId="595" xr:uid="{C18B6AFC-6E13-432D-806A-675FA097E4BE}"/>
    <cellStyle name="SAPBEXstdItem 2" xfId="596" xr:uid="{2C8CD49A-91C6-4283-995E-E20811E4AA20}"/>
    <cellStyle name="SAPBEXstdItem 2 2" xfId="597" xr:uid="{FFD96F73-7919-46D0-BF01-ADA9A220D315}"/>
    <cellStyle name="SAPBEXstdItem 2 2 2" xfId="793" xr:uid="{7F5B054F-69F1-4A4D-977D-BA01B5C6C67D}"/>
    <cellStyle name="SAPBEXstdItem 2 3" xfId="764" xr:uid="{CAB21E67-436F-4BD2-974F-43C5607F5998}"/>
    <cellStyle name="SAPBEXstdItem 3" xfId="598" xr:uid="{14A1D367-ABF5-4040-B917-E67D1173B65C}"/>
    <cellStyle name="SAPBEXstdItem 3 2" xfId="599" xr:uid="{DA1A2DD5-C359-49A9-B31A-4AB1C67E3738}"/>
    <cellStyle name="SAPBEXstdItem 3 2 2" xfId="794" xr:uid="{5CC4A7B6-6BE0-497C-BB89-4630CBE65185}"/>
    <cellStyle name="SAPBEXstdItem 3 3" xfId="765" xr:uid="{EC416BEB-B974-4EB7-B041-0081CB1E745E}"/>
    <cellStyle name="SAPBEXstdItem 4" xfId="600" xr:uid="{5FBFCB66-EB06-42BE-8D59-C83C9CAC91C7}"/>
    <cellStyle name="SAPBEXstdItem 4 2" xfId="601" xr:uid="{24E15654-5A90-4005-B23E-58FA7047E277}"/>
    <cellStyle name="SAPBEXstdItem 4 3" xfId="868" xr:uid="{3743A165-92C9-453D-879F-018EF7BD2E60}"/>
    <cellStyle name="SAPBEXstdItem 5" xfId="602" xr:uid="{6E90FBFB-4892-4F4D-9962-3974E37F3E62}"/>
    <cellStyle name="SAPBEXstdItem 6" xfId="603" xr:uid="{0FF4A714-7FF0-4CB6-B6B1-565CE1DA8A78}"/>
    <cellStyle name="SAPBEXstdItem 6 2" xfId="604" xr:uid="{40CEE159-3D65-4A2C-9AFF-5CE49434C7D3}"/>
    <cellStyle name="SAPBEXstdItem_(chuck) OpEx On-going GRC Forecast Sum 4-20-10" xfId="605" xr:uid="{09B3199D-A1D4-4523-9B72-3363478BD4D2}"/>
    <cellStyle name="SAPBEXstdItemX" xfId="606" xr:uid="{56D9BA80-C189-4571-AA76-76BD5C10D8C6}"/>
    <cellStyle name="SAPBEXstdItemX 2" xfId="607" xr:uid="{A9CDDDA4-2AF5-4692-8144-30D822EED4D1}"/>
    <cellStyle name="SAPBEXstdItemX 3" xfId="608" xr:uid="{B2DDC8B6-77B4-47CA-B656-B844F29906B3}"/>
    <cellStyle name="SAPBEXstdItemX 3 2" xfId="609" xr:uid="{734B7C9F-A52C-401D-B386-9A40972D825D}"/>
    <cellStyle name="SAPBEXstdItemX 4" xfId="610" xr:uid="{68E746E3-DDE6-4E9E-BDB9-220CBE014E11}"/>
    <cellStyle name="SAPBEXstdItemX 4 2" xfId="611" xr:uid="{52BCAFDE-48D7-4B93-906E-51A8367E6C3A}"/>
    <cellStyle name="SAPBEXstdItemX 5" xfId="612" xr:uid="{FC598A94-15B9-4DA8-A9FB-12DCDB58BDC5}"/>
    <cellStyle name="SAPBEXsubData" xfId="613" xr:uid="{1CD6DC3D-AA16-4746-851F-C78CD026869E}"/>
    <cellStyle name="SAPBEXsubDataEmph" xfId="614" xr:uid="{74F5CEBC-1EB0-4706-AD60-45A9951499FC}"/>
    <cellStyle name="SAPBEXsubItem" xfId="615" xr:uid="{87BE9DA5-2D65-4851-B0CC-658ACDE4A8B1}"/>
    <cellStyle name="SAPBEXtitle" xfId="616" xr:uid="{39B6EFBD-38D5-46F4-A80B-0382D772D986}"/>
    <cellStyle name="SAPBEXtitle 2" xfId="617" xr:uid="{7A9B8A5C-25AC-45BC-B617-B917E60B77DF}"/>
    <cellStyle name="SAPBEXtitle 3" xfId="618" xr:uid="{97A5512E-7BB2-428D-B00F-97EBD4DDB329}"/>
    <cellStyle name="SAPBEXtitle 4" xfId="619" xr:uid="{143859D6-CC40-4786-9175-741666B4F59A}"/>
    <cellStyle name="SAPBEXtitle 4 2" xfId="620" xr:uid="{FF28F7BF-2D14-48E7-AEBB-A6B6B09AF1C7}"/>
    <cellStyle name="SAPBEXunassignedItem" xfId="621" xr:uid="{D49BC31A-97C0-444A-BCBF-006EAE789B94}"/>
    <cellStyle name="SAPBEXunassignedItem 2" xfId="622" xr:uid="{208FA40F-EDA9-4CAC-9814-3393C0435D53}"/>
    <cellStyle name="SAPBEXundefined" xfId="623" xr:uid="{020C869F-DE1C-4E7A-9F20-EDC81FF23AEC}"/>
    <cellStyle name="SAPBEXundefined 2" xfId="624" xr:uid="{3B80B85D-AEE8-4AA2-8290-1E65567EA4A3}"/>
    <cellStyle name="SAPBEXundefined 3" xfId="625" xr:uid="{65AAF61A-CF33-4BA1-A559-17BA98DF24CF}"/>
    <cellStyle name="SEM-BPS-data" xfId="626" xr:uid="{C359EFDD-B990-432F-925A-1ABC3C78D235}"/>
    <cellStyle name="SEM-BPS-head" xfId="627" xr:uid="{182CF534-9A55-4E45-80BE-7E4FB1380B0D}"/>
    <cellStyle name="SEM-BPS-headdata" xfId="628" xr:uid="{123B7234-3F1D-480A-9AAE-A6F6C99006A2}"/>
    <cellStyle name="SEM-BPS-headkey" xfId="629" xr:uid="{FE105883-40FD-409E-AA19-B6ABF3A62F0A}"/>
    <cellStyle name="SEM-BPS-input-on" xfId="630" xr:uid="{131170A5-7AEA-4016-9502-B28924EF1D18}"/>
    <cellStyle name="SEM-BPS-key" xfId="631" xr:uid="{7F3AC1DE-C86E-446A-8F43-DD3C9B7AB177}"/>
    <cellStyle name="SEM-BPS-total" xfId="632" xr:uid="{124C020D-18B2-42F1-B320-AD0A3846506B}"/>
    <cellStyle name="Sheet Title" xfId="633" xr:uid="{E7058E5F-A1D6-4612-B56D-4B50F4EC6839}"/>
    <cellStyle name="Title 2" xfId="634" xr:uid="{E1A1B922-C7A8-4DC8-91C0-2178499E50EE}"/>
    <cellStyle name="Title 3" xfId="691" xr:uid="{65BD2657-166F-4A98-B70A-62808417DFC6}"/>
    <cellStyle name="Total 2" xfId="635" xr:uid="{79ED46AE-4975-47E8-BB8A-FFD35D0049A2}"/>
    <cellStyle name="Total 3" xfId="636" xr:uid="{120A37A8-E584-4C41-863B-E45B9B590941}"/>
    <cellStyle name="Total 4" xfId="637" xr:uid="{516A2600-B650-4802-B603-D3191ECAC15A}"/>
    <cellStyle name="Unprot" xfId="638" xr:uid="{F5F85B91-7E0E-4BD0-AF7C-6AAC3481AAA8}"/>
    <cellStyle name="Unprot 2" xfId="941" xr:uid="{888A2203-D97B-4C33-8CCB-EBD26C43327C}"/>
    <cellStyle name="Unprot$" xfId="639" xr:uid="{DFC5C735-B243-4CB9-96EE-625D19A2CFDE}"/>
    <cellStyle name="Unprot_O&amp;M Summary" xfId="942" xr:uid="{CC92AF19-FA14-4139-B602-2202D8DD27B0}"/>
    <cellStyle name="Unprotect" xfId="640" xr:uid="{F8A8E2B5-3D79-48E4-B3D7-E297848829F1}"/>
    <cellStyle name="Warning Text 2" xfId="641" xr:uid="{1F728913-3DFD-41C3-94B3-D6AEB3E90B7E}"/>
    <cellStyle name="Warning Text 3" xfId="642" xr:uid="{4996D79F-BA38-4159-9040-001D0882A1A3}"/>
    <cellStyle name="Warning Text 4" xfId="643" xr:uid="{46D4BDC5-728D-41DE-8AA5-11A575931215}"/>
  </cellStyles>
  <dxfs count="0"/>
  <tableStyles count="0" defaultTableStyle="TableStyleMedium2" defaultPivotStyle="PivotStyleLight16"/>
  <colors>
    <mruColors>
      <color rgb="FFCCCCFF"/>
      <color rgb="FFFFCCCC"/>
      <color rgb="FF0000FF"/>
      <color rgb="FFCCFF99"/>
      <color rgb="FFFF5050"/>
      <color rgb="FFFF33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Electric_Rates_Group/Proceedings/Commodity/ERRA%20related%20filings/2021%20ERRA%20Forecast%20Filing/November/Inputs/Resource%20Planning/2021%20ERRA%20Workpaper_Nov%20Update%2011.3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Documents%20and%20Settings\JSTRAMAN\Local%20Settings\Temporary%20Internet%20Files\OLK9E\PM13b%20Avoidable-NonAvoidable%20Costs%20200807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FUELS\DATA\JWT\DWR%20Rev.%20Req\2008%2015%20Feb.%20Supplemental\Detailed%20RR%20PROOF%20to%20IOUs%20April%209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Work\Costs\2007%20SONGS%20Capital%20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rcia\AppData\Local\Microsoft\Windows\INetCache\Content.Outlook\L9VJ9R01\DOCUME~1\agautam\LOCALS~1\Temp\XPgrpwise\CEC09%20demand-price%20forms-final-12-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Users\bmontoya\AppData\Local\Microsoft\Windows\Temporary%20Internet%20Files\Content.Outlook\5RTZHXI4\CEC-200-2012-006-S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2000_07_Cabrillo%201\Final%20Adjusted\ENCI072000AF-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b2a\corpdata$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_Total Cost"/>
      <sheetName val="Cash Flow_Fuel Cost"/>
      <sheetName val="Cash Flow_Conv Cost"/>
      <sheetName val="Cash Flow_CAISO Load Revenue"/>
      <sheetName val="PCIA Inputs"/>
      <sheetName val="Workpaper_IOU TPS"/>
      <sheetName val="IOU Total Portfolio Summary"/>
      <sheetName val="Indifference Amount Calc"/>
      <sheetName val="PCIA Pivot"/>
      <sheetName val="PCIA Table"/>
      <sheetName val="Instructions"/>
      <sheetName val="PCIA (input_output)"/>
      <sheetName val="NQC"/>
      <sheetName val="2021 MPB - Solar Adjustment"/>
      <sheetName val="Bio FIT - Solar FIT"/>
      <sheetName val="2021"/>
      <sheetName val="MPB Green"/>
      <sheetName val="MPB Brown Rev"/>
      <sheetName val="Tables"/>
      <sheetName val="Khoang's Testimony Data"/>
      <sheetName val="Attachments"/>
      <sheetName val="Assumptions"/>
      <sheetName val="Hourly"/>
      <sheetName val="Total GHG Cost"/>
      <sheetName val="Fuel Cost"/>
      <sheetName val="Fuel Burn Pivot"/>
      <sheetName val="Revenue Pivot"/>
      <sheetName val="Revenue"/>
      <sheetName val="Generation Fuel Pivots"/>
      <sheetName val="Variable Cost Pivot"/>
      <sheetName val="Total Cost Pivot"/>
      <sheetName val="Gen Pivot"/>
      <sheetName val="Hourly Gen"/>
      <sheetName val="Costs"/>
      <sheetName val="Fuel Burn"/>
      <sheetName val="Categor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44.43</v>
          </cell>
        </row>
      </sheetData>
      <sheetData sheetId="5">
        <row r="17">
          <cell r="D17">
            <v>21085.682254395368</v>
          </cell>
        </row>
      </sheetData>
      <sheetData sheetId="6">
        <row r="8">
          <cell r="C8">
            <v>21085.682254395368</v>
          </cell>
        </row>
      </sheetData>
      <sheetData sheetId="7">
        <row r="14">
          <cell r="F14">
            <v>228.15244824969605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9">
          <cell r="B29">
            <v>474078957.92186576</v>
          </cell>
        </row>
      </sheetData>
      <sheetData sheetId="16" refreshError="1"/>
      <sheetData sheetId="17" refreshError="1"/>
      <sheetData sheetId="18" refreshError="1"/>
      <sheetData sheetId="19">
        <row r="24">
          <cell r="F24">
            <v>14651904.000019034</v>
          </cell>
        </row>
      </sheetData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Year_Monthly-AvoidableCosts"/>
      <sheetName val="OneYear_MonthlyNonAvoidCosts"/>
      <sheetName val="Summary"/>
      <sheetName val="Annual-AvoidCosts"/>
      <sheetName val="Annual-NonAvoidCosts"/>
      <sheetName val="AvoidDat"/>
      <sheetName val="NonAvoidDa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D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ig_PM9a_MonthlyNonAvoidCosts"/>
      <sheetName val="Mod_PM9a_MonthlyNonAvoidCosts"/>
      <sheetName val="Table A-1"/>
      <sheetName val="Divider Tab"/>
      <sheetName val="Npt"/>
      <sheetName val="RptUSBA"/>
      <sheetName val="2008 RR Allocation"/>
      <sheetName val="2008RptRR"/>
      <sheetName val="2007RptRR"/>
      <sheetName val="2006RptRR"/>
      <sheetName val="2005RptRR"/>
      <sheetName val="2004RptRR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PG&amp;E</v>
          </cell>
          <cell r="E9">
            <v>0.42199999999999999</v>
          </cell>
        </row>
        <row r="10">
          <cell r="D10" t="str">
            <v>SCE</v>
          </cell>
          <cell r="E10">
            <v>0.47499999999999998</v>
          </cell>
        </row>
        <row r="11">
          <cell r="D11" t="str">
            <v>SDG&amp;E</v>
          </cell>
          <cell r="E11">
            <v>0.10299999999999999</v>
          </cell>
        </row>
        <row r="14">
          <cell r="E14">
            <v>39417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Recap"/>
      <sheetName val="BPS2007_Functional Capital"/>
      <sheetName val="Functional Capital"/>
      <sheetName val="BPS 0004.0"/>
      <sheetName val="BPS 0005.0"/>
      <sheetName val="BPS 06024.0"/>
      <sheetName val="2007 Monthly"/>
      <sheetName val="2007-2011 YR"/>
      <sheetName val="AFUDC"/>
      <sheetName val="AFUDC 2597072"/>
      <sheetName val="AFUDC 2597073"/>
      <sheetName val="AFUDC 2597082"/>
      <sheetName val="AFUDC 25970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4">
          <cell r="D4">
            <v>3.3000000000000002E-2</v>
          </cell>
        </row>
        <row r="5">
          <cell r="D5">
            <v>1.0999999999999999E-2</v>
          </cell>
        </row>
      </sheetData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7a"/>
      <sheetName val="Form 1.7b"/>
      <sheetName val="Form 1.7c"/>
      <sheetName val="Form 1.7d"/>
      <sheetName val="Form 2.1"/>
      <sheetName val="Form 2.2"/>
      <sheetName val="Form 2.3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  <sheetName val="ENCI072000AF-0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  <sheetName val="Hyperion"/>
      <sheetName val="Inversiones_Activo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0"/>
  <sheetViews>
    <sheetView zoomScaleNormal="100" workbookViewId="0">
      <selection activeCell="H15" sqref="H15"/>
    </sheetView>
  </sheetViews>
  <sheetFormatPr defaultRowHeight="15"/>
  <cols>
    <col min="1" max="1" width="7.28515625" bestFit="1" customWidth="1"/>
    <col min="2" max="2" width="50.42578125" customWidth="1"/>
    <col min="3" max="3" width="43.5703125" bestFit="1" customWidth="1"/>
    <col min="4" max="4" width="11" bestFit="1" customWidth="1"/>
  </cols>
  <sheetData>
    <row r="2" spans="1:5">
      <c r="A2" s="1" t="s">
        <v>3</v>
      </c>
      <c r="B2" s="2" t="s">
        <v>0</v>
      </c>
      <c r="C2" s="2" t="s">
        <v>1</v>
      </c>
      <c r="D2" s="3" t="s">
        <v>2</v>
      </c>
    </row>
    <row r="3" spans="1:5">
      <c r="A3" s="4">
        <v>1</v>
      </c>
      <c r="B3" s="53" t="s">
        <v>4</v>
      </c>
      <c r="C3" s="60" t="s">
        <v>149</v>
      </c>
      <c r="D3" s="120">
        <v>71.72</v>
      </c>
      <c r="E3" s="86"/>
    </row>
    <row r="4" spans="1:5">
      <c r="A4" s="4">
        <f>IF(A3=0, A2+1, A3+1)</f>
        <v>2</v>
      </c>
      <c r="B4" s="53" t="s">
        <v>5</v>
      </c>
      <c r="C4" s="60" t="s">
        <v>149</v>
      </c>
      <c r="D4" s="120">
        <v>56.53</v>
      </c>
      <c r="E4" s="86"/>
    </row>
    <row r="5" spans="1:5">
      <c r="A5" s="4">
        <f t="shared" ref="A5:A11" si="0">IF(A4=0, A3+1, A4+1)</f>
        <v>3</v>
      </c>
      <c r="B5" s="53" t="s">
        <v>6</v>
      </c>
      <c r="C5" s="60" t="s">
        <v>122</v>
      </c>
      <c r="D5" s="121">
        <v>0.56000000000000005</v>
      </c>
      <c r="E5" s="86"/>
    </row>
    <row r="6" spans="1:5">
      <c r="A6" s="4">
        <f t="shared" si="0"/>
        <v>4</v>
      </c>
      <c r="B6" s="53" t="s">
        <v>7</v>
      </c>
      <c r="C6" s="60" t="s">
        <v>123</v>
      </c>
      <c r="D6" s="121">
        <v>0.44</v>
      </c>
      <c r="E6" s="86"/>
    </row>
    <row r="7" spans="1:5" s="53" customFormat="1">
      <c r="A7" s="52">
        <f t="shared" si="0"/>
        <v>5</v>
      </c>
      <c r="B7" s="53" t="s">
        <v>172</v>
      </c>
      <c r="C7" s="60"/>
      <c r="D7" s="125">
        <v>1.1211583944883818</v>
      </c>
      <c r="E7" s="86"/>
    </row>
    <row r="8" spans="1:5">
      <c r="A8" s="52">
        <f t="shared" si="0"/>
        <v>6</v>
      </c>
      <c r="B8" s="38" t="s">
        <v>8</v>
      </c>
      <c r="C8" s="77" t="s">
        <v>9</v>
      </c>
      <c r="D8" s="120">
        <v>72.916105807304191</v>
      </c>
      <c r="E8" s="86"/>
    </row>
    <row r="9" spans="1:5">
      <c r="A9" s="4"/>
      <c r="B9" s="38"/>
      <c r="C9" s="38"/>
      <c r="D9" s="122"/>
      <c r="E9" s="86"/>
    </row>
    <row r="10" spans="1:5" ht="15" customHeight="1">
      <c r="A10" s="52">
        <f t="shared" si="0"/>
        <v>7</v>
      </c>
      <c r="B10" s="53" t="s">
        <v>137</v>
      </c>
      <c r="C10" s="38" t="s">
        <v>148</v>
      </c>
      <c r="D10" s="120">
        <v>13.7</v>
      </c>
      <c r="E10" s="86"/>
    </row>
    <row r="11" spans="1:5" ht="15" customHeight="1">
      <c r="A11" s="52">
        <f t="shared" si="0"/>
        <v>8</v>
      </c>
      <c r="B11" s="38" t="s">
        <v>94</v>
      </c>
      <c r="C11" s="60" t="s">
        <v>93</v>
      </c>
      <c r="D11" s="54">
        <f>D8+D10</f>
        <v>86.616105807304194</v>
      </c>
      <c r="E11" s="86"/>
    </row>
    <row r="12" spans="1:5">
      <c r="A12" s="4"/>
      <c r="B12" s="38"/>
      <c r="C12" s="38"/>
      <c r="D12" s="123"/>
      <c r="E12" s="86"/>
    </row>
    <row r="13" spans="1:5">
      <c r="A13" s="4">
        <f>IF(A12=0, A11+1, A12+1)</f>
        <v>9</v>
      </c>
      <c r="B13" s="38" t="s">
        <v>109</v>
      </c>
      <c r="C13" s="77" t="s">
        <v>148</v>
      </c>
      <c r="D13" s="120">
        <v>72.36</v>
      </c>
      <c r="E13" s="86"/>
    </row>
    <row r="14" spans="1:5" s="38" customFormat="1">
      <c r="A14" s="52">
        <f t="shared" ref="A14:A15" si="1">IF(A13=0, A12+1, A13+1)</f>
        <v>10</v>
      </c>
      <c r="B14" s="38" t="s">
        <v>102</v>
      </c>
      <c r="C14" s="77" t="s">
        <v>148</v>
      </c>
      <c r="D14" s="120">
        <v>76.320000000000007</v>
      </c>
      <c r="E14" s="86"/>
    </row>
    <row r="15" spans="1:5" s="38" customFormat="1">
      <c r="A15" s="52">
        <f t="shared" si="1"/>
        <v>11</v>
      </c>
      <c r="B15" s="38" t="s">
        <v>95</v>
      </c>
      <c r="C15" s="77" t="s">
        <v>148</v>
      </c>
      <c r="D15" s="120">
        <v>76.92</v>
      </c>
      <c r="E15" s="86"/>
    </row>
    <row r="16" spans="1:5">
      <c r="A16" s="4"/>
      <c r="B16" s="38"/>
      <c r="C16" s="77"/>
      <c r="D16" s="54"/>
      <c r="E16" s="86"/>
    </row>
    <row r="17" spans="1:5">
      <c r="A17" s="52">
        <v>12</v>
      </c>
      <c r="B17" s="53" t="s">
        <v>153</v>
      </c>
      <c r="C17" s="60"/>
      <c r="D17" s="124">
        <v>0</v>
      </c>
      <c r="E17" s="86"/>
    </row>
    <row r="18" spans="1:5" s="53" customFormat="1" ht="17.25">
      <c r="A18" s="52">
        <v>13</v>
      </c>
      <c r="B18" s="53" t="s">
        <v>159</v>
      </c>
      <c r="C18" s="60"/>
      <c r="D18" s="124">
        <v>1.0016099999999999</v>
      </c>
      <c r="E18" s="86"/>
    </row>
    <row r="19" spans="1:5">
      <c r="A19" s="4"/>
      <c r="C19" s="38"/>
      <c r="D19" s="122"/>
    </row>
    <row r="20" spans="1:5" ht="17.25">
      <c r="B20" t="s">
        <v>166</v>
      </c>
    </row>
  </sheetData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"/>
  <sheetViews>
    <sheetView workbookViewId="0">
      <pane xSplit="2" ySplit="5" topLeftCell="C6" activePane="bottomRight" state="frozen"/>
      <selection activeCell="A55" sqref="A55"/>
      <selection pane="topRight" activeCell="A55" sqref="A55"/>
      <selection pane="bottomLeft" activeCell="A55" sqref="A55"/>
      <selection pane="bottomRight" activeCell="C11" sqref="C11:Z12"/>
    </sheetView>
  </sheetViews>
  <sheetFormatPr defaultRowHeight="15"/>
  <cols>
    <col min="1" max="1" width="3.5703125" bestFit="1" customWidth="1"/>
    <col min="2" max="2" width="55.7109375" customWidth="1"/>
    <col min="3" max="3" width="11.28515625" bestFit="1" customWidth="1"/>
    <col min="4" max="4" width="11.28515625" customWidth="1"/>
    <col min="5" max="5" width="13.7109375" bestFit="1" customWidth="1"/>
    <col min="6" max="12" width="13.7109375" customWidth="1"/>
    <col min="13" max="16" width="12.28515625" bestFit="1" customWidth="1"/>
    <col min="17" max="17" width="13.28515625" bestFit="1" customWidth="1"/>
    <col min="18" max="22" width="13.7109375" bestFit="1" customWidth="1"/>
    <col min="23" max="23" width="12.28515625" style="53" bestFit="1" customWidth="1"/>
    <col min="24" max="24" width="12.28515625" bestFit="1" customWidth="1"/>
    <col min="25" max="25" width="11.28515625" customWidth="1"/>
    <col min="26" max="26" width="11.5703125" bestFit="1" customWidth="1"/>
  </cols>
  <sheetData>
    <row r="1" spans="1:26" s="53" customForma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6" s="53" customForma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4" spans="1:26">
      <c r="C4" s="5"/>
      <c r="D4" s="5"/>
    </row>
    <row r="5" spans="1:26" ht="30">
      <c r="C5" s="35" t="s">
        <v>13</v>
      </c>
      <c r="D5" s="41" t="s">
        <v>56</v>
      </c>
      <c r="E5" s="41" t="s">
        <v>51</v>
      </c>
      <c r="F5" s="35">
        <v>2002</v>
      </c>
      <c r="G5" s="35">
        <v>2003</v>
      </c>
      <c r="H5" s="35">
        <v>2004</v>
      </c>
      <c r="I5" s="35">
        <v>2005</v>
      </c>
      <c r="J5" s="35">
        <v>2006</v>
      </c>
      <c r="K5" s="35">
        <v>2007</v>
      </c>
      <c r="L5" s="35">
        <v>2008</v>
      </c>
      <c r="M5" s="2">
        <v>2009</v>
      </c>
      <c r="N5" s="2">
        <v>2010</v>
      </c>
      <c r="O5" s="2">
        <v>2011</v>
      </c>
      <c r="P5" s="2">
        <v>2012</v>
      </c>
      <c r="Q5" s="2">
        <v>2013</v>
      </c>
      <c r="R5" s="2">
        <v>2014</v>
      </c>
      <c r="S5" s="2">
        <v>2015</v>
      </c>
      <c r="T5" s="2">
        <v>2016</v>
      </c>
      <c r="U5" s="2">
        <v>2017</v>
      </c>
      <c r="V5" s="2">
        <v>2018</v>
      </c>
      <c r="W5" s="2">
        <v>2019</v>
      </c>
      <c r="X5" s="2">
        <f>+W5+1</f>
        <v>2020</v>
      </c>
      <c r="Y5" s="2">
        <v>2021</v>
      </c>
      <c r="Z5" s="2">
        <v>2022</v>
      </c>
    </row>
    <row r="6" spans="1:26">
      <c r="A6" s="4"/>
      <c r="B6" s="6" t="s">
        <v>48</v>
      </c>
    </row>
    <row r="7" spans="1:26">
      <c r="A7" s="4">
        <v>1</v>
      </c>
      <c r="B7" t="s">
        <v>58</v>
      </c>
      <c r="C7" s="118">
        <v>29677.733152656005</v>
      </c>
      <c r="D7" s="118">
        <v>1415</v>
      </c>
      <c r="E7" s="118">
        <v>0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spans="1:26">
      <c r="A8" s="52">
        <f>A7+1</f>
        <v>2</v>
      </c>
      <c r="B8" s="7" t="s">
        <v>57</v>
      </c>
      <c r="C8" s="37">
        <v>29677.733152656005</v>
      </c>
      <c r="D8" s="37">
        <v>31092.733152656005</v>
      </c>
      <c r="E8" s="37">
        <v>31092.733152656005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1:26">
      <c r="A9" s="4"/>
      <c r="B9" s="66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>
      <c r="A10" s="4"/>
      <c r="B10" s="2" t="s">
        <v>11</v>
      </c>
      <c r="H10" s="38"/>
    </row>
    <row r="11" spans="1:26">
      <c r="A11" s="4">
        <f>A8+1</f>
        <v>3</v>
      </c>
      <c r="B11" t="s">
        <v>140</v>
      </c>
      <c r="C11" s="23">
        <v>237.58068989164011</v>
      </c>
      <c r="D11" s="23">
        <v>0</v>
      </c>
      <c r="E11" s="23">
        <v>0</v>
      </c>
      <c r="F11" s="23">
        <v>0</v>
      </c>
      <c r="G11" s="23">
        <v>0</v>
      </c>
      <c r="H11" s="23">
        <v>1806.5468750989151</v>
      </c>
      <c r="I11" s="23">
        <v>306.59902</v>
      </c>
      <c r="J11" s="23">
        <v>238.77937080000001</v>
      </c>
      <c r="K11" s="23">
        <v>640.97262055570036</v>
      </c>
      <c r="L11" s="23">
        <v>11.424999999999955</v>
      </c>
      <c r="M11" s="23">
        <v>44.070873172620168</v>
      </c>
      <c r="N11" s="23">
        <v>540.42797776956195</v>
      </c>
      <c r="O11" s="23">
        <v>2489.3124968410239</v>
      </c>
      <c r="P11" s="23">
        <v>1070.1918147540007</v>
      </c>
      <c r="Q11" s="23">
        <v>66.024669099999997</v>
      </c>
      <c r="R11" s="23">
        <v>26.843537160000125</v>
      </c>
      <c r="S11" s="23">
        <v>0</v>
      </c>
      <c r="T11" s="23">
        <v>0</v>
      </c>
      <c r="U11" s="23">
        <v>218.48410499999994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</row>
    <row r="12" spans="1:26" s="38" customFormat="1">
      <c r="A12" s="52">
        <f>A11+1</f>
        <v>4</v>
      </c>
      <c r="B12" s="38" t="s">
        <v>139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102.77415545294717</v>
      </c>
      <c r="I12" s="23">
        <v>205.54564269234979</v>
      </c>
      <c r="J12" s="23">
        <v>160.07898274678408</v>
      </c>
      <c r="K12" s="23">
        <v>0</v>
      </c>
      <c r="L12" s="23">
        <v>301.85776894857173</v>
      </c>
      <c r="M12" s="23">
        <v>397.03014311831203</v>
      </c>
      <c r="N12" s="23">
        <v>360.03264276366752</v>
      </c>
      <c r="O12" s="23">
        <v>1296.4178150279818</v>
      </c>
      <c r="P12" s="23">
        <v>719.90832590017419</v>
      </c>
      <c r="Q12" s="23">
        <v>55.414082939993584</v>
      </c>
      <c r="R12" s="23">
        <v>17.996052621721361</v>
      </c>
      <c r="S12" s="23">
        <v>0</v>
      </c>
      <c r="T12" s="23">
        <v>0</v>
      </c>
      <c r="U12" s="23">
        <v>146.47292669196341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</row>
    <row r="13" spans="1:26">
      <c r="A13" s="52">
        <f>A12+1</f>
        <v>5</v>
      </c>
      <c r="B13" s="7" t="s">
        <v>12</v>
      </c>
      <c r="C13" s="46">
        <v>237.58068989164011</v>
      </c>
      <c r="D13" s="46">
        <v>237.58068989164011</v>
      </c>
      <c r="E13" s="46">
        <v>237.58068989164011</v>
      </c>
      <c r="F13" s="46">
        <v>237.58068989164011</v>
      </c>
      <c r="G13" s="46">
        <v>237.58068989164011</v>
      </c>
      <c r="H13" s="46">
        <v>2146.9017204435022</v>
      </c>
      <c r="I13" s="46">
        <v>2659.046383135852</v>
      </c>
      <c r="J13" s="46">
        <v>3057.9047366826362</v>
      </c>
      <c r="K13" s="46">
        <v>3698.8773572383366</v>
      </c>
      <c r="L13" s="46">
        <v>4012.1601261869082</v>
      </c>
      <c r="M13" s="46">
        <v>4453.2611424778406</v>
      </c>
      <c r="N13" s="46">
        <v>5353.7217630110699</v>
      </c>
      <c r="O13" s="46">
        <v>9139.4520748800751</v>
      </c>
      <c r="P13" s="46">
        <v>10929.55221553425</v>
      </c>
      <c r="Q13" s="46">
        <v>11050.990967574242</v>
      </c>
      <c r="R13" s="46">
        <v>11095.830557355965</v>
      </c>
      <c r="S13" s="46">
        <v>11095.830557355965</v>
      </c>
      <c r="T13" s="46">
        <v>11095.830557355965</v>
      </c>
      <c r="U13" s="46">
        <v>11460.787589047928</v>
      </c>
      <c r="V13" s="46">
        <v>11460.787589047928</v>
      </c>
      <c r="W13" s="46">
        <v>11460.787589047928</v>
      </c>
      <c r="X13" s="46">
        <v>11460.787589047928</v>
      </c>
      <c r="Y13" s="46">
        <v>11460.787589047928</v>
      </c>
      <c r="Z13" s="46">
        <v>11460.787589047928</v>
      </c>
    </row>
    <row r="14" spans="1:26">
      <c r="B14" s="66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>
      <c r="A15" s="4"/>
      <c r="B15" s="2" t="s">
        <v>49</v>
      </c>
      <c r="C15" s="23"/>
      <c r="D15" s="23"/>
      <c r="E15" s="23"/>
      <c r="F15" s="23"/>
      <c r="G15" s="23"/>
      <c r="H15" s="51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6" s="38" customFormat="1">
      <c r="A16" s="55">
        <f>A13+1</f>
        <v>6</v>
      </c>
      <c r="B16" s="38" t="s">
        <v>90</v>
      </c>
      <c r="C16" s="51">
        <v>101.89999999999998</v>
      </c>
      <c r="D16" s="51">
        <v>0</v>
      </c>
      <c r="E16" s="51">
        <v>0</v>
      </c>
      <c r="F16" s="51">
        <v>0</v>
      </c>
      <c r="G16" s="51">
        <v>0</v>
      </c>
      <c r="H16" s="51">
        <v>640.15166666666653</v>
      </c>
      <c r="I16" s="51">
        <v>32.224999999999994</v>
      </c>
      <c r="J16" s="51">
        <v>19.807500000000001</v>
      </c>
      <c r="K16" s="51">
        <v>419.25</v>
      </c>
      <c r="L16" s="51">
        <v>44</v>
      </c>
      <c r="M16" s="51">
        <v>98.1</v>
      </c>
      <c r="N16" s="51">
        <v>92.369166666666672</v>
      </c>
      <c r="O16" s="51">
        <v>203.31083333333333</v>
      </c>
      <c r="P16" s="51">
        <v>51.525100000000009</v>
      </c>
      <c r="Q16" s="51">
        <v>5.6591666666666658</v>
      </c>
      <c r="R16" s="51">
        <v>2.46</v>
      </c>
      <c r="S16" s="51">
        <v>0</v>
      </c>
      <c r="T16" s="51">
        <v>0</v>
      </c>
      <c r="U16" s="51">
        <v>0</v>
      </c>
      <c r="V16" s="51">
        <v>468.60000000000014</v>
      </c>
      <c r="W16" s="51">
        <v>0</v>
      </c>
      <c r="X16" s="51">
        <v>0</v>
      </c>
      <c r="Y16" s="51">
        <v>0</v>
      </c>
      <c r="Z16" s="51">
        <v>0</v>
      </c>
    </row>
    <row r="17" spans="1:26" s="38" customFormat="1">
      <c r="A17" s="55">
        <f t="shared" ref="A17:A20" si="0">A16+1</f>
        <v>7</v>
      </c>
      <c r="B17" s="63" t="s">
        <v>91</v>
      </c>
      <c r="C17" s="51">
        <v>52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26.716666666666665</v>
      </c>
      <c r="J17" s="51">
        <v>0</v>
      </c>
      <c r="K17" s="51">
        <v>0</v>
      </c>
      <c r="L17" s="51">
        <v>0</v>
      </c>
      <c r="M17" s="51">
        <v>0</v>
      </c>
      <c r="N17" s="51">
        <v>1.4341666666666668</v>
      </c>
      <c r="O17" s="51">
        <v>49.674999999999997</v>
      </c>
      <c r="P17" s="51">
        <v>18.755100000000002</v>
      </c>
      <c r="Q17" s="51">
        <v>5.6591666666666658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</row>
    <row r="18" spans="1:26" s="38" customFormat="1">
      <c r="A18" s="55">
        <f t="shared" si="0"/>
        <v>8</v>
      </c>
      <c r="B18" s="63" t="s">
        <v>100</v>
      </c>
      <c r="C18" s="51">
        <v>49.899999999999984</v>
      </c>
      <c r="D18" s="51">
        <v>0</v>
      </c>
      <c r="E18" s="51">
        <v>0</v>
      </c>
      <c r="F18" s="51">
        <v>0</v>
      </c>
      <c r="G18" s="51">
        <v>0</v>
      </c>
      <c r="H18" s="51">
        <v>640.15166666666653</v>
      </c>
      <c r="I18" s="51">
        <v>5.5083333333333329</v>
      </c>
      <c r="J18" s="51">
        <v>19.807500000000001</v>
      </c>
      <c r="K18" s="51">
        <v>0</v>
      </c>
      <c r="L18" s="51">
        <v>44</v>
      </c>
      <c r="M18" s="51">
        <v>98.1</v>
      </c>
      <c r="N18" s="51">
        <v>90.935000000000002</v>
      </c>
      <c r="O18" s="51">
        <v>153.63583333333335</v>
      </c>
      <c r="P18" s="51">
        <v>32.770000000000003</v>
      </c>
      <c r="Q18" s="51">
        <v>0</v>
      </c>
      <c r="R18" s="51">
        <v>2.46</v>
      </c>
      <c r="S18" s="51">
        <v>0</v>
      </c>
      <c r="T18" s="51">
        <v>0</v>
      </c>
      <c r="U18" s="51">
        <v>0</v>
      </c>
      <c r="V18" s="51">
        <v>468.60000000000014</v>
      </c>
      <c r="W18" s="51">
        <v>0</v>
      </c>
      <c r="X18" s="51">
        <v>0</v>
      </c>
      <c r="Y18" s="51">
        <v>0</v>
      </c>
      <c r="Z18" s="51">
        <v>0</v>
      </c>
    </row>
    <row r="19" spans="1:26" s="38" customFormat="1">
      <c r="A19" s="55">
        <f t="shared" si="0"/>
        <v>9</v>
      </c>
      <c r="B19" s="63" t="s">
        <v>92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419.25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</row>
    <row r="20" spans="1:26" s="38" customFormat="1">
      <c r="A20" s="55">
        <f t="shared" si="0"/>
        <v>10</v>
      </c>
      <c r="B20" s="7" t="s">
        <v>50</v>
      </c>
      <c r="C20" s="46">
        <v>101.89999999999998</v>
      </c>
      <c r="D20" s="46">
        <v>101.89999999999998</v>
      </c>
      <c r="E20" s="46">
        <v>101.89999999999998</v>
      </c>
      <c r="F20" s="46">
        <v>101.89999999999998</v>
      </c>
      <c r="G20" s="46">
        <v>101.89999999999998</v>
      </c>
      <c r="H20" s="46">
        <v>742.05166666666651</v>
      </c>
      <c r="I20" s="46">
        <v>774.27666666666653</v>
      </c>
      <c r="J20" s="46">
        <v>794.08416666666653</v>
      </c>
      <c r="K20" s="46">
        <v>1213.3341666666665</v>
      </c>
      <c r="L20" s="46">
        <v>1257.3341666666665</v>
      </c>
      <c r="M20" s="46">
        <v>1355.4341666666664</v>
      </c>
      <c r="N20" s="46">
        <v>1447.8033333333331</v>
      </c>
      <c r="O20" s="46">
        <v>1651.1141666666663</v>
      </c>
      <c r="P20" s="46">
        <v>1702.6392666666663</v>
      </c>
      <c r="Q20" s="46">
        <v>1708.2984333333329</v>
      </c>
      <c r="R20" s="46">
        <v>1710.758433333333</v>
      </c>
      <c r="S20" s="46">
        <v>1710.758433333333</v>
      </c>
      <c r="T20" s="46">
        <v>1710.758433333333</v>
      </c>
      <c r="U20" s="46">
        <v>1710.758433333333</v>
      </c>
      <c r="V20" s="46">
        <v>2179.3584333333329</v>
      </c>
      <c r="W20" s="46">
        <v>2179.3584333333329</v>
      </c>
      <c r="X20" s="46">
        <v>2179.3584333333329</v>
      </c>
      <c r="Y20" s="46">
        <v>2179.3584333333329</v>
      </c>
      <c r="Z20" s="46">
        <v>2179.3584333333329</v>
      </c>
    </row>
    <row r="21" spans="1:26" s="38" customFormat="1">
      <c r="A21" s="55"/>
      <c r="B21" s="66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s="38" customFormat="1">
      <c r="A22" s="55"/>
      <c r="B22" s="62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6">
      <c r="A23" s="55"/>
      <c r="B23" s="7"/>
    </row>
    <row r="25" spans="1:26">
      <c r="A25" s="38"/>
      <c r="B25" s="60"/>
      <c r="Q25" s="46"/>
    </row>
    <row r="26" spans="1:26">
      <c r="B26" s="39"/>
      <c r="Q26" s="46"/>
    </row>
    <row r="27" spans="1:26">
      <c r="Q27" s="46"/>
    </row>
    <row r="28" spans="1:26">
      <c r="Q28" s="45"/>
    </row>
  </sheetData>
  <mergeCells count="2">
    <mergeCell ref="A1:X1"/>
    <mergeCell ref="A2:X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5E34A-F9F6-4A23-A132-FF3EBD5D4BE9}">
  <dimension ref="A1:AP65"/>
  <sheetViews>
    <sheetView zoomScaleNormal="100" workbookViewId="0">
      <pane xSplit="5" ySplit="3" topLeftCell="R22" activePane="bottomRight" state="frozen"/>
      <selection activeCell="D37" sqref="D37"/>
      <selection pane="topRight" activeCell="D37" sqref="D37"/>
      <selection pane="bottomLeft" activeCell="D37" sqref="D37"/>
      <selection pane="bottomRight" activeCell="AD42" sqref="AD42"/>
    </sheetView>
  </sheetViews>
  <sheetFormatPr defaultColWidth="9.28515625" defaultRowHeight="12.75"/>
  <cols>
    <col min="1" max="1" width="5.5703125" style="8" customWidth="1"/>
    <col min="2" max="2" width="19.28515625" style="8" customWidth="1"/>
    <col min="3" max="3" width="25.5703125" style="8" customWidth="1"/>
    <col min="4" max="4" width="27.42578125" style="12" customWidth="1"/>
    <col min="5" max="5" width="9.7109375" style="8" bestFit="1" customWidth="1"/>
    <col min="6" max="6" width="12.7109375" style="8" bestFit="1" customWidth="1"/>
    <col min="7" max="10" width="12.7109375" style="8" customWidth="1"/>
    <col min="11" max="11" width="14.28515625" style="8" customWidth="1"/>
    <col min="12" max="13" width="12.7109375" style="8" customWidth="1"/>
    <col min="14" max="14" width="14" style="8" bestFit="1" customWidth="1"/>
    <col min="15" max="15" width="14" style="8" customWidth="1"/>
    <col min="16" max="17" width="13.7109375" style="8" bestFit="1" customWidth="1"/>
    <col min="18" max="20" width="13.7109375" style="8" customWidth="1"/>
    <col min="21" max="21" width="14" style="8" bestFit="1" customWidth="1"/>
    <col min="22" max="25" width="12.42578125" style="8" bestFit="1" customWidth="1"/>
    <col min="26" max="27" width="13.7109375" style="8" bestFit="1" customWidth="1"/>
    <col min="28" max="29" width="13.7109375" style="8" customWidth="1"/>
    <col min="30" max="30" width="10.28515625" style="8" bestFit="1" customWidth="1"/>
    <col min="31" max="16384" width="9.28515625" style="8"/>
  </cols>
  <sheetData>
    <row r="1" spans="1:30" s="53" customFormat="1" ht="1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30" s="53" customFormat="1" ht="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30" ht="26.25">
      <c r="A3" s="59" t="s">
        <v>3</v>
      </c>
      <c r="B3" s="9"/>
      <c r="C3" s="9" t="s">
        <v>0</v>
      </c>
      <c r="D3" s="10" t="s">
        <v>14</v>
      </c>
      <c r="E3" s="8" t="s">
        <v>15</v>
      </c>
      <c r="F3" s="11" t="s">
        <v>16</v>
      </c>
      <c r="G3" s="40" t="s">
        <v>56</v>
      </c>
      <c r="H3" s="41" t="s">
        <v>51</v>
      </c>
      <c r="I3" s="35">
        <v>2002</v>
      </c>
      <c r="J3" s="35">
        <v>2003</v>
      </c>
      <c r="K3" s="35">
        <v>2004</v>
      </c>
      <c r="L3" s="35">
        <v>2005</v>
      </c>
      <c r="M3" s="35">
        <v>2006</v>
      </c>
      <c r="N3" s="35">
        <v>2007</v>
      </c>
      <c r="O3" s="35">
        <v>2008</v>
      </c>
      <c r="P3" s="11">
        <v>2009</v>
      </c>
      <c r="Q3" s="11">
        <v>2010</v>
      </c>
      <c r="R3" s="11">
        <v>2011</v>
      </c>
      <c r="S3" s="11">
        <v>2012</v>
      </c>
      <c r="T3" s="11">
        <v>2013</v>
      </c>
      <c r="U3" s="11">
        <v>2014</v>
      </c>
      <c r="V3" s="11">
        <v>2015</v>
      </c>
      <c r="W3" s="11">
        <v>2016</v>
      </c>
      <c r="X3" s="11">
        <v>2017</v>
      </c>
      <c r="Y3" s="11">
        <v>2018</v>
      </c>
      <c r="Z3" s="11">
        <v>2019</v>
      </c>
      <c r="AA3" s="11">
        <f>+Z3+1</f>
        <v>2020</v>
      </c>
      <c r="AB3" s="11">
        <v>2021</v>
      </c>
      <c r="AC3" s="11">
        <v>2022</v>
      </c>
    </row>
    <row r="4" spans="1:30" ht="6" customHeight="1"/>
    <row r="5" spans="1:30">
      <c r="A5" s="13"/>
      <c r="B5" s="14" t="s">
        <v>10</v>
      </c>
      <c r="C5" s="9"/>
      <c r="D5" s="10"/>
      <c r="E5" s="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30">
      <c r="A6" s="13"/>
      <c r="B6" s="14"/>
      <c r="C6" s="9"/>
      <c r="D6" s="10"/>
      <c r="E6" s="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0">
      <c r="A7" s="13">
        <v>1</v>
      </c>
      <c r="B7" s="13"/>
      <c r="C7" s="8" t="s">
        <v>71</v>
      </c>
      <c r="D7" s="12" t="s">
        <v>121</v>
      </c>
      <c r="E7" s="16" t="s">
        <v>17</v>
      </c>
      <c r="F7" s="61">
        <f>'IOU Total Portfolio Summary'!C7</f>
        <v>29677.733152656005</v>
      </c>
      <c r="G7" s="61">
        <f>'IOU Total Portfolio Summary'!D7</f>
        <v>1415</v>
      </c>
      <c r="H7" s="61">
        <f>'IOU Total Portfolio Summary'!E7</f>
        <v>0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</row>
    <row r="8" spans="1:30">
      <c r="A8" s="13"/>
      <c r="B8" s="13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30">
      <c r="A9" s="13">
        <f>IF(A8=0, A7+1, A8+1)</f>
        <v>2</v>
      </c>
      <c r="B9" s="13"/>
      <c r="C9" s="80" t="s">
        <v>138</v>
      </c>
      <c r="D9" s="81" t="s">
        <v>119</v>
      </c>
      <c r="E9" s="16" t="s">
        <v>18</v>
      </c>
      <c r="F9" s="17">
        <f>'IOU Total Portfolio Summary'!C11</f>
        <v>237.58068989164011</v>
      </c>
      <c r="G9" s="17">
        <f>'IOU Total Portfolio Summary'!D11</f>
        <v>0</v>
      </c>
      <c r="H9" s="17">
        <f>'IOU Total Portfolio Summary'!E11</f>
        <v>0</v>
      </c>
      <c r="I9" s="17">
        <f>'IOU Total Portfolio Summary'!F11</f>
        <v>0</v>
      </c>
      <c r="J9" s="17">
        <f>'IOU Total Portfolio Summary'!G11</f>
        <v>0</v>
      </c>
      <c r="K9" s="17">
        <f>'IOU Total Portfolio Summary'!H11</f>
        <v>1806.5468750989151</v>
      </c>
      <c r="L9" s="17">
        <f>'IOU Total Portfolio Summary'!I11</f>
        <v>306.59902</v>
      </c>
      <c r="M9" s="17">
        <f>'IOU Total Portfolio Summary'!J11</f>
        <v>238.77937080000001</v>
      </c>
      <c r="N9" s="17">
        <f>'IOU Total Portfolio Summary'!K11</f>
        <v>640.97262055570036</v>
      </c>
      <c r="O9" s="17">
        <f>'IOU Total Portfolio Summary'!L11</f>
        <v>11.424999999999955</v>
      </c>
      <c r="P9" s="17">
        <f>'IOU Total Portfolio Summary'!M11</f>
        <v>44.070873172620168</v>
      </c>
      <c r="Q9" s="17">
        <f>'IOU Total Portfolio Summary'!N11</f>
        <v>540.42797776956195</v>
      </c>
      <c r="R9" s="17">
        <f>'IOU Total Portfolio Summary'!O11</f>
        <v>2489.3124968410239</v>
      </c>
      <c r="S9" s="17">
        <f>'IOU Total Portfolio Summary'!P11</f>
        <v>1070.1918147540007</v>
      </c>
      <c r="T9" s="17">
        <f>'IOU Total Portfolio Summary'!Q11</f>
        <v>66.024669099999997</v>
      </c>
      <c r="U9" s="17">
        <f>'IOU Total Portfolio Summary'!R11</f>
        <v>26.843537160000125</v>
      </c>
      <c r="V9" s="17">
        <f>'IOU Total Portfolio Summary'!S11</f>
        <v>0</v>
      </c>
      <c r="W9" s="17">
        <f>'IOU Total Portfolio Summary'!T11</f>
        <v>0</v>
      </c>
      <c r="X9" s="17">
        <f>'IOU Total Portfolio Summary'!U11</f>
        <v>218.48410499999994</v>
      </c>
      <c r="Y9" s="17">
        <f>'IOU Total Portfolio Summary'!V11</f>
        <v>0</v>
      </c>
      <c r="Z9" s="17">
        <f>'IOU Total Portfolio Summary'!W11</f>
        <v>0</v>
      </c>
      <c r="AA9" s="17">
        <f>'IOU Total Portfolio Summary'!X11</f>
        <v>0</v>
      </c>
      <c r="AB9" s="17">
        <f>'IOU Total Portfolio Summary'!Y11</f>
        <v>0</v>
      </c>
      <c r="AC9" s="17">
        <f>'IOU Total Portfolio Summary'!Z11</f>
        <v>0</v>
      </c>
      <c r="AD9" s="150">
        <f t="shared" ref="AD9:AD13" si="0">SUM(I9:AC9)</f>
        <v>7459.6783602518217</v>
      </c>
    </row>
    <row r="10" spans="1:30">
      <c r="A10" s="13">
        <f t="shared" ref="A10:A13" si="1">IF(A9=0, A8+1, A9+1)</f>
        <v>3</v>
      </c>
      <c r="B10" s="13"/>
      <c r="C10" s="80" t="s">
        <v>139</v>
      </c>
      <c r="D10" s="81" t="s">
        <v>120</v>
      </c>
      <c r="E10" s="16" t="s">
        <v>18</v>
      </c>
      <c r="F10" s="17">
        <f>'IOU Total Portfolio Summary'!C12</f>
        <v>0</v>
      </c>
      <c r="G10" s="17">
        <f>'IOU Total Portfolio Summary'!D12</f>
        <v>0</v>
      </c>
      <c r="H10" s="17">
        <f>'IOU Total Portfolio Summary'!E12</f>
        <v>0</v>
      </c>
      <c r="I10" s="17">
        <f>'IOU Total Portfolio Summary'!F12</f>
        <v>0</v>
      </c>
      <c r="J10" s="17">
        <f>'IOU Total Portfolio Summary'!G12</f>
        <v>0</v>
      </c>
      <c r="K10" s="17">
        <f>'IOU Total Portfolio Summary'!H12</f>
        <v>102.77415545294717</v>
      </c>
      <c r="L10" s="17">
        <f>'IOU Total Portfolio Summary'!I12</f>
        <v>205.54564269234979</v>
      </c>
      <c r="M10" s="17">
        <f>'IOU Total Portfolio Summary'!J12</f>
        <v>160.07898274678408</v>
      </c>
      <c r="N10" s="17">
        <f>'IOU Total Portfolio Summary'!K12</f>
        <v>0</v>
      </c>
      <c r="O10" s="17">
        <f>'IOU Total Portfolio Summary'!L12</f>
        <v>301.85776894857173</v>
      </c>
      <c r="P10" s="17">
        <f>'IOU Total Portfolio Summary'!M12</f>
        <v>397.03014311831203</v>
      </c>
      <c r="Q10" s="17">
        <f>'IOU Total Portfolio Summary'!N12</f>
        <v>360.03264276366752</v>
      </c>
      <c r="R10" s="17">
        <f>'IOU Total Portfolio Summary'!O12</f>
        <v>1296.4178150279818</v>
      </c>
      <c r="S10" s="17">
        <f>'IOU Total Portfolio Summary'!P12</f>
        <v>719.90832590017419</v>
      </c>
      <c r="T10" s="17">
        <f>'IOU Total Portfolio Summary'!Q12</f>
        <v>55.414082939993584</v>
      </c>
      <c r="U10" s="17">
        <f>'IOU Total Portfolio Summary'!R12</f>
        <v>17.996052621721361</v>
      </c>
      <c r="V10" s="17">
        <f>'IOU Total Portfolio Summary'!S12</f>
        <v>0</v>
      </c>
      <c r="W10" s="17">
        <f>'IOU Total Portfolio Summary'!T12</f>
        <v>0</v>
      </c>
      <c r="X10" s="17">
        <f>'IOU Total Portfolio Summary'!U12</f>
        <v>146.47292669196341</v>
      </c>
      <c r="Y10" s="17">
        <f>'IOU Total Portfolio Summary'!V12</f>
        <v>0</v>
      </c>
      <c r="Z10" s="17">
        <f>'IOU Total Portfolio Summary'!W12</f>
        <v>0</v>
      </c>
      <c r="AA10" s="17">
        <f>'IOU Total Portfolio Summary'!X12</f>
        <v>0</v>
      </c>
      <c r="AB10" s="17">
        <f>'IOU Total Portfolio Summary'!Y12</f>
        <v>0</v>
      </c>
      <c r="AC10" s="17">
        <f>'IOU Total Portfolio Summary'!Z12</f>
        <v>0</v>
      </c>
      <c r="AD10" s="150">
        <f t="shared" si="0"/>
        <v>3763.5285389044666</v>
      </c>
    </row>
    <row r="11" spans="1:30">
      <c r="A11" s="13">
        <f t="shared" si="1"/>
        <v>4</v>
      </c>
      <c r="B11" s="13"/>
      <c r="C11" s="80" t="s">
        <v>89</v>
      </c>
      <c r="D11" s="81" t="s">
        <v>124</v>
      </c>
      <c r="E11" s="16" t="s">
        <v>19</v>
      </c>
      <c r="F11" s="17">
        <f>'IOU Total Portfolio Summary'!C17</f>
        <v>52</v>
      </c>
      <c r="G11" s="17">
        <f>'IOU Total Portfolio Summary'!D17</f>
        <v>0</v>
      </c>
      <c r="H11" s="17">
        <f>'IOU Total Portfolio Summary'!E17</f>
        <v>0</v>
      </c>
      <c r="I11" s="17">
        <f>'IOU Total Portfolio Summary'!F17</f>
        <v>0</v>
      </c>
      <c r="J11" s="17">
        <f>'IOU Total Portfolio Summary'!G17</f>
        <v>0</v>
      </c>
      <c r="K11" s="17">
        <f>'IOU Total Portfolio Summary'!H17</f>
        <v>0</v>
      </c>
      <c r="L11" s="17">
        <f>'IOU Total Portfolio Summary'!I17</f>
        <v>26.716666666666665</v>
      </c>
      <c r="M11" s="17">
        <f>'IOU Total Portfolio Summary'!J17</f>
        <v>0</v>
      </c>
      <c r="N11" s="17">
        <f>'IOU Total Portfolio Summary'!K17</f>
        <v>0</v>
      </c>
      <c r="O11" s="17">
        <f>'IOU Total Portfolio Summary'!L17</f>
        <v>0</v>
      </c>
      <c r="P11" s="17">
        <f>'IOU Total Portfolio Summary'!M17</f>
        <v>0</v>
      </c>
      <c r="Q11" s="17">
        <f>'IOU Total Portfolio Summary'!N17</f>
        <v>1.4341666666666668</v>
      </c>
      <c r="R11" s="17">
        <f>'IOU Total Portfolio Summary'!O17</f>
        <v>49.674999999999997</v>
      </c>
      <c r="S11" s="17">
        <f>'IOU Total Portfolio Summary'!P17</f>
        <v>18.755100000000002</v>
      </c>
      <c r="T11" s="17">
        <f>'IOU Total Portfolio Summary'!Q17</f>
        <v>5.6591666666666658</v>
      </c>
      <c r="U11" s="17">
        <f>'IOU Total Portfolio Summary'!R17</f>
        <v>0</v>
      </c>
      <c r="V11" s="17">
        <f>'IOU Total Portfolio Summary'!S17</f>
        <v>0</v>
      </c>
      <c r="W11" s="17">
        <f>'IOU Total Portfolio Summary'!T17</f>
        <v>0</v>
      </c>
      <c r="X11" s="17">
        <f>'IOU Total Portfolio Summary'!U17</f>
        <v>0</v>
      </c>
      <c r="Y11" s="17">
        <f>'IOU Total Portfolio Summary'!V17</f>
        <v>0</v>
      </c>
      <c r="Z11" s="17">
        <f>'IOU Total Portfolio Summary'!W17</f>
        <v>0</v>
      </c>
      <c r="AA11" s="17">
        <f>'IOU Total Portfolio Summary'!X17</f>
        <v>0</v>
      </c>
      <c r="AB11" s="17">
        <f>'IOU Total Portfolio Summary'!Y17</f>
        <v>0</v>
      </c>
      <c r="AC11" s="17">
        <f>'IOU Total Portfolio Summary'!Z17</f>
        <v>0</v>
      </c>
      <c r="AD11" s="150">
        <f t="shared" si="0"/>
        <v>102.24009999999998</v>
      </c>
    </row>
    <row r="12" spans="1:30">
      <c r="A12" s="13">
        <f t="shared" si="1"/>
        <v>5</v>
      </c>
      <c r="B12" s="13"/>
      <c r="C12" s="80" t="s">
        <v>101</v>
      </c>
      <c r="D12" s="81" t="s">
        <v>125</v>
      </c>
      <c r="E12" s="16" t="s">
        <v>19</v>
      </c>
      <c r="F12" s="17">
        <f>'IOU Total Portfolio Summary'!C18</f>
        <v>49.899999999999984</v>
      </c>
      <c r="G12" s="17">
        <f>'IOU Total Portfolio Summary'!D18</f>
        <v>0</v>
      </c>
      <c r="H12" s="17">
        <f>'IOU Total Portfolio Summary'!E18</f>
        <v>0</v>
      </c>
      <c r="I12" s="17">
        <f>'IOU Total Portfolio Summary'!F18</f>
        <v>0</v>
      </c>
      <c r="J12" s="17">
        <f>'IOU Total Portfolio Summary'!G18</f>
        <v>0</v>
      </c>
      <c r="K12" s="17">
        <f>'IOU Total Portfolio Summary'!H18</f>
        <v>640.15166666666653</v>
      </c>
      <c r="L12" s="17">
        <f>'IOU Total Portfolio Summary'!I18</f>
        <v>5.5083333333333329</v>
      </c>
      <c r="M12" s="17">
        <f>'IOU Total Portfolio Summary'!J18</f>
        <v>19.807500000000001</v>
      </c>
      <c r="N12" s="17">
        <f>'IOU Total Portfolio Summary'!K18</f>
        <v>0</v>
      </c>
      <c r="O12" s="17">
        <f>'IOU Total Portfolio Summary'!L18</f>
        <v>44</v>
      </c>
      <c r="P12" s="17">
        <f>'IOU Total Portfolio Summary'!M18</f>
        <v>98.1</v>
      </c>
      <c r="Q12" s="17">
        <f>'IOU Total Portfolio Summary'!N18</f>
        <v>90.935000000000002</v>
      </c>
      <c r="R12" s="17">
        <f>'IOU Total Portfolio Summary'!O18</f>
        <v>153.63583333333335</v>
      </c>
      <c r="S12" s="17">
        <f>'IOU Total Portfolio Summary'!P18</f>
        <v>32.770000000000003</v>
      </c>
      <c r="T12" s="17">
        <f>'IOU Total Portfolio Summary'!Q18</f>
        <v>0</v>
      </c>
      <c r="U12" s="17">
        <f>'IOU Total Portfolio Summary'!R18</f>
        <v>2.46</v>
      </c>
      <c r="V12" s="17">
        <f>'IOU Total Portfolio Summary'!S18</f>
        <v>0</v>
      </c>
      <c r="W12" s="17">
        <f>'IOU Total Portfolio Summary'!T18</f>
        <v>0</v>
      </c>
      <c r="X12" s="17">
        <f>'IOU Total Portfolio Summary'!U18</f>
        <v>0</v>
      </c>
      <c r="Y12" s="17">
        <f>'IOU Total Portfolio Summary'!V18</f>
        <v>468.60000000000014</v>
      </c>
      <c r="Z12" s="17">
        <f>'IOU Total Portfolio Summary'!W18</f>
        <v>0</v>
      </c>
      <c r="AA12" s="17">
        <f>'IOU Total Portfolio Summary'!X18</f>
        <v>0</v>
      </c>
      <c r="AB12" s="17">
        <f>'IOU Total Portfolio Summary'!Y18</f>
        <v>0</v>
      </c>
      <c r="AC12" s="17">
        <f>'IOU Total Portfolio Summary'!Z18</f>
        <v>0</v>
      </c>
      <c r="AD12" s="150">
        <f t="shared" si="0"/>
        <v>1555.9683333333332</v>
      </c>
    </row>
    <row r="13" spans="1:30">
      <c r="A13" s="13">
        <f t="shared" si="1"/>
        <v>6</v>
      </c>
      <c r="B13" s="13"/>
      <c r="C13" s="80" t="s">
        <v>88</v>
      </c>
      <c r="D13" s="81" t="s">
        <v>126</v>
      </c>
      <c r="E13" s="16" t="s">
        <v>19</v>
      </c>
      <c r="F13" s="17">
        <f>'IOU Total Portfolio Summary'!C19</f>
        <v>0</v>
      </c>
      <c r="G13" s="17">
        <f>'IOU Total Portfolio Summary'!D19</f>
        <v>0</v>
      </c>
      <c r="H13" s="17">
        <f>'IOU Total Portfolio Summary'!E19</f>
        <v>0</v>
      </c>
      <c r="I13" s="17">
        <f>'IOU Total Portfolio Summary'!F19</f>
        <v>0</v>
      </c>
      <c r="J13" s="17">
        <f>'IOU Total Portfolio Summary'!G19</f>
        <v>0</v>
      </c>
      <c r="K13" s="17">
        <f>'IOU Total Portfolio Summary'!H19</f>
        <v>0</v>
      </c>
      <c r="L13" s="17">
        <f>'IOU Total Portfolio Summary'!I19</f>
        <v>0</v>
      </c>
      <c r="M13" s="17">
        <f>'IOU Total Portfolio Summary'!J19</f>
        <v>0</v>
      </c>
      <c r="N13" s="17">
        <f>'IOU Total Portfolio Summary'!K19</f>
        <v>419.25</v>
      </c>
      <c r="O13" s="17">
        <f>'IOU Total Portfolio Summary'!L19</f>
        <v>0</v>
      </c>
      <c r="P13" s="17">
        <f>'IOU Total Portfolio Summary'!M19</f>
        <v>0</v>
      </c>
      <c r="Q13" s="17">
        <f>'IOU Total Portfolio Summary'!N19</f>
        <v>0</v>
      </c>
      <c r="R13" s="17">
        <f>'IOU Total Portfolio Summary'!O19</f>
        <v>0</v>
      </c>
      <c r="S13" s="17">
        <f>'IOU Total Portfolio Summary'!P19</f>
        <v>0</v>
      </c>
      <c r="T13" s="17">
        <f>'IOU Total Portfolio Summary'!Q19</f>
        <v>0</v>
      </c>
      <c r="U13" s="17">
        <f>'IOU Total Portfolio Summary'!R19</f>
        <v>0</v>
      </c>
      <c r="V13" s="17">
        <f>'IOU Total Portfolio Summary'!S19</f>
        <v>0</v>
      </c>
      <c r="W13" s="17">
        <f>'IOU Total Portfolio Summary'!T19</f>
        <v>0</v>
      </c>
      <c r="X13" s="17">
        <f>'IOU Total Portfolio Summary'!U19</f>
        <v>0</v>
      </c>
      <c r="Y13" s="17">
        <f>'IOU Total Portfolio Summary'!V19</f>
        <v>0</v>
      </c>
      <c r="Z13" s="17">
        <f>'IOU Total Portfolio Summary'!W19</f>
        <v>0</v>
      </c>
      <c r="AA13" s="17">
        <f>'IOU Total Portfolio Summary'!X19</f>
        <v>0</v>
      </c>
      <c r="AB13" s="17">
        <f>'IOU Total Portfolio Summary'!Y19</f>
        <v>0</v>
      </c>
      <c r="AC13" s="17">
        <f>'IOU Total Portfolio Summary'!Z19</f>
        <v>0</v>
      </c>
      <c r="AD13" s="150">
        <f t="shared" si="0"/>
        <v>419.25</v>
      </c>
    </row>
    <row r="14" spans="1:30">
      <c r="A14" s="13"/>
      <c r="B14" s="13"/>
      <c r="C14" s="80"/>
      <c r="D14" s="81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30">
      <c r="A15" s="13">
        <f>IF(A13=0,A14+ 1, A13+1)</f>
        <v>7</v>
      </c>
      <c r="B15" s="9" t="s">
        <v>20</v>
      </c>
      <c r="C15" s="9"/>
      <c r="D15" s="97" t="s">
        <v>141</v>
      </c>
      <c r="E15" s="18" t="s">
        <v>21</v>
      </c>
      <c r="F15" s="56">
        <f>IFERROR(F7/(F9+F10),0)</f>
        <v>124.91643645866984</v>
      </c>
      <c r="G15" s="56">
        <f t="shared" ref="G15:H15" si="2">IFERROR(G7/(G9+G10),0)</f>
        <v>0</v>
      </c>
      <c r="H15" s="56">
        <f t="shared" si="2"/>
        <v>0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</row>
    <row r="16" spans="1:30">
      <c r="A16" s="13"/>
      <c r="B16" s="13"/>
      <c r="E16" s="68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</row>
    <row r="17" spans="1:42">
      <c r="A17" s="13">
        <f t="shared" ref="A17:A55" si="3">IF(A16=0, A15+1, A16+1)</f>
        <v>8</v>
      </c>
      <c r="B17" s="14" t="s">
        <v>22</v>
      </c>
      <c r="E17" s="1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42">
      <c r="A18" s="13"/>
      <c r="B18" s="13"/>
      <c r="E18" s="16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42">
      <c r="A19" s="13">
        <f t="shared" si="3"/>
        <v>9</v>
      </c>
      <c r="B19" s="13"/>
      <c r="C19" s="9" t="s">
        <v>23</v>
      </c>
      <c r="E19" s="16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42">
      <c r="A20" s="13">
        <f t="shared" si="3"/>
        <v>10</v>
      </c>
      <c r="B20" s="13"/>
      <c r="C20" s="8" t="s">
        <v>24</v>
      </c>
      <c r="D20" s="111" t="str">
        <f>"Line "&amp;A9</f>
        <v>Line 2</v>
      </c>
      <c r="E20" s="16" t="s">
        <v>25</v>
      </c>
      <c r="F20" s="17">
        <v>237580.6898916401</v>
      </c>
      <c r="G20" s="17">
        <v>0</v>
      </c>
      <c r="H20" s="17">
        <v>0</v>
      </c>
      <c r="I20" s="17">
        <v>0</v>
      </c>
      <c r="J20" s="17">
        <v>0</v>
      </c>
      <c r="K20" s="17">
        <v>1806546.8750989151</v>
      </c>
      <c r="L20" s="17">
        <v>306599.02</v>
      </c>
      <c r="M20" s="17">
        <v>238779.3708</v>
      </c>
      <c r="N20" s="17">
        <v>640972.62055570039</v>
      </c>
      <c r="O20" s="17">
        <v>11424.999999999955</v>
      </c>
      <c r="P20" s="17">
        <v>44070.873172620166</v>
      </c>
      <c r="Q20" s="17">
        <v>540427.97776956193</v>
      </c>
      <c r="R20" s="17">
        <v>2489312.4968410237</v>
      </c>
      <c r="S20" s="17">
        <v>1070191.8147540006</v>
      </c>
      <c r="T20" s="17">
        <v>66024.669099999999</v>
      </c>
      <c r="U20" s="17">
        <v>26843.537160000124</v>
      </c>
      <c r="V20" s="17">
        <v>0</v>
      </c>
      <c r="W20" s="17">
        <v>0</v>
      </c>
      <c r="X20" s="17">
        <v>218484.10499999995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50">
        <f>SUM(I20:AC20)</f>
        <v>7459678.3602518216</v>
      </c>
    </row>
    <row r="21" spans="1:42">
      <c r="A21" s="13">
        <f t="shared" si="3"/>
        <v>11</v>
      </c>
      <c r="B21" s="13"/>
      <c r="C21" s="8" t="s">
        <v>26</v>
      </c>
      <c r="D21" s="12" t="s">
        <v>107</v>
      </c>
      <c r="E21" s="16" t="s">
        <v>21</v>
      </c>
      <c r="F21" s="19">
        <f>'PCIA Inputs'!$D$8</f>
        <v>72.916105807304191</v>
      </c>
      <c r="G21" s="19">
        <f>'PCIA Inputs'!$D$8</f>
        <v>72.916105807304191</v>
      </c>
      <c r="H21" s="19">
        <f>'PCIA Inputs'!$D$8</f>
        <v>72.916105807304191</v>
      </c>
      <c r="I21" s="19">
        <f>'PCIA Inputs'!$D$8</f>
        <v>72.916105807304191</v>
      </c>
      <c r="J21" s="19">
        <f>'PCIA Inputs'!$D$8</f>
        <v>72.916105807304191</v>
      </c>
      <c r="K21" s="78">
        <f>'PCIA Inputs'!$D$8</f>
        <v>72.916105807304191</v>
      </c>
      <c r="L21" s="19">
        <f>'PCIA Inputs'!$D$8</f>
        <v>72.916105807304191</v>
      </c>
      <c r="M21" s="19">
        <f>'PCIA Inputs'!$D$8</f>
        <v>72.916105807304191</v>
      </c>
      <c r="N21" s="19">
        <f>'PCIA Inputs'!$D$8</f>
        <v>72.916105807304191</v>
      </c>
      <c r="O21" s="19">
        <f>'PCIA Inputs'!$D$8</f>
        <v>72.916105807304191</v>
      </c>
      <c r="P21" s="19">
        <f>'PCIA Inputs'!$D$8</f>
        <v>72.916105807304191</v>
      </c>
      <c r="Q21" s="19">
        <f>'PCIA Inputs'!$D$8</f>
        <v>72.916105807304191</v>
      </c>
      <c r="R21" s="19">
        <f>'PCIA Inputs'!$D$8</f>
        <v>72.916105807304191</v>
      </c>
      <c r="S21" s="19">
        <f>'PCIA Inputs'!$D$8</f>
        <v>72.916105807304191</v>
      </c>
      <c r="T21" s="19">
        <f>'PCIA Inputs'!$D$8</f>
        <v>72.916105807304191</v>
      </c>
      <c r="U21" s="19">
        <f>'PCIA Inputs'!$D$8</f>
        <v>72.916105807304191</v>
      </c>
      <c r="V21" s="19">
        <f>'PCIA Inputs'!$D$8</f>
        <v>72.916105807304191</v>
      </c>
      <c r="W21" s="19">
        <f>'PCIA Inputs'!$D$8</f>
        <v>72.916105807304191</v>
      </c>
      <c r="X21" s="19">
        <f>'PCIA Inputs'!$D$8</f>
        <v>72.916105807304191</v>
      </c>
      <c r="Y21" s="19">
        <f>'PCIA Inputs'!$D$8</f>
        <v>72.916105807304191</v>
      </c>
      <c r="Z21" s="19">
        <f>'PCIA Inputs'!$D$8</f>
        <v>72.916105807304191</v>
      </c>
      <c r="AA21" s="19">
        <f>'PCIA Inputs'!$D$8</f>
        <v>72.916105807304191</v>
      </c>
      <c r="AB21" s="19">
        <f>'PCIA Inputs'!$D$8</f>
        <v>72.916105807304191</v>
      </c>
      <c r="AC21" s="19">
        <f>'PCIA Inputs'!$D$8</f>
        <v>72.916105807304191</v>
      </c>
    </row>
    <row r="22" spans="1:42">
      <c r="A22" s="13">
        <f t="shared" si="3"/>
        <v>12</v>
      </c>
      <c r="B22" s="13"/>
      <c r="C22" s="9" t="s">
        <v>23</v>
      </c>
      <c r="D22" s="10" t="str">
        <f>"Line "&amp;A20&amp;" x Line "&amp;A21</f>
        <v>Line 10 x Line 11</v>
      </c>
      <c r="E22" s="18" t="s">
        <v>17</v>
      </c>
      <c r="F22" s="20">
        <f>(F20*F21)/1000</f>
        <v>17323.458721911156</v>
      </c>
      <c r="G22" s="20">
        <f>(G20*G21)/1000</f>
        <v>0</v>
      </c>
      <c r="H22" s="20">
        <f t="shared" ref="H22:W22" si="4">(H20*H21)/1000</f>
        <v>0</v>
      </c>
      <c r="I22" s="20">
        <f t="shared" si="4"/>
        <v>0</v>
      </c>
      <c r="J22" s="20">
        <f>(J20*J21)/1000</f>
        <v>0</v>
      </c>
      <c r="K22" s="20">
        <f>(K20*K21)/1000</f>
        <v>131726.36309056723</v>
      </c>
      <c r="L22" s="20">
        <f t="shared" si="4"/>
        <v>22356.006582735776</v>
      </c>
      <c r="M22" s="20">
        <f t="shared" si="4"/>
        <v>17410.861865854324</v>
      </c>
      <c r="N22" s="20">
        <f t="shared" si="4"/>
        <v>46737.227420024494</v>
      </c>
      <c r="O22" s="20">
        <f t="shared" si="4"/>
        <v>833.06650884844714</v>
      </c>
      <c r="P22" s="20">
        <f t="shared" si="4"/>
        <v>3213.4764512750558</v>
      </c>
      <c r="Q22" s="20">
        <f t="shared" si="4"/>
        <v>39405.903608272813</v>
      </c>
      <c r="R22" s="20">
        <f t="shared" si="4"/>
        <v>181510.97340710467</v>
      </c>
      <c r="S22" s="20">
        <f t="shared" si="4"/>
        <v>78034.219598713593</v>
      </c>
      <c r="T22" s="20">
        <f t="shared" si="4"/>
        <v>4814.2617579878479</v>
      </c>
      <c r="U22" s="20">
        <f t="shared" si="4"/>
        <v>1957.3261958008709</v>
      </c>
      <c r="V22" s="20">
        <f t="shared" si="4"/>
        <v>0</v>
      </c>
      <c r="W22" s="20">
        <f t="shared" si="4"/>
        <v>0</v>
      </c>
      <c r="X22" s="20">
        <f t="shared" ref="X22:AC22" si="5">(X20*X21)/1000</f>
        <v>15931.010117394155</v>
      </c>
      <c r="Y22" s="20">
        <f t="shared" si="5"/>
        <v>0</v>
      </c>
      <c r="Z22" s="20">
        <f t="shared" si="5"/>
        <v>0</v>
      </c>
      <c r="AA22" s="20">
        <f t="shared" si="5"/>
        <v>0</v>
      </c>
      <c r="AB22" s="20">
        <f t="shared" si="5"/>
        <v>0</v>
      </c>
      <c r="AC22" s="20">
        <f t="shared" si="5"/>
        <v>0</v>
      </c>
      <c r="AD22" s="150">
        <f>SUM(I22:AC22)</f>
        <v>543930.69660457934</v>
      </c>
    </row>
    <row r="23" spans="1:42">
      <c r="A23" s="13"/>
      <c r="B23" s="13"/>
      <c r="E23" s="68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</row>
    <row r="24" spans="1:42">
      <c r="A24" s="13">
        <f t="shared" si="3"/>
        <v>13</v>
      </c>
      <c r="B24" s="13"/>
      <c r="C24" s="9" t="s">
        <v>27</v>
      </c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42">
      <c r="A25" s="13">
        <f t="shared" si="3"/>
        <v>14</v>
      </c>
      <c r="B25" s="13"/>
      <c r="C25" s="8" t="s">
        <v>28</v>
      </c>
      <c r="D25" s="81" t="str">
        <f>"Line "&amp;A10</f>
        <v>Line 3</v>
      </c>
      <c r="E25" s="16" t="s">
        <v>25</v>
      </c>
      <c r="F25" s="17">
        <f t="shared" ref="F25:AC25" si="6">F10*1000</f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102774.15545294718</v>
      </c>
      <c r="L25" s="17">
        <f t="shared" si="6"/>
        <v>205545.64269234979</v>
      </c>
      <c r="M25" s="17">
        <f t="shared" si="6"/>
        <v>160078.98274678408</v>
      </c>
      <c r="N25" s="17">
        <f t="shared" si="6"/>
        <v>0</v>
      </c>
      <c r="O25" s="17">
        <f t="shared" si="6"/>
        <v>301857.76894857176</v>
      </c>
      <c r="P25" s="17">
        <f t="shared" si="6"/>
        <v>397030.143118312</v>
      </c>
      <c r="Q25" s="17">
        <f t="shared" si="6"/>
        <v>360032.64276366751</v>
      </c>
      <c r="R25" s="17">
        <f t="shared" si="6"/>
        <v>1296417.8150279818</v>
      </c>
      <c r="S25" s="17">
        <f t="shared" si="6"/>
        <v>719908.32590017421</v>
      </c>
      <c r="T25" s="17">
        <f t="shared" si="6"/>
        <v>55414.082939993583</v>
      </c>
      <c r="U25" s="17">
        <f t="shared" si="6"/>
        <v>17996.052621721363</v>
      </c>
      <c r="V25" s="17">
        <f t="shared" si="6"/>
        <v>0</v>
      </c>
      <c r="W25" s="17">
        <f t="shared" si="6"/>
        <v>0</v>
      </c>
      <c r="X25" s="17">
        <f t="shared" si="6"/>
        <v>146472.9266919634</v>
      </c>
      <c r="Y25" s="17">
        <f t="shared" si="6"/>
        <v>0</v>
      </c>
      <c r="Z25" s="17">
        <f t="shared" si="6"/>
        <v>0</v>
      </c>
      <c r="AA25" s="17">
        <f t="shared" si="6"/>
        <v>0</v>
      </c>
      <c r="AB25" s="17">
        <f t="shared" si="6"/>
        <v>0</v>
      </c>
      <c r="AC25" s="17">
        <f t="shared" si="6"/>
        <v>0</v>
      </c>
      <c r="AD25" s="150">
        <f>SUM(I25:AC25)</f>
        <v>3763528.5389044667</v>
      </c>
    </row>
    <row r="26" spans="1:42">
      <c r="A26" s="13">
        <f t="shared" si="3"/>
        <v>15</v>
      </c>
      <c r="B26" s="13"/>
      <c r="C26" s="8" t="s">
        <v>118</v>
      </c>
      <c r="D26" s="12" t="s">
        <v>108</v>
      </c>
      <c r="E26" s="16" t="s">
        <v>21</v>
      </c>
      <c r="F26" s="19">
        <f>'PCIA Inputs'!$D$10</f>
        <v>13.7</v>
      </c>
      <c r="G26" s="19">
        <f>'PCIA Inputs'!$D$10</f>
        <v>13.7</v>
      </c>
      <c r="H26" s="19">
        <f>'PCIA Inputs'!$D$10</f>
        <v>13.7</v>
      </c>
      <c r="I26" s="19">
        <f>'PCIA Inputs'!$D$10</f>
        <v>13.7</v>
      </c>
      <c r="J26" s="19">
        <f>'PCIA Inputs'!$D$10</f>
        <v>13.7</v>
      </c>
      <c r="K26" s="19">
        <f>'PCIA Inputs'!$D$10</f>
        <v>13.7</v>
      </c>
      <c r="L26" s="19">
        <f>'PCIA Inputs'!$D$10</f>
        <v>13.7</v>
      </c>
      <c r="M26" s="19">
        <f>'PCIA Inputs'!$D$10</f>
        <v>13.7</v>
      </c>
      <c r="N26" s="19">
        <f>'PCIA Inputs'!$D$10</f>
        <v>13.7</v>
      </c>
      <c r="O26" s="19">
        <f>'PCIA Inputs'!$D$10</f>
        <v>13.7</v>
      </c>
      <c r="P26" s="19">
        <f>'PCIA Inputs'!$D$10</f>
        <v>13.7</v>
      </c>
      <c r="Q26" s="19">
        <f>'PCIA Inputs'!$D$10</f>
        <v>13.7</v>
      </c>
      <c r="R26" s="19">
        <f>'PCIA Inputs'!$D$10</f>
        <v>13.7</v>
      </c>
      <c r="S26" s="19">
        <f>'PCIA Inputs'!$D$10</f>
        <v>13.7</v>
      </c>
      <c r="T26" s="19">
        <f>'PCIA Inputs'!$D$10</f>
        <v>13.7</v>
      </c>
      <c r="U26" s="19">
        <f>'PCIA Inputs'!$D$10</f>
        <v>13.7</v>
      </c>
      <c r="V26" s="19">
        <f>'PCIA Inputs'!$D$10</f>
        <v>13.7</v>
      </c>
      <c r="W26" s="19">
        <f>'PCIA Inputs'!$D$10</f>
        <v>13.7</v>
      </c>
      <c r="X26" s="19">
        <f>'PCIA Inputs'!$D$10</f>
        <v>13.7</v>
      </c>
      <c r="Y26" s="19">
        <f>'PCIA Inputs'!$D$10</f>
        <v>13.7</v>
      </c>
      <c r="Z26" s="19">
        <f>'PCIA Inputs'!$D$10</f>
        <v>13.7</v>
      </c>
      <c r="AA26" s="19">
        <f>'PCIA Inputs'!$D$10</f>
        <v>13.7</v>
      </c>
      <c r="AB26" s="19">
        <f>'PCIA Inputs'!$D$10</f>
        <v>13.7</v>
      </c>
      <c r="AC26" s="19">
        <f>'PCIA Inputs'!$D$10</f>
        <v>13.7</v>
      </c>
    </row>
    <row r="27" spans="1:42">
      <c r="A27" s="13">
        <f t="shared" si="3"/>
        <v>16</v>
      </c>
      <c r="B27" s="13"/>
      <c r="C27" s="9" t="s">
        <v>27</v>
      </c>
      <c r="D27" s="10" t="str">
        <f>"Line "&amp;A25&amp;" x Line "&amp;A26</f>
        <v>Line 14 x Line 15</v>
      </c>
      <c r="E27" s="18" t="s">
        <v>17</v>
      </c>
      <c r="F27" s="20">
        <f>(F26*F25)/1000</f>
        <v>0</v>
      </c>
      <c r="G27" s="20">
        <f>(G26*G25)/1000</f>
        <v>0</v>
      </c>
      <c r="H27" s="20">
        <f t="shared" ref="H27:W27" si="7">(H26*H25)/1000</f>
        <v>0</v>
      </c>
      <c r="I27" s="20">
        <f>(I26*I25)/1000</f>
        <v>0</v>
      </c>
      <c r="J27" s="20">
        <f t="shared" si="7"/>
        <v>0</v>
      </c>
      <c r="K27" s="20">
        <f t="shared" si="7"/>
        <v>1408.0059297053763</v>
      </c>
      <c r="L27" s="20">
        <f t="shared" si="7"/>
        <v>2815.9753048851917</v>
      </c>
      <c r="M27" s="20">
        <f t="shared" si="7"/>
        <v>2193.0820636309418</v>
      </c>
      <c r="N27" s="20">
        <f t="shared" si="7"/>
        <v>0</v>
      </c>
      <c r="O27" s="20">
        <f t="shared" si="7"/>
        <v>4135.4514345954331</v>
      </c>
      <c r="P27" s="20">
        <f t="shared" si="7"/>
        <v>5439.3129607208748</v>
      </c>
      <c r="Q27" s="20">
        <f t="shared" si="7"/>
        <v>4932.447205862245</v>
      </c>
      <c r="R27" s="20">
        <f t="shared" si="7"/>
        <v>17760.924065883351</v>
      </c>
      <c r="S27" s="20">
        <f t="shared" si="7"/>
        <v>9862.7440648323864</v>
      </c>
      <c r="T27" s="20">
        <f t="shared" si="7"/>
        <v>759.17293627791196</v>
      </c>
      <c r="U27" s="20">
        <f t="shared" si="7"/>
        <v>246.54592091758266</v>
      </c>
      <c r="V27" s="20">
        <f t="shared" si="7"/>
        <v>0</v>
      </c>
      <c r="W27" s="20">
        <f t="shared" si="7"/>
        <v>0</v>
      </c>
      <c r="X27" s="20">
        <f t="shared" ref="X27:AC27" si="8">(X26*X25)/1000</f>
        <v>2006.6790956798984</v>
      </c>
      <c r="Y27" s="20">
        <f t="shared" si="8"/>
        <v>0</v>
      </c>
      <c r="Z27" s="20">
        <f t="shared" si="8"/>
        <v>0</v>
      </c>
      <c r="AA27" s="20">
        <f t="shared" si="8"/>
        <v>0</v>
      </c>
      <c r="AB27" s="20">
        <f t="shared" si="8"/>
        <v>0</v>
      </c>
      <c r="AC27" s="20">
        <f t="shared" si="8"/>
        <v>0</v>
      </c>
      <c r="AD27" s="150">
        <f>SUM(I27:AC27)</f>
        <v>51560.340982991198</v>
      </c>
    </row>
    <row r="28" spans="1:42">
      <c r="A28" s="13"/>
      <c r="B28" s="13"/>
      <c r="E28" s="68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</row>
    <row r="29" spans="1:42">
      <c r="A29" s="13">
        <f t="shared" si="3"/>
        <v>17</v>
      </c>
      <c r="B29" s="13"/>
      <c r="C29" s="9" t="s">
        <v>29</v>
      </c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42">
      <c r="A30" s="13">
        <f t="shared" si="3"/>
        <v>18</v>
      </c>
      <c r="B30" s="13"/>
      <c r="C30" s="8" t="s">
        <v>30</v>
      </c>
      <c r="D30" s="81" t="str">
        <f>"Line "&amp;A11</f>
        <v>Line 4</v>
      </c>
      <c r="E30" s="16" t="s">
        <v>19</v>
      </c>
      <c r="F30" s="17">
        <f>F11</f>
        <v>52</v>
      </c>
      <c r="G30" s="17">
        <f t="shared" ref="G30:AC30" si="9">G11</f>
        <v>0</v>
      </c>
      <c r="H30" s="17">
        <f t="shared" si="9"/>
        <v>0</v>
      </c>
      <c r="I30" s="17">
        <f t="shared" si="9"/>
        <v>0</v>
      </c>
      <c r="J30" s="17">
        <f t="shared" si="9"/>
        <v>0</v>
      </c>
      <c r="K30" s="17">
        <f t="shared" si="9"/>
        <v>0</v>
      </c>
      <c r="L30" s="17">
        <f t="shared" si="9"/>
        <v>26.716666666666665</v>
      </c>
      <c r="M30" s="17">
        <f t="shared" si="9"/>
        <v>0</v>
      </c>
      <c r="N30" s="17">
        <f t="shared" si="9"/>
        <v>0</v>
      </c>
      <c r="O30" s="17">
        <f t="shared" si="9"/>
        <v>0</v>
      </c>
      <c r="P30" s="17">
        <f t="shared" si="9"/>
        <v>0</v>
      </c>
      <c r="Q30" s="17">
        <f t="shared" si="9"/>
        <v>1.4341666666666668</v>
      </c>
      <c r="R30" s="17">
        <f t="shared" si="9"/>
        <v>49.674999999999997</v>
      </c>
      <c r="S30" s="17">
        <f t="shared" si="9"/>
        <v>18.755100000000002</v>
      </c>
      <c r="T30" s="17">
        <f t="shared" si="9"/>
        <v>5.6591666666666658</v>
      </c>
      <c r="U30" s="17">
        <f t="shared" si="9"/>
        <v>0</v>
      </c>
      <c r="V30" s="17">
        <f t="shared" si="9"/>
        <v>0</v>
      </c>
      <c r="W30" s="17">
        <f t="shared" si="9"/>
        <v>0</v>
      </c>
      <c r="X30" s="17">
        <f t="shared" si="9"/>
        <v>0</v>
      </c>
      <c r="Y30" s="17">
        <f t="shared" si="9"/>
        <v>0</v>
      </c>
      <c r="Z30" s="17">
        <f t="shared" si="9"/>
        <v>0</v>
      </c>
      <c r="AA30" s="17">
        <f t="shared" si="9"/>
        <v>0</v>
      </c>
      <c r="AB30" s="17">
        <f t="shared" si="9"/>
        <v>0</v>
      </c>
      <c r="AC30" s="17">
        <f t="shared" si="9"/>
        <v>0</v>
      </c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>
      <c r="A31" s="13">
        <f t="shared" si="3"/>
        <v>19</v>
      </c>
      <c r="B31" s="13"/>
      <c r="C31" s="8" t="s">
        <v>81</v>
      </c>
      <c r="D31" s="12" t="s">
        <v>112</v>
      </c>
      <c r="E31" s="16" t="s">
        <v>31</v>
      </c>
      <c r="F31" s="19">
        <f>'PCIA Inputs'!$D$13</f>
        <v>72.36</v>
      </c>
      <c r="G31" s="19">
        <f>'PCIA Inputs'!$D$13</f>
        <v>72.36</v>
      </c>
      <c r="H31" s="19">
        <f>'PCIA Inputs'!$D$13</f>
        <v>72.36</v>
      </c>
      <c r="I31" s="19">
        <f>'PCIA Inputs'!$D$13</f>
        <v>72.36</v>
      </c>
      <c r="J31" s="19">
        <f>'PCIA Inputs'!$D$13</f>
        <v>72.36</v>
      </c>
      <c r="K31" s="19">
        <f>'PCIA Inputs'!$D$13</f>
        <v>72.36</v>
      </c>
      <c r="L31" s="19">
        <f>'PCIA Inputs'!$D$13</f>
        <v>72.36</v>
      </c>
      <c r="M31" s="19">
        <f>'PCIA Inputs'!$D$13</f>
        <v>72.36</v>
      </c>
      <c r="N31" s="19">
        <f>'PCIA Inputs'!$D$13</f>
        <v>72.36</v>
      </c>
      <c r="O31" s="19">
        <f>'PCIA Inputs'!$D$13</f>
        <v>72.36</v>
      </c>
      <c r="P31" s="19">
        <f>'PCIA Inputs'!$D$13</f>
        <v>72.36</v>
      </c>
      <c r="Q31" s="19">
        <f>'PCIA Inputs'!$D$13</f>
        <v>72.36</v>
      </c>
      <c r="R31" s="19">
        <f>'PCIA Inputs'!$D$13</f>
        <v>72.36</v>
      </c>
      <c r="S31" s="19">
        <f>'PCIA Inputs'!$D$13</f>
        <v>72.36</v>
      </c>
      <c r="T31" s="19">
        <f>'PCIA Inputs'!$D$13</f>
        <v>72.36</v>
      </c>
      <c r="U31" s="19">
        <f>'PCIA Inputs'!$D$13</f>
        <v>72.36</v>
      </c>
      <c r="V31" s="19">
        <f>'PCIA Inputs'!$D$13</f>
        <v>72.36</v>
      </c>
      <c r="W31" s="19">
        <f>'PCIA Inputs'!$D$13</f>
        <v>72.36</v>
      </c>
      <c r="X31" s="19">
        <f>'PCIA Inputs'!$D$13</f>
        <v>72.36</v>
      </c>
      <c r="Y31" s="19">
        <f>'PCIA Inputs'!$D$13</f>
        <v>72.36</v>
      </c>
      <c r="Z31" s="19">
        <f>'PCIA Inputs'!$D$13</f>
        <v>72.36</v>
      </c>
      <c r="AA31" s="19">
        <f>'PCIA Inputs'!$D$13</f>
        <v>72.36</v>
      </c>
      <c r="AB31" s="19">
        <f>'PCIA Inputs'!$D$13</f>
        <v>72.36</v>
      </c>
      <c r="AC31" s="19">
        <f>'PCIA Inputs'!$D$13</f>
        <v>72.36</v>
      </c>
    </row>
    <row r="32" spans="1:42">
      <c r="A32" s="13">
        <f t="shared" si="3"/>
        <v>20</v>
      </c>
      <c r="B32" s="13"/>
      <c r="C32" s="8" t="s">
        <v>98</v>
      </c>
      <c r="D32" s="81" t="str">
        <f>"Line "&amp;A12</f>
        <v>Line 5</v>
      </c>
      <c r="E32" s="16" t="s">
        <v>19</v>
      </c>
      <c r="F32" s="119">
        <f>F12</f>
        <v>49.899999999999984</v>
      </c>
      <c r="G32" s="17">
        <f t="shared" ref="G32:AC32" si="10">G12</f>
        <v>0</v>
      </c>
      <c r="H32" s="17">
        <f t="shared" si="10"/>
        <v>0</v>
      </c>
      <c r="I32" s="17">
        <f t="shared" si="10"/>
        <v>0</v>
      </c>
      <c r="J32" s="17">
        <f t="shared" si="10"/>
        <v>0</v>
      </c>
      <c r="K32" s="17">
        <f t="shared" si="10"/>
        <v>640.15166666666653</v>
      </c>
      <c r="L32" s="17">
        <f t="shared" si="10"/>
        <v>5.5083333333333329</v>
      </c>
      <c r="M32" s="17">
        <f t="shared" si="10"/>
        <v>19.807500000000001</v>
      </c>
      <c r="N32" s="17">
        <f t="shared" si="10"/>
        <v>0</v>
      </c>
      <c r="O32" s="17">
        <f t="shared" si="10"/>
        <v>44</v>
      </c>
      <c r="P32" s="17">
        <f t="shared" si="10"/>
        <v>98.1</v>
      </c>
      <c r="Q32" s="17">
        <f t="shared" si="10"/>
        <v>90.935000000000002</v>
      </c>
      <c r="R32" s="17">
        <f t="shared" si="10"/>
        <v>153.63583333333335</v>
      </c>
      <c r="S32" s="17">
        <f t="shared" si="10"/>
        <v>32.770000000000003</v>
      </c>
      <c r="T32" s="17">
        <f t="shared" si="10"/>
        <v>0</v>
      </c>
      <c r="U32" s="17">
        <f t="shared" si="10"/>
        <v>2.46</v>
      </c>
      <c r="V32" s="17">
        <f t="shared" si="10"/>
        <v>0</v>
      </c>
      <c r="W32" s="17">
        <f t="shared" si="10"/>
        <v>0</v>
      </c>
      <c r="X32" s="17">
        <f t="shared" si="10"/>
        <v>0</v>
      </c>
      <c r="Y32" s="17">
        <f t="shared" si="10"/>
        <v>468.60000000000014</v>
      </c>
      <c r="Z32" s="17">
        <f t="shared" si="10"/>
        <v>0</v>
      </c>
      <c r="AA32" s="17">
        <f t="shared" si="10"/>
        <v>0</v>
      </c>
      <c r="AB32" s="17">
        <f t="shared" si="10"/>
        <v>0</v>
      </c>
      <c r="AC32" s="17">
        <f t="shared" si="10"/>
        <v>0</v>
      </c>
    </row>
    <row r="33" spans="1:30">
      <c r="A33" s="13">
        <f t="shared" si="3"/>
        <v>21</v>
      </c>
      <c r="B33" s="13"/>
      <c r="C33" s="8" t="s">
        <v>96</v>
      </c>
      <c r="D33" s="12" t="s">
        <v>113</v>
      </c>
      <c r="E33" s="16" t="s">
        <v>31</v>
      </c>
      <c r="F33" s="19">
        <f>'PCIA Inputs'!$D$14</f>
        <v>76.320000000000007</v>
      </c>
      <c r="G33" s="19">
        <f>'PCIA Inputs'!$D$14</f>
        <v>76.320000000000007</v>
      </c>
      <c r="H33" s="19">
        <f>'PCIA Inputs'!$D$14</f>
        <v>76.320000000000007</v>
      </c>
      <c r="I33" s="19">
        <f>'PCIA Inputs'!$D$14</f>
        <v>76.320000000000007</v>
      </c>
      <c r="J33" s="19">
        <f>'PCIA Inputs'!$D$14</f>
        <v>76.320000000000007</v>
      </c>
      <c r="K33" s="19">
        <f>'PCIA Inputs'!$D$14</f>
        <v>76.320000000000007</v>
      </c>
      <c r="L33" s="19">
        <f>'PCIA Inputs'!$D$14</f>
        <v>76.320000000000007</v>
      </c>
      <c r="M33" s="19">
        <f>'PCIA Inputs'!$D$14</f>
        <v>76.320000000000007</v>
      </c>
      <c r="N33" s="19">
        <f>'PCIA Inputs'!$D$14</f>
        <v>76.320000000000007</v>
      </c>
      <c r="O33" s="19">
        <f>'PCIA Inputs'!$D$14</f>
        <v>76.320000000000007</v>
      </c>
      <c r="P33" s="19">
        <f>'PCIA Inputs'!$D$14</f>
        <v>76.320000000000007</v>
      </c>
      <c r="Q33" s="19">
        <f>'PCIA Inputs'!$D$14</f>
        <v>76.320000000000007</v>
      </c>
      <c r="R33" s="19">
        <f>'PCIA Inputs'!$D$14</f>
        <v>76.320000000000007</v>
      </c>
      <c r="S33" s="19">
        <f>'PCIA Inputs'!$D$14</f>
        <v>76.320000000000007</v>
      </c>
      <c r="T33" s="19">
        <f>'PCIA Inputs'!$D$14</f>
        <v>76.320000000000007</v>
      </c>
      <c r="U33" s="19">
        <f>'PCIA Inputs'!$D$14</f>
        <v>76.320000000000007</v>
      </c>
      <c r="V33" s="19">
        <f>'PCIA Inputs'!$D$14</f>
        <v>76.320000000000007</v>
      </c>
      <c r="W33" s="19">
        <f>'PCIA Inputs'!$D$14</f>
        <v>76.320000000000007</v>
      </c>
      <c r="X33" s="19">
        <f>'PCIA Inputs'!$D$14</f>
        <v>76.320000000000007</v>
      </c>
      <c r="Y33" s="19">
        <f>'PCIA Inputs'!$D$14</f>
        <v>76.320000000000007</v>
      </c>
      <c r="Z33" s="19">
        <f>'PCIA Inputs'!$D$14</f>
        <v>76.320000000000007</v>
      </c>
      <c r="AA33" s="19">
        <f>'PCIA Inputs'!$D$14</f>
        <v>76.320000000000007</v>
      </c>
      <c r="AB33" s="19">
        <f>'PCIA Inputs'!$D$14</f>
        <v>76.320000000000007</v>
      </c>
      <c r="AC33" s="19">
        <f>'PCIA Inputs'!$D$14</f>
        <v>76.320000000000007</v>
      </c>
    </row>
    <row r="34" spans="1:30">
      <c r="A34" s="13">
        <f t="shared" si="3"/>
        <v>22</v>
      </c>
      <c r="B34" s="13"/>
      <c r="C34" s="8" t="s">
        <v>99</v>
      </c>
      <c r="D34" s="81" t="str">
        <f>"Line "&amp;A13</f>
        <v>Line 6</v>
      </c>
      <c r="E34" s="16" t="s">
        <v>19</v>
      </c>
      <c r="F34" s="17">
        <f>F13</f>
        <v>0</v>
      </c>
      <c r="G34" s="17">
        <f t="shared" ref="G34:AC34" si="11">G13</f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419.25</v>
      </c>
      <c r="O34" s="17">
        <f t="shared" si="11"/>
        <v>0</v>
      </c>
      <c r="P34" s="17">
        <f t="shared" si="11"/>
        <v>0</v>
      </c>
      <c r="Q34" s="17">
        <f t="shared" si="11"/>
        <v>0</v>
      </c>
      <c r="R34" s="17">
        <f t="shared" si="11"/>
        <v>0</v>
      </c>
      <c r="S34" s="17">
        <f t="shared" si="11"/>
        <v>0</v>
      </c>
      <c r="T34" s="17">
        <f t="shared" si="11"/>
        <v>0</v>
      </c>
      <c r="U34" s="17">
        <f t="shared" si="11"/>
        <v>0</v>
      </c>
      <c r="V34" s="17">
        <f t="shared" si="11"/>
        <v>0</v>
      </c>
      <c r="W34" s="17">
        <f t="shared" si="11"/>
        <v>0</v>
      </c>
      <c r="X34" s="17">
        <f t="shared" si="11"/>
        <v>0</v>
      </c>
      <c r="Y34" s="17">
        <f t="shared" si="11"/>
        <v>0</v>
      </c>
      <c r="Z34" s="17">
        <f t="shared" si="11"/>
        <v>0</v>
      </c>
      <c r="AA34" s="17">
        <f t="shared" si="11"/>
        <v>0</v>
      </c>
      <c r="AB34" s="17">
        <f t="shared" si="11"/>
        <v>0</v>
      </c>
      <c r="AC34" s="17">
        <f t="shared" si="11"/>
        <v>0</v>
      </c>
    </row>
    <row r="35" spans="1:30">
      <c r="A35" s="13">
        <f t="shared" si="3"/>
        <v>23</v>
      </c>
      <c r="B35" s="13"/>
      <c r="C35" s="8" t="s">
        <v>97</v>
      </c>
      <c r="D35" s="12" t="s">
        <v>114</v>
      </c>
      <c r="E35" s="16" t="s">
        <v>31</v>
      </c>
      <c r="F35" s="19">
        <f>'PCIA Inputs'!$D$15</f>
        <v>76.92</v>
      </c>
      <c r="G35" s="19">
        <f>'PCIA Inputs'!$D$15</f>
        <v>76.92</v>
      </c>
      <c r="H35" s="19">
        <f>'PCIA Inputs'!$D$15</f>
        <v>76.92</v>
      </c>
      <c r="I35" s="19">
        <f>'PCIA Inputs'!$D$15</f>
        <v>76.92</v>
      </c>
      <c r="J35" s="19">
        <f>'PCIA Inputs'!$D$15</f>
        <v>76.92</v>
      </c>
      <c r="K35" s="19">
        <f>'PCIA Inputs'!$D$15</f>
        <v>76.92</v>
      </c>
      <c r="L35" s="19">
        <f>'PCIA Inputs'!$D$15</f>
        <v>76.92</v>
      </c>
      <c r="M35" s="19">
        <f>'PCIA Inputs'!$D$15</f>
        <v>76.92</v>
      </c>
      <c r="N35" s="19">
        <f>'PCIA Inputs'!$D$15</f>
        <v>76.92</v>
      </c>
      <c r="O35" s="19">
        <f>'PCIA Inputs'!$D$15</f>
        <v>76.92</v>
      </c>
      <c r="P35" s="19">
        <f>'PCIA Inputs'!$D$15</f>
        <v>76.92</v>
      </c>
      <c r="Q35" s="19">
        <f>'PCIA Inputs'!$D$15</f>
        <v>76.92</v>
      </c>
      <c r="R35" s="19">
        <f>'PCIA Inputs'!$D$15</f>
        <v>76.92</v>
      </c>
      <c r="S35" s="19">
        <f>'PCIA Inputs'!$D$15</f>
        <v>76.92</v>
      </c>
      <c r="T35" s="19">
        <f>'PCIA Inputs'!$D$15</f>
        <v>76.92</v>
      </c>
      <c r="U35" s="19">
        <f>'PCIA Inputs'!$D$15</f>
        <v>76.92</v>
      </c>
      <c r="V35" s="19">
        <f>'PCIA Inputs'!$D$15</f>
        <v>76.92</v>
      </c>
      <c r="W35" s="19">
        <f>'PCIA Inputs'!$D$15</f>
        <v>76.92</v>
      </c>
      <c r="X35" s="19">
        <f>'PCIA Inputs'!$D$15</f>
        <v>76.92</v>
      </c>
      <c r="Y35" s="19">
        <f>'PCIA Inputs'!$D$15</f>
        <v>76.92</v>
      </c>
      <c r="Z35" s="19">
        <f>'PCIA Inputs'!$D$15</f>
        <v>76.92</v>
      </c>
      <c r="AA35" s="19">
        <f>'PCIA Inputs'!$D$15</f>
        <v>76.92</v>
      </c>
      <c r="AB35" s="19">
        <f>'PCIA Inputs'!$D$15</f>
        <v>76.92</v>
      </c>
      <c r="AC35" s="19">
        <f>'PCIA Inputs'!$D$15</f>
        <v>76.92</v>
      </c>
    </row>
    <row r="36" spans="1:30" ht="24">
      <c r="A36" s="13">
        <f t="shared" si="3"/>
        <v>24</v>
      </c>
      <c r="B36" s="13"/>
      <c r="C36" s="9" t="s">
        <v>32</v>
      </c>
      <c r="D36" s="83" t="str">
        <f>"Sum (Lines "&amp;A30&amp;"x"&amp;A31&amp;", "&amp;A32&amp;"x"&amp;A33&amp;", "&amp;A34&amp;"x"&amp;A35&amp;")"</f>
        <v>Sum (Lines 18x19, 20x21, 22x23)</v>
      </c>
      <c r="E36" s="18" t="s">
        <v>17</v>
      </c>
      <c r="F36" s="20">
        <f>SUM(F30*F31,F32*F33,F34*F35)</f>
        <v>7571.0879999999988</v>
      </c>
      <c r="G36" s="20">
        <f t="shared" ref="G36:AC36" si="12">SUM(G30*G31,G32*G33,G34*G35)</f>
        <v>0</v>
      </c>
      <c r="H36" s="20">
        <f t="shared" si="12"/>
        <v>0</v>
      </c>
      <c r="I36" s="20">
        <f t="shared" si="12"/>
        <v>0</v>
      </c>
      <c r="J36" s="20">
        <f t="shared" si="12"/>
        <v>0</v>
      </c>
      <c r="K36" s="20">
        <f t="shared" si="12"/>
        <v>48856.375199999995</v>
      </c>
      <c r="L36" s="20">
        <f t="shared" si="12"/>
        <v>2353.614</v>
      </c>
      <c r="M36" s="20">
        <f t="shared" si="12"/>
        <v>1511.7084000000002</v>
      </c>
      <c r="N36" s="20">
        <f t="shared" si="12"/>
        <v>32248.71</v>
      </c>
      <c r="O36" s="20">
        <f t="shared" si="12"/>
        <v>3358.0800000000004</v>
      </c>
      <c r="P36" s="20">
        <f t="shared" si="12"/>
        <v>7486.9920000000002</v>
      </c>
      <c r="Q36" s="20">
        <f t="shared" si="12"/>
        <v>7043.9355000000014</v>
      </c>
      <c r="R36" s="20">
        <f t="shared" si="12"/>
        <v>15319.969800000003</v>
      </c>
      <c r="S36" s="20">
        <f t="shared" si="12"/>
        <v>3858.1254360000007</v>
      </c>
      <c r="T36" s="20">
        <f t="shared" si="12"/>
        <v>409.49729999999994</v>
      </c>
      <c r="U36" s="20">
        <f t="shared" si="12"/>
        <v>187.74720000000002</v>
      </c>
      <c r="V36" s="20">
        <f t="shared" si="12"/>
        <v>0</v>
      </c>
      <c r="W36" s="20">
        <f t="shared" si="12"/>
        <v>0</v>
      </c>
      <c r="X36" s="20">
        <f>SUM(X30*X31,X32*X33,X34*X35)</f>
        <v>0</v>
      </c>
      <c r="Y36" s="20">
        <f t="shared" si="12"/>
        <v>35763.552000000011</v>
      </c>
      <c r="Z36" s="20">
        <f t="shared" si="12"/>
        <v>0</v>
      </c>
      <c r="AA36" s="20">
        <f t="shared" si="12"/>
        <v>0</v>
      </c>
      <c r="AB36" s="20">
        <f t="shared" si="12"/>
        <v>0</v>
      </c>
      <c r="AC36" s="20">
        <f t="shared" si="12"/>
        <v>0</v>
      </c>
      <c r="AD36" s="150">
        <f>SUM(I36:AC36)</f>
        <v>158398.30683600003</v>
      </c>
    </row>
    <row r="37" spans="1:30">
      <c r="A37" s="13"/>
      <c r="B37" s="13"/>
      <c r="E37" s="68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30">
      <c r="A38" s="13">
        <f t="shared" si="3"/>
        <v>25</v>
      </c>
      <c r="B38" s="14" t="s">
        <v>33</v>
      </c>
      <c r="D38" s="84" t="str">
        <f>"Line "&amp;A22&amp;"+ Line "&amp;A27&amp;"+ Line "&amp;A36</f>
        <v>Line 12+ Line 16+ Line 24</v>
      </c>
      <c r="E38" s="16" t="s">
        <v>17</v>
      </c>
      <c r="F38" s="20">
        <f>F22+F27+F36</f>
        <v>24894.546721911156</v>
      </c>
      <c r="G38" s="20">
        <f>G22+G27+G36</f>
        <v>0</v>
      </c>
      <c r="H38" s="20">
        <f t="shared" ref="H38:AA38" si="13">H22+H27+H36</f>
        <v>0</v>
      </c>
      <c r="I38" s="20">
        <f t="shared" si="13"/>
        <v>0</v>
      </c>
      <c r="J38" s="20">
        <f t="shared" si="13"/>
        <v>0</v>
      </c>
      <c r="K38" s="20">
        <f t="shared" si="13"/>
        <v>181990.74422027258</v>
      </c>
      <c r="L38" s="20">
        <f t="shared" si="13"/>
        <v>27525.59588762097</v>
      </c>
      <c r="M38" s="20">
        <f t="shared" si="13"/>
        <v>21115.652329485263</v>
      </c>
      <c r="N38" s="20">
        <f t="shared" si="13"/>
        <v>78985.937420024493</v>
      </c>
      <c r="O38" s="20">
        <f t="shared" si="13"/>
        <v>8326.5979434438814</v>
      </c>
      <c r="P38" s="20">
        <f t="shared" si="13"/>
        <v>16139.781411995931</v>
      </c>
      <c r="Q38" s="20">
        <f t="shared" si="13"/>
        <v>51382.286314135061</v>
      </c>
      <c r="R38" s="20">
        <f t="shared" si="13"/>
        <v>214591.86727298802</v>
      </c>
      <c r="S38" s="20">
        <f t="shared" si="13"/>
        <v>91755.089099545978</v>
      </c>
      <c r="T38" s="20">
        <f t="shared" si="13"/>
        <v>5982.9319942657594</v>
      </c>
      <c r="U38" s="20">
        <f t="shared" si="13"/>
        <v>2391.6193167184538</v>
      </c>
      <c r="V38" s="20">
        <f t="shared" si="13"/>
        <v>0</v>
      </c>
      <c r="W38" s="20">
        <f t="shared" si="13"/>
        <v>0</v>
      </c>
      <c r="X38" s="20">
        <f t="shared" si="13"/>
        <v>17937.689213074053</v>
      </c>
      <c r="Y38" s="20">
        <f t="shared" si="13"/>
        <v>35763.552000000011</v>
      </c>
      <c r="Z38" s="20">
        <f t="shared" si="13"/>
        <v>0</v>
      </c>
      <c r="AA38" s="20">
        <f t="shared" si="13"/>
        <v>0</v>
      </c>
      <c r="AB38" s="20">
        <f t="shared" ref="AB38:AC38" si="14">AB22+AB27+AB36</f>
        <v>0</v>
      </c>
      <c r="AC38" s="20">
        <f t="shared" si="14"/>
        <v>0</v>
      </c>
      <c r="AD38" s="150">
        <f>SUM(I38:AC38)</f>
        <v>753889.34442357032</v>
      </c>
    </row>
    <row r="39" spans="1:30">
      <c r="A39" s="13"/>
      <c r="B39" s="14"/>
      <c r="E39" s="16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30">
      <c r="A40" s="13">
        <f>IF(A38=0,#REF!+ 1, A38+1)</f>
        <v>26</v>
      </c>
      <c r="B40" s="14" t="s">
        <v>34</v>
      </c>
      <c r="E40" s="16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30">
      <c r="A41" s="13">
        <f t="shared" si="3"/>
        <v>27</v>
      </c>
      <c r="B41" s="14"/>
      <c r="C41" s="9" t="s">
        <v>35</v>
      </c>
      <c r="D41" s="84" t="str">
        <f>"Line "&amp;A7</f>
        <v>Line 1</v>
      </c>
      <c r="E41" s="16" t="s">
        <v>17</v>
      </c>
      <c r="F41" s="20">
        <f t="shared" ref="F41:H41" si="15">F7</f>
        <v>29677.733152656005</v>
      </c>
      <c r="G41" s="20">
        <f t="shared" si="15"/>
        <v>1415</v>
      </c>
      <c r="H41" s="20">
        <f t="shared" si="15"/>
        <v>0</v>
      </c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</row>
    <row r="42" spans="1:30">
      <c r="A42" s="13">
        <f t="shared" si="3"/>
        <v>28</v>
      </c>
      <c r="B42" s="14"/>
      <c r="C42" s="9" t="s">
        <v>36</v>
      </c>
      <c r="D42" s="84" t="str">
        <f>"Line "&amp;A38</f>
        <v>Line 25</v>
      </c>
      <c r="E42" s="16" t="s">
        <v>17</v>
      </c>
      <c r="F42" s="20">
        <f>F38</f>
        <v>24894.546721911156</v>
      </c>
      <c r="G42" s="94">
        <f t="shared" ref="G42:AC42" si="16">G38</f>
        <v>0</v>
      </c>
      <c r="H42" s="94">
        <f t="shared" si="16"/>
        <v>0</v>
      </c>
      <c r="I42" s="94">
        <f t="shared" si="16"/>
        <v>0</v>
      </c>
      <c r="J42" s="94">
        <f t="shared" si="16"/>
        <v>0</v>
      </c>
      <c r="K42" s="94">
        <f t="shared" si="16"/>
        <v>181990.74422027258</v>
      </c>
      <c r="L42" s="94">
        <f t="shared" si="16"/>
        <v>27525.59588762097</v>
      </c>
      <c r="M42" s="94">
        <f t="shared" si="16"/>
        <v>21115.652329485263</v>
      </c>
      <c r="N42" s="94">
        <f t="shared" si="16"/>
        <v>78985.937420024493</v>
      </c>
      <c r="O42" s="94">
        <f t="shared" si="16"/>
        <v>8326.5979434438814</v>
      </c>
      <c r="P42" s="94">
        <f t="shared" si="16"/>
        <v>16139.781411995931</v>
      </c>
      <c r="Q42" s="94">
        <f t="shared" si="16"/>
        <v>51382.286314135061</v>
      </c>
      <c r="R42" s="94">
        <f t="shared" si="16"/>
        <v>214591.86727298802</v>
      </c>
      <c r="S42" s="94">
        <f t="shared" si="16"/>
        <v>91755.089099545978</v>
      </c>
      <c r="T42" s="94">
        <f t="shared" si="16"/>
        <v>5982.9319942657594</v>
      </c>
      <c r="U42" s="94">
        <f t="shared" si="16"/>
        <v>2391.6193167184538</v>
      </c>
      <c r="V42" s="94">
        <f t="shared" si="16"/>
        <v>0</v>
      </c>
      <c r="W42" s="94">
        <f t="shared" si="16"/>
        <v>0</v>
      </c>
      <c r="X42" s="94">
        <f t="shared" si="16"/>
        <v>17937.689213074053</v>
      </c>
      <c r="Y42" s="94">
        <f t="shared" si="16"/>
        <v>35763.552000000011</v>
      </c>
      <c r="Z42" s="94">
        <f t="shared" si="16"/>
        <v>0</v>
      </c>
      <c r="AA42" s="94">
        <f t="shared" si="16"/>
        <v>0</v>
      </c>
      <c r="AB42" s="94">
        <f t="shared" si="16"/>
        <v>0</v>
      </c>
      <c r="AC42" s="94">
        <f t="shared" si="16"/>
        <v>0</v>
      </c>
      <c r="AD42" s="150"/>
    </row>
    <row r="43" spans="1:30">
      <c r="A43" s="13">
        <f t="shared" si="3"/>
        <v>29</v>
      </c>
      <c r="B43" s="9" t="s">
        <v>37</v>
      </c>
      <c r="C43" s="9"/>
      <c r="D43" s="84" t="str">
        <f>"Line "&amp;A41&amp;" - Line "&amp;A42</f>
        <v>Line 27 - Line 28</v>
      </c>
      <c r="E43" s="16" t="s">
        <v>17</v>
      </c>
      <c r="F43" s="20">
        <f>F41-F42</f>
        <v>4783.1864307448486</v>
      </c>
      <c r="G43" s="20">
        <f>G41-G42</f>
        <v>1415</v>
      </c>
      <c r="H43" s="20">
        <f t="shared" ref="H43" si="17">H41-H42</f>
        <v>0</v>
      </c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</row>
    <row r="44" spans="1:30">
      <c r="A44" s="13"/>
    </row>
    <row r="45" spans="1:30">
      <c r="A45" s="13">
        <f t="shared" si="3"/>
        <v>30</v>
      </c>
      <c r="B45" s="9" t="s">
        <v>117</v>
      </c>
      <c r="D45" s="36" t="s">
        <v>47</v>
      </c>
      <c r="E45" s="16" t="s">
        <v>17</v>
      </c>
      <c r="F45" s="24">
        <v>0</v>
      </c>
      <c r="G45" s="24">
        <v>0</v>
      </c>
      <c r="H45" s="24">
        <v>0</v>
      </c>
      <c r="I45" s="24">
        <v>119.98373164819782</v>
      </c>
      <c r="J45" s="24">
        <v>0</v>
      </c>
      <c r="K45" s="24">
        <v>-25816.259358495179</v>
      </c>
      <c r="L45" s="24">
        <v>3197.3607238768459</v>
      </c>
      <c r="M45" s="24">
        <v>5615.344937578292</v>
      </c>
      <c r="N45" s="24">
        <v>-41769.717973376632</v>
      </c>
      <c r="O45" s="24">
        <v>-2785.6002493849978</v>
      </c>
      <c r="P45" s="24">
        <v>-20865.266666813972</v>
      </c>
      <c r="Q45" s="24">
        <v>-2375.4448438067484</v>
      </c>
      <c r="R45" s="24">
        <v>-28127.026524062996</v>
      </c>
      <c r="S45" s="24">
        <v>-12667.196692061507</v>
      </c>
      <c r="T45" s="24">
        <v>-9508.5302246704105</v>
      </c>
      <c r="U45" s="24">
        <v>1460.1979149325043</v>
      </c>
      <c r="V45" s="24">
        <v>-6634.0740012119231</v>
      </c>
      <c r="W45" s="24">
        <v>0</v>
      </c>
      <c r="X45" s="24">
        <v>4162.1845774009262</v>
      </c>
      <c r="Y45" s="24">
        <v>26419.968697260272</v>
      </c>
      <c r="Z45" s="24">
        <v>-6485.2912314353352</v>
      </c>
      <c r="AA45" s="24">
        <v>70133.914281731864</v>
      </c>
      <c r="AB45" s="24">
        <v>-64433.181811506962</v>
      </c>
      <c r="AC45" s="24">
        <v>0</v>
      </c>
    </row>
    <row r="46" spans="1:30">
      <c r="A46" s="13"/>
      <c r="B46" s="9"/>
      <c r="D46" s="36"/>
      <c r="E46" s="16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30">
      <c r="A47" s="13">
        <f>IF(A46=0,A45+ 1, A46+1)</f>
        <v>31</v>
      </c>
      <c r="B47" s="9" t="s">
        <v>115</v>
      </c>
      <c r="D47" s="36"/>
      <c r="E47" s="16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30" ht="12.75" customHeight="1">
      <c r="A48" s="13">
        <f t="shared" si="3"/>
        <v>32</v>
      </c>
      <c r="B48" s="9" t="s">
        <v>116</v>
      </c>
      <c r="D48" s="85" t="str">
        <f>"Sum (Lines "&amp;A43&amp;":"&amp;A45&amp;")"</f>
        <v>Sum (Lines 29:30)</v>
      </c>
      <c r="E48" s="16" t="s">
        <v>17</v>
      </c>
      <c r="F48" s="22">
        <f>SUM(F43:F45)</f>
        <v>4783.1864307448486</v>
      </c>
      <c r="G48" s="22">
        <f>SUM(G43:G47)</f>
        <v>1415</v>
      </c>
      <c r="H48" s="22">
        <f>SUM(H43:H47)</f>
        <v>0</v>
      </c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</row>
    <row r="49" spans="1:34">
      <c r="A49" s="13">
        <f t="shared" si="3"/>
        <v>33</v>
      </c>
      <c r="B49" s="9" t="s">
        <v>160</v>
      </c>
      <c r="D49" s="85" t="str">
        <f>"Line "&amp;A48&amp;" x PCIA Inputs Line 11"</f>
        <v>Line 32 x PCIA Inputs Line 11</v>
      </c>
      <c r="E49" s="16" t="s">
        <v>17</v>
      </c>
      <c r="F49" s="22">
        <f>F48*'PCIA Inputs'!$D$17</f>
        <v>0</v>
      </c>
      <c r="G49" s="22">
        <f>G48*'PCIA Inputs'!$D$17</f>
        <v>0</v>
      </c>
      <c r="H49" s="22">
        <f>H48*'PCIA Inputs'!$D$17</f>
        <v>0</v>
      </c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</row>
    <row r="50" spans="1:34">
      <c r="A50" s="13">
        <f t="shared" si="3"/>
        <v>34</v>
      </c>
      <c r="B50" s="9" t="s">
        <v>161</v>
      </c>
      <c r="D50" s="85" t="str">
        <f>"Line "&amp;A48&amp;" x PCIA Inputs Line 12"</f>
        <v>Line 32 x PCIA Inputs Line 12</v>
      </c>
      <c r="E50" s="16" t="s">
        <v>17</v>
      </c>
      <c r="F50" s="22">
        <f>F48*'PCIA Inputs'!$D$18</f>
        <v>4790.8873608983477</v>
      </c>
      <c r="G50" s="22">
        <f>G48*'PCIA Inputs'!$D$18</f>
        <v>1417.2781499999999</v>
      </c>
      <c r="H50" s="22">
        <f>H48*'PCIA Inputs'!$D$18</f>
        <v>0</v>
      </c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</row>
    <row r="51" spans="1:34">
      <c r="A51" s="13"/>
    </row>
    <row r="52" spans="1:34">
      <c r="A52" s="13">
        <f t="shared" si="3"/>
        <v>35</v>
      </c>
      <c r="B52" s="8" t="s">
        <v>168</v>
      </c>
    </row>
    <row r="53" spans="1:34">
      <c r="A53" s="13">
        <f t="shared" si="3"/>
        <v>36</v>
      </c>
      <c r="B53" s="8" t="s">
        <v>169</v>
      </c>
      <c r="D53" s="113" t="s">
        <v>47</v>
      </c>
      <c r="E53" s="16" t="s">
        <v>17</v>
      </c>
      <c r="AA53" s="134"/>
      <c r="AB53" s="134"/>
    </row>
    <row r="54" spans="1:34">
      <c r="A54" s="13">
        <f t="shared" si="3"/>
        <v>37</v>
      </c>
      <c r="B54" s="8" t="s">
        <v>170</v>
      </c>
      <c r="D54" s="12" t="str">
        <f>"Line "&amp;A53&amp;" x PCIA Inputs Line 11"</f>
        <v>Line 36 x PCIA Inputs Line 11</v>
      </c>
      <c r="E54" s="16" t="s">
        <v>17</v>
      </c>
      <c r="AA54" s="138"/>
      <c r="AB54" s="138"/>
    </row>
    <row r="55" spans="1:34">
      <c r="A55" s="13">
        <f t="shared" si="3"/>
        <v>38</v>
      </c>
      <c r="B55" s="8" t="s">
        <v>171</v>
      </c>
      <c r="D55" s="12" t="str">
        <f>"Line "&amp;A53&amp;" x PCIA Inputs Line 12"</f>
        <v>Line 36 x PCIA Inputs Line 12</v>
      </c>
      <c r="E55" s="16" t="s">
        <v>17</v>
      </c>
      <c r="AA55" s="138"/>
      <c r="AB55" s="138"/>
    </row>
    <row r="56" spans="1:34">
      <c r="A56" s="13"/>
    </row>
    <row r="57" spans="1:34">
      <c r="A57" s="108">
        <f>A55+1</f>
        <v>39</v>
      </c>
      <c r="B57" s="109" t="s">
        <v>142</v>
      </c>
      <c r="C57" s="110"/>
      <c r="D57" s="111"/>
      <c r="E57" s="110"/>
      <c r="F57" s="112"/>
      <c r="G57" s="112"/>
      <c r="H57" s="112"/>
      <c r="I57" s="98"/>
      <c r="J57" s="98"/>
      <c r="K57" s="98"/>
      <c r="L57" s="98"/>
      <c r="M57" s="98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</row>
    <row r="58" spans="1:34">
      <c r="A58" s="108">
        <f>A57+1</f>
        <v>40</v>
      </c>
      <c r="B58" s="109" t="s">
        <v>143</v>
      </c>
      <c r="C58" s="110"/>
      <c r="D58" s="113" t="s">
        <v>47</v>
      </c>
      <c r="E58" s="114" t="s">
        <v>17</v>
      </c>
      <c r="F58" s="115"/>
      <c r="G58" s="115"/>
      <c r="H58" s="115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99"/>
      <c r="AE58" s="99"/>
      <c r="AF58" s="99"/>
      <c r="AG58" s="99"/>
      <c r="AH58" s="99"/>
    </row>
    <row r="59" spans="1:34">
      <c r="A59" s="108">
        <f>A58+1</f>
        <v>41</v>
      </c>
      <c r="B59" s="109" t="s">
        <v>162</v>
      </c>
      <c r="C59" s="110"/>
      <c r="D59" s="116" t="str">
        <f>"Line "&amp;A58&amp;" x PCIA Inputs Line 11"</f>
        <v>Line 40 x PCIA Inputs Line 11</v>
      </c>
      <c r="E59" s="114" t="s">
        <v>17</v>
      </c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99"/>
      <c r="AE59" s="99"/>
      <c r="AF59" s="99"/>
    </row>
    <row r="60" spans="1:34">
      <c r="A60" s="108">
        <f>A59+1</f>
        <v>42</v>
      </c>
      <c r="B60" s="109" t="s">
        <v>163</v>
      </c>
      <c r="C60" s="110"/>
      <c r="D60" s="116" t="str">
        <f>"Line "&amp;A58&amp;" x PCIA Inputs Line 12"</f>
        <v>Line 40 x PCIA Inputs Line 12</v>
      </c>
      <c r="E60" s="114" t="s">
        <v>17</v>
      </c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99"/>
      <c r="AE60" s="99"/>
      <c r="AF60" s="99"/>
    </row>
    <row r="61" spans="1:34">
      <c r="B61" s="110"/>
      <c r="C61" s="110"/>
      <c r="D61" s="111"/>
      <c r="E61" s="110"/>
    </row>
    <row r="62" spans="1:34">
      <c r="A62" s="108">
        <f>A60+1</f>
        <v>43</v>
      </c>
      <c r="B62" s="109" t="s">
        <v>144</v>
      </c>
      <c r="C62" s="110"/>
      <c r="D62" s="111"/>
    </row>
    <row r="63" spans="1:34">
      <c r="A63" s="108">
        <f>A62+1</f>
        <v>44</v>
      </c>
      <c r="B63" s="109" t="s">
        <v>145</v>
      </c>
      <c r="C63" s="110"/>
      <c r="D63" s="113" t="s">
        <v>47</v>
      </c>
      <c r="I63" s="139"/>
      <c r="J63" s="139"/>
      <c r="K63" s="139"/>
      <c r="L63" s="139"/>
      <c r="M63" s="137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40"/>
      <c r="AC63" s="139"/>
    </row>
    <row r="64" spans="1:34">
      <c r="A64" s="108">
        <f>A63+1</f>
        <v>45</v>
      </c>
      <c r="B64" s="109" t="s">
        <v>165</v>
      </c>
      <c r="C64" s="110"/>
      <c r="D64" s="116" t="str">
        <f>"Line "&amp;A63&amp;" x PCIA Inputs Line 11"</f>
        <v>Line 44 x PCIA Inputs Line 11</v>
      </c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41"/>
      <c r="AC64" s="139"/>
    </row>
    <row r="65" spans="1:29">
      <c r="A65" s="108">
        <f>A64+1</f>
        <v>46</v>
      </c>
      <c r="B65" s="109" t="s">
        <v>164</v>
      </c>
      <c r="C65" s="110"/>
      <c r="D65" s="116" t="str">
        <f>"Line "&amp;A63&amp;" x PCIA Inputs Line 12"</f>
        <v>Line 44 x PCIA Inputs Line 12</v>
      </c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41"/>
      <c r="AC65" s="139"/>
    </row>
  </sheetData>
  <mergeCells count="2">
    <mergeCell ref="A1:X1"/>
    <mergeCell ref="A2:X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A01C8-77F3-467A-A1D1-AEA8878AD7F6}">
  <sheetPr>
    <pageSetUpPr fitToPage="1"/>
  </sheetPr>
  <dimension ref="A1:Z49"/>
  <sheetViews>
    <sheetView zoomScale="85" zoomScaleNormal="85" workbookViewId="0">
      <pane xSplit="4" ySplit="4" topLeftCell="J20" activePane="bottomRight" state="frozen"/>
      <selection activeCell="D37" sqref="D37"/>
      <selection pane="topRight" activeCell="D37" sqref="D37"/>
      <selection pane="bottomLeft" activeCell="D37" sqref="D37"/>
      <selection pane="bottomRight" sqref="A1:Y2"/>
    </sheetView>
  </sheetViews>
  <sheetFormatPr defaultColWidth="9.28515625" defaultRowHeight="15.75"/>
  <cols>
    <col min="1" max="1" width="23.42578125" style="25" customWidth="1"/>
    <col min="2" max="2" width="25.7109375" style="25" customWidth="1"/>
    <col min="3" max="3" width="13" style="25" customWidth="1"/>
    <col min="4" max="10" width="14.5703125" style="25" customWidth="1"/>
    <col min="11" max="21" width="14.5703125" style="25" bestFit="1" customWidth="1"/>
    <col min="22" max="22" width="13.7109375" style="25" customWidth="1"/>
    <col min="23" max="23" width="11.5703125" style="25" bestFit="1" customWidth="1"/>
    <col min="24" max="24" width="12.28515625" style="25" customWidth="1"/>
    <col min="25" max="25" width="14.7109375" style="25" customWidth="1"/>
    <col min="26" max="16384" width="9.28515625" style="25"/>
  </cols>
  <sheetData>
    <row r="1" spans="1:2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>
      <c r="C3" s="144" t="s">
        <v>154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31.5">
      <c r="A4" s="26" t="s">
        <v>38</v>
      </c>
      <c r="B4" s="74" t="s">
        <v>87</v>
      </c>
      <c r="C4" s="49" t="s">
        <v>39</v>
      </c>
      <c r="D4" s="47" t="s">
        <v>86</v>
      </c>
      <c r="E4" s="49">
        <v>2002</v>
      </c>
      <c r="F4" s="49">
        <v>2003</v>
      </c>
      <c r="G4" s="49">
        <v>2004</v>
      </c>
      <c r="H4" s="49">
        <v>2005</v>
      </c>
      <c r="I4" s="49">
        <v>2006</v>
      </c>
      <c r="J4" s="49">
        <v>2007</v>
      </c>
      <c r="K4" s="49">
        <v>2008</v>
      </c>
      <c r="L4" s="49">
        <v>2009</v>
      </c>
      <c r="M4" s="49">
        <v>2010</v>
      </c>
      <c r="N4" s="49">
        <v>2011</v>
      </c>
      <c r="O4" s="49">
        <v>2012</v>
      </c>
      <c r="P4" s="49">
        <v>2013</v>
      </c>
      <c r="Q4" s="49">
        <v>2014</v>
      </c>
      <c r="R4" s="49">
        <v>2015</v>
      </c>
      <c r="S4" s="49">
        <v>2016</v>
      </c>
      <c r="T4" s="49">
        <v>2017</v>
      </c>
      <c r="U4" s="49">
        <v>2018</v>
      </c>
      <c r="V4" s="49">
        <v>2019</v>
      </c>
      <c r="W4" s="49">
        <f>+V4+1</f>
        <v>2020</v>
      </c>
      <c r="X4" s="49">
        <f>+W4+1</f>
        <v>2021</v>
      </c>
      <c r="Y4" s="49">
        <v>2022</v>
      </c>
    </row>
    <row r="5" spans="1:25" ht="31.5">
      <c r="A5" s="26" t="s">
        <v>80</v>
      </c>
      <c r="B5" s="75"/>
      <c r="C5" s="27">
        <f>'Indifference Amount Calc'!F50</f>
        <v>4790.8873608983477</v>
      </c>
      <c r="D5" s="27">
        <f>'Indifference Amount Calc'!G50</f>
        <v>1417.2781499999999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</row>
    <row r="6" spans="1:25">
      <c r="A6" s="28" t="s">
        <v>41</v>
      </c>
      <c r="B6" s="96">
        <v>0.42829805435073137</v>
      </c>
      <c r="C6" s="30">
        <f t="shared" ref="C6:C11" si="0">B6*C$5</f>
        <v>2051.9277352862723</v>
      </c>
      <c r="D6" s="30">
        <f t="shared" ref="D6:D10" si="1">$B6*D$5</f>
        <v>607.01747411880399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1:25">
      <c r="A7" s="28" t="s">
        <v>42</v>
      </c>
      <c r="B7" s="96">
        <v>0.13271428239502228</v>
      </c>
      <c r="C7" s="30">
        <f t="shared" si="0"/>
        <v>635.81917813700636</v>
      </c>
      <c r="D7" s="30">
        <f t="shared" si="1"/>
        <v>188.09305263139473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1:25">
      <c r="A8" s="28" t="s">
        <v>43</v>
      </c>
      <c r="B8" s="96">
        <v>0.42030832470214263</v>
      </c>
      <c r="C8" s="30">
        <f t="shared" si="0"/>
        <v>2013.6498404958538</v>
      </c>
      <c r="D8" s="30">
        <f t="shared" si="1"/>
        <v>595.69380486345199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1:25">
      <c r="A9" s="28" t="s">
        <v>44</v>
      </c>
      <c r="B9" s="96">
        <v>1.4992320849857636E-2</v>
      </c>
      <c r="C9" s="30">
        <f t="shared" si="0"/>
        <v>71.826520470115724</v>
      </c>
      <c r="D9" s="30">
        <f t="shared" si="1"/>
        <v>21.248288758292656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spans="1:25">
      <c r="A10" s="28" t="s">
        <v>45</v>
      </c>
      <c r="B10" s="96">
        <v>3.6870177022459631E-3</v>
      </c>
      <c r="C10" s="30">
        <f t="shared" si="0"/>
        <v>17.664086509098652</v>
      </c>
      <c r="D10" s="30">
        <f t="shared" si="1"/>
        <v>5.2255296280564085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spans="1:25">
      <c r="A11" s="28" t="s">
        <v>85</v>
      </c>
      <c r="B11" s="76">
        <f>SUM(B6:B10)</f>
        <v>1</v>
      </c>
      <c r="C11" s="30">
        <f t="shared" si="0"/>
        <v>4790.8873608983477</v>
      </c>
      <c r="D11" s="30">
        <f>$B11*D$5</f>
        <v>1417.2781499999999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spans="1:25">
      <c r="A12" s="38"/>
      <c r="B12" s="57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5" spans="1:25">
      <c r="C15" s="144" t="s">
        <v>106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  <row r="16" spans="1:25" ht="31.5">
      <c r="A16" s="26" t="s">
        <v>38</v>
      </c>
      <c r="B16" s="49" t="s">
        <v>104</v>
      </c>
      <c r="C16" s="49" t="s">
        <v>83</v>
      </c>
      <c r="D16" s="47" t="s">
        <v>86</v>
      </c>
      <c r="E16" s="49">
        <v>2002</v>
      </c>
      <c r="F16" s="49">
        <v>2003</v>
      </c>
      <c r="G16" s="49">
        <v>2004</v>
      </c>
      <c r="H16" s="49">
        <v>2005</v>
      </c>
      <c r="I16" s="49">
        <v>2006</v>
      </c>
      <c r="J16" s="49">
        <v>2007</v>
      </c>
      <c r="K16" s="49">
        <v>2008</v>
      </c>
      <c r="L16" s="49">
        <v>2009</v>
      </c>
      <c r="M16" s="49">
        <v>2010</v>
      </c>
      <c r="N16" s="49">
        <v>2011</v>
      </c>
      <c r="O16" s="49">
        <v>2012</v>
      </c>
      <c r="P16" s="49">
        <v>2013</v>
      </c>
      <c r="Q16" s="49">
        <v>2014</v>
      </c>
      <c r="R16" s="49">
        <v>2015</v>
      </c>
      <c r="S16" s="49">
        <v>2016</v>
      </c>
      <c r="T16" s="49">
        <v>2017</v>
      </c>
      <c r="U16" s="49">
        <v>2018</v>
      </c>
      <c r="V16" s="49">
        <v>2019</v>
      </c>
      <c r="W16" s="49">
        <f>+W4</f>
        <v>2020</v>
      </c>
      <c r="X16" s="49">
        <f>+X4</f>
        <v>2021</v>
      </c>
      <c r="Y16" s="49">
        <v>2022</v>
      </c>
    </row>
    <row r="17" spans="1:26">
      <c r="A17" s="28" t="s">
        <v>41</v>
      </c>
      <c r="B17" s="57">
        <v>5245.2817189874295</v>
      </c>
      <c r="C17" s="58">
        <f>B17</f>
        <v>5245.2817189874295</v>
      </c>
      <c r="D17" s="57">
        <v>5245.2817189874295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1:26">
      <c r="A18" s="28" t="s">
        <v>42</v>
      </c>
      <c r="B18" s="57">
        <v>2041.3216539650505</v>
      </c>
      <c r="C18" s="58">
        <f t="shared" ref="C18:C21" si="2">B18</f>
        <v>2041.3216539650505</v>
      </c>
      <c r="D18" s="57">
        <v>2041.3216539650505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1:26">
      <c r="A19" s="28" t="s">
        <v>43</v>
      </c>
      <c r="B19" s="57">
        <v>9038.2789735142051</v>
      </c>
      <c r="C19" s="58">
        <f t="shared" si="2"/>
        <v>9038.2789735142051</v>
      </c>
      <c r="D19" s="57">
        <v>9038.2789735142032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1:26">
      <c r="A20" s="28" t="s">
        <v>44</v>
      </c>
      <c r="B20" s="57">
        <v>311.43267865992982</v>
      </c>
      <c r="C20" s="58">
        <f t="shared" si="2"/>
        <v>311.43267865992982</v>
      </c>
      <c r="D20" s="57">
        <v>311.43267865992982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1:26">
      <c r="A21" s="28" t="s">
        <v>45</v>
      </c>
      <c r="B21" s="57">
        <v>82.670007271185625</v>
      </c>
      <c r="C21" s="58">
        <f t="shared" si="2"/>
        <v>82.670007271185625</v>
      </c>
      <c r="D21" s="57">
        <v>82.670007271185639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1:26">
      <c r="A22" s="28" t="s">
        <v>84</v>
      </c>
      <c r="B22" s="57">
        <f>SUM(B17:B21)</f>
        <v>16718.985032397803</v>
      </c>
      <c r="C22" s="58">
        <f t="shared" ref="C22:D22" si="3">SUM(C17:C21)</f>
        <v>16718.985032397803</v>
      </c>
      <c r="D22" s="57">
        <f t="shared" si="3"/>
        <v>16718.985032397799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17"/>
    </row>
    <row r="23" spans="1:26">
      <c r="A23" s="38"/>
      <c r="B23" s="57"/>
      <c r="C23" s="29"/>
      <c r="D23" s="30"/>
      <c r="E23" s="30"/>
      <c r="F23" s="30"/>
      <c r="G23" s="3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5" spans="1:26">
      <c r="C25" s="144" t="s">
        <v>82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</row>
    <row r="26" spans="1:26" s="26" customFormat="1" ht="31.5">
      <c r="B26" s="26" t="s">
        <v>38</v>
      </c>
      <c r="C26" s="49" t="s">
        <v>40</v>
      </c>
      <c r="D26" s="47" t="s">
        <v>86</v>
      </c>
      <c r="E26" s="49">
        <v>2002</v>
      </c>
      <c r="F26" s="49">
        <v>2003</v>
      </c>
      <c r="G26" s="49">
        <v>2004</v>
      </c>
      <c r="H26" s="49">
        <v>2005</v>
      </c>
      <c r="I26" s="49">
        <v>2006</v>
      </c>
      <c r="J26" s="49">
        <v>2007</v>
      </c>
      <c r="K26" s="49">
        <v>2008</v>
      </c>
      <c r="L26" s="49">
        <v>2009</v>
      </c>
      <c r="M26" s="49">
        <v>2010</v>
      </c>
      <c r="N26" s="49">
        <v>2011</v>
      </c>
      <c r="O26" s="49">
        <v>2012</v>
      </c>
      <c r="P26" s="49">
        <v>2013</v>
      </c>
      <c r="Q26" s="49">
        <v>2014</v>
      </c>
      <c r="R26" s="49">
        <v>2015</v>
      </c>
      <c r="S26" s="49">
        <v>2016</v>
      </c>
      <c r="T26" s="49">
        <v>2017</v>
      </c>
      <c r="U26" s="49">
        <v>2018</v>
      </c>
      <c r="V26" s="49">
        <v>2019</v>
      </c>
      <c r="W26" s="49">
        <f>+W4</f>
        <v>2020</v>
      </c>
      <c r="X26" s="49">
        <f>+X4</f>
        <v>2021</v>
      </c>
      <c r="Y26" s="49">
        <v>2022</v>
      </c>
    </row>
    <row r="27" spans="1:26">
      <c r="B27" s="28" t="s">
        <v>41</v>
      </c>
      <c r="C27" s="48">
        <v>3.9118999999999997E-4</v>
      </c>
      <c r="D27" s="48">
        <v>1.1573E-4</v>
      </c>
      <c r="E27" s="48">
        <v>9.8200000000000008E-6</v>
      </c>
      <c r="F27" s="48">
        <v>0</v>
      </c>
      <c r="G27" s="48">
        <v>1.9005199999999999E-3</v>
      </c>
      <c r="H27" s="48">
        <v>1.0232799999999999E-3</v>
      </c>
      <c r="I27" s="48">
        <v>1.4013299999999999E-3</v>
      </c>
      <c r="J27" s="48">
        <v>-4.0113000000000006E-3</v>
      </c>
      <c r="K27" s="48">
        <v>1.1479600000000002E-3</v>
      </c>
      <c r="L27" s="48">
        <v>3.5655399999999999E-3</v>
      </c>
      <c r="M27" s="48">
        <v>2.4266299999999999E-3</v>
      </c>
      <c r="N27" s="48">
        <v>-6.8073999999999999E-4</v>
      </c>
      <c r="O27" s="48">
        <v>7.3892999999999995E-4</v>
      </c>
      <c r="P27" s="48">
        <v>-8.4487000000000006E-4</v>
      </c>
      <c r="Q27" s="48">
        <v>7.1199999999999996E-6</v>
      </c>
      <c r="R27" s="48">
        <v>-5.4308000000000004E-4</v>
      </c>
      <c r="S27" s="48">
        <v>0</v>
      </c>
      <c r="T27" s="48">
        <v>-4.0970000000000002E-5</v>
      </c>
      <c r="U27" s="48">
        <v>2.6455199999999997E-3</v>
      </c>
      <c r="V27" s="48">
        <v>-5.3381999999999995E-4</v>
      </c>
      <c r="W27" s="48">
        <v>5.77365E-3</v>
      </c>
      <c r="X27" s="48">
        <v>-5.5196500000000001E-3</v>
      </c>
      <c r="Y27" s="48">
        <v>0</v>
      </c>
    </row>
    <row r="28" spans="1:26">
      <c r="B28" s="28" t="s">
        <v>42</v>
      </c>
      <c r="C28" s="48">
        <v>3.1147E-4</v>
      </c>
      <c r="D28" s="48">
        <v>9.2139999999999995E-5</v>
      </c>
      <c r="E28" s="48">
        <v>7.8499999999999994E-6</v>
      </c>
      <c r="F28" s="48">
        <v>0</v>
      </c>
      <c r="G28" s="48">
        <v>1.5183800000000002E-3</v>
      </c>
      <c r="H28" s="48">
        <v>8.1753000000000001E-4</v>
      </c>
      <c r="I28" s="48">
        <v>1.1195600000000001E-3</v>
      </c>
      <c r="J28" s="48">
        <v>-3.2047400000000002E-3</v>
      </c>
      <c r="K28" s="48">
        <v>9.1713000000000005E-4</v>
      </c>
      <c r="L28" s="48">
        <v>2.8486099999999997E-3</v>
      </c>
      <c r="M28" s="48">
        <v>1.93944E-3</v>
      </c>
      <c r="N28" s="48">
        <v>-5.4562999999999996E-4</v>
      </c>
      <c r="O28" s="48">
        <v>5.9286000000000007E-4</v>
      </c>
      <c r="P28" s="48">
        <v>-6.7788000000000006E-4</v>
      </c>
      <c r="Q28" s="48">
        <v>5.7099999999999995E-6</v>
      </c>
      <c r="R28" s="48">
        <v>-4.3574E-4</v>
      </c>
      <c r="S28" s="48">
        <v>0</v>
      </c>
      <c r="T28" s="48">
        <v>-3.294E-5</v>
      </c>
      <c r="U28" s="48">
        <v>2.1369099999999997E-3</v>
      </c>
      <c r="V28" s="48">
        <v>-4.3333E-4</v>
      </c>
      <c r="W28" s="48">
        <v>4.69331E-3</v>
      </c>
      <c r="X28" s="48">
        <v>-8.2480699999999997E-3</v>
      </c>
      <c r="Y28" s="48">
        <v>0</v>
      </c>
    </row>
    <row r="29" spans="1:26">
      <c r="B29" s="28" t="s">
        <v>43</v>
      </c>
      <c r="C29" s="48">
        <v>2.2279E-4</v>
      </c>
      <c r="D29" s="48">
        <v>6.5909999999999997E-5</v>
      </c>
      <c r="E29" s="48">
        <v>7.860000000000001E-6</v>
      </c>
      <c r="F29" s="48">
        <v>0</v>
      </c>
      <c r="G29" s="48">
        <v>1.5210900000000001E-3</v>
      </c>
      <c r="H29" s="48">
        <v>8.1898000000000008E-4</v>
      </c>
      <c r="I29" s="48">
        <v>1.12156E-3</v>
      </c>
      <c r="J29" s="48">
        <v>-3.2104499999999997E-3</v>
      </c>
      <c r="K29" s="48">
        <v>9.1876999999999996E-4</v>
      </c>
      <c r="L29" s="48">
        <v>2.8536899999999999E-3</v>
      </c>
      <c r="M29" s="48">
        <v>1.9892E-3</v>
      </c>
      <c r="N29" s="48">
        <v>-5.7859000000000003E-4</v>
      </c>
      <c r="O29" s="48">
        <v>6.4517999999999997E-4</v>
      </c>
      <c r="P29" s="48">
        <v>-7.3808000000000001E-4</v>
      </c>
      <c r="Q29" s="48">
        <v>6.2199999999999997E-6</v>
      </c>
      <c r="R29" s="48">
        <v>-4.7443000000000002E-4</v>
      </c>
      <c r="S29" s="48">
        <v>0</v>
      </c>
      <c r="T29" s="48">
        <v>-3.6659999999999998E-5</v>
      </c>
      <c r="U29" s="48">
        <v>2.42465E-3</v>
      </c>
      <c r="V29" s="48">
        <v>-5.0812999999999997E-4</v>
      </c>
      <c r="W29" s="48">
        <v>5.7317699999999997E-3</v>
      </c>
      <c r="X29" s="48">
        <v>-1.0463129999999999E-2</v>
      </c>
      <c r="Y29" s="48">
        <v>0</v>
      </c>
    </row>
    <row r="30" spans="1:26">
      <c r="B30" s="28" t="s">
        <v>44</v>
      </c>
      <c r="C30" s="48">
        <v>2.3063000000000001E-4</v>
      </c>
      <c r="D30" s="48">
        <v>6.8230000000000002E-5</v>
      </c>
      <c r="E30" s="48">
        <v>5.9800000000000003E-6</v>
      </c>
      <c r="F30" s="48">
        <v>0</v>
      </c>
      <c r="G30" s="48">
        <v>1.1569499999999999E-3</v>
      </c>
      <c r="H30" s="48">
        <v>6.2292999999999995E-4</v>
      </c>
      <c r="I30" s="48">
        <v>8.5305999999999999E-4</v>
      </c>
      <c r="J30" s="48">
        <v>-2.4418899999999999E-3</v>
      </c>
      <c r="K30" s="48">
        <v>6.9881999999999995E-4</v>
      </c>
      <c r="L30" s="48">
        <v>2.1705399999999999E-3</v>
      </c>
      <c r="M30" s="48">
        <v>1.47722E-3</v>
      </c>
      <c r="N30" s="48">
        <v>-4.2828000000000001E-4</v>
      </c>
      <c r="O30" s="48">
        <v>4.6489000000000003E-4</v>
      </c>
      <c r="P30" s="48">
        <v>-5.3154000000000005E-4</v>
      </c>
      <c r="Q30" s="48">
        <v>4.4799999999999995E-6</v>
      </c>
      <c r="R30" s="48">
        <v>-3.4166999999999997E-4</v>
      </c>
      <c r="S30" s="48">
        <v>0</v>
      </c>
      <c r="T30" s="48">
        <v>-2.5770000000000002E-5</v>
      </c>
      <c r="U30" s="48">
        <v>1.6606700000000002E-3</v>
      </c>
      <c r="V30" s="48">
        <v>-3.3500999999999995E-4</v>
      </c>
      <c r="W30" s="48">
        <v>3.63796E-3</v>
      </c>
      <c r="X30" s="48">
        <v>-3.8605100000000002E-3</v>
      </c>
      <c r="Y30" s="48">
        <v>0</v>
      </c>
    </row>
    <row r="31" spans="1:26">
      <c r="B31" s="28" t="s">
        <v>45</v>
      </c>
      <c r="C31" s="48">
        <v>2.1367000000000001E-4</v>
      </c>
      <c r="D31" s="48">
        <v>6.321E-5</v>
      </c>
      <c r="E31" s="48">
        <v>5.3699999999999994E-6</v>
      </c>
      <c r="F31" s="48">
        <v>0</v>
      </c>
      <c r="G31" s="48">
        <v>1.03856E-3</v>
      </c>
      <c r="H31" s="48">
        <v>5.5918000000000005E-4</v>
      </c>
      <c r="I31" s="48">
        <v>7.6576999999999993E-4</v>
      </c>
      <c r="J31" s="48">
        <v>-2.1920199999999998E-3</v>
      </c>
      <c r="K31" s="48">
        <v>6.2731000000000006E-4</v>
      </c>
      <c r="L31" s="48">
        <v>1.9484300000000001E-3</v>
      </c>
      <c r="M31" s="48">
        <v>1.32606E-3</v>
      </c>
      <c r="N31" s="48">
        <v>-3.7199999999999999E-4</v>
      </c>
      <c r="O31" s="48">
        <v>4.0376000000000002E-4</v>
      </c>
      <c r="P31" s="48">
        <v>-4.6163999999999998E-4</v>
      </c>
      <c r="Q31" s="48">
        <v>3.89E-6</v>
      </c>
      <c r="R31" s="48">
        <v>-2.9673999999999998E-4</v>
      </c>
      <c r="S31" s="48">
        <v>0</v>
      </c>
      <c r="T31" s="48">
        <v>-2.2379999999999999E-5</v>
      </c>
      <c r="U31" s="48">
        <v>1.4444099999999999E-3</v>
      </c>
      <c r="V31" s="48">
        <v>-2.9137E-4</v>
      </c>
      <c r="W31" s="48">
        <v>3.1511E-3</v>
      </c>
      <c r="X31" s="48">
        <v>-3.4211900000000002E-3</v>
      </c>
      <c r="Y31" s="48">
        <v>0</v>
      </c>
    </row>
    <row r="32" spans="1:26">
      <c r="B32" s="28" t="s">
        <v>46</v>
      </c>
      <c r="C32" s="48">
        <v>2.8655000000000005E-4</v>
      </c>
      <c r="D32" s="48">
        <v>8.4770000000000003E-5</v>
      </c>
      <c r="E32" s="48">
        <v>8.5299999999999996E-6</v>
      </c>
      <c r="F32" s="48">
        <v>0</v>
      </c>
      <c r="G32" s="48">
        <v>1.65127E-3</v>
      </c>
      <c r="H32" s="48">
        <v>8.8907999999999999E-4</v>
      </c>
      <c r="I32" s="48">
        <v>1.21755E-3</v>
      </c>
      <c r="J32" s="48">
        <v>-3.4852300000000002E-3</v>
      </c>
      <c r="K32" s="48">
        <v>9.9741000000000001E-4</v>
      </c>
      <c r="L32" s="48">
        <v>3.09793E-3</v>
      </c>
      <c r="M32" s="48">
        <v>2.1315000000000001E-3</v>
      </c>
      <c r="N32" s="48">
        <v>-6.0837E-4</v>
      </c>
      <c r="O32" s="48">
        <v>6.6830999999999998E-4</v>
      </c>
      <c r="P32" s="48">
        <v>-7.6431000000000003E-4</v>
      </c>
      <c r="Q32" s="48">
        <v>6.4400000000000002E-6</v>
      </c>
      <c r="R32" s="48">
        <v>-4.9129000000000002E-4</v>
      </c>
      <c r="S32" s="48">
        <v>0</v>
      </c>
      <c r="T32" s="48">
        <v>-3.7459999999999997E-5</v>
      </c>
      <c r="U32" s="48">
        <v>2.4454099999999999E-3</v>
      </c>
      <c r="V32" s="48">
        <v>-5.017200000000001E-4</v>
      </c>
      <c r="W32" s="48">
        <v>5.52243E-3</v>
      </c>
      <c r="X32" s="48">
        <v>-7.2037199999999994E-3</v>
      </c>
      <c r="Y32" s="48">
        <v>0</v>
      </c>
    </row>
    <row r="33" spans="1:25">
      <c r="A33" s="28"/>
      <c r="B33" s="57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5" spans="1:25" ht="15.75" customHeight="1">
      <c r="C35" s="144" t="s">
        <v>103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  <row r="36" spans="1:25">
      <c r="B36" s="26" t="s">
        <v>38</v>
      </c>
      <c r="C36" s="49" t="s">
        <v>16</v>
      </c>
      <c r="D36" s="49">
        <v>2001</v>
      </c>
      <c r="E36" s="49">
        <v>2002</v>
      </c>
      <c r="F36" s="49">
        <v>2003</v>
      </c>
      <c r="G36" s="49">
        <v>2004</v>
      </c>
      <c r="H36" s="49">
        <v>2005</v>
      </c>
      <c r="I36" s="49">
        <v>2006</v>
      </c>
      <c r="J36" s="49">
        <v>2007</v>
      </c>
      <c r="K36" s="49">
        <v>2008</v>
      </c>
      <c r="L36" s="49">
        <v>2009</v>
      </c>
      <c r="M36" s="49">
        <v>2010</v>
      </c>
      <c r="N36" s="49">
        <v>2011</v>
      </c>
      <c r="O36" s="49">
        <v>2012</v>
      </c>
      <c r="P36" s="49">
        <v>2013</v>
      </c>
      <c r="Q36" s="49">
        <v>2014</v>
      </c>
      <c r="R36" s="49">
        <v>2015</v>
      </c>
      <c r="S36" s="49">
        <v>2016</v>
      </c>
      <c r="T36" s="49">
        <v>2017</v>
      </c>
      <c r="U36" s="49">
        <v>2018</v>
      </c>
      <c r="V36" s="49">
        <v>2019</v>
      </c>
      <c r="W36" s="49">
        <f>+W4</f>
        <v>2020</v>
      </c>
      <c r="X36" s="49">
        <f>+X4</f>
        <v>2021</v>
      </c>
      <c r="Y36" s="49">
        <v>2022</v>
      </c>
    </row>
    <row r="37" spans="1:25">
      <c r="B37" s="28" t="s">
        <v>41</v>
      </c>
      <c r="C37" s="33">
        <f>C27</f>
        <v>3.9118999999999997E-4</v>
      </c>
      <c r="D37" s="34">
        <f>D27</f>
        <v>1.1573E-4</v>
      </c>
      <c r="E37" s="33">
        <f>SUM($D27:E27)</f>
        <v>1.2555000000000002E-4</v>
      </c>
      <c r="F37" s="33">
        <f>SUM($D27:F27)</f>
        <v>1.2555000000000002E-4</v>
      </c>
      <c r="G37" s="33">
        <f>SUM($D27:G27)</f>
        <v>2.02607E-3</v>
      </c>
      <c r="H37" s="33">
        <f>SUM($D27:H27)</f>
        <v>3.0493500000000002E-3</v>
      </c>
      <c r="I37" s="33">
        <f>SUM($D27:I27)</f>
        <v>4.4506800000000003E-3</v>
      </c>
      <c r="J37" s="33">
        <f>SUM($D27:J27)</f>
        <v>4.3937999999999963E-4</v>
      </c>
      <c r="K37" s="33">
        <f>SUM($D27:K27)</f>
        <v>1.5873399999999998E-3</v>
      </c>
      <c r="L37" s="33">
        <f>SUM($D27:L27)</f>
        <v>5.1528799999999994E-3</v>
      </c>
      <c r="M37" s="33">
        <f>SUM($D27:M27)</f>
        <v>7.5795099999999994E-3</v>
      </c>
      <c r="N37" s="33">
        <f>SUM($D27:N27)</f>
        <v>6.8987699999999994E-3</v>
      </c>
      <c r="O37" s="33">
        <f>SUM($D27:O27)</f>
        <v>7.637699999999999E-3</v>
      </c>
      <c r="P37" s="33">
        <f>SUM($D27:P27)</f>
        <v>6.7928299999999988E-3</v>
      </c>
      <c r="Q37" s="33">
        <f>SUM($D27:Q27)</f>
        <v>6.7999499999999991E-3</v>
      </c>
      <c r="R37" s="33">
        <f>SUM($D27:R27)</f>
        <v>6.2568699999999994E-3</v>
      </c>
      <c r="S37" s="33">
        <f>SUM($D27:S27)</f>
        <v>6.2568699999999994E-3</v>
      </c>
      <c r="T37" s="33">
        <f>SUM($D27:T27)</f>
        <v>6.215899999999999E-3</v>
      </c>
      <c r="U37" s="33">
        <f>SUM($D27:U27)</f>
        <v>8.8614199999999983E-3</v>
      </c>
      <c r="V37" s="33">
        <f>SUM($D27:V27)</f>
        <v>8.3275999999999975E-3</v>
      </c>
      <c r="W37" s="33">
        <f>SUM($D27:W27)</f>
        <v>1.4101249999999997E-2</v>
      </c>
      <c r="X37" s="33">
        <f>SUM($D27:X27)</f>
        <v>8.5815999999999983E-3</v>
      </c>
      <c r="Y37" s="33">
        <f>SUM($D27:Y27)</f>
        <v>8.5815999999999983E-3</v>
      </c>
    </row>
    <row r="38" spans="1:25">
      <c r="B38" s="28" t="s">
        <v>42</v>
      </c>
      <c r="C38" s="33">
        <f>C28</f>
        <v>3.1147E-4</v>
      </c>
      <c r="D38" s="34">
        <f t="shared" ref="D38:D42" si="4">D28</f>
        <v>9.2139999999999995E-5</v>
      </c>
      <c r="E38" s="33">
        <f>SUM($D28:E28)</f>
        <v>9.9989999999999996E-5</v>
      </c>
      <c r="F38" s="33">
        <f>SUM($D28:F28)</f>
        <v>9.9989999999999996E-5</v>
      </c>
      <c r="G38" s="33">
        <f>SUM($D28:G28)</f>
        <v>1.6183700000000001E-3</v>
      </c>
      <c r="H38" s="33">
        <f>SUM($D28:H28)</f>
        <v>2.4359E-3</v>
      </c>
      <c r="I38" s="33">
        <f>SUM($D28:I28)</f>
        <v>3.5554599999999999E-3</v>
      </c>
      <c r="J38" s="33">
        <f>SUM($D28:J28)</f>
        <v>3.5071999999999968E-4</v>
      </c>
      <c r="K38" s="33">
        <f>SUM($D28:K28)</f>
        <v>1.2678499999999996E-3</v>
      </c>
      <c r="L38" s="33">
        <f>SUM($D28:L28)</f>
        <v>4.1164599999999989E-3</v>
      </c>
      <c r="M38" s="33">
        <f>SUM($D28:M28)</f>
        <v>6.0558999999999986E-3</v>
      </c>
      <c r="N38" s="33">
        <f>SUM($D28:N28)</f>
        <v>5.5102699999999985E-3</v>
      </c>
      <c r="O38" s="33">
        <f>SUM($D28:O28)</f>
        <v>6.1031299999999983E-3</v>
      </c>
      <c r="P38" s="33">
        <f>SUM($D28:P28)</f>
        <v>5.4252499999999978E-3</v>
      </c>
      <c r="Q38" s="33">
        <f>SUM($D28:Q28)</f>
        <v>5.4309599999999977E-3</v>
      </c>
      <c r="R38" s="33">
        <f>SUM($D28:R28)</f>
        <v>4.9952199999999981E-3</v>
      </c>
      <c r="S38" s="33">
        <f>SUM($D28:S28)</f>
        <v>4.9952199999999981E-3</v>
      </c>
      <c r="T38" s="33">
        <f>SUM($D28:T28)</f>
        <v>4.9622799999999977E-3</v>
      </c>
      <c r="U38" s="33">
        <f>SUM($D28:U28)</f>
        <v>7.0991899999999974E-3</v>
      </c>
      <c r="V38" s="33">
        <f>SUM($D28:V28)</f>
        <v>6.6658599999999974E-3</v>
      </c>
      <c r="W38" s="33">
        <f>SUM($D28:W28)</f>
        <v>1.1359169999999998E-2</v>
      </c>
      <c r="X38" s="33">
        <f>SUM($D28:X28)</f>
        <v>3.1110999999999986E-3</v>
      </c>
      <c r="Y38" s="33">
        <f>SUM($D28:Y28)</f>
        <v>3.1110999999999986E-3</v>
      </c>
    </row>
    <row r="39" spans="1:25">
      <c r="B39" s="28" t="s">
        <v>43</v>
      </c>
      <c r="C39" s="33">
        <f>C29</f>
        <v>2.2279E-4</v>
      </c>
      <c r="D39" s="34">
        <f t="shared" si="4"/>
        <v>6.5909999999999997E-5</v>
      </c>
      <c r="E39" s="33">
        <f>SUM($D29:E29)</f>
        <v>7.3769999999999993E-5</v>
      </c>
      <c r="F39" s="33">
        <f>SUM($D29:F29)</f>
        <v>7.3769999999999993E-5</v>
      </c>
      <c r="G39" s="33">
        <f>SUM($D29:G29)</f>
        <v>1.59486E-3</v>
      </c>
      <c r="H39" s="33">
        <f>SUM($D29:H29)</f>
        <v>2.41384E-3</v>
      </c>
      <c r="I39" s="33">
        <f>SUM($D29:I29)</f>
        <v>3.5354000000000002E-3</v>
      </c>
      <c r="J39" s="33">
        <f>SUM($D29:J29)</f>
        <v>3.249500000000005E-4</v>
      </c>
      <c r="K39" s="33">
        <f>SUM($D29:K29)</f>
        <v>1.2437200000000005E-3</v>
      </c>
      <c r="L39" s="33">
        <f>SUM($D29:L29)</f>
        <v>4.0974100000000001E-3</v>
      </c>
      <c r="M39" s="33">
        <f>SUM($D29:M29)</f>
        <v>6.0866100000000001E-3</v>
      </c>
      <c r="N39" s="33">
        <f>SUM($D29:N29)</f>
        <v>5.5080199999999998E-3</v>
      </c>
      <c r="O39" s="33">
        <f>SUM($D29:O29)</f>
        <v>6.1531999999999993E-3</v>
      </c>
      <c r="P39" s="33">
        <f>SUM($D29:P29)</f>
        <v>5.415119999999999E-3</v>
      </c>
      <c r="Q39" s="33">
        <f>SUM($D29:Q29)</f>
        <v>5.4213399999999993E-3</v>
      </c>
      <c r="R39" s="33">
        <f>SUM($D29:R29)</f>
        <v>4.9469099999999997E-3</v>
      </c>
      <c r="S39" s="33">
        <f>SUM($D29:S29)</f>
        <v>4.9469099999999997E-3</v>
      </c>
      <c r="T39" s="33">
        <f>SUM($D29:T29)</f>
        <v>4.9102499999999997E-3</v>
      </c>
      <c r="U39" s="33">
        <f>SUM($D29:U29)</f>
        <v>7.3349000000000001E-3</v>
      </c>
      <c r="V39" s="33">
        <f>SUM($D29:V29)</f>
        <v>6.8267700000000002E-3</v>
      </c>
      <c r="W39" s="33">
        <f>SUM($D29:W29)</f>
        <v>1.255854E-2</v>
      </c>
      <c r="X39" s="33">
        <f>SUM($D29:X29)</f>
        <v>2.0954100000000007E-3</v>
      </c>
      <c r="Y39" s="33">
        <f>SUM($D29:Y29)</f>
        <v>2.0954100000000007E-3</v>
      </c>
    </row>
    <row r="40" spans="1:25">
      <c r="B40" s="28" t="s">
        <v>44</v>
      </c>
      <c r="C40" s="33">
        <f>C30</f>
        <v>2.3063000000000001E-4</v>
      </c>
      <c r="D40" s="34">
        <f t="shared" si="4"/>
        <v>6.8230000000000002E-5</v>
      </c>
      <c r="E40" s="33">
        <f>SUM($D30:E30)</f>
        <v>7.4210000000000009E-5</v>
      </c>
      <c r="F40" s="33">
        <f>SUM($D30:F30)</f>
        <v>7.4210000000000009E-5</v>
      </c>
      <c r="G40" s="33">
        <f>SUM($D30:G30)</f>
        <v>1.2311599999999998E-3</v>
      </c>
      <c r="H40" s="33">
        <f>SUM($D30:H30)</f>
        <v>1.8540899999999996E-3</v>
      </c>
      <c r="I40" s="33">
        <f>SUM($D30:I30)</f>
        <v>2.7071499999999997E-3</v>
      </c>
      <c r="J40" s="33">
        <f>SUM($D30:J30)</f>
        <v>2.652599999999998E-4</v>
      </c>
      <c r="K40" s="33">
        <f>SUM($D30:K30)</f>
        <v>9.6407999999999975E-4</v>
      </c>
      <c r="L40" s="33">
        <f>SUM($D30:L30)</f>
        <v>3.1346199999999994E-3</v>
      </c>
      <c r="M40" s="33">
        <f>SUM($D30:M30)</f>
        <v>4.611839999999999E-3</v>
      </c>
      <c r="N40" s="33">
        <f>SUM($D30:N30)</f>
        <v>4.1835599999999994E-3</v>
      </c>
      <c r="O40" s="33">
        <f>SUM($D30:O30)</f>
        <v>4.6484499999999993E-3</v>
      </c>
      <c r="P40" s="33">
        <f>SUM($D30:P30)</f>
        <v>4.1169099999999997E-3</v>
      </c>
      <c r="Q40" s="33">
        <f>SUM($D30:Q30)</f>
        <v>4.1213899999999999E-3</v>
      </c>
      <c r="R40" s="33">
        <f>SUM($D30:R30)</f>
        <v>3.7797199999999999E-3</v>
      </c>
      <c r="S40" s="33">
        <f>SUM($D30:S30)</f>
        <v>3.7797199999999999E-3</v>
      </c>
      <c r="T40" s="33">
        <f>SUM($D30:T30)</f>
        <v>3.7539499999999998E-3</v>
      </c>
      <c r="U40" s="33">
        <f>SUM($D30:U30)</f>
        <v>5.4146200000000002E-3</v>
      </c>
      <c r="V40" s="33">
        <f>SUM($D30:V30)</f>
        <v>5.07961E-3</v>
      </c>
      <c r="W40" s="33">
        <f>SUM($D30:W30)</f>
        <v>8.7175700000000009E-3</v>
      </c>
      <c r="X40" s="33">
        <f>SUM($D30:X30)</f>
        <v>4.8570600000000007E-3</v>
      </c>
      <c r="Y40" s="33">
        <f>SUM($D30:Y30)</f>
        <v>4.8570600000000007E-3</v>
      </c>
    </row>
    <row r="41" spans="1:25">
      <c r="B41" s="28" t="s">
        <v>45</v>
      </c>
      <c r="C41" s="33">
        <f>C31</f>
        <v>2.1367000000000001E-4</v>
      </c>
      <c r="D41" s="34">
        <f t="shared" si="4"/>
        <v>6.321E-5</v>
      </c>
      <c r="E41" s="33">
        <f>SUM($D31:E31)</f>
        <v>6.8579999999999997E-5</v>
      </c>
      <c r="F41" s="33">
        <f>SUM($D31:F31)</f>
        <v>6.8579999999999997E-5</v>
      </c>
      <c r="G41" s="33">
        <f>SUM($D31:G31)</f>
        <v>1.1071399999999999E-3</v>
      </c>
      <c r="H41" s="33">
        <f>SUM($D31:H31)</f>
        <v>1.66632E-3</v>
      </c>
      <c r="I41" s="33">
        <f>SUM($D31:I31)</f>
        <v>2.43209E-3</v>
      </c>
      <c r="J41" s="33">
        <f>SUM($D31:J31)</f>
        <v>2.4007000000000021E-4</v>
      </c>
      <c r="K41" s="33">
        <f>SUM($D31:K31)</f>
        <v>8.6738000000000028E-4</v>
      </c>
      <c r="L41" s="33">
        <f>SUM($D31:L31)</f>
        <v>2.8158100000000002E-3</v>
      </c>
      <c r="M41" s="33">
        <f>SUM($D31:M31)</f>
        <v>4.1418700000000006E-3</v>
      </c>
      <c r="N41" s="33">
        <f>SUM($D31:N31)</f>
        <v>3.7698700000000007E-3</v>
      </c>
      <c r="O41" s="33">
        <f>SUM($D31:O31)</f>
        <v>4.1736300000000011E-3</v>
      </c>
      <c r="P41" s="33">
        <f>SUM($D31:P31)</f>
        <v>3.7119900000000009E-3</v>
      </c>
      <c r="Q41" s="33">
        <f>SUM($D31:Q31)</f>
        <v>3.7158800000000008E-3</v>
      </c>
      <c r="R41" s="33">
        <f>SUM($D31:R31)</f>
        <v>3.4191400000000011E-3</v>
      </c>
      <c r="S41" s="33">
        <f>SUM($D31:S31)</f>
        <v>3.4191400000000011E-3</v>
      </c>
      <c r="T41" s="33">
        <f>SUM($D31:T31)</f>
        <v>3.3967600000000013E-3</v>
      </c>
      <c r="U41" s="33">
        <f>SUM($D31:U31)</f>
        <v>4.8411700000000014E-3</v>
      </c>
      <c r="V41" s="33">
        <f>SUM($D31:V31)</f>
        <v>4.5498000000000014E-3</v>
      </c>
      <c r="W41" s="33">
        <f>SUM($D31:W31)</f>
        <v>7.7009000000000018E-3</v>
      </c>
      <c r="X41" s="33">
        <f>SUM($D31:X31)</f>
        <v>4.2797100000000017E-3</v>
      </c>
      <c r="Y41" s="33">
        <f>SUM($D31:Y31)</f>
        <v>4.2797100000000017E-3</v>
      </c>
    </row>
    <row r="42" spans="1:25">
      <c r="B42" s="28" t="s">
        <v>46</v>
      </c>
      <c r="C42" s="33">
        <f>C32</f>
        <v>2.8655000000000005E-4</v>
      </c>
      <c r="D42" s="34">
        <f t="shared" si="4"/>
        <v>8.4770000000000003E-5</v>
      </c>
      <c r="E42" s="33">
        <f>SUM($D32:E32)</f>
        <v>9.3300000000000005E-5</v>
      </c>
      <c r="F42" s="33">
        <f>SUM($D32:F32)</f>
        <v>9.3300000000000005E-5</v>
      </c>
      <c r="G42" s="33">
        <f>SUM($D32:G32)</f>
        <v>1.74457E-3</v>
      </c>
      <c r="H42" s="33">
        <f>SUM($D32:H32)</f>
        <v>2.63365E-3</v>
      </c>
      <c r="I42" s="33">
        <f>SUM($D32:I32)</f>
        <v>3.8511999999999999E-3</v>
      </c>
      <c r="J42" s="33">
        <f>SUM($D32:J32)</f>
        <v>3.6596999999999975E-4</v>
      </c>
      <c r="K42" s="33">
        <f>SUM($D32:K32)</f>
        <v>1.3633799999999998E-3</v>
      </c>
      <c r="L42" s="33">
        <f>SUM($D32:L32)</f>
        <v>4.4613099999999996E-3</v>
      </c>
      <c r="M42" s="33">
        <f>SUM($D32:M32)</f>
        <v>6.5928099999999993E-3</v>
      </c>
      <c r="N42" s="33">
        <f>SUM($D32:N32)</f>
        <v>5.9844399999999989E-3</v>
      </c>
      <c r="O42" s="33">
        <f>SUM($D32:O32)</f>
        <v>6.6527499999999989E-3</v>
      </c>
      <c r="P42" s="33">
        <f>SUM($D32:P32)</f>
        <v>5.8884399999999991E-3</v>
      </c>
      <c r="Q42" s="33">
        <f>SUM($D32:Q32)</f>
        <v>5.894879999999999E-3</v>
      </c>
      <c r="R42" s="33">
        <f>SUM($D32:R32)</f>
        <v>5.4035899999999989E-3</v>
      </c>
      <c r="S42" s="33">
        <f>SUM($D32:S32)</f>
        <v>5.4035899999999989E-3</v>
      </c>
      <c r="T42" s="33">
        <f>SUM($D32:T32)</f>
        <v>5.3661299999999993E-3</v>
      </c>
      <c r="U42" s="33">
        <f>SUM($D32:U32)</f>
        <v>7.8115399999999988E-3</v>
      </c>
      <c r="V42" s="33">
        <f>SUM($D32:V32)</f>
        <v>7.309819999999999E-3</v>
      </c>
      <c r="W42" s="33">
        <f>SUM($D32:W32)</f>
        <v>1.283225E-2</v>
      </c>
      <c r="X42" s="33">
        <f>SUM($D32:X32)</f>
        <v>5.6285300000000005E-3</v>
      </c>
      <c r="Y42" s="33">
        <f>SUM($D32:Y32)</f>
        <v>5.6285300000000005E-3</v>
      </c>
    </row>
    <row r="43" spans="1:25">
      <c r="A43" s="28"/>
      <c r="B43" s="31"/>
      <c r="C43" s="50"/>
      <c r="D43" s="32"/>
      <c r="E43" s="32"/>
      <c r="F43" s="32"/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X43" s="32"/>
    </row>
    <row r="44" spans="1:25">
      <c r="D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1:25">
      <c r="B45" s="64"/>
      <c r="C45" s="64"/>
      <c r="D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</row>
    <row r="46" spans="1:25">
      <c r="D46" s="65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5"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5"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1:23"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</sheetData>
  <mergeCells count="4">
    <mergeCell ref="C35:Y35"/>
    <mergeCell ref="C3:Y3"/>
    <mergeCell ref="C15:Y15"/>
    <mergeCell ref="C25:Y25"/>
  </mergeCells>
  <pageMargins left="0.7" right="0.7" top="0.75" bottom="0.75" header="0.3" footer="0.3"/>
  <pageSetup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FC16-443E-49CA-905F-BDD5E2E5DC20}">
  <sheetPr>
    <pageSetUpPr fitToPage="1"/>
  </sheetPr>
  <dimension ref="A1:Y43"/>
  <sheetViews>
    <sheetView zoomScale="70" zoomScaleNormal="70" workbookViewId="0">
      <pane xSplit="4" ySplit="4" topLeftCell="E14" activePane="bottomRight" state="frozen"/>
      <selection activeCell="D37" sqref="D37"/>
      <selection pane="topRight" activeCell="D37" sqref="D37"/>
      <selection pane="bottomLeft" activeCell="D37" sqref="D37"/>
      <selection pane="bottomRight" activeCell="R28" sqref="R28"/>
    </sheetView>
  </sheetViews>
  <sheetFormatPr defaultColWidth="9.28515625" defaultRowHeight="15.75"/>
  <cols>
    <col min="1" max="1" width="23.42578125" style="25" customWidth="1"/>
    <col min="2" max="2" width="25.7109375" style="25" customWidth="1"/>
    <col min="3" max="3" width="13" style="25" customWidth="1"/>
    <col min="4" max="10" width="14.5703125" style="25" customWidth="1"/>
    <col min="11" max="21" width="14.5703125" style="25" bestFit="1" customWidth="1"/>
    <col min="22" max="22" width="13.7109375" style="25" customWidth="1"/>
    <col min="23" max="23" width="12.28515625" style="25" bestFit="1" customWidth="1"/>
    <col min="24" max="24" width="12.28515625" style="25" customWidth="1"/>
    <col min="25" max="25" width="14.7109375" style="25" customWidth="1"/>
    <col min="26" max="26" width="12.28515625" style="25" bestFit="1" customWidth="1"/>
    <col min="27" max="16384" width="9.28515625" style="25"/>
  </cols>
  <sheetData>
    <row r="1" spans="1:2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>
      <c r="C3" s="144" t="s">
        <v>167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31.5">
      <c r="A4" s="69" t="s">
        <v>38</v>
      </c>
      <c r="B4" s="100" t="s">
        <v>87</v>
      </c>
      <c r="C4" s="70" t="s">
        <v>39</v>
      </c>
      <c r="D4" s="71" t="s">
        <v>86</v>
      </c>
      <c r="E4" s="70">
        <v>2002</v>
      </c>
      <c r="F4" s="70">
        <v>2003</v>
      </c>
      <c r="G4" s="70">
        <v>2004</v>
      </c>
      <c r="H4" s="70">
        <v>2005</v>
      </c>
      <c r="I4" s="70">
        <v>2006</v>
      </c>
      <c r="J4" s="70">
        <v>2007</v>
      </c>
      <c r="K4" s="70">
        <v>2008</v>
      </c>
      <c r="L4" s="70">
        <v>2009</v>
      </c>
      <c r="M4" s="70">
        <v>2010</v>
      </c>
      <c r="N4" s="70">
        <v>2011</v>
      </c>
      <c r="O4" s="70">
        <v>2012</v>
      </c>
      <c r="P4" s="70">
        <v>2013</v>
      </c>
      <c r="Q4" s="70">
        <v>2014</v>
      </c>
      <c r="R4" s="70">
        <v>2015</v>
      </c>
      <c r="S4" s="70">
        <v>2016</v>
      </c>
      <c r="T4" s="70">
        <v>2017</v>
      </c>
      <c r="U4" s="70">
        <v>2018</v>
      </c>
      <c r="V4" s="70">
        <v>2019</v>
      </c>
      <c r="W4" s="70">
        <f>+V4+1</f>
        <v>2020</v>
      </c>
      <c r="X4" s="70">
        <f>+W4+1</f>
        <v>2021</v>
      </c>
      <c r="Y4" s="70">
        <v>2022</v>
      </c>
    </row>
    <row r="5" spans="1:25" ht="31.5">
      <c r="A5" s="69" t="s">
        <v>80</v>
      </c>
      <c r="B5" s="101"/>
      <c r="C5" s="27">
        <v>0</v>
      </c>
      <c r="D5" s="27">
        <v>0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</row>
    <row r="6" spans="1:25">
      <c r="A6" s="72" t="s">
        <v>41</v>
      </c>
      <c r="B6" s="96">
        <v>0.42829805435073137</v>
      </c>
      <c r="C6" s="30">
        <f t="shared" ref="C6:C11" si="0">B6*C$5</f>
        <v>0</v>
      </c>
      <c r="D6" s="30">
        <f t="shared" ref="D6:D11" si="1">$B6*D$5</f>
        <v>0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1:25">
      <c r="A7" s="72" t="s">
        <v>42</v>
      </c>
      <c r="B7" s="96">
        <v>0.13271428239502228</v>
      </c>
      <c r="C7" s="30">
        <f t="shared" si="0"/>
        <v>0</v>
      </c>
      <c r="D7" s="30">
        <f t="shared" si="1"/>
        <v>0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1:25">
      <c r="A8" s="72" t="s">
        <v>43</v>
      </c>
      <c r="B8" s="96">
        <v>0.42030832470214263</v>
      </c>
      <c r="C8" s="30">
        <f t="shared" si="0"/>
        <v>0</v>
      </c>
      <c r="D8" s="30">
        <f t="shared" si="1"/>
        <v>0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1:25">
      <c r="A9" s="72" t="s">
        <v>44</v>
      </c>
      <c r="B9" s="96">
        <v>1.4992320849857636E-2</v>
      </c>
      <c r="C9" s="30">
        <f t="shared" si="0"/>
        <v>0</v>
      </c>
      <c r="D9" s="30">
        <f t="shared" si="1"/>
        <v>0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spans="1:25">
      <c r="A10" s="72" t="s">
        <v>45</v>
      </c>
      <c r="B10" s="96">
        <v>3.6870177022459631E-3</v>
      </c>
      <c r="C10" s="30">
        <f t="shared" si="0"/>
        <v>0</v>
      </c>
      <c r="D10" s="30">
        <f t="shared" si="1"/>
        <v>0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spans="1:25">
      <c r="A11" s="72" t="s">
        <v>85</v>
      </c>
      <c r="B11" s="76">
        <f>SUM(B6:B10)</f>
        <v>1</v>
      </c>
      <c r="C11" s="30">
        <f t="shared" si="0"/>
        <v>0</v>
      </c>
      <c r="D11" s="30">
        <f t="shared" si="1"/>
        <v>0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spans="1:25">
      <c r="A12" s="53"/>
      <c r="B12" s="57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5" spans="1:25">
      <c r="C15" s="144" t="s">
        <v>106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  <row r="16" spans="1:25" ht="31.5">
      <c r="A16" s="69" t="s">
        <v>38</v>
      </c>
      <c r="B16" s="70" t="s">
        <v>104</v>
      </c>
      <c r="C16" s="70" t="s">
        <v>83</v>
      </c>
      <c r="D16" s="71" t="s">
        <v>86</v>
      </c>
      <c r="E16" s="70">
        <v>2002</v>
      </c>
      <c r="F16" s="70">
        <v>2003</v>
      </c>
      <c r="G16" s="70">
        <v>2004</v>
      </c>
      <c r="H16" s="70">
        <v>2005</v>
      </c>
      <c r="I16" s="70">
        <v>2006</v>
      </c>
      <c r="J16" s="70">
        <v>2007</v>
      </c>
      <c r="K16" s="70">
        <v>2008</v>
      </c>
      <c r="L16" s="70">
        <v>2009</v>
      </c>
      <c r="M16" s="70">
        <v>2010</v>
      </c>
      <c r="N16" s="70">
        <v>2011</v>
      </c>
      <c r="O16" s="70">
        <v>2012</v>
      </c>
      <c r="P16" s="70">
        <v>2013</v>
      </c>
      <c r="Q16" s="70">
        <v>2014</v>
      </c>
      <c r="R16" s="70">
        <v>2015</v>
      </c>
      <c r="S16" s="70">
        <v>2016</v>
      </c>
      <c r="T16" s="70">
        <v>2017</v>
      </c>
      <c r="U16" s="70">
        <v>2018</v>
      </c>
      <c r="V16" s="70">
        <v>2019</v>
      </c>
      <c r="W16" s="70">
        <f>+W4</f>
        <v>2020</v>
      </c>
      <c r="X16" s="70">
        <f>+X4</f>
        <v>2021</v>
      </c>
      <c r="Y16" s="70">
        <v>2022</v>
      </c>
    </row>
    <row r="17" spans="1:25">
      <c r="A17" s="72" t="s">
        <v>41</v>
      </c>
      <c r="B17" s="57">
        <v>5245.2817189874295</v>
      </c>
      <c r="C17" s="58">
        <f>B17</f>
        <v>5245.2817189874295</v>
      </c>
      <c r="D17" s="57">
        <v>5245.2817189874295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1:25">
      <c r="A18" s="72" t="s">
        <v>42</v>
      </c>
      <c r="B18" s="57">
        <v>2041.3216539650505</v>
      </c>
      <c r="C18" s="58">
        <f t="shared" ref="C18:C21" si="2">B18</f>
        <v>2041.3216539650505</v>
      </c>
      <c r="D18" s="57">
        <v>2041.3216539650505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1:25">
      <c r="A19" s="72" t="s">
        <v>43</v>
      </c>
      <c r="B19" s="57">
        <v>9038.2789735142051</v>
      </c>
      <c r="C19" s="58">
        <f t="shared" si="2"/>
        <v>9038.2789735142051</v>
      </c>
      <c r="D19" s="57">
        <v>9038.2789735142032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1:25">
      <c r="A20" s="72" t="s">
        <v>44</v>
      </c>
      <c r="B20" s="57">
        <v>311.43267865992982</v>
      </c>
      <c r="C20" s="58">
        <f t="shared" si="2"/>
        <v>311.43267865992982</v>
      </c>
      <c r="D20" s="57">
        <v>311.43267865992982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1:25">
      <c r="A21" s="72" t="s">
        <v>45</v>
      </c>
      <c r="B21" s="57">
        <v>82.670007271185625</v>
      </c>
      <c r="C21" s="58">
        <f t="shared" si="2"/>
        <v>82.670007271185625</v>
      </c>
      <c r="D21" s="57">
        <v>82.670007271185639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1:25">
      <c r="A22" s="72" t="s">
        <v>84</v>
      </c>
      <c r="B22" s="57">
        <f>SUM(B17:B21)</f>
        <v>16718.985032397803</v>
      </c>
      <c r="C22" s="58">
        <f t="shared" ref="C22:D22" si="3">SUM(C17:C21)</f>
        <v>16718.985032397803</v>
      </c>
      <c r="D22" s="57">
        <f t="shared" si="3"/>
        <v>16718.985032397799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1:25">
      <c r="A23" s="53"/>
      <c r="B23" s="57"/>
      <c r="C23" s="29"/>
      <c r="D23" s="30"/>
      <c r="E23" s="30"/>
      <c r="F23" s="30"/>
      <c r="G23" s="3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5" spans="1:25">
      <c r="C25" s="144" t="s">
        <v>82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</row>
    <row r="26" spans="1:25" s="69" customFormat="1" ht="31.5">
      <c r="B26" s="69" t="s">
        <v>38</v>
      </c>
      <c r="C26" s="70" t="s">
        <v>40</v>
      </c>
      <c r="D26" s="71" t="s">
        <v>86</v>
      </c>
      <c r="E26" s="70">
        <v>2002</v>
      </c>
      <c r="F26" s="70">
        <v>2003</v>
      </c>
      <c r="G26" s="70">
        <v>2004</v>
      </c>
      <c r="H26" s="70">
        <v>2005</v>
      </c>
      <c r="I26" s="70">
        <v>2006</v>
      </c>
      <c r="J26" s="70">
        <v>2007</v>
      </c>
      <c r="K26" s="70">
        <v>2008</v>
      </c>
      <c r="L26" s="70">
        <v>2009</v>
      </c>
      <c r="M26" s="70">
        <v>2010</v>
      </c>
      <c r="N26" s="70">
        <v>2011</v>
      </c>
      <c r="O26" s="70">
        <v>2012</v>
      </c>
      <c r="P26" s="70">
        <v>2013</v>
      </c>
      <c r="Q26" s="70">
        <v>2014</v>
      </c>
      <c r="R26" s="70">
        <v>2015</v>
      </c>
      <c r="S26" s="70">
        <v>2016</v>
      </c>
      <c r="T26" s="70">
        <v>2017</v>
      </c>
      <c r="U26" s="70">
        <v>2018</v>
      </c>
      <c r="V26" s="70">
        <v>2019</v>
      </c>
      <c r="W26" s="70">
        <f>+W4</f>
        <v>2020</v>
      </c>
      <c r="X26" s="70">
        <f>+X4</f>
        <v>2021</v>
      </c>
      <c r="Y26" s="70">
        <v>2022</v>
      </c>
    </row>
    <row r="27" spans="1:25">
      <c r="B27" s="72" t="s">
        <v>41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1.0925900000000001E-2</v>
      </c>
      <c r="X27" s="48">
        <v>1.3219200000000001E-3</v>
      </c>
      <c r="Y27" s="48">
        <v>0</v>
      </c>
    </row>
    <row r="28" spans="1:25">
      <c r="B28" s="72" t="s">
        <v>42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8.8814800000000006E-3</v>
      </c>
      <c r="X28" s="48">
        <v>1.9753599999999998E-3</v>
      </c>
      <c r="Y28" s="48">
        <v>0</v>
      </c>
    </row>
    <row r="29" spans="1:25">
      <c r="B29" s="72" t="s">
        <v>43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1.0846629999999999E-2</v>
      </c>
      <c r="X29" s="48">
        <v>2.50585E-3</v>
      </c>
      <c r="Y29" s="48">
        <v>0</v>
      </c>
    </row>
    <row r="30" spans="1:25">
      <c r="B30" s="72" t="s">
        <v>44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6.88436E-3</v>
      </c>
      <c r="X30" s="48">
        <v>9.2456999999999999E-4</v>
      </c>
      <c r="Y30" s="48">
        <v>0</v>
      </c>
    </row>
    <row r="31" spans="1:25">
      <c r="B31" s="72" t="s">
        <v>45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5.9630500000000001E-3</v>
      </c>
      <c r="X31" s="48">
        <v>8.1935000000000005E-4</v>
      </c>
      <c r="Y31" s="48">
        <v>0</v>
      </c>
    </row>
    <row r="32" spans="1:25">
      <c r="B32" s="72" t="s">
        <v>46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1.04505E-2</v>
      </c>
      <c r="X32" s="48">
        <v>1.7252400000000001E-3</v>
      </c>
      <c r="Y32" s="48">
        <v>0</v>
      </c>
    </row>
    <row r="33" spans="1:25">
      <c r="A33" s="72"/>
      <c r="B33" s="57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5" spans="1:25" ht="15.75" customHeight="1">
      <c r="C35" s="144" t="s">
        <v>103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  <row r="36" spans="1:25">
      <c r="B36" s="69" t="s">
        <v>38</v>
      </c>
      <c r="C36" s="70" t="s">
        <v>16</v>
      </c>
      <c r="D36" s="70">
        <v>2001</v>
      </c>
      <c r="E36" s="70">
        <v>2002</v>
      </c>
      <c r="F36" s="70">
        <v>2003</v>
      </c>
      <c r="G36" s="70">
        <v>2004</v>
      </c>
      <c r="H36" s="70">
        <v>2005</v>
      </c>
      <c r="I36" s="70">
        <v>2006</v>
      </c>
      <c r="J36" s="70">
        <v>2007</v>
      </c>
      <c r="K36" s="70">
        <v>2008</v>
      </c>
      <c r="L36" s="70">
        <v>2009</v>
      </c>
      <c r="M36" s="70">
        <v>2010</v>
      </c>
      <c r="N36" s="70">
        <v>2011</v>
      </c>
      <c r="O36" s="70">
        <v>2012</v>
      </c>
      <c r="P36" s="70">
        <v>2013</v>
      </c>
      <c r="Q36" s="70">
        <v>2014</v>
      </c>
      <c r="R36" s="70">
        <v>2015</v>
      </c>
      <c r="S36" s="70">
        <v>2016</v>
      </c>
      <c r="T36" s="70">
        <v>2017</v>
      </c>
      <c r="U36" s="70">
        <v>2018</v>
      </c>
      <c r="V36" s="70">
        <v>2019</v>
      </c>
      <c r="W36" s="70">
        <f>+W4</f>
        <v>2020</v>
      </c>
      <c r="X36" s="70">
        <f>+X4</f>
        <v>2021</v>
      </c>
      <c r="Y36" s="70">
        <v>2022</v>
      </c>
    </row>
    <row r="37" spans="1:25">
      <c r="B37" s="72" t="s">
        <v>41</v>
      </c>
      <c r="C37" s="33">
        <f>C27</f>
        <v>0</v>
      </c>
      <c r="D37" s="34">
        <f>D27</f>
        <v>0</v>
      </c>
      <c r="E37" s="33">
        <f>SUM($D27:E27)</f>
        <v>0</v>
      </c>
      <c r="F37" s="33">
        <f>SUM($D27:F27)</f>
        <v>0</v>
      </c>
      <c r="G37" s="33">
        <f>SUM($D27:G27)</f>
        <v>0</v>
      </c>
      <c r="H37" s="33">
        <f>SUM($D27:H27)</f>
        <v>0</v>
      </c>
      <c r="I37" s="33">
        <f>SUM($D27:I27)</f>
        <v>0</v>
      </c>
      <c r="J37" s="33">
        <f>SUM($D27:J27)</f>
        <v>0</v>
      </c>
      <c r="K37" s="33">
        <f>SUM($D27:K27)</f>
        <v>0</v>
      </c>
      <c r="L37" s="33">
        <f>SUM($D27:L27)</f>
        <v>0</v>
      </c>
      <c r="M37" s="33">
        <f>SUM($D27:M27)</f>
        <v>0</v>
      </c>
      <c r="N37" s="33">
        <f>SUM($D27:N27)</f>
        <v>0</v>
      </c>
      <c r="O37" s="33">
        <f>SUM($D27:O27)</f>
        <v>0</v>
      </c>
      <c r="P37" s="33">
        <f>SUM($D27:P27)</f>
        <v>0</v>
      </c>
      <c r="Q37" s="33">
        <f>SUM($D27:Q27)</f>
        <v>0</v>
      </c>
      <c r="R37" s="33">
        <f>SUM($D27:R27)</f>
        <v>0</v>
      </c>
      <c r="S37" s="33">
        <f>SUM($D27:S27)</f>
        <v>0</v>
      </c>
      <c r="T37" s="33">
        <f>SUM($D27:T27)</f>
        <v>0</v>
      </c>
      <c r="U37" s="33">
        <f>SUM($D27:U27)</f>
        <v>0</v>
      </c>
      <c r="V37" s="33">
        <f>SUM($D27:V27)</f>
        <v>0</v>
      </c>
      <c r="W37" s="33">
        <f>SUM($D27:W27)</f>
        <v>1.0925900000000001E-2</v>
      </c>
      <c r="X37" s="33">
        <f>SUM($D27:X27)</f>
        <v>1.2247820000000001E-2</v>
      </c>
      <c r="Y37" s="33">
        <f>SUM($D27:Y27)</f>
        <v>1.2247820000000001E-2</v>
      </c>
    </row>
    <row r="38" spans="1:25">
      <c r="B38" s="72" t="s">
        <v>42</v>
      </c>
      <c r="C38" s="33">
        <f>C28</f>
        <v>0</v>
      </c>
      <c r="D38" s="34">
        <f t="shared" ref="D38:D42" si="4">D28</f>
        <v>0</v>
      </c>
      <c r="E38" s="33">
        <f>SUM($D28:E28)</f>
        <v>0</v>
      </c>
      <c r="F38" s="33">
        <f>SUM($D28:F28)</f>
        <v>0</v>
      </c>
      <c r="G38" s="33">
        <f>SUM($D28:G28)</f>
        <v>0</v>
      </c>
      <c r="H38" s="33">
        <f>SUM($D28:H28)</f>
        <v>0</v>
      </c>
      <c r="I38" s="33">
        <f>SUM($D28:I28)</f>
        <v>0</v>
      </c>
      <c r="J38" s="33">
        <f>SUM($D28:J28)</f>
        <v>0</v>
      </c>
      <c r="K38" s="33">
        <f>SUM($D28:K28)</f>
        <v>0</v>
      </c>
      <c r="L38" s="33">
        <f>SUM($D28:L28)</f>
        <v>0</v>
      </c>
      <c r="M38" s="33">
        <f>SUM($D28:M28)</f>
        <v>0</v>
      </c>
      <c r="N38" s="33">
        <f>SUM($D28:N28)</f>
        <v>0</v>
      </c>
      <c r="O38" s="33">
        <f>SUM($D28:O28)</f>
        <v>0</v>
      </c>
      <c r="P38" s="33">
        <f>SUM($D28:P28)</f>
        <v>0</v>
      </c>
      <c r="Q38" s="33">
        <f>SUM($D28:Q28)</f>
        <v>0</v>
      </c>
      <c r="R38" s="33">
        <f>SUM($D28:R28)</f>
        <v>0</v>
      </c>
      <c r="S38" s="33">
        <f>SUM($D28:S28)</f>
        <v>0</v>
      </c>
      <c r="T38" s="33">
        <f>SUM($D28:T28)</f>
        <v>0</v>
      </c>
      <c r="U38" s="33">
        <f>SUM($D28:U28)</f>
        <v>0</v>
      </c>
      <c r="V38" s="33">
        <f>SUM($D28:V28)</f>
        <v>0</v>
      </c>
      <c r="W38" s="33">
        <f>SUM($D28:W28)</f>
        <v>8.8814800000000006E-3</v>
      </c>
      <c r="X38" s="33">
        <f>SUM($D28:X28)</f>
        <v>1.085684E-2</v>
      </c>
      <c r="Y38" s="33">
        <f>SUM($D28:Y28)</f>
        <v>1.085684E-2</v>
      </c>
    </row>
    <row r="39" spans="1:25">
      <c r="B39" s="72" t="s">
        <v>43</v>
      </c>
      <c r="C39" s="33">
        <f>C29</f>
        <v>0</v>
      </c>
      <c r="D39" s="34">
        <f t="shared" si="4"/>
        <v>0</v>
      </c>
      <c r="E39" s="33">
        <f>SUM($D29:E29)</f>
        <v>0</v>
      </c>
      <c r="F39" s="33">
        <f>SUM($D29:F29)</f>
        <v>0</v>
      </c>
      <c r="G39" s="33">
        <f>SUM($D29:G29)</f>
        <v>0</v>
      </c>
      <c r="H39" s="33">
        <f>SUM($D29:H29)</f>
        <v>0</v>
      </c>
      <c r="I39" s="33">
        <f>SUM($D29:I29)</f>
        <v>0</v>
      </c>
      <c r="J39" s="33">
        <f>SUM($D29:J29)</f>
        <v>0</v>
      </c>
      <c r="K39" s="33">
        <f>SUM($D29:K29)</f>
        <v>0</v>
      </c>
      <c r="L39" s="33">
        <f>SUM($D29:L29)</f>
        <v>0</v>
      </c>
      <c r="M39" s="33">
        <f>SUM($D29:M29)</f>
        <v>0</v>
      </c>
      <c r="N39" s="33">
        <f>SUM($D29:N29)</f>
        <v>0</v>
      </c>
      <c r="O39" s="33">
        <f>SUM($D29:O29)</f>
        <v>0</v>
      </c>
      <c r="P39" s="33">
        <f>SUM($D29:P29)</f>
        <v>0</v>
      </c>
      <c r="Q39" s="33">
        <f>SUM($D29:Q29)</f>
        <v>0</v>
      </c>
      <c r="R39" s="33">
        <f>SUM($D29:R29)</f>
        <v>0</v>
      </c>
      <c r="S39" s="33">
        <f>SUM($D29:S29)</f>
        <v>0</v>
      </c>
      <c r="T39" s="33">
        <f>SUM($D29:T29)</f>
        <v>0</v>
      </c>
      <c r="U39" s="33">
        <f>SUM($D29:U29)</f>
        <v>0</v>
      </c>
      <c r="V39" s="33">
        <f>SUM($D29:V29)</f>
        <v>0</v>
      </c>
      <c r="W39" s="33">
        <f>SUM($D29:W29)</f>
        <v>1.0846629999999999E-2</v>
      </c>
      <c r="X39" s="33">
        <f>SUM($D29:X29)</f>
        <v>1.335248E-2</v>
      </c>
      <c r="Y39" s="33">
        <f>SUM($D29:Y29)</f>
        <v>1.335248E-2</v>
      </c>
    </row>
    <row r="40" spans="1:25">
      <c r="B40" s="72" t="s">
        <v>44</v>
      </c>
      <c r="C40" s="33">
        <f>C30</f>
        <v>0</v>
      </c>
      <c r="D40" s="34">
        <f t="shared" si="4"/>
        <v>0</v>
      </c>
      <c r="E40" s="33">
        <f>SUM($D30:E30)</f>
        <v>0</v>
      </c>
      <c r="F40" s="33">
        <f>SUM($D30:F30)</f>
        <v>0</v>
      </c>
      <c r="G40" s="33">
        <f>SUM($D30:G30)</f>
        <v>0</v>
      </c>
      <c r="H40" s="33">
        <f>SUM($D30:H30)</f>
        <v>0</v>
      </c>
      <c r="I40" s="33">
        <f>SUM($D30:I30)</f>
        <v>0</v>
      </c>
      <c r="J40" s="33">
        <f>SUM($D30:J30)</f>
        <v>0</v>
      </c>
      <c r="K40" s="33">
        <f>SUM($D30:K30)</f>
        <v>0</v>
      </c>
      <c r="L40" s="33">
        <f>SUM($D30:L30)</f>
        <v>0</v>
      </c>
      <c r="M40" s="33">
        <f>SUM($D30:M30)</f>
        <v>0</v>
      </c>
      <c r="N40" s="33">
        <f>SUM($D30:N30)</f>
        <v>0</v>
      </c>
      <c r="O40" s="33">
        <f>SUM($D30:O30)</f>
        <v>0</v>
      </c>
      <c r="P40" s="33">
        <f>SUM($D30:P30)</f>
        <v>0</v>
      </c>
      <c r="Q40" s="33">
        <f>SUM($D30:Q30)</f>
        <v>0</v>
      </c>
      <c r="R40" s="33">
        <f>SUM($D30:R30)</f>
        <v>0</v>
      </c>
      <c r="S40" s="33">
        <f>SUM($D30:S30)</f>
        <v>0</v>
      </c>
      <c r="T40" s="33">
        <f>SUM($D30:T30)</f>
        <v>0</v>
      </c>
      <c r="U40" s="33">
        <f>SUM($D30:U30)</f>
        <v>0</v>
      </c>
      <c r="V40" s="33">
        <f>SUM($D30:V30)</f>
        <v>0</v>
      </c>
      <c r="W40" s="33">
        <f>SUM($D30:W30)</f>
        <v>6.88436E-3</v>
      </c>
      <c r="X40" s="33">
        <f>SUM($D30:X30)</f>
        <v>7.8089300000000004E-3</v>
      </c>
      <c r="Y40" s="33">
        <f>SUM($D30:Y30)</f>
        <v>7.8089300000000004E-3</v>
      </c>
    </row>
    <row r="41" spans="1:25">
      <c r="B41" s="72" t="s">
        <v>45</v>
      </c>
      <c r="C41" s="33">
        <f>C31</f>
        <v>0</v>
      </c>
      <c r="D41" s="34">
        <f t="shared" si="4"/>
        <v>0</v>
      </c>
      <c r="E41" s="33">
        <f>SUM($D31:E31)</f>
        <v>0</v>
      </c>
      <c r="F41" s="33">
        <f>SUM($D31:F31)</f>
        <v>0</v>
      </c>
      <c r="G41" s="33">
        <f>SUM($D31:G31)</f>
        <v>0</v>
      </c>
      <c r="H41" s="33">
        <f>SUM($D31:H31)</f>
        <v>0</v>
      </c>
      <c r="I41" s="33">
        <f>SUM($D31:I31)</f>
        <v>0</v>
      </c>
      <c r="J41" s="33">
        <f>SUM($D31:J31)</f>
        <v>0</v>
      </c>
      <c r="K41" s="33">
        <f>SUM($D31:K31)</f>
        <v>0</v>
      </c>
      <c r="L41" s="33">
        <f>SUM($D31:L31)</f>
        <v>0</v>
      </c>
      <c r="M41" s="33">
        <f>SUM($D31:M31)</f>
        <v>0</v>
      </c>
      <c r="N41" s="33">
        <f>SUM($D31:N31)</f>
        <v>0</v>
      </c>
      <c r="O41" s="33">
        <f>SUM($D31:O31)</f>
        <v>0</v>
      </c>
      <c r="P41" s="33">
        <f>SUM($D31:P31)</f>
        <v>0</v>
      </c>
      <c r="Q41" s="33">
        <f>SUM($D31:Q31)</f>
        <v>0</v>
      </c>
      <c r="R41" s="33">
        <f>SUM($D31:R31)</f>
        <v>0</v>
      </c>
      <c r="S41" s="33">
        <f>SUM($D31:S31)</f>
        <v>0</v>
      </c>
      <c r="T41" s="33">
        <f>SUM($D31:T31)</f>
        <v>0</v>
      </c>
      <c r="U41" s="33">
        <f>SUM($D31:U31)</f>
        <v>0</v>
      </c>
      <c r="V41" s="33">
        <f>SUM($D31:V31)</f>
        <v>0</v>
      </c>
      <c r="W41" s="33">
        <f>SUM($D31:W31)</f>
        <v>5.9630500000000001E-3</v>
      </c>
      <c r="X41" s="33">
        <f>SUM($D31:X31)</f>
        <v>6.7824000000000001E-3</v>
      </c>
      <c r="Y41" s="33">
        <f>SUM($D31:Y31)</f>
        <v>6.7824000000000001E-3</v>
      </c>
    </row>
    <row r="42" spans="1:25">
      <c r="B42" s="72" t="s">
        <v>46</v>
      </c>
      <c r="C42" s="33">
        <f>C32</f>
        <v>0</v>
      </c>
      <c r="D42" s="34">
        <f t="shared" si="4"/>
        <v>0</v>
      </c>
      <c r="E42" s="33">
        <f>SUM($D32:E32)</f>
        <v>0</v>
      </c>
      <c r="F42" s="33">
        <f>SUM($D32:F32)</f>
        <v>0</v>
      </c>
      <c r="G42" s="33">
        <f>SUM($D32:G32)</f>
        <v>0</v>
      </c>
      <c r="H42" s="33">
        <f>SUM($D32:H32)</f>
        <v>0</v>
      </c>
      <c r="I42" s="33">
        <f>SUM($D32:I32)</f>
        <v>0</v>
      </c>
      <c r="J42" s="33">
        <f>SUM($D32:J32)</f>
        <v>0</v>
      </c>
      <c r="K42" s="33">
        <f>SUM($D32:K32)</f>
        <v>0</v>
      </c>
      <c r="L42" s="33">
        <f>SUM($D32:L32)</f>
        <v>0</v>
      </c>
      <c r="M42" s="33">
        <f>SUM($D32:M32)</f>
        <v>0</v>
      </c>
      <c r="N42" s="33">
        <f>SUM($D32:N32)</f>
        <v>0</v>
      </c>
      <c r="O42" s="33">
        <f>SUM($D32:O32)</f>
        <v>0</v>
      </c>
      <c r="P42" s="33">
        <f>SUM($D32:P32)</f>
        <v>0</v>
      </c>
      <c r="Q42" s="33">
        <f>SUM($D32:Q32)</f>
        <v>0</v>
      </c>
      <c r="R42" s="33">
        <f>SUM($D32:R32)</f>
        <v>0</v>
      </c>
      <c r="S42" s="33">
        <f>SUM($D32:S32)</f>
        <v>0</v>
      </c>
      <c r="T42" s="33">
        <f>SUM($D32:T32)</f>
        <v>0</v>
      </c>
      <c r="U42" s="33">
        <f>SUM($D32:U32)</f>
        <v>0</v>
      </c>
      <c r="V42" s="33">
        <f>SUM($D32:V32)</f>
        <v>0</v>
      </c>
      <c r="W42" s="33">
        <f>SUM($D32:W32)</f>
        <v>1.04505E-2</v>
      </c>
      <c r="X42" s="33">
        <f>SUM($D32:X32)</f>
        <v>1.2175739999999999E-2</v>
      </c>
      <c r="Y42" s="33">
        <f>SUM($D32:Y32)</f>
        <v>1.2175739999999999E-2</v>
      </c>
    </row>
    <row r="43" spans="1:25">
      <c r="A43" s="72"/>
      <c r="B43" s="31"/>
      <c r="C43" s="50"/>
      <c r="D43" s="32"/>
      <c r="E43" s="32"/>
      <c r="F43" s="32"/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X43" s="32"/>
    </row>
  </sheetData>
  <mergeCells count="4">
    <mergeCell ref="C35:Y35"/>
    <mergeCell ref="C3:Y3"/>
    <mergeCell ref="C15:Y15"/>
    <mergeCell ref="C25:Y25"/>
  </mergeCells>
  <pageMargins left="0.7" right="0.7" top="0.75" bottom="0.75" header="0.3" footer="0.3"/>
  <pageSetup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E9D11-BFBB-4AE3-B311-D2A6CCFDF051}">
  <sheetPr>
    <pageSetUpPr fitToPage="1"/>
  </sheetPr>
  <dimension ref="A1:Y43"/>
  <sheetViews>
    <sheetView zoomScale="70" zoomScaleNormal="70" workbookViewId="0">
      <pane xSplit="4" ySplit="4" topLeftCell="E17" activePane="bottomRight" state="frozen"/>
      <selection activeCell="C5" sqref="C5"/>
      <selection pane="topRight" activeCell="C5" sqref="C5"/>
      <selection pane="bottomLeft" activeCell="C5" sqref="C5"/>
      <selection pane="bottomRight" activeCell="O50" sqref="O50"/>
    </sheetView>
  </sheetViews>
  <sheetFormatPr defaultColWidth="9.28515625" defaultRowHeight="15.75"/>
  <cols>
    <col min="1" max="1" width="23.42578125" style="25" customWidth="1"/>
    <col min="2" max="2" width="25.7109375" style="25" customWidth="1"/>
    <col min="3" max="3" width="13.42578125" style="25" customWidth="1"/>
    <col min="4" max="10" width="14.5703125" style="25" customWidth="1"/>
    <col min="11" max="21" width="14.5703125" style="25" bestFit="1" customWidth="1"/>
    <col min="22" max="22" width="13.7109375" style="25" customWidth="1"/>
    <col min="23" max="23" width="13.5703125" style="25" customWidth="1"/>
    <col min="24" max="24" width="12.28515625" style="25" customWidth="1"/>
    <col min="25" max="25" width="14.7109375" style="25" customWidth="1"/>
    <col min="26" max="26" width="15" style="25" customWidth="1"/>
    <col min="27" max="16384" width="9.28515625" style="25"/>
  </cols>
  <sheetData>
    <row r="1" spans="1: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>
      <c r="C3" s="144" t="s">
        <v>157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31.5">
      <c r="A4" s="69" t="s">
        <v>38</v>
      </c>
      <c r="B4" s="100" t="s">
        <v>87</v>
      </c>
      <c r="C4" s="70" t="s">
        <v>39</v>
      </c>
      <c r="D4" s="71" t="s">
        <v>86</v>
      </c>
      <c r="E4" s="70">
        <v>2002</v>
      </c>
      <c r="F4" s="70">
        <v>2003</v>
      </c>
      <c r="G4" s="70">
        <v>2004</v>
      </c>
      <c r="H4" s="70">
        <v>2005</v>
      </c>
      <c r="I4" s="70">
        <v>2006</v>
      </c>
      <c r="J4" s="70">
        <v>2007</v>
      </c>
      <c r="K4" s="70">
        <v>2008</v>
      </c>
      <c r="L4" s="70">
        <v>2009</v>
      </c>
      <c r="M4" s="70">
        <v>2010</v>
      </c>
      <c r="N4" s="70">
        <v>2011</v>
      </c>
      <c r="O4" s="70">
        <v>2012</v>
      </c>
      <c r="P4" s="70">
        <v>2013</v>
      </c>
      <c r="Q4" s="70">
        <v>2014</v>
      </c>
      <c r="R4" s="70">
        <v>2015</v>
      </c>
      <c r="S4" s="70">
        <v>2016</v>
      </c>
      <c r="T4" s="70">
        <v>2017</v>
      </c>
      <c r="U4" s="70">
        <v>2018</v>
      </c>
      <c r="V4" s="70">
        <v>2019</v>
      </c>
      <c r="W4" s="70">
        <f>+V4+1</f>
        <v>2020</v>
      </c>
      <c r="X4" s="70">
        <f>+W4+1</f>
        <v>2021</v>
      </c>
      <c r="Y4" s="70">
        <v>2022</v>
      </c>
    </row>
    <row r="5" spans="1:25" ht="31.5">
      <c r="A5" s="69" t="s">
        <v>80</v>
      </c>
      <c r="B5" s="101"/>
      <c r="C5" s="30">
        <f>'Indifference Amount Calc'!F60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</row>
    <row r="6" spans="1:25">
      <c r="A6" s="72" t="s">
        <v>41</v>
      </c>
      <c r="B6" s="96">
        <v>0.42829805435073137</v>
      </c>
      <c r="C6" s="30">
        <f t="shared" ref="C6:C11" si="0">B6*C$5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1:25">
      <c r="A7" s="72" t="s">
        <v>42</v>
      </c>
      <c r="B7" s="96">
        <v>0.13271428239502228</v>
      </c>
      <c r="C7" s="30">
        <f t="shared" si="0"/>
        <v>0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1:25">
      <c r="A8" s="72" t="s">
        <v>43</v>
      </c>
      <c r="B8" s="96">
        <v>0.42030832470214263</v>
      </c>
      <c r="C8" s="30">
        <f t="shared" si="0"/>
        <v>0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1:25">
      <c r="A9" s="72" t="s">
        <v>44</v>
      </c>
      <c r="B9" s="96">
        <v>1.4992320849857636E-2</v>
      </c>
      <c r="C9" s="30">
        <f t="shared" si="0"/>
        <v>0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spans="1:25">
      <c r="A10" s="72" t="s">
        <v>45</v>
      </c>
      <c r="B10" s="96">
        <v>3.6870177022459631E-3</v>
      </c>
      <c r="C10" s="30">
        <f t="shared" si="0"/>
        <v>0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spans="1:25">
      <c r="A11" s="72" t="s">
        <v>85</v>
      </c>
      <c r="B11" s="76">
        <f>SUM(B6:B10)</f>
        <v>1</v>
      </c>
      <c r="C11" s="30">
        <f t="shared" si="0"/>
        <v>0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spans="1:25">
      <c r="A12" s="53"/>
      <c r="B12" s="57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5" spans="1:25">
      <c r="C15" s="144" t="s">
        <v>155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  <row r="16" spans="1:25" ht="31.5">
      <c r="A16" s="69" t="s">
        <v>38</v>
      </c>
      <c r="B16" s="70" t="s">
        <v>104</v>
      </c>
      <c r="C16" s="70" t="s">
        <v>83</v>
      </c>
      <c r="D16" s="71" t="s">
        <v>86</v>
      </c>
      <c r="E16" s="70">
        <v>2002</v>
      </c>
      <c r="F16" s="70">
        <v>2003</v>
      </c>
      <c r="G16" s="70">
        <v>2004</v>
      </c>
      <c r="H16" s="70">
        <v>2005</v>
      </c>
      <c r="I16" s="70">
        <v>2006</v>
      </c>
      <c r="J16" s="70">
        <v>2007</v>
      </c>
      <c r="K16" s="70">
        <v>2008</v>
      </c>
      <c r="L16" s="70">
        <v>2009</v>
      </c>
      <c r="M16" s="70">
        <v>2010</v>
      </c>
      <c r="N16" s="70">
        <v>2011</v>
      </c>
      <c r="O16" s="70">
        <v>2012</v>
      </c>
      <c r="P16" s="70">
        <v>2013</v>
      </c>
      <c r="Q16" s="70">
        <v>2014</v>
      </c>
      <c r="R16" s="70">
        <v>2015</v>
      </c>
      <c r="S16" s="70">
        <v>2016</v>
      </c>
      <c r="T16" s="70">
        <v>2017</v>
      </c>
      <c r="U16" s="70">
        <v>2018</v>
      </c>
      <c r="V16" s="70">
        <v>2019</v>
      </c>
      <c r="W16" s="70">
        <f>+W4</f>
        <v>2020</v>
      </c>
      <c r="X16" s="70">
        <f>+X4</f>
        <v>2021</v>
      </c>
      <c r="Y16" s="70">
        <v>2022</v>
      </c>
    </row>
    <row r="17" spans="1:25">
      <c r="A17" s="72" t="s">
        <v>41</v>
      </c>
      <c r="B17" s="57">
        <v>5245.2817189874295</v>
      </c>
      <c r="C17" s="58">
        <f>B17</f>
        <v>5245.2817189874295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</row>
    <row r="18" spans="1:25">
      <c r="A18" s="72" t="s">
        <v>42</v>
      </c>
      <c r="B18" s="57">
        <v>2041.3216539650505</v>
      </c>
      <c r="C18" s="58">
        <f t="shared" ref="C18:C21" si="1">B18</f>
        <v>2041.3216539650505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</row>
    <row r="19" spans="1:25">
      <c r="A19" s="72" t="s">
        <v>43</v>
      </c>
      <c r="B19" s="57">
        <v>9038.2789735142051</v>
      </c>
      <c r="C19" s="58">
        <f t="shared" si="1"/>
        <v>9038.2789735142051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</row>
    <row r="20" spans="1:25">
      <c r="A20" s="72" t="s">
        <v>44</v>
      </c>
      <c r="B20" s="57">
        <v>311.43267865992982</v>
      </c>
      <c r="C20" s="58">
        <f t="shared" si="1"/>
        <v>311.43267865992982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</row>
    <row r="21" spans="1:25">
      <c r="A21" s="72" t="s">
        <v>45</v>
      </c>
      <c r="B21" s="57">
        <v>82.670007271185625</v>
      </c>
      <c r="C21" s="58">
        <f t="shared" si="1"/>
        <v>82.670007271185625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</row>
    <row r="22" spans="1:25">
      <c r="A22" s="72" t="s">
        <v>84</v>
      </c>
      <c r="B22" s="57">
        <f>SUM(B17:B21)</f>
        <v>16718.985032397803</v>
      </c>
      <c r="C22" s="58">
        <f t="shared" ref="C22" si="2">SUM(C17:C21)</f>
        <v>16718.985032397803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1:25">
      <c r="A23" s="53"/>
      <c r="B23" s="57"/>
      <c r="C23" s="29"/>
      <c r="D23" s="30"/>
      <c r="E23" s="30"/>
      <c r="F23" s="30"/>
      <c r="G23" s="3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5" spans="1:25">
      <c r="C25" s="144" t="s">
        <v>82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</row>
    <row r="26" spans="1:25" s="69" customFormat="1" ht="31.5">
      <c r="B26" s="69" t="s">
        <v>38</v>
      </c>
      <c r="C26" s="70" t="s">
        <v>40</v>
      </c>
      <c r="D26" s="71" t="s">
        <v>86</v>
      </c>
      <c r="E26" s="70">
        <v>2002</v>
      </c>
      <c r="F26" s="70">
        <v>2003</v>
      </c>
      <c r="G26" s="70">
        <v>2004</v>
      </c>
      <c r="H26" s="70">
        <v>2005</v>
      </c>
      <c r="I26" s="70">
        <v>2006</v>
      </c>
      <c r="J26" s="70">
        <v>2007</v>
      </c>
      <c r="K26" s="70">
        <v>2008</v>
      </c>
      <c r="L26" s="70">
        <v>2009</v>
      </c>
      <c r="M26" s="70">
        <v>2010</v>
      </c>
      <c r="N26" s="70">
        <v>2011</v>
      </c>
      <c r="O26" s="70">
        <v>2012</v>
      </c>
      <c r="P26" s="70">
        <v>2013</v>
      </c>
      <c r="Q26" s="70">
        <v>2014</v>
      </c>
      <c r="R26" s="70">
        <v>2015</v>
      </c>
      <c r="S26" s="70">
        <v>2016</v>
      </c>
      <c r="T26" s="70">
        <v>2017</v>
      </c>
      <c r="U26" s="70">
        <v>2018</v>
      </c>
      <c r="V26" s="70">
        <v>2019</v>
      </c>
      <c r="W26" s="70">
        <f>+W4</f>
        <v>2020</v>
      </c>
      <c r="X26" s="70">
        <f>+X4</f>
        <v>2021</v>
      </c>
      <c r="Y26" s="70">
        <v>2022</v>
      </c>
    </row>
    <row r="27" spans="1:25">
      <c r="B27" s="72" t="s">
        <v>41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1.59715E-2</v>
      </c>
      <c r="U27" s="48">
        <v>0.26728142000000005</v>
      </c>
      <c r="V27" s="48">
        <v>2.1440000000000001E-4</v>
      </c>
      <c r="W27" s="48">
        <v>3.3737999999999997E-2</v>
      </c>
      <c r="X27" s="48">
        <v>0</v>
      </c>
      <c r="Y27" s="48">
        <v>0</v>
      </c>
    </row>
    <row r="28" spans="1:25">
      <c r="B28" s="72" t="s">
        <v>42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1.5778919999999998E-2</v>
      </c>
      <c r="M28" s="48">
        <v>6.9058900000000005E-3</v>
      </c>
      <c r="N28" s="48">
        <v>5.3441339999999997E-2</v>
      </c>
      <c r="O28" s="48">
        <v>3.492721E-2</v>
      </c>
      <c r="P28" s="48">
        <v>0</v>
      </c>
      <c r="Q28" s="48">
        <v>0</v>
      </c>
      <c r="R28" s="48">
        <v>2.9043720000000002E-2</v>
      </c>
      <c r="S28" s="48">
        <v>0</v>
      </c>
      <c r="T28" s="48">
        <v>6.8222199999999995E-3</v>
      </c>
      <c r="U28" s="48">
        <v>1.2615090000000001E-2</v>
      </c>
      <c r="V28" s="48">
        <v>1.5709999999999997E-5</v>
      </c>
      <c r="W28" s="48">
        <v>2.2415600000000001E-3</v>
      </c>
      <c r="X28" s="48">
        <v>0</v>
      </c>
      <c r="Y28" s="48">
        <v>0</v>
      </c>
    </row>
    <row r="29" spans="1:25">
      <c r="B29" s="72" t="s">
        <v>43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2.5715999999999998E-4</v>
      </c>
      <c r="M29" s="48">
        <v>5.7103000000000004E-4</v>
      </c>
      <c r="N29" s="48">
        <v>2.0963599999999998E-3</v>
      </c>
      <c r="O29" s="48">
        <v>2.6801799999999999E-3</v>
      </c>
      <c r="P29" s="48">
        <v>0</v>
      </c>
      <c r="Q29" s="48">
        <v>0</v>
      </c>
      <c r="R29" s="48">
        <v>2.8040500000000002E-3</v>
      </c>
      <c r="S29" s="48">
        <v>0</v>
      </c>
      <c r="T29" s="48">
        <v>2.5753600000000001E-3</v>
      </c>
      <c r="U29" s="48">
        <v>2.00913E-3</v>
      </c>
      <c r="V29" s="48">
        <v>6.8000000000000005E-7</v>
      </c>
      <c r="W29" s="48">
        <v>2.6301300000000001E-3</v>
      </c>
      <c r="X29" s="48">
        <v>0</v>
      </c>
      <c r="Y29" s="48">
        <v>0</v>
      </c>
    </row>
    <row r="30" spans="1:25">
      <c r="B30" s="72" t="s">
        <v>44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4.6513000000000001E-4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1.7709099999999998E-2</v>
      </c>
      <c r="U30" s="48">
        <v>0.70623011000000002</v>
      </c>
      <c r="V30" s="48">
        <v>4.4499999999999997E-6</v>
      </c>
      <c r="W30" s="48">
        <v>6.1766599999999996E-3</v>
      </c>
      <c r="X30" s="48">
        <v>0</v>
      </c>
      <c r="Y30" s="48">
        <v>0</v>
      </c>
    </row>
    <row r="31" spans="1:25">
      <c r="B31" s="72" t="s">
        <v>45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-0.35970048999999998</v>
      </c>
      <c r="O31" s="48">
        <v>0</v>
      </c>
      <c r="P31" s="48">
        <v>0</v>
      </c>
      <c r="Q31" s="48">
        <v>0</v>
      </c>
      <c r="R31" s="48">
        <v>1.08151362</v>
      </c>
      <c r="S31" s="48">
        <v>0</v>
      </c>
      <c r="T31" s="48">
        <v>1.034997E-2</v>
      </c>
      <c r="U31" s="48">
        <v>0</v>
      </c>
      <c r="V31" s="48">
        <v>2.7811999999999997E-4</v>
      </c>
      <c r="W31" s="48">
        <v>4.6694800000000002E-3</v>
      </c>
      <c r="X31" s="48">
        <v>0</v>
      </c>
      <c r="Y31" s="48">
        <v>0</v>
      </c>
    </row>
    <row r="32" spans="1:25">
      <c r="B32" s="72" t="s">
        <v>46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6.0868999999999995E-4</v>
      </c>
      <c r="M32" s="48">
        <v>1.26983E-3</v>
      </c>
      <c r="N32" s="48">
        <v>4.9269100000000005E-3</v>
      </c>
      <c r="O32" s="48">
        <v>6.2258500000000007E-3</v>
      </c>
      <c r="P32" s="48">
        <v>0</v>
      </c>
      <c r="Q32" s="48">
        <v>0</v>
      </c>
      <c r="R32" s="48">
        <v>6.4739100000000003E-3</v>
      </c>
      <c r="S32" s="48">
        <v>0</v>
      </c>
      <c r="T32" s="48">
        <v>4.74662E-3</v>
      </c>
      <c r="U32" s="48">
        <v>4.5178800000000002E-3</v>
      </c>
      <c r="V32" s="48">
        <v>1.57E-6</v>
      </c>
      <c r="W32" s="48">
        <v>4.2567100000000004E-3</v>
      </c>
      <c r="X32" s="48">
        <v>0</v>
      </c>
      <c r="Y32" s="48">
        <v>0</v>
      </c>
    </row>
    <row r="33" spans="1:25">
      <c r="A33" s="72"/>
      <c r="B33" s="57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5" spans="1:25" ht="15.75" customHeight="1">
      <c r="C35" s="144" t="s">
        <v>146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  <row r="36" spans="1:25">
      <c r="B36" s="69" t="s">
        <v>38</v>
      </c>
      <c r="C36" s="70" t="s">
        <v>16</v>
      </c>
      <c r="D36" s="70">
        <v>2001</v>
      </c>
      <c r="E36" s="70">
        <v>2002</v>
      </c>
      <c r="F36" s="70">
        <v>2003</v>
      </c>
      <c r="G36" s="70">
        <v>2004</v>
      </c>
      <c r="H36" s="70">
        <v>2005</v>
      </c>
      <c r="I36" s="70">
        <v>2006</v>
      </c>
      <c r="J36" s="70">
        <v>2007</v>
      </c>
      <c r="K36" s="70">
        <v>2008</v>
      </c>
      <c r="L36" s="70">
        <v>2009</v>
      </c>
      <c r="M36" s="70">
        <v>2010</v>
      </c>
      <c r="N36" s="70">
        <v>2011</v>
      </c>
      <c r="O36" s="70">
        <v>2012</v>
      </c>
      <c r="P36" s="70">
        <v>2013</v>
      </c>
      <c r="Q36" s="70">
        <v>2014</v>
      </c>
      <c r="R36" s="70">
        <v>2015</v>
      </c>
      <c r="S36" s="70">
        <v>2016</v>
      </c>
      <c r="T36" s="70">
        <v>2017</v>
      </c>
      <c r="U36" s="70">
        <v>2018</v>
      </c>
      <c r="V36" s="70">
        <v>2019</v>
      </c>
      <c r="W36" s="70">
        <f>+W4</f>
        <v>2020</v>
      </c>
      <c r="X36" s="70">
        <f>+X4</f>
        <v>2021</v>
      </c>
      <c r="Y36" s="70">
        <v>2022</v>
      </c>
    </row>
    <row r="37" spans="1:25">
      <c r="B37" s="72" t="s">
        <v>41</v>
      </c>
      <c r="C37" s="33">
        <f t="shared" ref="C37:R42" si="3">C27</f>
        <v>0</v>
      </c>
      <c r="D37" s="34">
        <f>D$32</f>
        <v>0</v>
      </c>
      <c r="E37" s="34">
        <f t="shared" ref="E37:Y41" si="4">E$32</f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6.0868999999999995E-4</v>
      </c>
      <c r="M37" s="34">
        <f t="shared" si="4"/>
        <v>1.26983E-3</v>
      </c>
      <c r="N37" s="34">
        <f t="shared" si="4"/>
        <v>4.9269100000000005E-3</v>
      </c>
      <c r="O37" s="34">
        <f t="shared" si="4"/>
        <v>6.2258500000000007E-3</v>
      </c>
      <c r="P37" s="34">
        <f t="shared" si="4"/>
        <v>0</v>
      </c>
      <c r="Q37" s="34">
        <f t="shared" si="4"/>
        <v>0</v>
      </c>
      <c r="R37" s="34">
        <f t="shared" si="4"/>
        <v>6.4739100000000003E-3</v>
      </c>
      <c r="S37" s="34">
        <f t="shared" si="4"/>
        <v>0</v>
      </c>
      <c r="T37" s="34">
        <f t="shared" si="4"/>
        <v>4.74662E-3</v>
      </c>
      <c r="U37" s="34">
        <f t="shared" si="4"/>
        <v>4.5178800000000002E-3</v>
      </c>
      <c r="V37" s="34">
        <f t="shared" si="4"/>
        <v>1.57E-6</v>
      </c>
      <c r="W37" s="34">
        <f t="shared" si="4"/>
        <v>4.2567100000000004E-3</v>
      </c>
      <c r="X37" s="34">
        <f t="shared" si="4"/>
        <v>0</v>
      </c>
      <c r="Y37" s="34">
        <f t="shared" si="4"/>
        <v>0</v>
      </c>
    </row>
    <row r="38" spans="1:25">
      <c r="B38" s="72" t="s">
        <v>42</v>
      </c>
      <c r="C38" s="33">
        <f t="shared" si="3"/>
        <v>0</v>
      </c>
      <c r="D38" s="34">
        <f t="shared" ref="D38:D41" si="5">D$32</f>
        <v>0</v>
      </c>
      <c r="E38" s="34">
        <f t="shared" si="4"/>
        <v>0</v>
      </c>
      <c r="F38" s="34">
        <f t="shared" si="4"/>
        <v>0</v>
      </c>
      <c r="G38" s="34">
        <f t="shared" si="4"/>
        <v>0</v>
      </c>
      <c r="H38" s="34">
        <f t="shared" si="4"/>
        <v>0</v>
      </c>
      <c r="I38" s="34">
        <f t="shared" si="4"/>
        <v>0</v>
      </c>
      <c r="J38" s="34">
        <f t="shared" si="4"/>
        <v>0</v>
      </c>
      <c r="K38" s="34">
        <f t="shared" si="4"/>
        <v>0</v>
      </c>
      <c r="L38" s="34">
        <f t="shared" si="4"/>
        <v>6.0868999999999995E-4</v>
      </c>
      <c r="M38" s="34">
        <f t="shared" si="4"/>
        <v>1.26983E-3</v>
      </c>
      <c r="N38" s="34">
        <f t="shared" si="4"/>
        <v>4.9269100000000005E-3</v>
      </c>
      <c r="O38" s="34">
        <f t="shared" si="4"/>
        <v>6.2258500000000007E-3</v>
      </c>
      <c r="P38" s="34">
        <f t="shared" si="4"/>
        <v>0</v>
      </c>
      <c r="Q38" s="34">
        <f t="shared" si="4"/>
        <v>0</v>
      </c>
      <c r="R38" s="34">
        <f t="shared" si="4"/>
        <v>6.4739100000000003E-3</v>
      </c>
      <c r="S38" s="34">
        <f t="shared" si="4"/>
        <v>0</v>
      </c>
      <c r="T38" s="34">
        <f t="shared" si="4"/>
        <v>4.74662E-3</v>
      </c>
      <c r="U38" s="34">
        <f t="shared" si="4"/>
        <v>4.5178800000000002E-3</v>
      </c>
      <c r="V38" s="34">
        <f t="shared" si="4"/>
        <v>1.57E-6</v>
      </c>
      <c r="W38" s="34">
        <f t="shared" si="4"/>
        <v>4.2567100000000004E-3</v>
      </c>
      <c r="X38" s="34">
        <f t="shared" si="4"/>
        <v>0</v>
      </c>
      <c r="Y38" s="34">
        <f t="shared" si="4"/>
        <v>0</v>
      </c>
    </row>
    <row r="39" spans="1:25">
      <c r="B39" s="72" t="s">
        <v>43</v>
      </c>
      <c r="C39" s="33">
        <f t="shared" si="3"/>
        <v>0</v>
      </c>
      <c r="D39" s="34">
        <f t="shared" si="5"/>
        <v>0</v>
      </c>
      <c r="E39" s="34">
        <f t="shared" si="4"/>
        <v>0</v>
      </c>
      <c r="F39" s="34">
        <f t="shared" si="4"/>
        <v>0</v>
      </c>
      <c r="G39" s="34">
        <f t="shared" si="4"/>
        <v>0</v>
      </c>
      <c r="H39" s="34">
        <f t="shared" si="4"/>
        <v>0</v>
      </c>
      <c r="I39" s="34">
        <f t="shared" si="4"/>
        <v>0</v>
      </c>
      <c r="J39" s="34">
        <f t="shared" si="4"/>
        <v>0</v>
      </c>
      <c r="K39" s="34">
        <f t="shared" si="4"/>
        <v>0</v>
      </c>
      <c r="L39" s="34">
        <f t="shared" si="4"/>
        <v>6.0868999999999995E-4</v>
      </c>
      <c r="M39" s="34">
        <f t="shared" si="4"/>
        <v>1.26983E-3</v>
      </c>
      <c r="N39" s="34">
        <f t="shared" si="4"/>
        <v>4.9269100000000005E-3</v>
      </c>
      <c r="O39" s="34">
        <f t="shared" si="4"/>
        <v>6.2258500000000007E-3</v>
      </c>
      <c r="P39" s="34">
        <f t="shared" si="4"/>
        <v>0</v>
      </c>
      <c r="Q39" s="34">
        <f t="shared" si="4"/>
        <v>0</v>
      </c>
      <c r="R39" s="34">
        <f t="shared" si="4"/>
        <v>6.4739100000000003E-3</v>
      </c>
      <c r="S39" s="34">
        <f t="shared" si="4"/>
        <v>0</v>
      </c>
      <c r="T39" s="34">
        <f t="shared" si="4"/>
        <v>4.74662E-3</v>
      </c>
      <c r="U39" s="34">
        <f t="shared" si="4"/>
        <v>4.5178800000000002E-3</v>
      </c>
      <c r="V39" s="34">
        <f t="shared" si="4"/>
        <v>1.57E-6</v>
      </c>
      <c r="W39" s="34">
        <f t="shared" si="4"/>
        <v>4.2567100000000004E-3</v>
      </c>
      <c r="X39" s="34">
        <f t="shared" si="4"/>
        <v>0</v>
      </c>
      <c r="Y39" s="34">
        <f t="shared" si="4"/>
        <v>0</v>
      </c>
    </row>
    <row r="40" spans="1:25">
      <c r="B40" s="72" t="s">
        <v>44</v>
      </c>
      <c r="C40" s="33">
        <f t="shared" si="3"/>
        <v>0</v>
      </c>
      <c r="D40" s="34">
        <f t="shared" si="5"/>
        <v>0</v>
      </c>
      <c r="E40" s="34">
        <f t="shared" si="4"/>
        <v>0</v>
      </c>
      <c r="F40" s="34">
        <f t="shared" si="4"/>
        <v>0</v>
      </c>
      <c r="G40" s="34">
        <f t="shared" si="4"/>
        <v>0</v>
      </c>
      <c r="H40" s="34">
        <f t="shared" si="4"/>
        <v>0</v>
      </c>
      <c r="I40" s="34">
        <f t="shared" si="4"/>
        <v>0</v>
      </c>
      <c r="J40" s="34">
        <f t="shared" si="4"/>
        <v>0</v>
      </c>
      <c r="K40" s="34">
        <f t="shared" si="4"/>
        <v>0</v>
      </c>
      <c r="L40" s="34">
        <f t="shared" si="4"/>
        <v>6.0868999999999995E-4</v>
      </c>
      <c r="M40" s="34">
        <f t="shared" si="4"/>
        <v>1.26983E-3</v>
      </c>
      <c r="N40" s="34">
        <f t="shared" si="4"/>
        <v>4.9269100000000005E-3</v>
      </c>
      <c r="O40" s="34">
        <f t="shared" si="4"/>
        <v>6.2258500000000007E-3</v>
      </c>
      <c r="P40" s="34">
        <f t="shared" si="4"/>
        <v>0</v>
      </c>
      <c r="Q40" s="34">
        <f t="shared" si="4"/>
        <v>0</v>
      </c>
      <c r="R40" s="34">
        <f t="shared" si="4"/>
        <v>6.4739100000000003E-3</v>
      </c>
      <c r="S40" s="34">
        <f t="shared" si="4"/>
        <v>0</v>
      </c>
      <c r="T40" s="34">
        <f t="shared" si="4"/>
        <v>4.74662E-3</v>
      </c>
      <c r="U40" s="34">
        <f t="shared" si="4"/>
        <v>4.5178800000000002E-3</v>
      </c>
      <c r="V40" s="34">
        <f t="shared" si="4"/>
        <v>1.57E-6</v>
      </c>
      <c r="W40" s="34">
        <f t="shared" si="4"/>
        <v>4.2567100000000004E-3</v>
      </c>
      <c r="X40" s="34">
        <f t="shared" si="4"/>
        <v>0</v>
      </c>
      <c r="Y40" s="34">
        <f t="shared" si="4"/>
        <v>0</v>
      </c>
    </row>
    <row r="41" spans="1:25">
      <c r="B41" s="72" t="s">
        <v>45</v>
      </c>
      <c r="C41" s="33">
        <f t="shared" si="3"/>
        <v>0</v>
      </c>
      <c r="D41" s="34">
        <f t="shared" si="5"/>
        <v>0</v>
      </c>
      <c r="E41" s="34">
        <f t="shared" si="4"/>
        <v>0</v>
      </c>
      <c r="F41" s="34">
        <f t="shared" si="4"/>
        <v>0</v>
      </c>
      <c r="G41" s="34">
        <f t="shared" si="4"/>
        <v>0</v>
      </c>
      <c r="H41" s="34">
        <f t="shared" si="4"/>
        <v>0</v>
      </c>
      <c r="I41" s="34">
        <f t="shared" si="4"/>
        <v>0</v>
      </c>
      <c r="J41" s="34">
        <f t="shared" si="4"/>
        <v>0</v>
      </c>
      <c r="K41" s="34">
        <f t="shared" si="4"/>
        <v>0</v>
      </c>
      <c r="L41" s="34">
        <f t="shared" si="4"/>
        <v>6.0868999999999995E-4</v>
      </c>
      <c r="M41" s="34">
        <f t="shared" si="4"/>
        <v>1.26983E-3</v>
      </c>
      <c r="N41" s="34">
        <f t="shared" si="4"/>
        <v>4.9269100000000005E-3</v>
      </c>
      <c r="O41" s="34">
        <f t="shared" si="4"/>
        <v>6.2258500000000007E-3</v>
      </c>
      <c r="P41" s="34">
        <f t="shared" si="4"/>
        <v>0</v>
      </c>
      <c r="Q41" s="34">
        <f t="shared" si="4"/>
        <v>0</v>
      </c>
      <c r="R41" s="34">
        <f t="shared" si="4"/>
        <v>6.4739100000000003E-3</v>
      </c>
      <c r="S41" s="34">
        <f t="shared" si="4"/>
        <v>0</v>
      </c>
      <c r="T41" s="34">
        <f t="shared" si="4"/>
        <v>4.74662E-3</v>
      </c>
      <c r="U41" s="34">
        <f t="shared" si="4"/>
        <v>4.5178800000000002E-3</v>
      </c>
      <c r="V41" s="34">
        <f t="shared" si="4"/>
        <v>1.57E-6</v>
      </c>
      <c r="W41" s="34">
        <f t="shared" si="4"/>
        <v>4.2567100000000004E-3</v>
      </c>
      <c r="X41" s="34">
        <f t="shared" si="4"/>
        <v>0</v>
      </c>
      <c r="Y41" s="34">
        <f t="shared" si="4"/>
        <v>0</v>
      </c>
    </row>
    <row r="42" spans="1:25">
      <c r="B42" s="72" t="s">
        <v>46</v>
      </c>
      <c r="C42" s="33">
        <f t="shared" si="3"/>
        <v>0</v>
      </c>
      <c r="D42" s="34">
        <f t="shared" si="3"/>
        <v>0</v>
      </c>
      <c r="E42" s="34">
        <f t="shared" si="3"/>
        <v>0</v>
      </c>
      <c r="F42" s="34">
        <f t="shared" si="3"/>
        <v>0</v>
      </c>
      <c r="G42" s="34">
        <f t="shared" si="3"/>
        <v>0</v>
      </c>
      <c r="H42" s="34">
        <f t="shared" si="3"/>
        <v>0</v>
      </c>
      <c r="I42" s="34">
        <f t="shared" si="3"/>
        <v>0</v>
      </c>
      <c r="J42" s="34">
        <f t="shared" si="3"/>
        <v>0</v>
      </c>
      <c r="K42" s="34">
        <f t="shared" si="3"/>
        <v>0</v>
      </c>
      <c r="L42" s="34">
        <f t="shared" si="3"/>
        <v>6.0868999999999995E-4</v>
      </c>
      <c r="M42" s="34">
        <f t="shared" si="3"/>
        <v>1.26983E-3</v>
      </c>
      <c r="N42" s="34">
        <f t="shared" si="3"/>
        <v>4.9269100000000005E-3</v>
      </c>
      <c r="O42" s="34">
        <f t="shared" si="3"/>
        <v>6.2258500000000007E-3</v>
      </c>
      <c r="P42" s="34">
        <f t="shared" si="3"/>
        <v>0</v>
      </c>
      <c r="Q42" s="34">
        <f t="shared" si="3"/>
        <v>0</v>
      </c>
      <c r="R42" s="34">
        <f t="shared" si="3"/>
        <v>6.4739100000000003E-3</v>
      </c>
      <c r="S42" s="34">
        <f t="shared" ref="S42:Y42" si="6">S32</f>
        <v>0</v>
      </c>
      <c r="T42" s="34">
        <f t="shared" si="6"/>
        <v>4.74662E-3</v>
      </c>
      <c r="U42" s="34">
        <f t="shared" si="6"/>
        <v>4.5178800000000002E-3</v>
      </c>
      <c r="V42" s="34">
        <f t="shared" si="6"/>
        <v>1.57E-6</v>
      </c>
      <c r="W42" s="34">
        <f t="shared" si="6"/>
        <v>4.2567100000000004E-3</v>
      </c>
      <c r="X42" s="34">
        <f t="shared" si="6"/>
        <v>0</v>
      </c>
      <c r="Y42" s="34">
        <f t="shared" si="6"/>
        <v>0</v>
      </c>
    </row>
    <row r="43" spans="1:25">
      <c r="A43" s="72"/>
      <c r="B43" s="31"/>
      <c r="C43" s="50"/>
      <c r="D43" s="32"/>
      <c r="E43" s="32"/>
      <c r="F43" s="32"/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X43" s="32"/>
    </row>
  </sheetData>
  <mergeCells count="6">
    <mergeCell ref="C35:Y35"/>
    <mergeCell ref="A1:Y1"/>
    <mergeCell ref="A2:Y2"/>
    <mergeCell ref="C3:Y3"/>
    <mergeCell ref="C15:Y15"/>
    <mergeCell ref="C25:Y25"/>
  </mergeCells>
  <pageMargins left="0.7" right="0.7" top="0.75" bottom="0.75" header="0.3" footer="0.3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5E10-6691-4D77-91F2-0153BB96847B}">
  <sheetPr>
    <pageSetUpPr fitToPage="1"/>
  </sheetPr>
  <dimension ref="A1:Y43"/>
  <sheetViews>
    <sheetView zoomScale="70" zoomScaleNormal="70" workbookViewId="0">
      <pane xSplit="4" ySplit="4" topLeftCell="E11" activePane="bottomRight" state="frozen"/>
      <selection activeCell="C5" sqref="C5"/>
      <selection pane="topRight" activeCell="C5" sqref="C5"/>
      <selection pane="bottomLeft" activeCell="C5" sqref="C5"/>
      <selection pane="bottomRight" activeCell="AC16" sqref="AC16"/>
    </sheetView>
  </sheetViews>
  <sheetFormatPr defaultColWidth="9.28515625" defaultRowHeight="15.75"/>
  <cols>
    <col min="1" max="1" width="23.42578125" style="25" customWidth="1"/>
    <col min="2" max="2" width="25.7109375" style="25" customWidth="1"/>
    <col min="3" max="3" width="13" style="25" customWidth="1"/>
    <col min="4" max="10" width="14.5703125" style="25" customWidth="1"/>
    <col min="11" max="21" width="14.5703125" style="25" bestFit="1" customWidth="1"/>
    <col min="22" max="22" width="13.7109375" style="25" customWidth="1"/>
    <col min="23" max="23" width="13.5703125" style="25" customWidth="1"/>
    <col min="24" max="24" width="12.28515625" style="25" customWidth="1"/>
    <col min="25" max="25" width="14.7109375" style="25" customWidth="1"/>
    <col min="26" max="26" width="15" style="25" customWidth="1"/>
    <col min="27" max="16384" width="9.28515625" style="25"/>
  </cols>
  <sheetData>
    <row r="1" spans="1: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>
      <c r="C3" s="144" t="s">
        <v>156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31.5">
      <c r="A4" s="69" t="s">
        <v>38</v>
      </c>
      <c r="B4" s="100" t="s">
        <v>87</v>
      </c>
      <c r="C4" s="70" t="s">
        <v>39</v>
      </c>
      <c r="D4" s="71" t="s">
        <v>86</v>
      </c>
      <c r="E4" s="70">
        <v>2002</v>
      </c>
      <c r="F4" s="70">
        <v>2003</v>
      </c>
      <c r="G4" s="70">
        <v>2004</v>
      </c>
      <c r="H4" s="70">
        <v>2005</v>
      </c>
      <c r="I4" s="70">
        <v>2006</v>
      </c>
      <c r="J4" s="70">
        <v>2007</v>
      </c>
      <c r="K4" s="70">
        <v>2008</v>
      </c>
      <c r="L4" s="70">
        <v>2009</v>
      </c>
      <c r="M4" s="70">
        <v>2010</v>
      </c>
      <c r="N4" s="70">
        <v>2011</v>
      </c>
      <c r="O4" s="70">
        <v>2012</v>
      </c>
      <c r="P4" s="70">
        <v>2013</v>
      </c>
      <c r="Q4" s="70">
        <v>2014</v>
      </c>
      <c r="R4" s="70">
        <v>2015</v>
      </c>
      <c r="S4" s="70">
        <v>2016</v>
      </c>
      <c r="T4" s="70">
        <v>2017</v>
      </c>
      <c r="U4" s="70">
        <v>2018</v>
      </c>
      <c r="V4" s="70">
        <v>2019</v>
      </c>
      <c r="W4" s="70">
        <f>+V4+1</f>
        <v>2020</v>
      </c>
      <c r="X4" s="70">
        <f>+W4+1</f>
        <v>2021</v>
      </c>
      <c r="Y4" s="70">
        <v>2022</v>
      </c>
    </row>
    <row r="5" spans="1:25" ht="31.5">
      <c r="A5" s="69" t="s">
        <v>80</v>
      </c>
      <c r="B5" s="101"/>
      <c r="C5" s="30">
        <f>'Indifference Amount Calc'!F65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</row>
    <row r="6" spans="1:25">
      <c r="A6" s="72" t="s">
        <v>41</v>
      </c>
      <c r="B6" s="96">
        <v>0.42829805435073137</v>
      </c>
      <c r="C6" s="30">
        <f t="shared" ref="C6:C11" si="0">B6*C$5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1:25">
      <c r="A7" s="72" t="s">
        <v>42</v>
      </c>
      <c r="B7" s="96">
        <v>0.13271428239502228</v>
      </c>
      <c r="C7" s="30">
        <f t="shared" si="0"/>
        <v>0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1:25">
      <c r="A8" s="72" t="s">
        <v>43</v>
      </c>
      <c r="B8" s="96">
        <v>0.42030832470214263</v>
      </c>
      <c r="C8" s="30">
        <f t="shared" si="0"/>
        <v>0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1:25">
      <c r="A9" s="72" t="s">
        <v>44</v>
      </c>
      <c r="B9" s="96">
        <v>1.4992320849857636E-2</v>
      </c>
      <c r="C9" s="30">
        <f t="shared" si="0"/>
        <v>0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spans="1:25">
      <c r="A10" s="72" t="s">
        <v>45</v>
      </c>
      <c r="B10" s="96">
        <v>3.6870177022459631E-3</v>
      </c>
      <c r="C10" s="30">
        <f t="shared" si="0"/>
        <v>0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spans="1:25">
      <c r="A11" s="72" t="s">
        <v>85</v>
      </c>
      <c r="B11" s="76">
        <f>SUM(B6:B10)</f>
        <v>1</v>
      </c>
      <c r="C11" s="30">
        <f t="shared" si="0"/>
        <v>0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spans="1:25">
      <c r="A12" s="53"/>
      <c r="B12" s="57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5" spans="1:25">
      <c r="C15" s="144" t="s">
        <v>106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  <row r="16" spans="1:25" ht="31.5">
      <c r="A16" s="69" t="s">
        <v>38</v>
      </c>
      <c r="B16" s="70" t="s">
        <v>104</v>
      </c>
      <c r="C16" s="70" t="s">
        <v>83</v>
      </c>
      <c r="D16" s="71" t="s">
        <v>86</v>
      </c>
      <c r="E16" s="70">
        <v>2002</v>
      </c>
      <c r="F16" s="70">
        <v>2003</v>
      </c>
      <c r="G16" s="70">
        <v>2004</v>
      </c>
      <c r="H16" s="70">
        <v>2005</v>
      </c>
      <c r="I16" s="70">
        <v>2006</v>
      </c>
      <c r="J16" s="70">
        <v>2007</v>
      </c>
      <c r="K16" s="70">
        <v>2008</v>
      </c>
      <c r="L16" s="70">
        <v>2009</v>
      </c>
      <c r="M16" s="70">
        <v>2010</v>
      </c>
      <c r="N16" s="70">
        <v>2011</v>
      </c>
      <c r="O16" s="70">
        <v>2012</v>
      </c>
      <c r="P16" s="70">
        <v>2013</v>
      </c>
      <c r="Q16" s="70">
        <v>2014</v>
      </c>
      <c r="R16" s="70">
        <v>2015</v>
      </c>
      <c r="S16" s="70">
        <v>2016</v>
      </c>
      <c r="T16" s="70">
        <v>2017</v>
      </c>
      <c r="U16" s="70">
        <v>2018</v>
      </c>
      <c r="V16" s="70">
        <v>2019</v>
      </c>
      <c r="W16" s="70">
        <f>+W4</f>
        <v>2020</v>
      </c>
      <c r="X16" s="70">
        <f>+X4</f>
        <v>2021</v>
      </c>
      <c r="Y16" s="70">
        <v>2022</v>
      </c>
    </row>
    <row r="17" spans="1:25">
      <c r="A17" s="72" t="s">
        <v>41</v>
      </c>
      <c r="B17" s="57">
        <v>5245.2817189874295</v>
      </c>
      <c r="C17" s="58">
        <f>B17</f>
        <v>5245.2817189874295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1:25">
      <c r="A18" s="72" t="s">
        <v>42</v>
      </c>
      <c r="B18" s="57">
        <v>2041.3216539650505</v>
      </c>
      <c r="C18" s="58">
        <f t="shared" ref="C18:C21" si="1">B18</f>
        <v>2041.3216539650505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1:25">
      <c r="A19" s="72" t="s">
        <v>43</v>
      </c>
      <c r="B19" s="57">
        <v>9038.2789735142051</v>
      </c>
      <c r="C19" s="58">
        <f t="shared" si="1"/>
        <v>9038.2789735142051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1:25">
      <c r="A20" s="72" t="s">
        <v>44</v>
      </c>
      <c r="B20" s="57">
        <v>311.43267865992982</v>
      </c>
      <c r="C20" s="58">
        <f t="shared" si="1"/>
        <v>311.43267865992982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1:25">
      <c r="A21" s="72" t="s">
        <v>45</v>
      </c>
      <c r="B21" s="57">
        <v>82.670007271185625</v>
      </c>
      <c r="C21" s="58">
        <f t="shared" si="1"/>
        <v>82.670007271185625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1:25">
      <c r="A22" s="72" t="s">
        <v>84</v>
      </c>
      <c r="B22" s="57">
        <f>SUM(B17:B21)</f>
        <v>16718.985032397803</v>
      </c>
      <c r="C22" s="58">
        <f t="shared" ref="C22" si="2">SUM(C17:C21)</f>
        <v>16718.985032397803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1:25">
      <c r="A23" s="53"/>
      <c r="B23" s="57"/>
      <c r="C23" s="29"/>
      <c r="D23" s="30"/>
      <c r="E23" s="30"/>
      <c r="F23" s="30"/>
      <c r="G23" s="3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5" spans="1:25">
      <c r="C25" s="144" t="s">
        <v>82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</row>
    <row r="26" spans="1:25" s="69" customFormat="1" ht="31.5">
      <c r="B26" s="69" t="s">
        <v>38</v>
      </c>
      <c r="C26" s="70" t="s">
        <v>40</v>
      </c>
      <c r="D26" s="71" t="s">
        <v>86</v>
      </c>
      <c r="E26" s="70">
        <v>2002</v>
      </c>
      <c r="F26" s="70">
        <v>2003</v>
      </c>
      <c r="G26" s="70">
        <v>2004</v>
      </c>
      <c r="H26" s="70">
        <v>2005</v>
      </c>
      <c r="I26" s="70">
        <v>2006</v>
      </c>
      <c r="J26" s="70">
        <v>2007</v>
      </c>
      <c r="K26" s="70">
        <v>2008</v>
      </c>
      <c r="L26" s="70">
        <v>2009</v>
      </c>
      <c r="M26" s="70">
        <v>2010</v>
      </c>
      <c r="N26" s="70">
        <v>2011</v>
      </c>
      <c r="O26" s="70">
        <v>2012</v>
      </c>
      <c r="P26" s="70">
        <v>2013</v>
      </c>
      <c r="Q26" s="70">
        <v>2014</v>
      </c>
      <c r="R26" s="70">
        <v>2015</v>
      </c>
      <c r="S26" s="70">
        <v>2016</v>
      </c>
      <c r="T26" s="70">
        <v>2017</v>
      </c>
      <c r="U26" s="70">
        <v>2018</v>
      </c>
      <c r="V26" s="70">
        <v>2019</v>
      </c>
      <c r="W26" s="70">
        <f>+W4</f>
        <v>2020</v>
      </c>
      <c r="X26" s="70">
        <f>+X4</f>
        <v>2021</v>
      </c>
      <c r="Y26" s="70">
        <v>2022</v>
      </c>
    </row>
    <row r="27" spans="1:25">
      <c r="B27" s="72" t="s">
        <v>41</v>
      </c>
      <c r="C27" s="48">
        <f t="shared" ref="C27:C32" si="3">ROUND(C6/C17,5)/1000</f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-1.7251899999999999E-3</v>
      </c>
      <c r="Y27" s="48">
        <v>0</v>
      </c>
    </row>
    <row r="28" spans="1:25">
      <c r="B28" s="72" t="s">
        <v>42</v>
      </c>
      <c r="C28" s="48">
        <f t="shared" si="3"/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-2.5779700000000002E-3</v>
      </c>
      <c r="Y28" s="48">
        <v>0</v>
      </c>
    </row>
    <row r="29" spans="1:25">
      <c r="B29" s="72" t="s">
        <v>43</v>
      </c>
      <c r="C29" s="48">
        <f t="shared" si="3"/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-3.2702900000000003E-3</v>
      </c>
      <c r="Y29" s="48">
        <v>0</v>
      </c>
    </row>
    <row r="30" spans="1:25">
      <c r="B30" s="72" t="s">
        <v>44</v>
      </c>
      <c r="C30" s="48">
        <f t="shared" si="3"/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-1.20662E-3</v>
      </c>
      <c r="Y30" s="48">
        <v>0</v>
      </c>
    </row>
    <row r="31" spans="1:25">
      <c r="B31" s="72" t="s">
        <v>45</v>
      </c>
      <c r="C31" s="48">
        <f t="shared" si="3"/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-1.06931E-3</v>
      </c>
      <c r="Y31" s="48">
        <v>0</v>
      </c>
    </row>
    <row r="32" spans="1:25">
      <c r="B32" s="72" t="s">
        <v>46</v>
      </c>
      <c r="C32" s="48">
        <f t="shared" si="3"/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-2.2515499999999997E-3</v>
      </c>
      <c r="Y32" s="48">
        <v>0</v>
      </c>
    </row>
    <row r="33" spans="1:25">
      <c r="A33" s="72"/>
      <c r="B33" s="57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5" spans="1:25" ht="15.75" customHeight="1">
      <c r="C35" s="144" t="s">
        <v>147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  <row r="36" spans="1:25">
      <c r="B36" s="69" t="s">
        <v>38</v>
      </c>
      <c r="C36" s="70" t="s">
        <v>16</v>
      </c>
      <c r="D36" s="70">
        <v>2001</v>
      </c>
      <c r="E36" s="70">
        <v>2002</v>
      </c>
      <c r="F36" s="70">
        <v>2003</v>
      </c>
      <c r="G36" s="70">
        <v>2004</v>
      </c>
      <c r="H36" s="70">
        <v>2005</v>
      </c>
      <c r="I36" s="70">
        <v>2006</v>
      </c>
      <c r="J36" s="70">
        <v>2007</v>
      </c>
      <c r="K36" s="70">
        <v>2008</v>
      </c>
      <c r="L36" s="70">
        <v>2009</v>
      </c>
      <c r="M36" s="70">
        <v>2010</v>
      </c>
      <c r="N36" s="70">
        <v>2011</v>
      </c>
      <c r="O36" s="70">
        <v>2012</v>
      </c>
      <c r="P36" s="70">
        <v>2013</v>
      </c>
      <c r="Q36" s="70">
        <v>2014</v>
      </c>
      <c r="R36" s="70">
        <v>2015</v>
      </c>
      <c r="S36" s="70">
        <v>2016</v>
      </c>
      <c r="T36" s="70">
        <v>2017</v>
      </c>
      <c r="U36" s="70">
        <v>2018</v>
      </c>
      <c r="V36" s="70">
        <v>2019</v>
      </c>
      <c r="W36" s="70">
        <f>+W4</f>
        <v>2020</v>
      </c>
      <c r="X36" s="70">
        <f>+X4</f>
        <v>2021</v>
      </c>
      <c r="Y36" s="70">
        <v>2022</v>
      </c>
    </row>
    <row r="37" spans="1:25">
      <c r="B37" s="72" t="s">
        <v>41</v>
      </c>
      <c r="C37" s="33">
        <f>C27</f>
        <v>0</v>
      </c>
      <c r="D37" s="34">
        <f>D27</f>
        <v>0</v>
      </c>
      <c r="E37" s="34">
        <f>SUM($D27:E27)</f>
        <v>0</v>
      </c>
      <c r="F37" s="34">
        <f>SUM($D27:F27)</f>
        <v>0</v>
      </c>
      <c r="G37" s="34">
        <f>SUM($D27:G27)</f>
        <v>0</v>
      </c>
      <c r="H37" s="34">
        <f>SUM($D27:H27)</f>
        <v>0</v>
      </c>
      <c r="I37" s="34">
        <f>SUM($D27:I27)</f>
        <v>0</v>
      </c>
      <c r="J37" s="34">
        <f>SUM($D27:J27)</f>
        <v>0</v>
      </c>
      <c r="K37" s="34">
        <f>SUM($D27:K27)</f>
        <v>0</v>
      </c>
      <c r="L37" s="34">
        <f>SUM($D27:L27)</f>
        <v>0</v>
      </c>
      <c r="M37" s="34">
        <f>SUM($D27:M27)</f>
        <v>0</v>
      </c>
      <c r="N37" s="34">
        <f>SUM($D27:N27)</f>
        <v>0</v>
      </c>
      <c r="O37" s="34">
        <f>SUM($D27:O27)</f>
        <v>0</v>
      </c>
      <c r="P37" s="34">
        <f>SUM($D27:P27)</f>
        <v>0</v>
      </c>
      <c r="Q37" s="34">
        <f>SUM($D27:Q27)</f>
        <v>0</v>
      </c>
      <c r="R37" s="34">
        <f>SUM($D27:R27)</f>
        <v>0</v>
      </c>
      <c r="S37" s="34">
        <f>SUM($D27:S27)</f>
        <v>0</v>
      </c>
      <c r="T37" s="34">
        <f>SUM($D27:T27)</f>
        <v>0</v>
      </c>
      <c r="U37" s="34">
        <f>SUM($D27:U27)</f>
        <v>0</v>
      </c>
      <c r="V37" s="34">
        <f>SUM($D27:V27)</f>
        <v>0</v>
      </c>
      <c r="W37" s="34">
        <f>SUM($D27:W27)</f>
        <v>0</v>
      </c>
      <c r="X37" s="34">
        <f>SUM($D27:X27)</f>
        <v>-1.7251899999999999E-3</v>
      </c>
      <c r="Y37" s="34">
        <f>SUM($D27:Y27)</f>
        <v>-1.7251899999999999E-3</v>
      </c>
    </row>
    <row r="38" spans="1:25">
      <c r="B38" s="72" t="s">
        <v>42</v>
      </c>
      <c r="C38" s="33">
        <f>C28</f>
        <v>0</v>
      </c>
      <c r="D38" s="34">
        <f t="shared" ref="D38:D42" si="4">D28</f>
        <v>0</v>
      </c>
      <c r="E38" s="34">
        <f>SUM($D28:E28)</f>
        <v>0</v>
      </c>
      <c r="F38" s="34">
        <f>SUM($D28:F28)</f>
        <v>0</v>
      </c>
      <c r="G38" s="34">
        <f>SUM($D28:G28)</f>
        <v>0</v>
      </c>
      <c r="H38" s="34">
        <f>SUM($D28:H28)</f>
        <v>0</v>
      </c>
      <c r="I38" s="34">
        <f>SUM($D28:I28)</f>
        <v>0</v>
      </c>
      <c r="J38" s="34">
        <f>SUM($D28:J28)</f>
        <v>0</v>
      </c>
      <c r="K38" s="34">
        <f>SUM($D28:K28)</f>
        <v>0</v>
      </c>
      <c r="L38" s="34">
        <f>SUM($D28:L28)</f>
        <v>0</v>
      </c>
      <c r="M38" s="34">
        <f>SUM($D28:M28)</f>
        <v>0</v>
      </c>
      <c r="N38" s="34">
        <f>SUM($D28:N28)</f>
        <v>0</v>
      </c>
      <c r="O38" s="34">
        <f>SUM($D28:O28)</f>
        <v>0</v>
      </c>
      <c r="P38" s="34">
        <f>SUM($D28:P28)</f>
        <v>0</v>
      </c>
      <c r="Q38" s="34">
        <f>SUM($D28:Q28)</f>
        <v>0</v>
      </c>
      <c r="R38" s="34">
        <f>SUM($D28:R28)</f>
        <v>0</v>
      </c>
      <c r="S38" s="34">
        <f>SUM($D28:S28)</f>
        <v>0</v>
      </c>
      <c r="T38" s="34">
        <f>SUM($D28:T28)</f>
        <v>0</v>
      </c>
      <c r="U38" s="34">
        <f>SUM($D28:U28)</f>
        <v>0</v>
      </c>
      <c r="V38" s="34">
        <f>SUM($D28:V28)</f>
        <v>0</v>
      </c>
      <c r="W38" s="34">
        <f>SUM($D28:W28)</f>
        <v>0</v>
      </c>
      <c r="X38" s="34">
        <f>SUM($D28:X28)</f>
        <v>-2.5779700000000002E-3</v>
      </c>
      <c r="Y38" s="34">
        <f>SUM($D28:Y28)</f>
        <v>-2.5779700000000002E-3</v>
      </c>
    </row>
    <row r="39" spans="1:25">
      <c r="B39" s="72" t="s">
        <v>43</v>
      </c>
      <c r="C39" s="33">
        <f>C29</f>
        <v>0</v>
      </c>
      <c r="D39" s="34">
        <f t="shared" si="4"/>
        <v>0</v>
      </c>
      <c r="E39" s="34">
        <f>SUM($D29:E29)</f>
        <v>0</v>
      </c>
      <c r="F39" s="34">
        <f>SUM($D29:F29)</f>
        <v>0</v>
      </c>
      <c r="G39" s="34">
        <f>SUM($D29:G29)</f>
        <v>0</v>
      </c>
      <c r="H39" s="34">
        <f>SUM($D29:H29)</f>
        <v>0</v>
      </c>
      <c r="I39" s="34">
        <f>SUM($D29:I29)</f>
        <v>0</v>
      </c>
      <c r="J39" s="34">
        <f>SUM($D29:J29)</f>
        <v>0</v>
      </c>
      <c r="K39" s="34">
        <f>SUM($D29:K29)</f>
        <v>0</v>
      </c>
      <c r="L39" s="34">
        <f>SUM($D29:L29)</f>
        <v>0</v>
      </c>
      <c r="M39" s="34">
        <f>SUM($D29:M29)</f>
        <v>0</v>
      </c>
      <c r="N39" s="34">
        <f>SUM($D29:N29)</f>
        <v>0</v>
      </c>
      <c r="O39" s="34">
        <f>SUM($D29:O29)</f>
        <v>0</v>
      </c>
      <c r="P39" s="34">
        <f>SUM($D29:P29)</f>
        <v>0</v>
      </c>
      <c r="Q39" s="34">
        <f>SUM($D29:Q29)</f>
        <v>0</v>
      </c>
      <c r="R39" s="34">
        <f>SUM($D29:R29)</f>
        <v>0</v>
      </c>
      <c r="S39" s="34">
        <f>SUM($D29:S29)</f>
        <v>0</v>
      </c>
      <c r="T39" s="34">
        <f>SUM($D29:T29)</f>
        <v>0</v>
      </c>
      <c r="U39" s="34">
        <f>SUM($D29:U29)</f>
        <v>0</v>
      </c>
      <c r="V39" s="34">
        <f>SUM($D29:V29)</f>
        <v>0</v>
      </c>
      <c r="W39" s="34">
        <f>SUM($D29:W29)</f>
        <v>0</v>
      </c>
      <c r="X39" s="34">
        <f>SUM($D29:X29)</f>
        <v>-3.2702900000000003E-3</v>
      </c>
      <c r="Y39" s="34">
        <f>SUM($D29:Y29)</f>
        <v>-3.2702900000000003E-3</v>
      </c>
    </row>
    <row r="40" spans="1:25">
      <c r="B40" s="72" t="s">
        <v>44</v>
      </c>
      <c r="C40" s="33">
        <f>C30</f>
        <v>0</v>
      </c>
      <c r="D40" s="34">
        <f t="shared" si="4"/>
        <v>0</v>
      </c>
      <c r="E40" s="34">
        <f>SUM($D30:E30)</f>
        <v>0</v>
      </c>
      <c r="F40" s="34">
        <f>SUM($D30:F30)</f>
        <v>0</v>
      </c>
      <c r="G40" s="34">
        <f>SUM($D30:G30)</f>
        <v>0</v>
      </c>
      <c r="H40" s="34">
        <f>SUM($D30:H30)</f>
        <v>0</v>
      </c>
      <c r="I40" s="34">
        <f>SUM($D30:I30)</f>
        <v>0</v>
      </c>
      <c r="J40" s="34">
        <f>SUM($D30:J30)</f>
        <v>0</v>
      </c>
      <c r="K40" s="34">
        <f>SUM($D30:K30)</f>
        <v>0</v>
      </c>
      <c r="L40" s="34">
        <f>SUM($D30:L30)</f>
        <v>0</v>
      </c>
      <c r="M40" s="34">
        <f>SUM($D30:M30)</f>
        <v>0</v>
      </c>
      <c r="N40" s="34">
        <f>SUM($D30:N30)</f>
        <v>0</v>
      </c>
      <c r="O40" s="34">
        <f>SUM($D30:O30)</f>
        <v>0</v>
      </c>
      <c r="P40" s="34">
        <f>SUM($D30:P30)</f>
        <v>0</v>
      </c>
      <c r="Q40" s="34">
        <f>SUM($D30:Q30)</f>
        <v>0</v>
      </c>
      <c r="R40" s="34">
        <f>SUM($D30:R30)</f>
        <v>0</v>
      </c>
      <c r="S40" s="34">
        <f>SUM($D30:S30)</f>
        <v>0</v>
      </c>
      <c r="T40" s="34">
        <f>SUM($D30:T30)</f>
        <v>0</v>
      </c>
      <c r="U40" s="34">
        <f>SUM($D30:U30)</f>
        <v>0</v>
      </c>
      <c r="V40" s="34">
        <f>SUM($D30:V30)</f>
        <v>0</v>
      </c>
      <c r="W40" s="34">
        <f>SUM($D30:W30)</f>
        <v>0</v>
      </c>
      <c r="X40" s="34">
        <f>SUM($D30:X30)</f>
        <v>-1.20662E-3</v>
      </c>
      <c r="Y40" s="34">
        <f>SUM($D30:Y30)</f>
        <v>-1.20662E-3</v>
      </c>
    </row>
    <row r="41" spans="1:25">
      <c r="B41" s="72" t="s">
        <v>45</v>
      </c>
      <c r="C41" s="33">
        <f>C31</f>
        <v>0</v>
      </c>
      <c r="D41" s="34">
        <f t="shared" si="4"/>
        <v>0</v>
      </c>
      <c r="E41" s="34">
        <f>SUM($D31:E31)</f>
        <v>0</v>
      </c>
      <c r="F41" s="34">
        <f>SUM($D31:F31)</f>
        <v>0</v>
      </c>
      <c r="G41" s="34">
        <f>SUM($D31:G31)</f>
        <v>0</v>
      </c>
      <c r="H41" s="34">
        <f>SUM($D31:H31)</f>
        <v>0</v>
      </c>
      <c r="I41" s="34">
        <f>SUM($D31:I31)</f>
        <v>0</v>
      </c>
      <c r="J41" s="34">
        <f>SUM($D31:J31)</f>
        <v>0</v>
      </c>
      <c r="K41" s="34">
        <f>SUM($D31:K31)</f>
        <v>0</v>
      </c>
      <c r="L41" s="34">
        <f>SUM($D31:L31)</f>
        <v>0</v>
      </c>
      <c r="M41" s="34">
        <f>SUM($D31:M31)</f>
        <v>0</v>
      </c>
      <c r="N41" s="34">
        <f>SUM($D31:N31)</f>
        <v>0</v>
      </c>
      <c r="O41" s="34">
        <f>SUM($D31:O31)</f>
        <v>0</v>
      </c>
      <c r="P41" s="34">
        <f>SUM($D31:P31)</f>
        <v>0</v>
      </c>
      <c r="Q41" s="34">
        <f>SUM($D31:Q31)</f>
        <v>0</v>
      </c>
      <c r="R41" s="34">
        <f>SUM($D31:R31)</f>
        <v>0</v>
      </c>
      <c r="S41" s="34">
        <f>SUM($D31:S31)</f>
        <v>0</v>
      </c>
      <c r="T41" s="34">
        <f>SUM($D31:T31)</f>
        <v>0</v>
      </c>
      <c r="U41" s="34">
        <f>SUM($D31:U31)</f>
        <v>0</v>
      </c>
      <c r="V41" s="34">
        <f>SUM($D31:V31)</f>
        <v>0</v>
      </c>
      <c r="W41" s="34">
        <f>SUM($D31:W31)</f>
        <v>0</v>
      </c>
      <c r="X41" s="34">
        <f>SUM($D31:X31)</f>
        <v>-1.06931E-3</v>
      </c>
      <c r="Y41" s="34">
        <f>SUM($D31:Y31)</f>
        <v>-1.06931E-3</v>
      </c>
    </row>
    <row r="42" spans="1:25">
      <c r="B42" s="72" t="s">
        <v>46</v>
      </c>
      <c r="C42" s="33">
        <f>C32</f>
        <v>0</v>
      </c>
      <c r="D42" s="34">
        <f t="shared" si="4"/>
        <v>0</v>
      </c>
      <c r="E42" s="34">
        <f>SUM($D32:E32)</f>
        <v>0</v>
      </c>
      <c r="F42" s="34">
        <f>SUM($D32:F32)</f>
        <v>0</v>
      </c>
      <c r="G42" s="34">
        <f>SUM($D32:G32)</f>
        <v>0</v>
      </c>
      <c r="H42" s="34">
        <f>SUM($D32:H32)</f>
        <v>0</v>
      </c>
      <c r="I42" s="34">
        <f>SUM($D32:I32)</f>
        <v>0</v>
      </c>
      <c r="J42" s="34">
        <f>SUM($D32:J32)</f>
        <v>0</v>
      </c>
      <c r="K42" s="34">
        <f>SUM($D32:K32)</f>
        <v>0</v>
      </c>
      <c r="L42" s="34">
        <f>SUM($D32:L32)</f>
        <v>0</v>
      </c>
      <c r="M42" s="34">
        <f>SUM($D32:M32)</f>
        <v>0</v>
      </c>
      <c r="N42" s="34">
        <f>SUM($D32:N32)</f>
        <v>0</v>
      </c>
      <c r="O42" s="34">
        <f>SUM($D32:O32)</f>
        <v>0</v>
      </c>
      <c r="P42" s="34">
        <f>SUM($D32:P32)</f>
        <v>0</v>
      </c>
      <c r="Q42" s="34">
        <f>SUM($D32:Q32)</f>
        <v>0</v>
      </c>
      <c r="R42" s="34">
        <f>SUM($D32:R32)</f>
        <v>0</v>
      </c>
      <c r="S42" s="34">
        <f>SUM($D32:S32)</f>
        <v>0</v>
      </c>
      <c r="T42" s="34">
        <f>SUM($D32:T32)</f>
        <v>0</v>
      </c>
      <c r="U42" s="34">
        <f>SUM($D32:U32)</f>
        <v>0</v>
      </c>
      <c r="V42" s="34">
        <f>SUM($D32:V32)</f>
        <v>0</v>
      </c>
      <c r="W42" s="34">
        <f>SUM($D32:W32)</f>
        <v>0</v>
      </c>
      <c r="X42" s="34">
        <f>SUM($D32:X32)</f>
        <v>-2.2515499999999997E-3</v>
      </c>
      <c r="Y42" s="34">
        <f>SUM($D32:Y32)</f>
        <v>-2.2515499999999997E-3</v>
      </c>
    </row>
    <row r="43" spans="1:25">
      <c r="A43" s="72"/>
      <c r="B43" s="31"/>
      <c r="C43" s="50"/>
      <c r="D43" s="32"/>
      <c r="E43" s="32"/>
      <c r="F43" s="32"/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X43" s="32"/>
    </row>
  </sheetData>
  <mergeCells count="6">
    <mergeCell ref="C35:Y35"/>
    <mergeCell ref="A1:Y1"/>
    <mergeCell ref="A2:Y2"/>
    <mergeCell ref="C3:Y3"/>
    <mergeCell ref="C15:Y15"/>
    <mergeCell ref="C25:Y25"/>
  </mergeCells>
  <pageMargins left="0.7" right="0.7" top="0.75" bottom="0.75" header="0.3" footer="0.3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741C-D087-4AE5-9EAB-1BC2A9D92C32}">
  <dimension ref="A1:Z82"/>
  <sheetViews>
    <sheetView tabSelected="1" zoomScaleNormal="100" workbookViewId="0">
      <pane xSplit="1" ySplit="3" topLeftCell="B4" activePane="bottomRight" state="frozen"/>
      <selection activeCell="O36" sqref="O36"/>
      <selection pane="topRight" activeCell="O36" sqref="O36"/>
      <selection pane="bottomLeft" activeCell="O36" sqref="O36"/>
      <selection pane="bottomRight" activeCell="N4" sqref="N4"/>
    </sheetView>
  </sheetViews>
  <sheetFormatPr defaultColWidth="8.7109375" defaultRowHeight="15"/>
  <cols>
    <col min="1" max="1" width="19.28515625" style="53" bestFit="1" customWidth="1"/>
    <col min="2" max="2" width="10.5703125" style="53" customWidth="1"/>
    <col min="3" max="3" width="9.7109375" style="53" customWidth="1"/>
    <col min="4" max="5" width="9.5703125" style="53" customWidth="1"/>
    <col min="6" max="6" width="9.7109375" style="53" customWidth="1"/>
    <col min="7" max="9" width="9.28515625" style="53" customWidth="1"/>
    <col min="10" max="10" width="9.42578125" style="53" bestFit="1" customWidth="1"/>
    <col min="11" max="11" width="9.42578125" style="53" customWidth="1"/>
    <col min="12" max="13" width="9.28515625" style="53" customWidth="1"/>
    <col min="14" max="14" width="9.42578125" style="53" customWidth="1"/>
    <col min="15" max="22" width="9.7109375" style="53" bestFit="1" customWidth="1"/>
    <col min="23" max="24" width="9.7109375" style="53" customWidth="1"/>
    <col min="25" max="25" width="13.5703125" style="53" customWidth="1"/>
    <col min="26" max="16384" width="8.7109375" style="53"/>
  </cols>
  <sheetData>
    <row r="1" spans="1:26">
      <c r="A1" s="149" t="s">
        <v>134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26" ht="17.25">
      <c r="A2" s="149" t="s">
        <v>173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6" ht="45.75">
      <c r="A3" s="42" t="s">
        <v>38</v>
      </c>
      <c r="B3" s="43" t="s">
        <v>79</v>
      </c>
      <c r="C3" s="43" t="s">
        <v>59</v>
      </c>
      <c r="D3" s="43" t="s">
        <v>73</v>
      </c>
      <c r="E3" s="43" t="s">
        <v>74</v>
      </c>
      <c r="F3" s="43" t="s">
        <v>75</v>
      </c>
      <c r="G3" s="43" t="s">
        <v>76</v>
      </c>
      <c r="H3" s="43" t="s">
        <v>77</v>
      </c>
      <c r="I3" s="43" t="s">
        <v>78</v>
      </c>
      <c r="J3" s="43" t="s">
        <v>110</v>
      </c>
      <c r="K3" s="43" t="s">
        <v>60</v>
      </c>
      <c r="L3" s="43" t="s">
        <v>61</v>
      </c>
      <c r="M3" s="43" t="s">
        <v>62</v>
      </c>
      <c r="N3" s="43" t="s">
        <v>63</v>
      </c>
      <c r="O3" s="43" t="s">
        <v>64</v>
      </c>
      <c r="P3" s="43" t="s">
        <v>65</v>
      </c>
      <c r="Q3" s="43" t="s">
        <v>66</v>
      </c>
      <c r="R3" s="43" t="s">
        <v>67</v>
      </c>
      <c r="S3" s="43" t="s">
        <v>68</v>
      </c>
      <c r="T3" s="43" t="s">
        <v>69</v>
      </c>
      <c r="U3" s="43" t="s">
        <v>72</v>
      </c>
      <c r="V3" s="43" t="s">
        <v>105</v>
      </c>
      <c r="W3" s="43" t="s">
        <v>111</v>
      </c>
      <c r="X3" s="43" t="s">
        <v>135</v>
      </c>
      <c r="Y3" s="69"/>
    </row>
    <row r="4" spans="1:26">
      <c r="A4" s="44" t="s">
        <v>41</v>
      </c>
      <c r="B4" s="73">
        <f>'Indifference Rate Calc'!C37</f>
        <v>3.9118999999999997E-4</v>
      </c>
      <c r="C4" s="73">
        <f>'Indifference Rate Calc'!D37</f>
        <v>1.1573E-4</v>
      </c>
      <c r="D4" s="73">
        <f>'Indifference Rate Calc'!E37</f>
        <v>1.2555000000000002E-4</v>
      </c>
      <c r="E4" s="73">
        <f>'Indifference Rate Calc'!F37</f>
        <v>1.2555000000000002E-4</v>
      </c>
      <c r="F4" s="73">
        <f>'Indifference Rate Calc'!G37</f>
        <v>2.02607E-3</v>
      </c>
      <c r="G4" s="73">
        <f>'Indifference Rate Calc'!H37</f>
        <v>3.0493500000000002E-3</v>
      </c>
      <c r="H4" s="73">
        <f>'Indifference Rate Calc'!I37</f>
        <v>4.4506800000000003E-3</v>
      </c>
      <c r="I4" s="73">
        <f>'Indifference Rate Calc'!J37</f>
        <v>4.3937999999999963E-4</v>
      </c>
      <c r="J4" s="73">
        <f>'Indifference Rate Calc'!K37</f>
        <v>1.5873399999999998E-3</v>
      </c>
      <c r="K4" s="73">
        <f>'Indifference Rate Calc'!L37</f>
        <v>5.1528799999999994E-3</v>
      </c>
      <c r="L4" s="73">
        <f>'Indifference Rate Calc'!M37</f>
        <v>7.5795099999999994E-3</v>
      </c>
      <c r="M4" s="73">
        <f>'Indifference Rate Calc'!N37</f>
        <v>6.8987699999999994E-3</v>
      </c>
      <c r="N4" s="73">
        <f>'Indifference Rate Calc'!O37</f>
        <v>7.637699999999999E-3</v>
      </c>
      <c r="O4" s="73">
        <f>'Indifference Rate Calc'!P37</f>
        <v>6.7928299999999988E-3</v>
      </c>
      <c r="P4" s="73">
        <f>'Indifference Rate Calc'!Q37</f>
        <v>6.7999499999999991E-3</v>
      </c>
      <c r="Q4" s="73">
        <f>'Indifference Rate Calc'!R37</f>
        <v>6.2568699999999994E-3</v>
      </c>
      <c r="R4" s="73">
        <f>'Indifference Rate Calc'!S37</f>
        <v>6.2568699999999994E-3</v>
      </c>
      <c r="S4" s="73">
        <f>'Indifference Rate Calc'!T37</f>
        <v>6.215899999999999E-3</v>
      </c>
      <c r="T4" s="73">
        <f>'Indifference Rate Calc'!U37</f>
        <v>8.8614199999999983E-3</v>
      </c>
      <c r="U4" s="73">
        <f>'Indifference Rate Calc'!V37</f>
        <v>8.3275999999999975E-3</v>
      </c>
      <c r="V4" s="73">
        <f>'Indifference Rate Calc'!W37</f>
        <v>1.4101249999999997E-2</v>
      </c>
      <c r="W4" s="73">
        <f>'Indifference Rate Calc'!X37</f>
        <v>8.5815999999999983E-3</v>
      </c>
      <c r="X4" s="73">
        <f>'Indifference Rate Calc'!Y37</f>
        <v>8.5815999999999983E-3</v>
      </c>
      <c r="Z4" s="95"/>
    </row>
    <row r="5" spans="1:26">
      <c r="A5" s="44" t="s">
        <v>42</v>
      </c>
      <c r="B5" s="73">
        <f>'Indifference Rate Calc'!C38</f>
        <v>3.1147E-4</v>
      </c>
      <c r="C5" s="73">
        <f>'Indifference Rate Calc'!D38</f>
        <v>9.2139999999999995E-5</v>
      </c>
      <c r="D5" s="73">
        <f>'Indifference Rate Calc'!E38</f>
        <v>9.9989999999999996E-5</v>
      </c>
      <c r="E5" s="73">
        <f>'Indifference Rate Calc'!F38</f>
        <v>9.9989999999999996E-5</v>
      </c>
      <c r="F5" s="73">
        <f>'Indifference Rate Calc'!G38</f>
        <v>1.6183700000000001E-3</v>
      </c>
      <c r="G5" s="73">
        <f>'Indifference Rate Calc'!H38</f>
        <v>2.4359E-3</v>
      </c>
      <c r="H5" s="73">
        <f>'Indifference Rate Calc'!I38</f>
        <v>3.5554599999999999E-3</v>
      </c>
      <c r="I5" s="73">
        <f>'Indifference Rate Calc'!J38</f>
        <v>3.5071999999999968E-4</v>
      </c>
      <c r="J5" s="73">
        <f>'Indifference Rate Calc'!K38</f>
        <v>1.2678499999999996E-3</v>
      </c>
      <c r="K5" s="73">
        <f>'Indifference Rate Calc'!L38</f>
        <v>4.1164599999999989E-3</v>
      </c>
      <c r="L5" s="73">
        <f>'Indifference Rate Calc'!M38</f>
        <v>6.0558999999999986E-3</v>
      </c>
      <c r="M5" s="73">
        <f>'Indifference Rate Calc'!N38</f>
        <v>5.5102699999999985E-3</v>
      </c>
      <c r="N5" s="73">
        <f>'Indifference Rate Calc'!O38</f>
        <v>6.1031299999999983E-3</v>
      </c>
      <c r="O5" s="73">
        <f>'Indifference Rate Calc'!P38</f>
        <v>5.4252499999999978E-3</v>
      </c>
      <c r="P5" s="73">
        <f>'Indifference Rate Calc'!Q38</f>
        <v>5.4309599999999977E-3</v>
      </c>
      <c r="Q5" s="73">
        <f>'Indifference Rate Calc'!R38</f>
        <v>4.9952199999999981E-3</v>
      </c>
      <c r="R5" s="73">
        <f>'Indifference Rate Calc'!S38</f>
        <v>4.9952199999999981E-3</v>
      </c>
      <c r="S5" s="73">
        <f>'Indifference Rate Calc'!T38</f>
        <v>4.9622799999999977E-3</v>
      </c>
      <c r="T5" s="73">
        <f>'Indifference Rate Calc'!U38</f>
        <v>7.0991899999999974E-3</v>
      </c>
      <c r="U5" s="73">
        <f>'Indifference Rate Calc'!V38</f>
        <v>6.6658599999999974E-3</v>
      </c>
      <c r="V5" s="73">
        <f>'Indifference Rate Calc'!W38</f>
        <v>1.1359169999999998E-2</v>
      </c>
      <c r="W5" s="73">
        <f>'Indifference Rate Calc'!X38</f>
        <v>3.1110999999999986E-3</v>
      </c>
      <c r="X5" s="73">
        <f>'Indifference Rate Calc'!Y38</f>
        <v>3.1110999999999986E-3</v>
      </c>
      <c r="Z5" s="95"/>
    </row>
    <row r="6" spans="1:26">
      <c r="A6" s="44" t="s">
        <v>54</v>
      </c>
      <c r="B6" s="73">
        <f>'Indifference Rate Calc'!C39</f>
        <v>2.2279E-4</v>
      </c>
      <c r="C6" s="73">
        <f>'Indifference Rate Calc'!D39</f>
        <v>6.5909999999999997E-5</v>
      </c>
      <c r="D6" s="73">
        <f>'Indifference Rate Calc'!E39</f>
        <v>7.3769999999999993E-5</v>
      </c>
      <c r="E6" s="73">
        <f>'Indifference Rate Calc'!F39</f>
        <v>7.3769999999999993E-5</v>
      </c>
      <c r="F6" s="73">
        <f>'Indifference Rate Calc'!G39</f>
        <v>1.59486E-3</v>
      </c>
      <c r="G6" s="73">
        <f>'Indifference Rate Calc'!H39</f>
        <v>2.41384E-3</v>
      </c>
      <c r="H6" s="73">
        <f>'Indifference Rate Calc'!I39</f>
        <v>3.5354000000000002E-3</v>
      </c>
      <c r="I6" s="73">
        <f>'Indifference Rate Calc'!J39</f>
        <v>3.249500000000005E-4</v>
      </c>
      <c r="J6" s="73">
        <f>'Indifference Rate Calc'!K39</f>
        <v>1.2437200000000005E-3</v>
      </c>
      <c r="K6" s="73">
        <f>'Indifference Rate Calc'!L39</f>
        <v>4.0974100000000001E-3</v>
      </c>
      <c r="L6" s="73">
        <f>'Indifference Rate Calc'!M39</f>
        <v>6.0866100000000001E-3</v>
      </c>
      <c r="M6" s="73">
        <f>'Indifference Rate Calc'!N39</f>
        <v>5.5080199999999998E-3</v>
      </c>
      <c r="N6" s="73">
        <f>'Indifference Rate Calc'!O39</f>
        <v>6.1531999999999993E-3</v>
      </c>
      <c r="O6" s="73">
        <f>'Indifference Rate Calc'!P39</f>
        <v>5.415119999999999E-3</v>
      </c>
      <c r="P6" s="73">
        <f>'Indifference Rate Calc'!Q39</f>
        <v>5.4213399999999993E-3</v>
      </c>
      <c r="Q6" s="73">
        <f>'Indifference Rate Calc'!R39</f>
        <v>4.9469099999999997E-3</v>
      </c>
      <c r="R6" s="73">
        <f>'Indifference Rate Calc'!S39</f>
        <v>4.9469099999999997E-3</v>
      </c>
      <c r="S6" s="73">
        <f>'Indifference Rate Calc'!T39</f>
        <v>4.9102499999999997E-3</v>
      </c>
      <c r="T6" s="73">
        <f>'Indifference Rate Calc'!U39</f>
        <v>7.3349000000000001E-3</v>
      </c>
      <c r="U6" s="73">
        <f>'Indifference Rate Calc'!V39</f>
        <v>6.8267700000000002E-3</v>
      </c>
      <c r="V6" s="73">
        <f>'Indifference Rate Calc'!W39</f>
        <v>1.255854E-2</v>
      </c>
      <c r="W6" s="73">
        <f>'Indifference Rate Calc'!X39</f>
        <v>2.0954100000000007E-3</v>
      </c>
      <c r="X6" s="73">
        <f>'Indifference Rate Calc'!Y39</f>
        <v>2.0954100000000007E-3</v>
      </c>
      <c r="Z6" s="95"/>
    </row>
    <row r="7" spans="1:26">
      <c r="A7" s="44" t="s">
        <v>52</v>
      </c>
      <c r="B7" s="73">
        <f>'Indifference Rate Calc'!C40</f>
        <v>2.3063000000000001E-4</v>
      </c>
      <c r="C7" s="73">
        <f>'Indifference Rate Calc'!D40</f>
        <v>6.8230000000000002E-5</v>
      </c>
      <c r="D7" s="73">
        <f>'Indifference Rate Calc'!E40</f>
        <v>7.4210000000000009E-5</v>
      </c>
      <c r="E7" s="73">
        <f>'Indifference Rate Calc'!F40</f>
        <v>7.4210000000000009E-5</v>
      </c>
      <c r="F7" s="73">
        <f>'Indifference Rate Calc'!G40</f>
        <v>1.2311599999999998E-3</v>
      </c>
      <c r="G7" s="73">
        <f>'Indifference Rate Calc'!H40</f>
        <v>1.8540899999999996E-3</v>
      </c>
      <c r="H7" s="73">
        <f>'Indifference Rate Calc'!I40</f>
        <v>2.7071499999999997E-3</v>
      </c>
      <c r="I7" s="73">
        <f>'Indifference Rate Calc'!J40</f>
        <v>2.652599999999998E-4</v>
      </c>
      <c r="J7" s="73">
        <f>'Indifference Rate Calc'!K40</f>
        <v>9.6407999999999975E-4</v>
      </c>
      <c r="K7" s="73">
        <f>'Indifference Rate Calc'!L40</f>
        <v>3.1346199999999994E-3</v>
      </c>
      <c r="L7" s="73">
        <f>'Indifference Rate Calc'!M40</f>
        <v>4.611839999999999E-3</v>
      </c>
      <c r="M7" s="73">
        <f>'Indifference Rate Calc'!N40</f>
        <v>4.1835599999999994E-3</v>
      </c>
      <c r="N7" s="73">
        <f>'Indifference Rate Calc'!O40</f>
        <v>4.6484499999999993E-3</v>
      </c>
      <c r="O7" s="73">
        <f>'Indifference Rate Calc'!P40</f>
        <v>4.1169099999999997E-3</v>
      </c>
      <c r="P7" s="73">
        <f>'Indifference Rate Calc'!Q40</f>
        <v>4.1213899999999999E-3</v>
      </c>
      <c r="Q7" s="73">
        <f>'Indifference Rate Calc'!R40</f>
        <v>3.7797199999999999E-3</v>
      </c>
      <c r="R7" s="73">
        <f>'Indifference Rate Calc'!S40</f>
        <v>3.7797199999999999E-3</v>
      </c>
      <c r="S7" s="73">
        <f>'Indifference Rate Calc'!T40</f>
        <v>3.7539499999999998E-3</v>
      </c>
      <c r="T7" s="73">
        <f>'Indifference Rate Calc'!U40</f>
        <v>5.4146200000000002E-3</v>
      </c>
      <c r="U7" s="73">
        <f>'Indifference Rate Calc'!V40</f>
        <v>5.07961E-3</v>
      </c>
      <c r="V7" s="73">
        <f>'Indifference Rate Calc'!W40</f>
        <v>8.7175700000000009E-3</v>
      </c>
      <c r="W7" s="73">
        <f>'Indifference Rate Calc'!X40</f>
        <v>4.8570600000000007E-3</v>
      </c>
      <c r="X7" s="73">
        <f>'Indifference Rate Calc'!Y40</f>
        <v>4.8570600000000007E-3</v>
      </c>
      <c r="Z7" s="95"/>
    </row>
    <row r="8" spans="1:26">
      <c r="A8" s="44" t="s">
        <v>53</v>
      </c>
      <c r="B8" s="73">
        <f>'Indifference Rate Calc'!C41</f>
        <v>2.1367000000000001E-4</v>
      </c>
      <c r="C8" s="73">
        <f>'Indifference Rate Calc'!D41</f>
        <v>6.321E-5</v>
      </c>
      <c r="D8" s="73">
        <f>'Indifference Rate Calc'!E41</f>
        <v>6.8579999999999997E-5</v>
      </c>
      <c r="E8" s="73">
        <f>'Indifference Rate Calc'!F41</f>
        <v>6.8579999999999997E-5</v>
      </c>
      <c r="F8" s="73">
        <f>'Indifference Rate Calc'!G41</f>
        <v>1.1071399999999999E-3</v>
      </c>
      <c r="G8" s="73">
        <f>'Indifference Rate Calc'!H41</f>
        <v>1.66632E-3</v>
      </c>
      <c r="H8" s="73">
        <f>'Indifference Rate Calc'!I41</f>
        <v>2.43209E-3</v>
      </c>
      <c r="I8" s="73">
        <f>'Indifference Rate Calc'!J41</f>
        <v>2.4007000000000021E-4</v>
      </c>
      <c r="J8" s="73">
        <f>'Indifference Rate Calc'!K41</f>
        <v>8.6738000000000028E-4</v>
      </c>
      <c r="K8" s="73">
        <f>'Indifference Rate Calc'!L41</f>
        <v>2.8158100000000002E-3</v>
      </c>
      <c r="L8" s="73">
        <f>'Indifference Rate Calc'!M41</f>
        <v>4.1418700000000006E-3</v>
      </c>
      <c r="M8" s="73">
        <f>'Indifference Rate Calc'!N41</f>
        <v>3.7698700000000007E-3</v>
      </c>
      <c r="N8" s="73">
        <f>'Indifference Rate Calc'!O41</f>
        <v>4.1736300000000011E-3</v>
      </c>
      <c r="O8" s="73">
        <f>'Indifference Rate Calc'!P41</f>
        <v>3.7119900000000009E-3</v>
      </c>
      <c r="P8" s="73">
        <f>'Indifference Rate Calc'!Q41</f>
        <v>3.7158800000000008E-3</v>
      </c>
      <c r="Q8" s="73">
        <f>'Indifference Rate Calc'!R41</f>
        <v>3.4191400000000011E-3</v>
      </c>
      <c r="R8" s="73">
        <f>'Indifference Rate Calc'!S41</f>
        <v>3.4191400000000011E-3</v>
      </c>
      <c r="S8" s="73">
        <f>'Indifference Rate Calc'!T41</f>
        <v>3.3967600000000013E-3</v>
      </c>
      <c r="T8" s="73">
        <f>'Indifference Rate Calc'!U41</f>
        <v>4.8411700000000014E-3</v>
      </c>
      <c r="U8" s="73">
        <f>'Indifference Rate Calc'!V41</f>
        <v>4.5498000000000014E-3</v>
      </c>
      <c r="V8" s="73">
        <f>'Indifference Rate Calc'!W41</f>
        <v>7.7009000000000018E-3</v>
      </c>
      <c r="W8" s="73">
        <f>'Indifference Rate Calc'!X41</f>
        <v>4.2797100000000017E-3</v>
      </c>
      <c r="X8" s="73">
        <f>'Indifference Rate Calc'!Y41</f>
        <v>4.2797100000000017E-3</v>
      </c>
      <c r="Z8" s="95"/>
    </row>
    <row r="9" spans="1:26">
      <c r="A9" s="44" t="s">
        <v>55</v>
      </c>
      <c r="B9" s="73">
        <f>'Indifference Rate Calc'!C42</f>
        <v>2.8655000000000005E-4</v>
      </c>
      <c r="C9" s="73">
        <f>'Indifference Rate Calc'!D42</f>
        <v>8.4770000000000003E-5</v>
      </c>
      <c r="D9" s="73">
        <f>'Indifference Rate Calc'!E42</f>
        <v>9.3300000000000005E-5</v>
      </c>
      <c r="E9" s="73">
        <f>'Indifference Rate Calc'!F42</f>
        <v>9.3300000000000005E-5</v>
      </c>
      <c r="F9" s="73">
        <f>'Indifference Rate Calc'!G42</f>
        <v>1.74457E-3</v>
      </c>
      <c r="G9" s="73">
        <f>'Indifference Rate Calc'!H42</f>
        <v>2.63365E-3</v>
      </c>
      <c r="H9" s="73">
        <f>'Indifference Rate Calc'!I42</f>
        <v>3.8511999999999999E-3</v>
      </c>
      <c r="I9" s="73">
        <f>'Indifference Rate Calc'!J42</f>
        <v>3.6596999999999975E-4</v>
      </c>
      <c r="J9" s="73">
        <f>'Indifference Rate Calc'!K42</f>
        <v>1.3633799999999998E-3</v>
      </c>
      <c r="K9" s="73">
        <f>'Indifference Rate Calc'!L42</f>
        <v>4.4613099999999996E-3</v>
      </c>
      <c r="L9" s="73">
        <f>'Indifference Rate Calc'!M42</f>
        <v>6.5928099999999993E-3</v>
      </c>
      <c r="M9" s="73">
        <f>'Indifference Rate Calc'!N42</f>
        <v>5.9844399999999989E-3</v>
      </c>
      <c r="N9" s="73">
        <f>'Indifference Rate Calc'!O42</f>
        <v>6.6527499999999989E-3</v>
      </c>
      <c r="O9" s="73">
        <f>'Indifference Rate Calc'!P42</f>
        <v>5.8884399999999991E-3</v>
      </c>
      <c r="P9" s="73">
        <f>'Indifference Rate Calc'!Q42</f>
        <v>5.894879999999999E-3</v>
      </c>
      <c r="Q9" s="73">
        <f>'Indifference Rate Calc'!R42</f>
        <v>5.4035899999999989E-3</v>
      </c>
      <c r="R9" s="73">
        <f>'Indifference Rate Calc'!S42</f>
        <v>5.4035899999999989E-3</v>
      </c>
      <c r="S9" s="73">
        <f>'Indifference Rate Calc'!T42</f>
        <v>5.3661299999999993E-3</v>
      </c>
      <c r="T9" s="73">
        <f>'Indifference Rate Calc'!U42</f>
        <v>7.8115399999999988E-3</v>
      </c>
      <c r="U9" s="73">
        <f>'Indifference Rate Calc'!V42</f>
        <v>7.309819999999999E-3</v>
      </c>
      <c r="V9" s="73">
        <f>'Indifference Rate Calc'!W42</f>
        <v>1.283225E-2</v>
      </c>
      <c r="W9" s="73">
        <f>'Indifference Rate Calc'!X42</f>
        <v>5.6285300000000005E-3</v>
      </c>
      <c r="X9" s="73">
        <f>'Indifference Rate Calc'!Y42</f>
        <v>5.6285300000000005E-3</v>
      </c>
      <c r="Z9" s="95"/>
    </row>
    <row r="11" spans="1:26" ht="17.25">
      <c r="A11" s="53" t="s">
        <v>70</v>
      </c>
    </row>
    <row r="13" spans="1:26" ht="17.25">
      <c r="A13" s="149" t="s">
        <v>127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</row>
    <row r="14" spans="1:26" ht="45.75">
      <c r="A14" s="42" t="s">
        <v>38</v>
      </c>
      <c r="B14" s="43" t="s">
        <v>79</v>
      </c>
      <c r="C14" s="43" t="s">
        <v>59</v>
      </c>
      <c r="D14" s="43" t="s">
        <v>73</v>
      </c>
      <c r="E14" s="43" t="s">
        <v>74</v>
      </c>
      <c r="F14" s="43" t="s">
        <v>75</v>
      </c>
      <c r="G14" s="43" t="s">
        <v>76</v>
      </c>
      <c r="H14" s="43" t="s">
        <v>77</v>
      </c>
      <c r="I14" s="43" t="s">
        <v>78</v>
      </c>
      <c r="J14" s="43" t="s">
        <v>110</v>
      </c>
      <c r="K14" s="43" t="s">
        <v>60</v>
      </c>
      <c r="L14" s="43" t="s">
        <v>61</v>
      </c>
      <c r="M14" s="43" t="s">
        <v>62</v>
      </c>
      <c r="N14" s="43" t="s">
        <v>63</v>
      </c>
      <c r="O14" s="43" t="s">
        <v>64</v>
      </c>
      <c r="P14" s="43" t="s">
        <v>65</v>
      </c>
      <c r="Q14" s="43" t="s">
        <v>66</v>
      </c>
      <c r="R14" s="43" t="s">
        <v>67</v>
      </c>
      <c r="S14" s="43" t="s">
        <v>68</v>
      </c>
      <c r="T14" s="43" t="s">
        <v>69</v>
      </c>
      <c r="U14" s="43" t="s">
        <v>72</v>
      </c>
      <c r="V14" s="43" t="s">
        <v>105</v>
      </c>
      <c r="W14" s="43" t="s">
        <v>111</v>
      </c>
      <c r="X14" s="43" t="s">
        <v>135</v>
      </c>
    </row>
    <row r="15" spans="1:26">
      <c r="A15" s="44" t="s">
        <v>41</v>
      </c>
      <c r="B15" s="73"/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132">
        <v>1.16694E-3</v>
      </c>
      <c r="L15" s="132">
        <v>2.1880199999999997E-3</v>
      </c>
      <c r="M15" s="132">
        <v>5.1742300000000001E-3</v>
      </c>
      <c r="N15" s="132">
        <v>6.1676100000000005E-3</v>
      </c>
      <c r="O15" s="132">
        <v>6.1676100000000005E-3</v>
      </c>
      <c r="P15" s="132">
        <v>6.2786400000000003E-3</v>
      </c>
      <c r="Q15" s="132">
        <v>6.2876300000000006E-3</v>
      </c>
      <c r="R15" s="132">
        <v>6.2876300000000006E-3</v>
      </c>
      <c r="S15" s="132">
        <v>6.2876300000000006E-3</v>
      </c>
      <c r="T15" s="132">
        <v>6.2876300000000006E-3</v>
      </c>
      <c r="U15" s="132">
        <v>6.2876300000000006E-3</v>
      </c>
      <c r="V15" s="73"/>
      <c r="W15" s="73"/>
      <c r="X15" s="93"/>
    </row>
    <row r="16" spans="1:26">
      <c r="A16" s="44" t="s">
        <v>42</v>
      </c>
      <c r="B16" s="73"/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132">
        <v>1.16694E-3</v>
      </c>
      <c r="L16" s="132">
        <v>2.1880199999999997E-3</v>
      </c>
      <c r="M16" s="132">
        <v>5.1742300000000001E-3</v>
      </c>
      <c r="N16" s="132">
        <v>6.1676100000000005E-3</v>
      </c>
      <c r="O16" s="132">
        <v>6.1676100000000005E-3</v>
      </c>
      <c r="P16" s="132">
        <v>6.2786400000000003E-3</v>
      </c>
      <c r="Q16" s="132">
        <v>6.2876300000000006E-3</v>
      </c>
      <c r="R16" s="132">
        <v>6.2876300000000006E-3</v>
      </c>
      <c r="S16" s="132">
        <v>6.2876300000000006E-3</v>
      </c>
      <c r="T16" s="132">
        <v>6.2876300000000006E-3</v>
      </c>
      <c r="U16" s="132">
        <v>6.2876300000000006E-3</v>
      </c>
      <c r="V16" s="73"/>
      <c r="W16" s="73"/>
      <c r="X16" s="93"/>
    </row>
    <row r="17" spans="1:24">
      <c r="A17" s="44" t="s">
        <v>54</v>
      </c>
      <c r="B17" s="73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132">
        <v>1.16694E-3</v>
      </c>
      <c r="L17" s="132">
        <v>2.1880199999999997E-3</v>
      </c>
      <c r="M17" s="132">
        <v>5.1742300000000001E-3</v>
      </c>
      <c r="N17" s="132">
        <v>6.1676100000000005E-3</v>
      </c>
      <c r="O17" s="132">
        <v>6.1676100000000005E-3</v>
      </c>
      <c r="P17" s="132">
        <v>6.2786400000000003E-3</v>
      </c>
      <c r="Q17" s="132">
        <v>6.2876300000000006E-3</v>
      </c>
      <c r="R17" s="132">
        <v>6.2876300000000006E-3</v>
      </c>
      <c r="S17" s="132">
        <v>6.2876300000000006E-3</v>
      </c>
      <c r="T17" s="132">
        <v>6.2876300000000006E-3</v>
      </c>
      <c r="U17" s="132">
        <v>6.2876300000000006E-3</v>
      </c>
      <c r="V17" s="73"/>
      <c r="W17" s="73"/>
      <c r="X17" s="93"/>
    </row>
    <row r="18" spans="1:24">
      <c r="A18" s="44" t="s">
        <v>52</v>
      </c>
      <c r="B18" s="73"/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132">
        <v>1.16694E-3</v>
      </c>
      <c r="L18" s="132">
        <v>2.1880199999999997E-3</v>
      </c>
      <c r="M18" s="132">
        <v>5.1742300000000001E-3</v>
      </c>
      <c r="N18" s="132">
        <v>6.1676100000000005E-3</v>
      </c>
      <c r="O18" s="132">
        <v>6.1676100000000005E-3</v>
      </c>
      <c r="P18" s="132">
        <v>6.2786400000000003E-3</v>
      </c>
      <c r="Q18" s="132">
        <v>6.2876300000000006E-3</v>
      </c>
      <c r="R18" s="132">
        <v>6.2876300000000006E-3</v>
      </c>
      <c r="S18" s="132">
        <v>6.2876300000000006E-3</v>
      </c>
      <c r="T18" s="132">
        <v>6.2876300000000006E-3</v>
      </c>
      <c r="U18" s="132">
        <v>6.2876300000000006E-3</v>
      </c>
      <c r="V18" s="73"/>
      <c r="W18" s="73"/>
      <c r="X18" s="93"/>
    </row>
    <row r="19" spans="1:24">
      <c r="A19" s="44" t="s">
        <v>53</v>
      </c>
      <c r="B19" s="73"/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132">
        <v>1.16694E-3</v>
      </c>
      <c r="L19" s="132">
        <v>2.1880199999999997E-3</v>
      </c>
      <c r="M19" s="132">
        <v>5.1742300000000001E-3</v>
      </c>
      <c r="N19" s="132">
        <v>6.1676100000000005E-3</v>
      </c>
      <c r="O19" s="132">
        <v>6.1676100000000005E-3</v>
      </c>
      <c r="P19" s="132">
        <v>6.2786400000000003E-3</v>
      </c>
      <c r="Q19" s="132">
        <v>6.2876300000000006E-3</v>
      </c>
      <c r="R19" s="132">
        <v>6.2876300000000006E-3</v>
      </c>
      <c r="S19" s="132">
        <v>6.2876300000000006E-3</v>
      </c>
      <c r="T19" s="132">
        <v>6.2876300000000006E-3</v>
      </c>
      <c r="U19" s="132">
        <v>6.2876300000000006E-3</v>
      </c>
      <c r="V19" s="73"/>
      <c r="W19" s="73"/>
      <c r="X19" s="93"/>
    </row>
    <row r="20" spans="1:24">
      <c r="A20" s="44" t="s">
        <v>55</v>
      </c>
      <c r="B20" s="73"/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132">
        <v>1.16694E-3</v>
      </c>
      <c r="L20" s="132">
        <v>2.1880199999999997E-3</v>
      </c>
      <c r="M20" s="132">
        <v>5.1742300000000001E-3</v>
      </c>
      <c r="N20" s="132">
        <v>6.1676100000000005E-3</v>
      </c>
      <c r="O20" s="132">
        <v>6.1676100000000005E-3</v>
      </c>
      <c r="P20" s="132">
        <v>6.2786400000000003E-3</v>
      </c>
      <c r="Q20" s="132">
        <v>6.2876300000000006E-3</v>
      </c>
      <c r="R20" s="132">
        <v>6.2876300000000006E-3</v>
      </c>
      <c r="S20" s="132">
        <v>6.2876300000000006E-3</v>
      </c>
      <c r="T20" s="132">
        <v>6.2876300000000006E-3</v>
      </c>
      <c r="U20" s="132">
        <v>6.2876300000000006E-3</v>
      </c>
      <c r="V20" s="73"/>
      <c r="W20" s="73"/>
      <c r="X20" s="93"/>
    </row>
    <row r="22" spans="1:24" ht="17.25">
      <c r="A22" s="53" t="s">
        <v>70</v>
      </c>
    </row>
    <row r="23" spans="1:24" ht="17.25">
      <c r="A23" s="53" t="s">
        <v>129</v>
      </c>
    </row>
    <row r="25" spans="1:24" ht="17.25">
      <c r="A25" s="149" t="s">
        <v>128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ht="45.75">
      <c r="A26" s="42" t="s">
        <v>38</v>
      </c>
      <c r="B26" s="43" t="s">
        <v>79</v>
      </c>
      <c r="C26" s="43" t="s">
        <v>59</v>
      </c>
      <c r="D26" s="43" t="s">
        <v>73</v>
      </c>
      <c r="E26" s="43" t="s">
        <v>74</v>
      </c>
      <c r="F26" s="43" t="s">
        <v>75</v>
      </c>
      <c r="G26" s="43" t="s">
        <v>76</v>
      </c>
      <c r="H26" s="43" t="s">
        <v>77</v>
      </c>
      <c r="I26" s="43" t="s">
        <v>78</v>
      </c>
      <c r="J26" s="43" t="s">
        <v>110</v>
      </c>
      <c r="K26" s="43" t="s">
        <v>60</v>
      </c>
      <c r="L26" s="43" t="s">
        <v>61</v>
      </c>
      <c r="M26" s="43" t="s">
        <v>62</v>
      </c>
      <c r="N26" s="43" t="s">
        <v>63</v>
      </c>
      <c r="O26" s="43" t="s">
        <v>64</v>
      </c>
      <c r="P26" s="43" t="s">
        <v>65</v>
      </c>
      <c r="Q26" s="43" t="s">
        <v>66</v>
      </c>
      <c r="R26" s="43" t="s">
        <v>67</v>
      </c>
      <c r="S26" s="43" t="s">
        <v>68</v>
      </c>
      <c r="T26" s="43" t="s">
        <v>69</v>
      </c>
      <c r="U26" s="43" t="s">
        <v>72</v>
      </c>
      <c r="V26" s="43" t="s">
        <v>105</v>
      </c>
      <c r="W26" s="43" t="s">
        <v>111</v>
      </c>
      <c r="X26" s="43" t="s">
        <v>135</v>
      </c>
    </row>
    <row r="27" spans="1:24">
      <c r="A27" s="44" t="s">
        <v>41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132">
        <v>-2.1048E-4</v>
      </c>
      <c r="W27" s="132">
        <f>V27</f>
        <v>-2.1048E-4</v>
      </c>
      <c r="X27" s="132">
        <f>W27</f>
        <v>-2.1048E-4</v>
      </c>
    </row>
    <row r="28" spans="1:24">
      <c r="A28" s="44" t="s">
        <v>42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132">
        <v>-1.7782E-4</v>
      </c>
      <c r="W28" s="132">
        <f t="shared" ref="W28:X32" si="0">V28</f>
        <v>-1.7782E-4</v>
      </c>
      <c r="X28" s="132">
        <f t="shared" si="0"/>
        <v>-1.7782E-4</v>
      </c>
    </row>
    <row r="29" spans="1:24">
      <c r="A29" s="44" t="s">
        <v>54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132">
        <v>-2.1169E-4</v>
      </c>
      <c r="W29" s="132">
        <f t="shared" si="0"/>
        <v>-2.1169E-4</v>
      </c>
      <c r="X29" s="132">
        <f t="shared" si="0"/>
        <v>-2.1169E-4</v>
      </c>
    </row>
    <row r="30" spans="1:24">
      <c r="A30" s="44" t="s">
        <v>52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132">
        <v>-1.4987E-4</v>
      </c>
      <c r="W30" s="132">
        <f t="shared" si="0"/>
        <v>-1.4987E-4</v>
      </c>
      <c r="X30" s="132">
        <f t="shared" si="0"/>
        <v>-1.4987E-4</v>
      </c>
    </row>
    <row r="31" spans="1:24">
      <c r="A31" s="44" t="s">
        <v>53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132">
        <v>-1.3813000000000001E-4</v>
      </c>
      <c r="W31" s="132">
        <f t="shared" si="0"/>
        <v>-1.3813000000000001E-4</v>
      </c>
      <c r="X31" s="132">
        <f t="shared" si="0"/>
        <v>-1.3813000000000001E-4</v>
      </c>
    </row>
    <row r="32" spans="1:24">
      <c r="A32" s="44" t="s">
        <v>55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132">
        <v>-2.0435000000000001E-4</v>
      </c>
      <c r="W32" s="132">
        <f t="shared" si="0"/>
        <v>-2.0435000000000001E-4</v>
      </c>
      <c r="X32" s="132">
        <f t="shared" si="0"/>
        <v>-2.0435000000000001E-4</v>
      </c>
    </row>
    <row r="34" spans="1:25" ht="17.25">
      <c r="A34" s="53" t="s">
        <v>70</v>
      </c>
    </row>
    <row r="35" spans="1:25" ht="17.25">
      <c r="A35" s="53" t="s">
        <v>130</v>
      </c>
      <c r="Y35" s="46"/>
    </row>
    <row r="37" spans="1:25" ht="17.25">
      <c r="A37" s="149" t="s">
        <v>150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</row>
    <row r="38" spans="1:25" ht="45.75">
      <c r="A38" s="42" t="s">
        <v>38</v>
      </c>
      <c r="B38" s="43" t="s">
        <v>79</v>
      </c>
      <c r="C38" s="43" t="s">
        <v>59</v>
      </c>
      <c r="D38" s="43" t="s">
        <v>73</v>
      </c>
      <c r="E38" s="43" t="s">
        <v>74</v>
      </c>
      <c r="F38" s="43" t="s">
        <v>75</v>
      </c>
      <c r="G38" s="43" t="s">
        <v>76</v>
      </c>
      <c r="H38" s="43" t="s">
        <v>77</v>
      </c>
      <c r="I38" s="43" t="s">
        <v>78</v>
      </c>
      <c r="J38" s="43" t="s">
        <v>110</v>
      </c>
      <c r="K38" s="43" t="s">
        <v>60</v>
      </c>
      <c r="L38" s="43" t="s">
        <v>61</v>
      </c>
      <c r="M38" s="43" t="s">
        <v>62</v>
      </c>
      <c r="N38" s="43" t="s">
        <v>63</v>
      </c>
      <c r="O38" s="43" t="s">
        <v>64</v>
      </c>
      <c r="P38" s="43" t="s">
        <v>65</v>
      </c>
      <c r="Q38" s="43" t="s">
        <v>66</v>
      </c>
      <c r="R38" s="43" t="s">
        <v>67</v>
      </c>
      <c r="S38" s="43" t="s">
        <v>68</v>
      </c>
      <c r="T38" s="43" t="s">
        <v>69</v>
      </c>
      <c r="U38" s="43" t="s">
        <v>72</v>
      </c>
      <c r="V38" s="43" t="s">
        <v>105</v>
      </c>
      <c r="W38" s="43" t="s">
        <v>111</v>
      </c>
      <c r="X38" s="43" t="s">
        <v>135</v>
      </c>
    </row>
    <row r="39" spans="1:25">
      <c r="A39" s="44" t="s">
        <v>41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132">
        <f>W39</f>
        <v>4.7860699999999999E-3</v>
      </c>
      <c r="W39" s="132">
        <v>4.7860699999999999E-3</v>
      </c>
      <c r="X39" s="133">
        <f>W39</f>
        <v>4.7860699999999999E-3</v>
      </c>
    </row>
    <row r="40" spans="1:25">
      <c r="A40" s="44" t="s">
        <v>42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132">
        <f t="shared" ref="V40:V44" si="1">W40</f>
        <v>4.0503299999999996E-3</v>
      </c>
      <c r="W40" s="132">
        <v>4.0503299999999996E-3</v>
      </c>
      <c r="X40" s="133">
        <f t="shared" ref="X40:X44" si="2">W40</f>
        <v>4.0503299999999996E-3</v>
      </c>
    </row>
    <row r="41" spans="1:25">
      <c r="A41" s="44" t="s">
        <v>54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132">
        <f t="shared" si="1"/>
        <v>5.1908599999999994E-3</v>
      </c>
      <c r="W41" s="132">
        <v>5.1908599999999994E-3</v>
      </c>
      <c r="X41" s="133">
        <f t="shared" si="2"/>
        <v>5.1908599999999994E-3</v>
      </c>
    </row>
    <row r="42" spans="1:25">
      <c r="A42" s="44" t="s">
        <v>52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132">
        <f t="shared" si="1"/>
        <v>3.4357199999999997E-3</v>
      </c>
      <c r="W42" s="132">
        <v>3.4357199999999997E-3</v>
      </c>
      <c r="X42" s="133">
        <f t="shared" si="2"/>
        <v>3.4357199999999997E-3</v>
      </c>
    </row>
    <row r="43" spans="1:25">
      <c r="A43" s="44" t="s">
        <v>53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132">
        <f t="shared" si="1"/>
        <v>3.1416199999999999E-3</v>
      </c>
      <c r="W43" s="132">
        <v>3.1416199999999999E-3</v>
      </c>
      <c r="X43" s="133">
        <f t="shared" si="2"/>
        <v>3.1416199999999999E-3</v>
      </c>
    </row>
    <row r="44" spans="1:25">
      <c r="A44" s="44" t="s">
        <v>55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132">
        <f t="shared" si="1"/>
        <v>4.7901200000000001E-3</v>
      </c>
      <c r="W44" s="132">
        <v>4.7901200000000001E-3</v>
      </c>
      <c r="X44" s="133">
        <f t="shared" si="2"/>
        <v>4.7901200000000001E-3</v>
      </c>
    </row>
    <row r="45" spans="1:25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</row>
    <row r="46" spans="1:25" ht="17.25">
      <c r="A46" s="53" t="s">
        <v>70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</row>
    <row r="47" spans="1:25" ht="17.25">
      <c r="A47" s="53" t="s">
        <v>131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</row>
    <row r="48" spans="1:25" ht="17.25">
      <c r="A48" s="106" t="s">
        <v>158</v>
      </c>
      <c r="B48" s="107"/>
      <c r="C48" s="107"/>
      <c r="D48" s="107"/>
      <c r="E48" s="107"/>
      <c r="F48" s="107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</row>
    <row r="49" spans="1:24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</row>
    <row r="50" spans="1:24" ht="17.25">
      <c r="A50" s="147" t="s">
        <v>175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</row>
    <row r="51" spans="1:24" ht="45.75">
      <c r="A51" s="42" t="s">
        <v>38</v>
      </c>
      <c r="B51" s="43" t="s">
        <v>79</v>
      </c>
      <c r="C51" s="43" t="s">
        <v>59</v>
      </c>
      <c r="D51" s="43" t="s">
        <v>73</v>
      </c>
      <c r="E51" s="43" t="s">
        <v>74</v>
      </c>
      <c r="F51" s="43" t="s">
        <v>75</v>
      </c>
      <c r="G51" s="43" t="s">
        <v>76</v>
      </c>
      <c r="H51" s="43" t="s">
        <v>77</v>
      </c>
      <c r="I51" s="43" t="s">
        <v>78</v>
      </c>
      <c r="J51" s="43" t="s">
        <v>110</v>
      </c>
      <c r="K51" s="43" t="s">
        <v>60</v>
      </c>
      <c r="L51" s="43" t="s">
        <v>61</v>
      </c>
      <c r="M51" s="43" t="s">
        <v>62</v>
      </c>
      <c r="N51" s="43" t="s">
        <v>63</v>
      </c>
      <c r="O51" s="43" t="s">
        <v>64</v>
      </c>
      <c r="P51" s="43" t="s">
        <v>65</v>
      </c>
      <c r="Q51" s="43" t="s">
        <v>66</v>
      </c>
      <c r="R51" s="43" t="s">
        <v>67</v>
      </c>
      <c r="S51" s="43" t="s">
        <v>68</v>
      </c>
      <c r="T51" s="43" t="s">
        <v>69</v>
      </c>
      <c r="U51" s="43" t="s">
        <v>72</v>
      </c>
      <c r="V51" s="43" t="s">
        <v>105</v>
      </c>
      <c r="W51" s="43" t="s">
        <v>111</v>
      </c>
      <c r="X51" s="43" t="s">
        <v>135</v>
      </c>
    </row>
    <row r="52" spans="1:24">
      <c r="A52" s="102" t="s">
        <v>41</v>
      </c>
      <c r="B52" s="103">
        <f>'CAPBA Undercollection'!C37</f>
        <v>0</v>
      </c>
      <c r="C52" s="103">
        <f>'CAPBA Undercollection'!D37</f>
        <v>0</v>
      </c>
      <c r="D52" s="103">
        <f>'CAPBA Undercollection'!E37</f>
        <v>0</v>
      </c>
      <c r="E52" s="103">
        <f>'CAPBA Undercollection'!F37</f>
        <v>0</v>
      </c>
      <c r="F52" s="103">
        <f>'CAPBA Undercollection'!G37</f>
        <v>0</v>
      </c>
      <c r="G52" s="103">
        <f>'CAPBA Undercollection'!H37</f>
        <v>0</v>
      </c>
      <c r="H52" s="103">
        <f>'CAPBA Undercollection'!I37</f>
        <v>0</v>
      </c>
      <c r="I52" s="103">
        <f>'CAPBA Undercollection'!J37</f>
        <v>0</v>
      </c>
      <c r="J52" s="103">
        <f>'CAPBA Undercollection'!K37</f>
        <v>0</v>
      </c>
      <c r="K52" s="103">
        <f>'CAPBA Undercollection'!L37</f>
        <v>6.0868999999999995E-4</v>
      </c>
      <c r="L52" s="103">
        <f>'CAPBA Undercollection'!M37</f>
        <v>1.26983E-3</v>
      </c>
      <c r="M52" s="103">
        <f>'CAPBA Undercollection'!N37</f>
        <v>4.9269100000000005E-3</v>
      </c>
      <c r="N52" s="103">
        <f>'CAPBA Undercollection'!O37</f>
        <v>6.2258500000000007E-3</v>
      </c>
      <c r="O52" s="103">
        <f>'CAPBA Undercollection'!P37</f>
        <v>0</v>
      </c>
      <c r="P52" s="103">
        <f>'CAPBA Undercollection'!Q37</f>
        <v>0</v>
      </c>
      <c r="Q52" s="103">
        <f>'CAPBA Undercollection'!R37</f>
        <v>6.4739100000000003E-3</v>
      </c>
      <c r="R52" s="103">
        <f>'CAPBA Undercollection'!S37</f>
        <v>0</v>
      </c>
      <c r="S52" s="103">
        <f>'CAPBA Undercollection'!T37</f>
        <v>4.74662E-3</v>
      </c>
      <c r="T52" s="103">
        <f>'CAPBA Undercollection'!U37</f>
        <v>4.5178800000000002E-3</v>
      </c>
      <c r="U52" s="103">
        <f>'CAPBA Undercollection'!V37</f>
        <v>1.57E-6</v>
      </c>
      <c r="V52" s="103">
        <f>'CAPBA Undercollection'!W37</f>
        <v>4.2567100000000004E-3</v>
      </c>
      <c r="W52" s="103">
        <f>'CAPBA Undercollection'!X37</f>
        <v>0</v>
      </c>
      <c r="X52" s="103">
        <f>'CAPBA Undercollection'!Y37</f>
        <v>0</v>
      </c>
    </row>
    <row r="53" spans="1:24">
      <c r="A53" s="102" t="s">
        <v>42</v>
      </c>
      <c r="B53" s="103">
        <f>'CAPBA Undercollection'!C38</f>
        <v>0</v>
      </c>
      <c r="C53" s="103">
        <f>'CAPBA Undercollection'!D38</f>
        <v>0</v>
      </c>
      <c r="D53" s="103">
        <f>'CAPBA Undercollection'!E38</f>
        <v>0</v>
      </c>
      <c r="E53" s="103">
        <f>'CAPBA Undercollection'!F38</f>
        <v>0</v>
      </c>
      <c r="F53" s="103">
        <f>'CAPBA Undercollection'!G38</f>
        <v>0</v>
      </c>
      <c r="G53" s="103">
        <f>'CAPBA Undercollection'!H38</f>
        <v>0</v>
      </c>
      <c r="H53" s="103">
        <f>'CAPBA Undercollection'!I38</f>
        <v>0</v>
      </c>
      <c r="I53" s="103">
        <f>'CAPBA Undercollection'!J38</f>
        <v>0</v>
      </c>
      <c r="J53" s="103">
        <f>'CAPBA Undercollection'!K38</f>
        <v>0</v>
      </c>
      <c r="K53" s="103">
        <f>'CAPBA Undercollection'!L38</f>
        <v>6.0868999999999995E-4</v>
      </c>
      <c r="L53" s="103">
        <f>'CAPBA Undercollection'!M38</f>
        <v>1.26983E-3</v>
      </c>
      <c r="M53" s="103">
        <f>'CAPBA Undercollection'!N38</f>
        <v>4.9269100000000005E-3</v>
      </c>
      <c r="N53" s="103">
        <f>'CAPBA Undercollection'!O38</f>
        <v>6.2258500000000007E-3</v>
      </c>
      <c r="O53" s="103">
        <f>'CAPBA Undercollection'!P38</f>
        <v>0</v>
      </c>
      <c r="P53" s="103">
        <f>'CAPBA Undercollection'!Q38</f>
        <v>0</v>
      </c>
      <c r="Q53" s="103">
        <f>'CAPBA Undercollection'!R38</f>
        <v>6.4739100000000003E-3</v>
      </c>
      <c r="R53" s="103">
        <f>'CAPBA Undercollection'!S38</f>
        <v>0</v>
      </c>
      <c r="S53" s="103">
        <f>'CAPBA Undercollection'!T38</f>
        <v>4.74662E-3</v>
      </c>
      <c r="T53" s="103">
        <f>'CAPBA Undercollection'!U38</f>
        <v>4.5178800000000002E-3</v>
      </c>
      <c r="U53" s="103">
        <f>'CAPBA Undercollection'!V38</f>
        <v>1.57E-6</v>
      </c>
      <c r="V53" s="103">
        <f>'CAPBA Undercollection'!W38</f>
        <v>4.2567100000000004E-3</v>
      </c>
      <c r="W53" s="103">
        <f>'CAPBA Undercollection'!X38</f>
        <v>0</v>
      </c>
      <c r="X53" s="103">
        <f>'CAPBA Undercollection'!Y38</f>
        <v>0</v>
      </c>
    </row>
    <row r="54" spans="1:24">
      <c r="A54" s="102" t="s">
        <v>54</v>
      </c>
      <c r="B54" s="103">
        <f>'CAPBA Undercollection'!C39</f>
        <v>0</v>
      </c>
      <c r="C54" s="103">
        <f>'CAPBA Undercollection'!D39</f>
        <v>0</v>
      </c>
      <c r="D54" s="103">
        <f>'CAPBA Undercollection'!E39</f>
        <v>0</v>
      </c>
      <c r="E54" s="103">
        <f>'CAPBA Undercollection'!F39</f>
        <v>0</v>
      </c>
      <c r="F54" s="103">
        <f>'CAPBA Undercollection'!G39</f>
        <v>0</v>
      </c>
      <c r="G54" s="103">
        <f>'CAPBA Undercollection'!H39</f>
        <v>0</v>
      </c>
      <c r="H54" s="103">
        <f>'CAPBA Undercollection'!I39</f>
        <v>0</v>
      </c>
      <c r="I54" s="103">
        <f>'CAPBA Undercollection'!J39</f>
        <v>0</v>
      </c>
      <c r="J54" s="103">
        <f>'CAPBA Undercollection'!K39</f>
        <v>0</v>
      </c>
      <c r="K54" s="103">
        <f>'CAPBA Undercollection'!L39</f>
        <v>6.0868999999999995E-4</v>
      </c>
      <c r="L54" s="103">
        <f>'CAPBA Undercollection'!M39</f>
        <v>1.26983E-3</v>
      </c>
      <c r="M54" s="103">
        <f>'CAPBA Undercollection'!N39</f>
        <v>4.9269100000000005E-3</v>
      </c>
      <c r="N54" s="103">
        <f>'CAPBA Undercollection'!O39</f>
        <v>6.2258500000000007E-3</v>
      </c>
      <c r="O54" s="103">
        <f>'CAPBA Undercollection'!P39</f>
        <v>0</v>
      </c>
      <c r="P54" s="103">
        <f>'CAPBA Undercollection'!Q39</f>
        <v>0</v>
      </c>
      <c r="Q54" s="103">
        <f>'CAPBA Undercollection'!R39</f>
        <v>6.4739100000000003E-3</v>
      </c>
      <c r="R54" s="103">
        <f>'CAPBA Undercollection'!S39</f>
        <v>0</v>
      </c>
      <c r="S54" s="103">
        <f>'CAPBA Undercollection'!T39</f>
        <v>4.74662E-3</v>
      </c>
      <c r="T54" s="103">
        <f>'CAPBA Undercollection'!U39</f>
        <v>4.5178800000000002E-3</v>
      </c>
      <c r="U54" s="103">
        <f>'CAPBA Undercollection'!V39</f>
        <v>1.57E-6</v>
      </c>
      <c r="V54" s="103">
        <f>'CAPBA Undercollection'!W39</f>
        <v>4.2567100000000004E-3</v>
      </c>
      <c r="W54" s="103">
        <f>'CAPBA Undercollection'!X39</f>
        <v>0</v>
      </c>
      <c r="X54" s="103">
        <f>'CAPBA Undercollection'!Y39</f>
        <v>0</v>
      </c>
    </row>
    <row r="55" spans="1:24">
      <c r="A55" s="102" t="s">
        <v>52</v>
      </c>
      <c r="B55" s="103">
        <f>'CAPBA Undercollection'!C40</f>
        <v>0</v>
      </c>
      <c r="C55" s="103">
        <f>'CAPBA Undercollection'!D40</f>
        <v>0</v>
      </c>
      <c r="D55" s="103">
        <f>'CAPBA Undercollection'!E40</f>
        <v>0</v>
      </c>
      <c r="E55" s="103">
        <f>'CAPBA Undercollection'!F40</f>
        <v>0</v>
      </c>
      <c r="F55" s="103">
        <f>'CAPBA Undercollection'!G40</f>
        <v>0</v>
      </c>
      <c r="G55" s="103">
        <f>'CAPBA Undercollection'!H40</f>
        <v>0</v>
      </c>
      <c r="H55" s="103">
        <f>'CAPBA Undercollection'!I40</f>
        <v>0</v>
      </c>
      <c r="I55" s="103">
        <f>'CAPBA Undercollection'!J40</f>
        <v>0</v>
      </c>
      <c r="J55" s="103">
        <f>'CAPBA Undercollection'!K40</f>
        <v>0</v>
      </c>
      <c r="K55" s="103">
        <f>'CAPBA Undercollection'!L40</f>
        <v>6.0868999999999995E-4</v>
      </c>
      <c r="L55" s="103">
        <f>'CAPBA Undercollection'!M40</f>
        <v>1.26983E-3</v>
      </c>
      <c r="M55" s="103">
        <f>'CAPBA Undercollection'!N40</f>
        <v>4.9269100000000005E-3</v>
      </c>
      <c r="N55" s="103">
        <f>'CAPBA Undercollection'!O40</f>
        <v>6.2258500000000007E-3</v>
      </c>
      <c r="O55" s="103">
        <f>'CAPBA Undercollection'!P40</f>
        <v>0</v>
      </c>
      <c r="P55" s="103">
        <f>'CAPBA Undercollection'!Q40</f>
        <v>0</v>
      </c>
      <c r="Q55" s="103">
        <f>'CAPBA Undercollection'!R40</f>
        <v>6.4739100000000003E-3</v>
      </c>
      <c r="R55" s="103">
        <f>'CAPBA Undercollection'!S40</f>
        <v>0</v>
      </c>
      <c r="S55" s="103">
        <f>'CAPBA Undercollection'!T40</f>
        <v>4.74662E-3</v>
      </c>
      <c r="T55" s="103">
        <f>'CAPBA Undercollection'!U40</f>
        <v>4.5178800000000002E-3</v>
      </c>
      <c r="U55" s="103">
        <f>'CAPBA Undercollection'!V40</f>
        <v>1.57E-6</v>
      </c>
      <c r="V55" s="103">
        <f>'CAPBA Undercollection'!W40</f>
        <v>4.2567100000000004E-3</v>
      </c>
      <c r="W55" s="103">
        <f>'CAPBA Undercollection'!X40</f>
        <v>0</v>
      </c>
      <c r="X55" s="103">
        <f>'CAPBA Undercollection'!Y40</f>
        <v>0</v>
      </c>
    </row>
    <row r="56" spans="1:24">
      <c r="A56" s="102" t="s">
        <v>53</v>
      </c>
      <c r="B56" s="103">
        <f>'CAPBA Undercollection'!C41</f>
        <v>0</v>
      </c>
      <c r="C56" s="103">
        <f>'CAPBA Undercollection'!D41</f>
        <v>0</v>
      </c>
      <c r="D56" s="103">
        <f>'CAPBA Undercollection'!E41</f>
        <v>0</v>
      </c>
      <c r="E56" s="103">
        <f>'CAPBA Undercollection'!F41</f>
        <v>0</v>
      </c>
      <c r="F56" s="103">
        <f>'CAPBA Undercollection'!G41</f>
        <v>0</v>
      </c>
      <c r="G56" s="103">
        <f>'CAPBA Undercollection'!H41</f>
        <v>0</v>
      </c>
      <c r="H56" s="103">
        <f>'CAPBA Undercollection'!I41</f>
        <v>0</v>
      </c>
      <c r="I56" s="103">
        <f>'CAPBA Undercollection'!J41</f>
        <v>0</v>
      </c>
      <c r="J56" s="103">
        <f>'CAPBA Undercollection'!K41</f>
        <v>0</v>
      </c>
      <c r="K56" s="103">
        <f>'CAPBA Undercollection'!L41</f>
        <v>6.0868999999999995E-4</v>
      </c>
      <c r="L56" s="103">
        <f>'CAPBA Undercollection'!M41</f>
        <v>1.26983E-3</v>
      </c>
      <c r="M56" s="103">
        <f>'CAPBA Undercollection'!N41</f>
        <v>4.9269100000000005E-3</v>
      </c>
      <c r="N56" s="103">
        <f>'CAPBA Undercollection'!O41</f>
        <v>6.2258500000000007E-3</v>
      </c>
      <c r="O56" s="103">
        <f>'CAPBA Undercollection'!P41</f>
        <v>0</v>
      </c>
      <c r="P56" s="103">
        <f>'CAPBA Undercollection'!Q41</f>
        <v>0</v>
      </c>
      <c r="Q56" s="103">
        <f>'CAPBA Undercollection'!R41</f>
        <v>6.4739100000000003E-3</v>
      </c>
      <c r="R56" s="103">
        <f>'CAPBA Undercollection'!S41</f>
        <v>0</v>
      </c>
      <c r="S56" s="103">
        <f>'CAPBA Undercollection'!T41</f>
        <v>4.74662E-3</v>
      </c>
      <c r="T56" s="103">
        <f>'CAPBA Undercollection'!U41</f>
        <v>4.5178800000000002E-3</v>
      </c>
      <c r="U56" s="103">
        <f>'CAPBA Undercollection'!V41</f>
        <v>1.57E-6</v>
      </c>
      <c r="V56" s="103">
        <f>'CAPBA Undercollection'!W41</f>
        <v>4.2567100000000004E-3</v>
      </c>
      <c r="W56" s="103">
        <f>'CAPBA Undercollection'!X41</f>
        <v>0</v>
      </c>
      <c r="X56" s="103">
        <f>'CAPBA Undercollection'!Y41</f>
        <v>0</v>
      </c>
    </row>
    <row r="57" spans="1:24">
      <c r="A57" s="102" t="s">
        <v>55</v>
      </c>
      <c r="B57" s="103">
        <f>'CAPBA Undercollection'!C42</f>
        <v>0</v>
      </c>
      <c r="C57" s="103">
        <f>'CAPBA Undercollection'!D42</f>
        <v>0</v>
      </c>
      <c r="D57" s="103">
        <f>'CAPBA Undercollection'!E42</f>
        <v>0</v>
      </c>
      <c r="E57" s="103">
        <f>'CAPBA Undercollection'!F42</f>
        <v>0</v>
      </c>
      <c r="F57" s="103">
        <f>'CAPBA Undercollection'!G42</f>
        <v>0</v>
      </c>
      <c r="G57" s="103">
        <f>'CAPBA Undercollection'!H42</f>
        <v>0</v>
      </c>
      <c r="H57" s="103">
        <f>'CAPBA Undercollection'!I42</f>
        <v>0</v>
      </c>
      <c r="I57" s="103">
        <f>'CAPBA Undercollection'!J42</f>
        <v>0</v>
      </c>
      <c r="J57" s="103">
        <f>'CAPBA Undercollection'!K42</f>
        <v>0</v>
      </c>
      <c r="K57" s="103">
        <f>'CAPBA Undercollection'!L42</f>
        <v>6.0868999999999995E-4</v>
      </c>
      <c r="L57" s="103">
        <f>'CAPBA Undercollection'!M42</f>
        <v>1.26983E-3</v>
      </c>
      <c r="M57" s="103">
        <f>'CAPBA Undercollection'!N42</f>
        <v>4.9269100000000005E-3</v>
      </c>
      <c r="N57" s="103">
        <f>'CAPBA Undercollection'!O42</f>
        <v>6.2258500000000007E-3</v>
      </c>
      <c r="O57" s="103">
        <f>'CAPBA Undercollection'!P42</f>
        <v>0</v>
      </c>
      <c r="P57" s="103">
        <f>'CAPBA Undercollection'!Q42</f>
        <v>0</v>
      </c>
      <c r="Q57" s="103">
        <f>'CAPBA Undercollection'!R42</f>
        <v>6.4739100000000003E-3</v>
      </c>
      <c r="R57" s="103">
        <f>'CAPBA Undercollection'!S42</f>
        <v>0</v>
      </c>
      <c r="S57" s="103">
        <f>'CAPBA Undercollection'!T42</f>
        <v>4.74662E-3</v>
      </c>
      <c r="T57" s="103">
        <f>'CAPBA Undercollection'!U42</f>
        <v>4.5178800000000002E-3</v>
      </c>
      <c r="U57" s="103">
        <f>'CAPBA Undercollection'!V42</f>
        <v>1.57E-6</v>
      </c>
      <c r="V57" s="103">
        <f>'CAPBA Undercollection'!W42</f>
        <v>4.2567100000000004E-3</v>
      </c>
      <c r="W57" s="103">
        <f>'CAPBA Undercollection'!X42</f>
        <v>0</v>
      </c>
      <c r="X57" s="103">
        <f>'CAPBA Undercollection'!Y42</f>
        <v>0</v>
      </c>
    </row>
    <row r="58" spans="1:24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</row>
    <row r="59" spans="1:24" ht="17.25">
      <c r="A59" s="39" t="s">
        <v>176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</row>
    <row r="60" spans="1:24" ht="17.25">
      <c r="A60" s="39" t="s">
        <v>177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</row>
    <row r="61" spans="1:24" ht="17.25">
      <c r="A61" s="147" t="s">
        <v>174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</row>
    <row r="62" spans="1:24" ht="45.75">
      <c r="A62" s="42" t="s">
        <v>38</v>
      </c>
      <c r="B62" s="43" t="s">
        <v>79</v>
      </c>
      <c r="C62" s="43" t="s">
        <v>59</v>
      </c>
      <c r="D62" s="43" t="s">
        <v>73</v>
      </c>
      <c r="E62" s="43" t="s">
        <v>74</v>
      </c>
      <c r="F62" s="43" t="s">
        <v>75</v>
      </c>
      <c r="G62" s="43" t="s">
        <v>76</v>
      </c>
      <c r="H62" s="43" t="s">
        <v>77</v>
      </c>
      <c r="I62" s="43" t="s">
        <v>78</v>
      </c>
      <c r="J62" s="43" t="s">
        <v>110</v>
      </c>
      <c r="K62" s="43" t="s">
        <v>60</v>
      </c>
      <c r="L62" s="43" t="s">
        <v>61</v>
      </c>
      <c r="M62" s="43" t="s">
        <v>62</v>
      </c>
      <c r="N62" s="43" t="s">
        <v>63</v>
      </c>
      <c r="O62" s="43" t="s">
        <v>64</v>
      </c>
      <c r="P62" s="43" t="s">
        <v>65</v>
      </c>
      <c r="Q62" s="43" t="s">
        <v>66</v>
      </c>
      <c r="R62" s="43" t="s">
        <v>67</v>
      </c>
      <c r="S62" s="43" t="s">
        <v>68</v>
      </c>
      <c r="T62" s="43" t="s">
        <v>69</v>
      </c>
      <c r="U62" s="43" t="s">
        <v>72</v>
      </c>
      <c r="V62" s="43" t="s">
        <v>105</v>
      </c>
      <c r="W62" s="43" t="s">
        <v>111</v>
      </c>
      <c r="X62" s="43" t="s">
        <v>135</v>
      </c>
    </row>
    <row r="63" spans="1:24">
      <c r="A63" s="102" t="s">
        <v>41</v>
      </c>
      <c r="B63" s="103">
        <f>'CAPBA Overcollection'!C37</f>
        <v>0</v>
      </c>
      <c r="C63" s="103">
        <f>'CAPBA Overcollection'!D37</f>
        <v>0</v>
      </c>
      <c r="D63" s="103">
        <f>'CAPBA Overcollection'!E37</f>
        <v>0</v>
      </c>
      <c r="E63" s="103">
        <f>'CAPBA Overcollection'!F37</f>
        <v>0</v>
      </c>
      <c r="F63" s="103">
        <f>'CAPBA Overcollection'!G37</f>
        <v>0</v>
      </c>
      <c r="G63" s="103">
        <f>'CAPBA Overcollection'!H37</f>
        <v>0</v>
      </c>
      <c r="H63" s="103">
        <f>'CAPBA Overcollection'!I37</f>
        <v>0</v>
      </c>
      <c r="I63" s="103">
        <f>'CAPBA Overcollection'!J37</f>
        <v>0</v>
      </c>
      <c r="J63" s="103">
        <f>'CAPBA Overcollection'!K37</f>
        <v>0</v>
      </c>
      <c r="K63" s="103">
        <f>'CAPBA Overcollection'!L37</f>
        <v>0</v>
      </c>
      <c r="L63" s="103">
        <f>'CAPBA Overcollection'!M37</f>
        <v>0</v>
      </c>
      <c r="M63" s="103">
        <f>'CAPBA Overcollection'!N37</f>
        <v>0</v>
      </c>
      <c r="N63" s="103">
        <f>'CAPBA Overcollection'!O37</f>
        <v>0</v>
      </c>
      <c r="O63" s="103">
        <f>'CAPBA Overcollection'!P37</f>
        <v>0</v>
      </c>
      <c r="P63" s="103">
        <f>'CAPBA Overcollection'!Q37</f>
        <v>0</v>
      </c>
      <c r="Q63" s="103">
        <f>'CAPBA Overcollection'!R37</f>
        <v>0</v>
      </c>
      <c r="R63" s="103">
        <f>'CAPBA Overcollection'!S37</f>
        <v>0</v>
      </c>
      <c r="S63" s="103">
        <f>'CAPBA Overcollection'!T37</f>
        <v>0</v>
      </c>
      <c r="T63" s="103">
        <f>'CAPBA Overcollection'!U37</f>
        <v>0</v>
      </c>
      <c r="U63" s="103">
        <f>'CAPBA Overcollection'!V37</f>
        <v>0</v>
      </c>
      <c r="V63" s="103">
        <f>'CAPBA Overcollection'!W37</f>
        <v>0</v>
      </c>
      <c r="W63" s="103">
        <f>'CAPBA Overcollection'!X37</f>
        <v>-1.7251899999999999E-3</v>
      </c>
      <c r="X63" s="103">
        <f>'CAPBA Overcollection'!Y37</f>
        <v>-1.7251899999999999E-3</v>
      </c>
    </row>
    <row r="64" spans="1:24">
      <c r="A64" s="102" t="s">
        <v>42</v>
      </c>
      <c r="B64" s="103">
        <f>'CAPBA Overcollection'!C38</f>
        <v>0</v>
      </c>
      <c r="C64" s="103">
        <f>'CAPBA Overcollection'!D38</f>
        <v>0</v>
      </c>
      <c r="D64" s="103">
        <f>'CAPBA Overcollection'!E38</f>
        <v>0</v>
      </c>
      <c r="E64" s="103">
        <f>'CAPBA Overcollection'!F38</f>
        <v>0</v>
      </c>
      <c r="F64" s="103">
        <f>'CAPBA Overcollection'!G38</f>
        <v>0</v>
      </c>
      <c r="G64" s="103">
        <f>'CAPBA Overcollection'!H38</f>
        <v>0</v>
      </c>
      <c r="H64" s="103">
        <f>'CAPBA Overcollection'!I38</f>
        <v>0</v>
      </c>
      <c r="I64" s="103">
        <f>'CAPBA Overcollection'!J38</f>
        <v>0</v>
      </c>
      <c r="J64" s="103">
        <f>'CAPBA Overcollection'!K38</f>
        <v>0</v>
      </c>
      <c r="K64" s="103">
        <f>'CAPBA Overcollection'!L38</f>
        <v>0</v>
      </c>
      <c r="L64" s="103">
        <f>'CAPBA Overcollection'!M38</f>
        <v>0</v>
      </c>
      <c r="M64" s="103">
        <f>'CAPBA Overcollection'!N38</f>
        <v>0</v>
      </c>
      <c r="N64" s="103">
        <f>'CAPBA Overcollection'!O38</f>
        <v>0</v>
      </c>
      <c r="O64" s="103">
        <f>'CAPBA Overcollection'!P38</f>
        <v>0</v>
      </c>
      <c r="P64" s="103">
        <f>'CAPBA Overcollection'!Q38</f>
        <v>0</v>
      </c>
      <c r="Q64" s="103">
        <f>'CAPBA Overcollection'!R38</f>
        <v>0</v>
      </c>
      <c r="R64" s="103">
        <f>'CAPBA Overcollection'!S38</f>
        <v>0</v>
      </c>
      <c r="S64" s="103">
        <f>'CAPBA Overcollection'!T38</f>
        <v>0</v>
      </c>
      <c r="T64" s="103">
        <f>'CAPBA Overcollection'!U38</f>
        <v>0</v>
      </c>
      <c r="U64" s="103">
        <f>'CAPBA Overcollection'!V38</f>
        <v>0</v>
      </c>
      <c r="V64" s="103">
        <f>'CAPBA Overcollection'!W38</f>
        <v>0</v>
      </c>
      <c r="W64" s="103">
        <f>'CAPBA Overcollection'!X38</f>
        <v>-2.5779700000000002E-3</v>
      </c>
      <c r="X64" s="103">
        <f>'CAPBA Overcollection'!Y38</f>
        <v>-2.5779700000000002E-3</v>
      </c>
    </row>
    <row r="65" spans="1:24">
      <c r="A65" s="102" t="s">
        <v>54</v>
      </c>
      <c r="B65" s="103">
        <f>'CAPBA Overcollection'!C39</f>
        <v>0</v>
      </c>
      <c r="C65" s="103">
        <f>'CAPBA Overcollection'!D39</f>
        <v>0</v>
      </c>
      <c r="D65" s="103">
        <f>'CAPBA Overcollection'!E39</f>
        <v>0</v>
      </c>
      <c r="E65" s="103">
        <f>'CAPBA Overcollection'!F39</f>
        <v>0</v>
      </c>
      <c r="F65" s="103">
        <f>'CAPBA Overcollection'!G39</f>
        <v>0</v>
      </c>
      <c r="G65" s="103">
        <f>'CAPBA Overcollection'!H39</f>
        <v>0</v>
      </c>
      <c r="H65" s="103">
        <f>'CAPBA Overcollection'!I39</f>
        <v>0</v>
      </c>
      <c r="I65" s="103">
        <f>'CAPBA Overcollection'!J39</f>
        <v>0</v>
      </c>
      <c r="J65" s="103">
        <f>'CAPBA Overcollection'!K39</f>
        <v>0</v>
      </c>
      <c r="K65" s="103">
        <f>'CAPBA Overcollection'!L39</f>
        <v>0</v>
      </c>
      <c r="L65" s="103">
        <f>'CAPBA Overcollection'!M39</f>
        <v>0</v>
      </c>
      <c r="M65" s="103">
        <f>'CAPBA Overcollection'!N39</f>
        <v>0</v>
      </c>
      <c r="N65" s="103">
        <f>'CAPBA Overcollection'!O39</f>
        <v>0</v>
      </c>
      <c r="O65" s="103">
        <f>'CAPBA Overcollection'!P39</f>
        <v>0</v>
      </c>
      <c r="P65" s="103">
        <f>'CAPBA Overcollection'!Q39</f>
        <v>0</v>
      </c>
      <c r="Q65" s="103">
        <f>'CAPBA Overcollection'!R39</f>
        <v>0</v>
      </c>
      <c r="R65" s="103">
        <f>'CAPBA Overcollection'!S39</f>
        <v>0</v>
      </c>
      <c r="S65" s="103">
        <f>'CAPBA Overcollection'!T39</f>
        <v>0</v>
      </c>
      <c r="T65" s="103">
        <f>'CAPBA Overcollection'!U39</f>
        <v>0</v>
      </c>
      <c r="U65" s="103">
        <f>'CAPBA Overcollection'!V39</f>
        <v>0</v>
      </c>
      <c r="V65" s="103">
        <f>'CAPBA Overcollection'!W39</f>
        <v>0</v>
      </c>
      <c r="W65" s="103">
        <f>'CAPBA Overcollection'!X39</f>
        <v>-3.2702900000000003E-3</v>
      </c>
      <c r="X65" s="103">
        <f>'CAPBA Overcollection'!Y39</f>
        <v>-3.2702900000000003E-3</v>
      </c>
    </row>
    <row r="66" spans="1:24">
      <c r="A66" s="102" t="s">
        <v>52</v>
      </c>
      <c r="B66" s="103">
        <f>'CAPBA Overcollection'!C40</f>
        <v>0</v>
      </c>
      <c r="C66" s="103">
        <f>'CAPBA Overcollection'!D40</f>
        <v>0</v>
      </c>
      <c r="D66" s="103">
        <f>'CAPBA Overcollection'!E40</f>
        <v>0</v>
      </c>
      <c r="E66" s="103">
        <f>'CAPBA Overcollection'!F40</f>
        <v>0</v>
      </c>
      <c r="F66" s="103">
        <f>'CAPBA Overcollection'!G40</f>
        <v>0</v>
      </c>
      <c r="G66" s="103">
        <f>'CAPBA Overcollection'!H40</f>
        <v>0</v>
      </c>
      <c r="H66" s="103">
        <f>'CAPBA Overcollection'!I40</f>
        <v>0</v>
      </c>
      <c r="I66" s="103">
        <f>'CAPBA Overcollection'!J40</f>
        <v>0</v>
      </c>
      <c r="J66" s="103">
        <f>'CAPBA Overcollection'!K40</f>
        <v>0</v>
      </c>
      <c r="K66" s="103">
        <f>'CAPBA Overcollection'!L40</f>
        <v>0</v>
      </c>
      <c r="L66" s="103">
        <f>'CAPBA Overcollection'!M40</f>
        <v>0</v>
      </c>
      <c r="M66" s="103">
        <f>'CAPBA Overcollection'!N40</f>
        <v>0</v>
      </c>
      <c r="N66" s="103">
        <f>'CAPBA Overcollection'!O40</f>
        <v>0</v>
      </c>
      <c r="O66" s="103">
        <f>'CAPBA Overcollection'!P40</f>
        <v>0</v>
      </c>
      <c r="P66" s="103">
        <f>'CAPBA Overcollection'!Q40</f>
        <v>0</v>
      </c>
      <c r="Q66" s="103">
        <f>'CAPBA Overcollection'!R40</f>
        <v>0</v>
      </c>
      <c r="R66" s="103">
        <f>'CAPBA Overcollection'!S40</f>
        <v>0</v>
      </c>
      <c r="S66" s="103">
        <f>'CAPBA Overcollection'!T40</f>
        <v>0</v>
      </c>
      <c r="T66" s="103">
        <f>'CAPBA Overcollection'!U40</f>
        <v>0</v>
      </c>
      <c r="U66" s="103">
        <f>'CAPBA Overcollection'!V40</f>
        <v>0</v>
      </c>
      <c r="V66" s="103">
        <f>'CAPBA Overcollection'!W40</f>
        <v>0</v>
      </c>
      <c r="W66" s="103">
        <f>'CAPBA Overcollection'!X40</f>
        <v>-1.20662E-3</v>
      </c>
      <c r="X66" s="103">
        <f>'CAPBA Overcollection'!Y40</f>
        <v>-1.20662E-3</v>
      </c>
    </row>
    <row r="67" spans="1:24">
      <c r="A67" s="102" t="s">
        <v>53</v>
      </c>
      <c r="B67" s="103">
        <f>'CAPBA Overcollection'!C41</f>
        <v>0</v>
      </c>
      <c r="C67" s="103">
        <f>'CAPBA Overcollection'!D41</f>
        <v>0</v>
      </c>
      <c r="D67" s="103">
        <f>'CAPBA Overcollection'!E41</f>
        <v>0</v>
      </c>
      <c r="E67" s="103">
        <f>'CAPBA Overcollection'!F41</f>
        <v>0</v>
      </c>
      <c r="F67" s="103">
        <f>'CAPBA Overcollection'!G41</f>
        <v>0</v>
      </c>
      <c r="G67" s="103">
        <f>'CAPBA Overcollection'!H41</f>
        <v>0</v>
      </c>
      <c r="H67" s="103">
        <f>'CAPBA Overcollection'!I41</f>
        <v>0</v>
      </c>
      <c r="I67" s="103">
        <f>'CAPBA Overcollection'!J41</f>
        <v>0</v>
      </c>
      <c r="J67" s="103">
        <f>'CAPBA Overcollection'!K41</f>
        <v>0</v>
      </c>
      <c r="K67" s="103">
        <f>'CAPBA Overcollection'!L41</f>
        <v>0</v>
      </c>
      <c r="L67" s="103">
        <f>'CAPBA Overcollection'!M41</f>
        <v>0</v>
      </c>
      <c r="M67" s="103">
        <f>'CAPBA Overcollection'!N41</f>
        <v>0</v>
      </c>
      <c r="N67" s="103">
        <f>'CAPBA Overcollection'!O41</f>
        <v>0</v>
      </c>
      <c r="O67" s="103">
        <f>'CAPBA Overcollection'!P41</f>
        <v>0</v>
      </c>
      <c r="P67" s="103">
        <f>'CAPBA Overcollection'!Q41</f>
        <v>0</v>
      </c>
      <c r="Q67" s="103">
        <f>'CAPBA Overcollection'!R41</f>
        <v>0</v>
      </c>
      <c r="R67" s="103">
        <f>'CAPBA Overcollection'!S41</f>
        <v>0</v>
      </c>
      <c r="S67" s="103">
        <f>'CAPBA Overcollection'!T41</f>
        <v>0</v>
      </c>
      <c r="T67" s="103">
        <f>'CAPBA Overcollection'!U41</f>
        <v>0</v>
      </c>
      <c r="U67" s="103">
        <f>'CAPBA Overcollection'!V41</f>
        <v>0</v>
      </c>
      <c r="V67" s="103">
        <f>'CAPBA Overcollection'!W41</f>
        <v>0</v>
      </c>
      <c r="W67" s="103">
        <f>'CAPBA Overcollection'!X41</f>
        <v>-1.06931E-3</v>
      </c>
      <c r="X67" s="103">
        <f>'CAPBA Overcollection'!Y41</f>
        <v>-1.06931E-3</v>
      </c>
    </row>
    <row r="68" spans="1:24">
      <c r="A68" s="102" t="s">
        <v>55</v>
      </c>
      <c r="B68" s="103">
        <f>'CAPBA Overcollection'!C42</f>
        <v>0</v>
      </c>
      <c r="C68" s="103">
        <f>'CAPBA Overcollection'!D42</f>
        <v>0</v>
      </c>
      <c r="D68" s="103">
        <f>'CAPBA Overcollection'!E42</f>
        <v>0</v>
      </c>
      <c r="E68" s="103">
        <f>'CAPBA Overcollection'!F42</f>
        <v>0</v>
      </c>
      <c r="F68" s="103">
        <f>'CAPBA Overcollection'!G42</f>
        <v>0</v>
      </c>
      <c r="G68" s="103">
        <f>'CAPBA Overcollection'!H42</f>
        <v>0</v>
      </c>
      <c r="H68" s="103">
        <f>'CAPBA Overcollection'!I42</f>
        <v>0</v>
      </c>
      <c r="I68" s="103">
        <f>'CAPBA Overcollection'!J42</f>
        <v>0</v>
      </c>
      <c r="J68" s="103">
        <f>'CAPBA Overcollection'!K42</f>
        <v>0</v>
      </c>
      <c r="K68" s="103">
        <f>'CAPBA Overcollection'!L42</f>
        <v>0</v>
      </c>
      <c r="L68" s="103">
        <f>'CAPBA Overcollection'!M42</f>
        <v>0</v>
      </c>
      <c r="M68" s="103">
        <f>'CAPBA Overcollection'!N42</f>
        <v>0</v>
      </c>
      <c r="N68" s="103">
        <f>'CAPBA Overcollection'!O42</f>
        <v>0</v>
      </c>
      <c r="O68" s="103">
        <f>'CAPBA Overcollection'!P42</f>
        <v>0</v>
      </c>
      <c r="P68" s="103">
        <f>'CAPBA Overcollection'!Q42</f>
        <v>0</v>
      </c>
      <c r="Q68" s="103">
        <f>'CAPBA Overcollection'!R42</f>
        <v>0</v>
      </c>
      <c r="R68" s="103">
        <f>'CAPBA Overcollection'!S42</f>
        <v>0</v>
      </c>
      <c r="S68" s="103">
        <f>'CAPBA Overcollection'!T42</f>
        <v>0</v>
      </c>
      <c r="T68" s="103">
        <f>'CAPBA Overcollection'!U42</f>
        <v>0</v>
      </c>
      <c r="U68" s="103">
        <f>'CAPBA Overcollection'!V42</f>
        <v>0</v>
      </c>
      <c r="V68" s="103">
        <f>'CAPBA Overcollection'!W42</f>
        <v>0</v>
      </c>
      <c r="W68" s="103">
        <f>'CAPBA Overcollection'!X42</f>
        <v>-2.2515499999999997E-3</v>
      </c>
      <c r="X68" s="103">
        <f>'CAPBA Overcollection'!Y42</f>
        <v>-2.2515499999999997E-3</v>
      </c>
    </row>
    <row r="69" spans="1:24">
      <c r="A69" s="9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</row>
    <row r="70" spans="1:24" ht="17.25">
      <c r="A70" s="39" t="s">
        <v>176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</row>
    <row r="71" spans="1:24" ht="17.25">
      <c r="A71" s="39" t="s">
        <v>177</v>
      </c>
      <c r="S71" s="88"/>
      <c r="T71" s="89"/>
    </row>
    <row r="72" spans="1:24" ht="17.25">
      <c r="A72" s="148" t="s">
        <v>178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</row>
    <row r="73" spans="1:24" ht="45.75">
      <c r="A73" s="42" t="s">
        <v>38</v>
      </c>
      <c r="B73" s="43" t="s">
        <v>79</v>
      </c>
      <c r="C73" s="43" t="s">
        <v>59</v>
      </c>
      <c r="D73" s="43" t="s">
        <v>73</v>
      </c>
      <c r="E73" s="43" t="s">
        <v>74</v>
      </c>
      <c r="F73" s="43" t="s">
        <v>75</v>
      </c>
      <c r="G73" s="43" t="s">
        <v>76</v>
      </c>
      <c r="H73" s="43" t="s">
        <v>77</v>
      </c>
      <c r="I73" s="43" t="s">
        <v>78</v>
      </c>
      <c r="J73" s="43" t="s">
        <v>110</v>
      </c>
      <c r="K73" s="43" t="s">
        <v>60</v>
      </c>
      <c r="L73" s="43" t="s">
        <v>61</v>
      </c>
      <c r="M73" s="43" t="s">
        <v>62</v>
      </c>
      <c r="N73" s="43" t="s">
        <v>63</v>
      </c>
      <c r="O73" s="43" t="s">
        <v>64</v>
      </c>
      <c r="P73" s="43" t="s">
        <v>65</v>
      </c>
      <c r="Q73" s="43" t="s">
        <v>66</v>
      </c>
      <c r="R73" s="43" t="s">
        <v>67</v>
      </c>
      <c r="S73" s="43" t="s">
        <v>68</v>
      </c>
      <c r="T73" s="43" t="s">
        <v>69</v>
      </c>
      <c r="U73" s="43" t="s">
        <v>72</v>
      </c>
      <c r="V73" s="43" t="s">
        <v>105</v>
      </c>
      <c r="W73" s="43" t="s">
        <v>111</v>
      </c>
      <c r="X73" s="43" t="s">
        <v>135</v>
      </c>
    </row>
    <row r="74" spans="1:24">
      <c r="A74" s="102" t="s">
        <v>41</v>
      </c>
      <c r="B74" s="103">
        <f>'Indifference Rate Calc_ERRA BA'!C37</f>
        <v>0</v>
      </c>
      <c r="C74" s="103">
        <f>'Indifference Rate Calc_ERRA BA'!D37</f>
        <v>0</v>
      </c>
      <c r="D74" s="103">
        <f>'Indifference Rate Calc_ERRA BA'!E37</f>
        <v>0</v>
      </c>
      <c r="E74" s="103">
        <f>'Indifference Rate Calc_ERRA BA'!F37</f>
        <v>0</v>
      </c>
      <c r="F74" s="103">
        <f>'Indifference Rate Calc_ERRA BA'!G37</f>
        <v>0</v>
      </c>
      <c r="G74" s="103">
        <f>'Indifference Rate Calc_ERRA BA'!H37</f>
        <v>0</v>
      </c>
      <c r="H74" s="103">
        <f>'Indifference Rate Calc_ERRA BA'!I37</f>
        <v>0</v>
      </c>
      <c r="I74" s="103">
        <f>'Indifference Rate Calc_ERRA BA'!J37</f>
        <v>0</v>
      </c>
      <c r="J74" s="103">
        <f>'Indifference Rate Calc_ERRA BA'!K37</f>
        <v>0</v>
      </c>
      <c r="K74" s="103">
        <f>'Indifference Rate Calc_ERRA BA'!L37</f>
        <v>0</v>
      </c>
      <c r="L74" s="103">
        <f>'Indifference Rate Calc_ERRA BA'!M37</f>
        <v>0</v>
      </c>
      <c r="M74" s="103">
        <f>'Indifference Rate Calc_ERRA BA'!N37</f>
        <v>0</v>
      </c>
      <c r="N74" s="103">
        <f>'Indifference Rate Calc_ERRA BA'!O37</f>
        <v>0</v>
      </c>
      <c r="O74" s="103">
        <f>'Indifference Rate Calc_ERRA BA'!P37</f>
        <v>0</v>
      </c>
      <c r="P74" s="103">
        <f>'Indifference Rate Calc_ERRA BA'!Q37</f>
        <v>0</v>
      </c>
      <c r="Q74" s="103">
        <f>'Indifference Rate Calc_ERRA BA'!R37</f>
        <v>0</v>
      </c>
      <c r="R74" s="103">
        <f>'Indifference Rate Calc_ERRA BA'!S37</f>
        <v>0</v>
      </c>
      <c r="S74" s="103">
        <f>'Indifference Rate Calc_ERRA BA'!T37</f>
        <v>0</v>
      </c>
      <c r="T74" s="103">
        <f>'Indifference Rate Calc_ERRA BA'!U37</f>
        <v>0</v>
      </c>
      <c r="U74" s="103">
        <f>'Indifference Rate Calc_ERRA BA'!V37</f>
        <v>0</v>
      </c>
      <c r="V74" s="103">
        <f>'Indifference Rate Calc_ERRA BA'!W37</f>
        <v>1.0925900000000001E-2</v>
      </c>
      <c r="W74" s="103">
        <f>'Indifference Rate Calc_ERRA BA'!X37</f>
        <v>1.2247820000000001E-2</v>
      </c>
      <c r="X74" s="103">
        <f>'Indifference Rate Calc_ERRA BA'!Y37</f>
        <v>1.2247820000000001E-2</v>
      </c>
    </row>
    <row r="75" spans="1:24">
      <c r="A75" s="102" t="s">
        <v>42</v>
      </c>
      <c r="B75" s="103">
        <f>'Indifference Rate Calc_ERRA BA'!C38</f>
        <v>0</v>
      </c>
      <c r="C75" s="103">
        <f>'Indifference Rate Calc_ERRA BA'!D38</f>
        <v>0</v>
      </c>
      <c r="D75" s="103">
        <f>'Indifference Rate Calc_ERRA BA'!E38</f>
        <v>0</v>
      </c>
      <c r="E75" s="103">
        <f>'Indifference Rate Calc_ERRA BA'!F38</f>
        <v>0</v>
      </c>
      <c r="F75" s="103">
        <f>'Indifference Rate Calc_ERRA BA'!G38</f>
        <v>0</v>
      </c>
      <c r="G75" s="103">
        <f>'Indifference Rate Calc_ERRA BA'!H38</f>
        <v>0</v>
      </c>
      <c r="H75" s="103">
        <f>'Indifference Rate Calc_ERRA BA'!I38</f>
        <v>0</v>
      </c>
      <c r="I75" s="103">
        <f>'Indifference Rate Calc_ERRA BA'!J38</f>
        <v>0</v>
      </c>
      <c r="J75" s="103">
        <f>'Indifference Rate Calc_ERRA BA'!K38</f>
        <v>0</v>
      </c>
      <c r="K75" s="103">
        <f>'Indifference Rate Calc_ERRA BA'!L38</f>
        <v>0</v>
      </c>
      <c r="L75" s="103">
        <f>'Indifference Rate Calc_ERRA BA'!M38</f>
        <v>0</v>
      </c>
      <c r="M75" s="103">
        <f>'Indifference Rate Calc_ERRA BA'!N38</f>
        <v>0</v>
      </c>
      <c r="N75" s="103">
        <f>'Indifference Rate Calc_ERRA BA'!O38</f>
        <v>0</v>
      </c>
      <c r="O75" s="103">
        <f>'Indifference Rate Calc_ERRA BA'!P38</f>
        <v>0</v>
      </c>
      <c r="P75" s="103">
        <f>'Indifference Rate Calc_ERRA BA'!Q38</f>
        <v>0</v>
      </c>
      <c r="Q75" s="103">
        <f>'Indifference Rate Calc_ERRA BA'!R38</f>
        <v>0</v>
      </c>
      <c r="R75" s="103">
        <f>'Indifference Rate Calc_ERRA BA'!S38</f>
        <v>0</v>
      </c>
      <c r="S75" s="103">
        <f>'Indifference Rate Calc_ERRA BA'!T38</f>
        <v>0</v>
      </c>
      <c r="T75" s="103">
        <f>'Indifference Rate Calc_ERRA BA'!U38</f>
        <v>0</v>
      </c>
      <c r="U75" s="103">
        <f>'Indifference Rate Calc_ERRA BA'!V38</f>
        <v>0</v>
      </c>
      <c r="V75" s="103">
        <f>'Indifference Rate Calc_ERRA BA'!W38</f>
        <v>8.8814800000000006E-3</v>
      </c>
      <c r="W75" s="103">
        <f>'Indifference Rate Calc_ERRA BA'!X38</f>
        <v>1.085684E-2</v>
      </c>
      <c r="X75" s="103">
        <f>'Indifference Rate Calc_ERRA BA'!Y38</f>
        <v>1.085684E-2</v>
      </c>
    </row>
    <row r="76" spans="1:24">
      <c r="A76" s="102" t="s">
        <v>54</v>
      </c>
      <c r="B76" s="103">
        <f>'Indifference Rate Calc_ERRA BA'!C39</f>
        <v>0</v>
      </c>
      <c r="C76" s="103">
        <f>'Indifference Rate Calc_ERRA BA'!D39</f>
        <v>0</v>
      </c>
      <c r="D76" s="103">
        <f>'Indifference Rate Calc_ERRA BA'!E39</f>
        <v>0</v>
      </c>
      <c r="E76" s="103">
        <f>'Indifference Rate Calc_ERRA BA'!F39</f>
        <v>0</v>
      </c>
      <c r="F76" s="103">
        <f>'Indifference Rate Calc_ERRA BA'!G39</f>
        <v>0</v>
      </c>
      <c r="G76" s="103">
        <f>'Indifference Rate Calc_ERRA BA'!H39</f>
        <v>0</v>
      </c>
      <c r="H76" s="103">
        <f>'Indifference Rate Calc_ERRA BA'!I39</f>
        <v>0</v>
      </c>
      <c r="I76" s="103">
        <f>'Indifference Rate Calc_ERRA BA'!J39</f>
        <v>0</v>
      </c>
      <c r="J76" s="103">
        <f>'Indifference Rate Calc_ERRA BA'!K39</f>
        <v>0</v>
      </c>
      <c r="K76" s="103">
        <f>'Indifference Rate Calc_ERRA BA'!L39</f>
        <v>0</v>
      </c>
      <c r="L76" s="103">
        <f>'Indifference Rate Calc_ERRA BA'!M39</f>
        <v>0</v>
      </c>
      <c r="M76" s="103">
        <f>'Indifference Rate Calc_ERRA BA'!N39</f>
        <v>0</v>
      </c>
      <c r="N76" s="103">
        <f>'Indifference Rate Calc_ERRA BA'!O39</f>
        <v>0</v>
      </c>
      <c r="O76" s="103">
        <f>'Indifference Rate Calc_ERRA BA'!P39</f>
        <v>0</v>
      </c>
      <c r="P76" s="103">
        <f>'Indifference Rate Calc_ERRA BA'!Q39</f>
        <v>0</v>
      </c>
      <c r="Q76" s="103">
        <f>'Indifference Rate Calc_ERRA BA'!R39</f>
        <v>0</v>
      </c>
      <c r="R76" s="103">
        <f>'Indifference Rate Calc_ERRA BA'!S39</f>
        <v>0</v>
      </c>
      <c r="S76" s="103">
        <f>'Indifference Rate Calc_ERRA BA'!T39</f>
        <v>0</v>
      </c>
      <c r="T76" s="103">
        <f>'Indifference Rate Calc_ERRA BA'!U39</f>
        <v>0</v>
      </c>
      <c r="U76" s="103">
        <f>'Indifference Rate Calc_ERRA BA'!V39</f>
        <v>0</v>
      </c>
      <c r="V76" s="103">
        <f>'Indifference Rate Calc_ERRA BA'!W39</f>
        <v>1.0846629999999999E-2</v>
      </c>
      <c r="W76" s="103">
        <f>'Indifference Rate Calc_ERRA BA'!X39</f>
        <v>1.335248E-2</v>
      </c>
      <c r="X76" s="103">
        <f>'Indifference Rate Calc_ERRA BA'!Y39</f>
        <v>1.335248E-2</v>
      </c>
    </row>
    <row r="77" spans="1:24">
      <c r="A77" s="102" t="s">
        <v>52</v>
      </c>
      <c r="B77" s="103">
        <f>'Indifference Rate Calc_ERRA BA'!C40</f>
        <v>0</v>
      </c>
      <c r="C77" s="103">
        <f>'Indifference Rate Calc_ERRA BA'!D40</f>
        <v>0</v>
      </c>
      <c r="D77" s="103">
        <f>'Indifference Rate Calc_ERRA BA'!E40</f>
        <v>0</v>
      </c>
      <c r="E77" s="103">
        <f>'Indifference Rate Calc_ERRA BA'!F40</f>
        <v>0</v>
      </c>
      <c r="F77" s="103">
        <f>'Indifference Rate Calc_ERRA BA'!G40</f>
        <v>0</v>
      </c>
      <c r="G77" s="103">
        <f>'Indifference Rate Calc_ERRA BA'!H40</f>
        <v>0</v>
      </c>
      <c r="H77" s="103">
        <f>'Indifference Rate Calc_ERRA BA'!I40</f>
        <v>0</v>
      </c>
      <c r="I77" s="103">
        <f>'Indifference Rate Calc_ERRA BA'!J40</f>
        <v>0</v>
      </c>
      <c r="J77" s="103">
        <f>'Indifference Rate Calc_ERRA BA'!K40</f>
        <v>0</v>
      </c>
      <c r="K77" s="103">
        <f>'Indifference Rate Calc_ERRA BA'!L40</f>
        <v>0</v>
      </c>
      <c r="L77" s="103">
        <f>'Indifference Rate Calc_ERRA BA'!M40</f>
        <v>0</v>
      </c>
      <c r="M77" s="103">
        <f>'Indifference Rate Calc_ERRA BA'!N40</f>
        <v>0</v>
      </c>
      <c r="N77" s="103">
        <f>'Indifference Rate Calc_ERRA BA'!O40</f>
        <v>0</v>
      </c>
      <c r="O77" s="103">
        <f>'Indifference Rate Calc_ERRA BA'!P40</f>
        <v>0</v>
      </c>
      <c r="P77" s="103">
        <f>'Indifference Rate Calc_ERRA BA'!Q40</f>
        <v>0</v>
      </c>
      <c r="Q77" s="103">
        <f>'Indifference Rate Calc_ERRA BA'!R40</f>
        <v>0</v>
      </c>
      <c r="R77" s="103">
        <f>'Indifference Rate Calc_ERRA BA'!S40</f>
        <v>0</v>
      </c>
      <c r="S77" s="103">
        <f>'Indifference Rate Calc_ERRA BA'!T40</f>
        <v>0</v>
      </c>
      <c r="T77" s="103">
        <f>'Indifference Rate Calc_ERRA BA'!U40</f>
        <v>0</v>
      </c>
      <c r="U77" s="103">
        <f>'Indifference Rate Calc_ERRA BA'!V40</f>
        <v>0</v>
      </c>
      <c r="V77" s="103">
        <f>'Indifference Rate Calc_ERRA BA'!W40</f>
        <v>6.88436E-3</v>
      </c>
      <c r="W77" s="103">
        <f>'Indifference Rate Calc_ERRA BA'!X40</f>
        <v>7.8089300000000004E-3</v>
      </c>
      <c r="X77" s="103">
        <f>'Indifference Rate Calc_ERRA BA'!Y40</f>
        <v>7.8089300000000004E-3</v>
      </c>
    </row>
    <row r="78" spans="1:24">
      <c r="A78" s="102" t="s">
        <v>53</v>
      </c>
      <c r="B78" s="103">
        <f>'Indifference Rate Calc_ERRA BA'!C41</f>
        <v>0</v>
      </c>
      <c r="C78" s="103">
        <f>'Indifference Rate Calc_ERRA BA'!D41</f>
        <v>0</v>
      </c>
      <c r="D78" s="103">
        <f>'Indifference Rate Calc_ERRA BA'!E41</f>
        <v>0</v>
      </c>
      <c r="E78" s="103">
        <f>'Indifference Rate Calc_ERRA BA'!F41</f>
        <v>0</v>
      </c>
      <c r="F78" s="103">
        <f>'Indifference Rate Calc_ERRA BA'!G41</f>
        <v>0</v>
      </c>
      <c r="G78" s="103">
        <f>'Indifference Rate Calc_ERRA BA'!H41</f>
        <v>0</v>
      </c>
      <c r="H78" s="103">
        <f>'Indifference Rate Calc_ERRA BA'!I41</f>
        <v>0</v>
      </c>
      <c r="I78" s="103">
        <f>'Indifference Rate Calc_ERRA BA'!J41</f>
        <v>0</v>
      </c>
      <c r="J78" s="103">
        <f>'Indifference Rate Calc_ERRA BA'!K41</f>
        <v>0</v>
      </c>
      <c r="K78" s="103">
        <f>'Indifference Rate Calc_ERRA BA'!L41</f>
        <v>0</v>
      </c>
      <c r="L78" s="103">
        <f>'Indifference Rate Calc_ERRA BA'!M41</f>
        <v>0</v>
      </c>
      <c r="M78" s="103">
        <f>'Indifference Rate Calc_ERRA BA'!N41</f>
        <v>0</v>
      </c>
      <c r="N78" s="103">
        <f>'Indifference Rate Calc_ERRA BA'!O41</f>
        <v>0</v>
      </c>
      <c r="O78" s="103">
        <f>'Indifference Rate Calc_ERRA BA'!P41</f>
        <v>0</v>
      </c>
      <c r="P78" s="103">
        <f>'Indifference Rate Calc_ERRA BA'!Q41</f>
        <v>0</v>
      </c>
      <c r="Q78" s="103">
        <f>'Indifference Rate Calc_ERRA BA'!R41</f>
        <v>0</v>
      </c>
      <c r="R78" s="103">
        <f>'Indifference Rate Calc_ERRA BA'!S41</f>
        <v>0</v>
      </c>
      <c r="S78" s="103">
        <f>'Indifference Rate Calc_ERRA BA'!T41</f>
        <v>0</v>
      </c>
      <c r="T78" s="103">
        <f>'Indifference Rate Calc_ERRA BA'!U41</f>
        <v>0</v>
      </c>
      <c r="U78" s="103">
        <f>'Indifference Rate Calc_ERRA BA'!V41</f>
        <v>0</v>
      </c>
      <c r="V78" s="103">
        <f>'Indifference Rate Calc_ERRA BA'!W41</f>
        <v>5.9630500000000001E-3</v>
      </c>
      <c r="W78" s="103">
        <f>'Indifference Rate Calc_ERRA BA'!X41</f>
        <v>6.7824000000000001E-3</v>
      </c>
      <c r="X78" s="103">
        <f>'Indifference Rate Calc_ERRA BA'!Y41</f>
        <v>6.7824000000000001E-3</v>
      </c>
    </row>
    <row r="79" spans="1:24">
      <c r="A79" s="102" t="s">
        <v>55</v>
      </c>
      <c r="B79" s="103">
        <f>'Indifference Rate Calc_ERRA BA'!C42</f>
        <v>0</v>
      </c>
      <c r="C79" s="103">
        <f>'Indifference Rate Calc_ERRA BA'!D42</f>
        <v>0</v>
      </c>
      <c r="D79" s="103">
        <f>'Indifference Rate Calc_ERRA BA'!E42</f>
        <v>0</v>
      </c>
      <c r="E79" s="103">
        <f>'Indifference Rate Calc_ERRA BA'!F42</f>
        <v>0</v>
      </c>
      <c r="F79" s="103">
        <f>'Indifference Rate Calc_ERRA BA'!G42</f>
        <v>0</v>
      </c>
      <c r="G79" s="103">
        <f>'Indifference Rate Calc_ERRA BA'!H42</f>
        <v>0</v>
      </c>
      <c r="H79" s="103">
        <f>'Indifference Rate Calc_ERRA BA'!I42</f>
        <v>0</v>
      </c>
      <c r="I79" s="103">
        <f>'Indifference Rate Calc_ERRA BA'!J42</f>
        <v>0</v>
      </c>
      <c r="J79" s="103">
        <f>'Indifference Rate Calc_ERRA BA'!K42</f>
        <v>0</v>
      </c>
      <c r="K79" s="103">
        <f>'Indifference Rate Calc_ERRA BA'!L42</f>
        <v>0</v>
      </c>
      <c r="L79" s="103">
        <f>'Indifference Rate Calc_ERRA BA'!M42</f>
        <v>0</v>
      </c>
      <c r="M79" s="103">
        <f>'Indifference Rate Calc_ERRA BA'!N42</f>
        <v>0</v>
      </c>
      <c r="N79" s="103">
        <f>'Indifference Rate Calc_ERRA BA'!O42</f>
        <v>0</v>
      </c>
      <c r="O79" s="103">
        <f>'Indifference Rate Calc_ERRA BA'!P42</f>
        <v>0</v>
      </c>
      <c r="P79" s="103">
        <f>'Indifference Rate Calc_ERRA BA'!Q42</f>
        <v>0</v>
      </c>
      <c r="Q79" s="103">
        <f>'Indifference Rate Calc_ERRA BA'!R42</f>
        <v>0</v>
      </c>
      <c r="R79" s="103">
        <f>'Indifference Rate Calc_ERRA BA'!S42</f>
        <v>0</v>
      </c>
      <c r="S79" s="103">
        <f>'Indifference Rate Calc_ERRA BA'!T42</f>
        <v>0</v>
      </c>
      <c r="T79" s="103">
        <f>'Indifference Rate Calc_ERRA BA'!U42</f>
        <v>0</v>
      </c>
      <c r="U79" s="103">
        <f>'Indifference Rate Calc_ERRA BA'!V42</f>
        <v>0</v>
      </c>
      <c r="V79" s="103">
        <f>'Indifference Rate Calc_ERRA BA'!W42</f>
        <v>1.04505E-2</v>
      </c>
      <c r="W79" s="103">
        <f>'Indifference Rate Calc_ERRA BA'!X42</f>
        <v>1.2175739999999999E-2</v>
      </c>
      <c r="X79" s="103">
        <f>'Indifference Rate Calc_ERRA BA'!Y42</f>
        <v>1.2175739999999999E-2</v>
      </c>
    </row>
    <row r="80" spans="1:24">
      <c r="R80" s="90"/>
      <c r="S80" s="87"/>
      <c r="T80" s="87"/>
    </row>
    <row r="81" spans="1:20" ht="17.25">
      <c r="A81" s="39" t="s">
        <v>176</v>
      </c>
      <c r="R81" s="90"/>
      <c r="S81" s="87"/>
      <c r="T81" s="87"/>
    </row>
    <row r="82" spans="1:20" ht="17.25">
      <c r="A82" s="39" t="s">
        <v>179</v>
      </c>
    </row>
  </sheetData>
  <mergeCells count="8">
    <mergeCell ref="A61:X61"/>
    <mergeCell ref="A72:X72"/>
    <mergeCell ref="A50:X50"/>
    <mergeCell ref="A1:X1"/>
    <mergeCell ref="A2:X2"/>
    <mergeCell ref="A13:X13"/>
    <mergeCell ref="A25:X25"/>
    <mergeCell ref="A37:X3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59DA-0740-4CEF-A13F-2C47589AFFEF}">
  <dimension ref="A1:Y12"/>
  <sheetViews>
    <sheetView zoomScale="85" zoomScaleNormal="85" workbookViewId="0">
      <pane xSplit="1" ySplit="3" topLeftCell="C4" activePane="bottomRight" state="frozen"/>
      <selection activeCell="O36" sqref="O36"/>
      <selection pane="topRight" activeCell="O36" sqref="O36"/>
      <selection pane="bottomLeft" activeCell="O36" sqref="O36"/>
      <selection pane="bottomRight" activeCell="W20" sqref="W20"/>
    </sheetView>
  </sheetViews>
  <sheetFormatPr defaultColWidth="8.7109375" defaultRowHeight="15"/>
  <cols>
    <col min="1" max="1" width="19.28515625" style="53" customWidth="1"/>
    <col min="2" max="2" width="10.5703125" style="53" customWidth="1"/>
    <col min="3" max="3" width="9.7109375" style="53" customWidth="1"/>
    <col min="4" max="5" width="9.5703125" style="53" customWidth="1"/>
    <col min="6" max="6" width="9.7109375" style="53" customWidth="1"/>
    <col min="7" max="9" width="9.28515625" style="53" customWidth="1"/>
    <col min="10" max="10" width="9.42578125" style="53" customWidth="1"/>
    <col min="11" max="11" width="10" style="53" customWidth="1"/>
    <col min="12" max="13" width="9.28515625" style="53" customWidth="1"/>
    <col min="14" max="14" width="9.7109375" style="53" customWidth="1"/>
    <col min="15" max="22" width="9.7109375" style="53" bestFit="1" customWidth="1"/>
    <col min="23" max="24" width="9.7109375" style="53" customWidth="1"/>
    <col min="25" max="25" width="13.5703125" style="53" customWidth="1"/>
    <col min="26" max="16384" width="8.7109375" style="53"/>
  </cols>
  <sheetData>
    <row r="1" spans="1:25">
      <c r="A1" s="149" t="s">
        <v>136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25" ht="17.25">
      <c r="A2" s="149" t="s">
        <v>152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5" ht="45.75">
      <c r="A3" s="42" t="s">
        <v>38</v>
      </c>
      <c r="B3" s="43" t="s">
        <v>132</v>
      </c>
      <c r="C3" s="43" t="s">
        <v>59</v>
      </c>
      <c r="D3" s="43" t="s">
        <v>73</v>
      </c>
      <c r="E3" s="43" t="s">
        <v>74</v>
      </c>
      <c r="F3" s="43" t="s">
        <v>75</v>
      </c>
      <c r="G3" s="43" t="s">
        <v>76</v>
      </c>
      <c r="H3" s="43" t="s">
        <v>77</v>
      </c>
      <c r="I3" s="43" t="s">
        <v>78</v>
      </c>
      <c r="J3" s="43" t="s">
        <v>110</v>
      </c>
      <c r="K3" s="43" t="s">
        <v>60</v>
      </c>
      <c r="L3" s="43" t="s">
        <v>61</v>
      </c>
      <c r="M3" s="43" t="s">
        <v>62</v>
      </c>
      <c r="N3" s="43" t="s">
        <v>63</v>
      </c>
      <c r="O3" s="43" t="s">
        <v>64</v>
      </c>
      <c r="P3" s="43" t="s">
        <v>65</v>
      </c>
      <c r="Q3" s="43" t="s">
        <v>66</v>
      </c>
      <c r="R3" s="43" t="s">
        <v>67</v>
      </c>
      <c r="S3" s="43" t="s">
        <v>68</v>
      </c>
      <c r="T3" s="43" t="s">
        <v>69</v>
      </c>
      <c r="U3" s="43" t="s">
        <v>72</v>
      </c>
      <c r="V3" s="43" t="s">
        <v>105</v>
      </c>
      <c r="W3" s="43" t="s">
        <v>111</v>
      </c>
      <c r="X3" s="43" t="s">
        <v>135</v>
      </c>
      <c r="Y3" s="69"/>
    </row>
    <row r="4" spans="1:25">
      <c r="A4" s="44" t="s">
        <v>41</v>
      </c>
      <c r="B4" s="73">
        <f>'Breakout of PCIA Rates'!B4</f>
        <v>3.9118999999999997E-4</v>
      </c>
      <c r="C4" s="73">
        <f>SUM('Breakout of PCIA Rates'!C4,'Breakout of PCIA Rates'!C15,'Breakout of PCIA Rates'!C27,'Breakout of PCIA Rates'!C39,'Breakout of PCIA Rates'!C52,'Breakout of PCIA Rates'!C63,'Breakout of PCIA Rates'!C74)</f>
        <v>1.1573E-4</v>
      </c>
      <c r="D4" s="73">
        <f>SUM('Breakout of PCIA Rates'!D4,'Breakout of PCIA Rates'!D15,'Breakout of PCIA Rates'!D27,'Breakout of PCIA Rates'!D39,'Breakout of PCIA Rates'!D52,'Breakout of PCIA Rates'!D63,'Breakout of PCIA Rates'!D74)</f>
        <v>1.2555000000000002E-4</v>
      </c>
      <c r="E4" s="73">
        <f>SUM('Breakout of PCIA Rates'!E4,'Breakout of PCIA Rates'!E15,'Breakout of PCIA Rates'!E27,'Breakout of PCIA Rates'!E39,'Breakout of PCIA Rates'!E52,'Breakout of PCIA Rates'!E63,'Breakout of PCIA Rates'!E74)</f>
        <v>1.2555000000000002E-4</v>
      </c>
      <c r="F4" s="73">
        <f>SUM('Breakout of PCIA Rates'!F4,'Breakout of PCIA Rates'!F15,'Breakout of PCIA Rates'!F27,'Breakout of PCIA Rates'!F39,'Breakout of PCIA Rates'!F52,'Breakout of PCIA Rates'!F63,'Breakout of PCIA Rates'!F74)</f>
        <v>2.02607E-3</v>
      </c>
      <c r="G4" s="73">
        <f>SUM('Breakout of PCIA Rates'!G4,'Breakout of PCIA Rates'!G15,'Breakout of PCIA Rates'!G27,'Breakout of PCIA Rates'!G39,'Breakout of PCIA Rates'!G52,'Breakout of PCIA Rates'!G63,'Breakout of PCIA Rates'!G74)</f>
        <v>3.0493500000000002E-3</v>
      </c>
      <c r="H4" s="73">
        <f>SUM('Breakout of PCIA Rates'!H4,'Breakout of PCIA Rates'!H15,'Breakout of PCIA Rates'!H27,'Breakout of PCIA Rates'!H39,'Breakout of PCIA Rates'!H52,'Breakout of PCIA Rates'!H63,'Breakout of PCIA Rates'!H74)</f>
        <v>4.4506800000000003E-3</v>
      </c>
      <c r="I4" s="73">
        <f>SUM('Breakout of PCIA Rates'!I4,'Breakout of PCIA Rates'!I15,'Breakout of PCIA Rates'!I27,'Breakout of PCIA Rates'!I39,'Breakout of PCIA Rates'!I52,'Breakout of PCIA Rates'!I63,'Breakout of PCIA Rates'!I74)</f>
        <v>4.3937999999999963E-4</v>
      </c>
      <c r="J4" s="73">
        <f>SUM('Breakout of PCIA Rates'!J4,'Breakout of PCIA Rates'!J15,'Breakout of PCIA Rates'!J27,'Breakout of PCIA Rates'!J39,'Breakout of PCIA Rates'!J52,'Breakout of PCIA Rates'!J63,'Breakout of PCIA Rates'!J74)</f>
        <v>1.5873399999999998E-3</v>
      </c>
      <c r="K4" s="73">
        <f>SUM('Breakout of PCIA Rates'!K4,'Breakout of PCIA Rates'!K15,'Breakout of PCIA Rates'!K27,'Breakout of PCIA Rates'!K39,'Breakout of PCIA Rates'!K52,'Breakout of PCIA Rates'!K63,'Breakout of PCIA Rates'!K74)</f>
        <v>6.9285099999999997E-3</v>
      </c>
      <c r="L4" s="73">
        <f>SUM('Breakout of PCIA Rates'!L4,'Breakout of PCIA Rates'!L15,'Breakout of PCIA Rates'!L27,'Breakout of PCIA Rates'!L39,'Breakout of PCIA Rates'!L52,'Breakout of PCIA Rates'!L63,'Breakout of PCIA Rates'!L74)</f>
        <v>1.103736E-2</v>
      </c>
      <c r="M4" s="73">
        <f>SUM('Breakout of PCIA Rates'!M4,'Breakout of PCIA Rates'!M15,'Breakout of PCIA Rates'!M27,'Breakout of PCIA Rates'!M39,'Breakout of PCIA Rates'!M52,'Breakout of PCIA Rates'!M63,'Breakout of PCIA Rates'!M74)</f>
        <v>1.699991E-2</v>
      </c>
      <c r="N4" s="73">
        <f>SUM('Breakout of PCIA Rates'!N4,'Breakout of PCIA Rates'!N15,'Breakout of PCIA Rates'!N27,'Breakout of PCIA Rates'!N39,'Breakout of PCIA Rates'!N52,'Breakout of PCIA Rates'!N63,'Breakout of PCIA Rates'!N74)</f>
        <v>2.0031159999999999E-2</v>
      </c>
      <c r="O4" s="73">
        <f>SUM('Breakout of PCIA Rates'!O4,'Breakout of PCIA Rates'!O15,'Breakout of PCIA Rates'!O27,'Breakout of PCIA Rates'!O39,'Breakout of PCIA Rates'!O52,'Breakout of PCIA Rates'!O63,'Breakout of PCIA Rates'!O74)</f>
        <v>1.296044E-2</v>
      </c>
      <c r="P4" s="73">
        <f>SUM('Breakout of PCIA Rates'!P4,'Breakout of PCIA Rates'!P15,'Breakout of PCIA Rates'!P27,'Breakout of PCIA Rates'!P39,'Breakout of PCIA Rates'!P52,'Breakout of PCIA Rates'!P63,'Breakout of PCIA Rates'!P74)</f>
        <v>1.3078589999999999E-2</v>
      </c>
      <c r="Q4" s="73">
        <f>SUM('Breakout of PCIA Rates'!Q4,'Breakout of PCIA Rates'!Q15,'Breakout of PCIA Rates'!Q27,'Breakout of PCIA Rates'!Q39,'Breakout of PCIA Rates'!Q52,'Breakout of PCIA Rates'!Q63,'Breakout of PCIA Rates'!Q74)</f>
        <v>1.9018409999999999E-2</v>
      </c>
      <c r="R4" s="73">
        <f>SUM('Breakout of PCIA Rates'!R4,'Breakout of PCIA Rates'!R15,'Breakout of PCIA Rates'!R27,'Breakout of PCIA Rates'!R39,'Breakout of PCIA Rates'!R52,'Breakout of PCIA Rates'!R63,'Breakout of PCIA Rates'!R74)</f>
        <v>1.25445E-2</v>
      </c>
      <c r="S4" s="73">
        <f>SUM('Breakout of PCIA Rates'!S4,'Breakout of PCIA Rates'!S15,'Breakout of PCIA Rates'!S27,'Breakout of PCIA Rates'!S39,'Breakout of PCIA Rates'!S52,'Breakout of PCIA Rates'!S63,'Breakout of PCIA Rates'!S74)</f>
        <v>1.7250149999999999E-2</v>
      </c>
      <c r="T4" s="73">
        <f>SUM('Breakout of PCIA Rates'!T4,'Breakout of PCIA Rates'!T15,'Breakout of PCIA Rates'!T27,'Breakout of PCIA Rates'!T39,'Breakout of PCIA Rates'!T52,'Breakout of PCIA Rates'!T63,'Breakout of PCIA Rates'!T74)</f>
        <v>1.9666929999999999E-2</v>
      </c>
      <c r="U4" s="73">
        <f>SUM('Breakout of PCIA Rates'!U4,'Breakout of PCIA Rates'!U15,'Breakout of PCIA Rates'!U27,'Breakout of PCIA Rates'!U39,'Breakout of PCIA Rates'!U52,'Breakout of PCIA Rates'!U63,'Breakout of PCIA Rates'!U74)</f>
        <v>1.4616799999999998E-2</v>
      </c>
      <c r="V4" s="73">
        <f>SUM('Breakout of PCIA Rates'!V4,'Breakout of PCIA Rates'!V15,'Breakout of PCIA Rates'!V27,'Breakout of PCIA Rates'!V39,'Breakout of PCIA Rates'!V52,'Breakout of PCIA Rates'!V63,'Breakout of PCIA Rates'!V74)</f>
        <v>3.3859449999999999E-2</v>
      </c>
      <c r="W4" s="73">
        <f>SUM('Breakout of PCIA Rates'!W4,'Breakout of PCIA Rates'!W15,'Breakout of PCIA Rates'!W27,'Breakout of PCIA Rates'!W39,'Breakout of PCIA Rates'!W52,'Breakout of PCIA Rates'!W63,'Breakout of PCIA Rates'!W74)</f>
        <v>2.3679819999999997E-2</v>
      </c>
      <c r="X4" s="73">
        <f>SUM('Breakout of PCIA Rates'!X4,'Breakout of PCIA Rates'!X15,'Breakout of PCIA Rates'!X27,'Breakout of PCIA Rates'!X39,'Breakout of PCIA Rates'!X52,'Breakout of PCIA Rates'!X63,'Breakout of PCIA Rates'!X74)</f>
        <v>2.3679819999999997E-2</v>
      </c>
    </row>
    <row r="5" spans="1:25">
      <c r="A5" s="44" t="s">
        <v>42</v>
      </c>
      <c r="B5" s="73">
        <f>'Breakout of PCIA Rates'!B5</f>
        <v>3.1147E-4</v>
      </c>
      <c r="C5" s="73">
        <f>SUM('Breakout of PCIA Rates'!C5,'Breakout of PCIA Rates'!C16,'Breakout of PCIA Rates'!C28,'Breakout of PCIA Rates'!C40,'Breakout of PCIA Rates'!C53,'Breakout of PCIA Rates'!C64,'Breakout of PCIA Rates'!C75)</f>
        <v>9.2139999999999995E-5</v>
      </c>
      <c r="D5" s="73">
        <f>SUM('Breakout of PCIA Rates'!D5,'Breakout of PCIA Rates'!D16,'Breakout of PCIA Rates'!D28,'Breakout of PCIA Rates'!D40,'Breakout of PCIA Rates'!D53,'Breakout of PCIA Rates'!D64,'Breakout of PCIA Rates'!D75)</f>
        <v>9.9989999999999996E-5</v>
      </c>
      <c r="E5" s="73">
        <f>SUM('Breakout of PCIA Rates'!E5,'Breakout of PCIA Rates'!E16,'Breakout of PCIA Rates'!E28,'Breakout of PCIA Rates'!E40,'Breakout of PCIA Rates'!E53,'Breakout of PCIA Rates'!E64,'Breakout of PCIA Rates'!E75)</f>
        <v>9.9989999999999996E-5</v>
      </c>
      <c r="F5" s="73">
        <f>SUM('Breakout of PCIA Rates'!F5,'Breakout of PCIA Rates'!F16,'Breakout of PCIA Rates'!F28,'Breakout of PCIA Rates'!F40,'Breakout of PCIA Rates'!F53,'Breakout of PCIA Rates'!F64,'Breakout of PCIA Rates'!F75)</f>
        <v>1.6183700000000001E-3</v>
      </c>
      <c r="G5" s="73">
        <f>SUM('Breakout of PCIA Rates'!G5,'Breakout of PCIA Rates'!G16,'Breakout of PCIA Rates'!G28,'Breakout of PCIA Rates'!G40,'Breakout of PCIA Rates'!G53,'Breakout of PCIA Rates'!G64,'Breakout of PCIA Rates'!G75)</f>
        <v>2.4359E-3</v>
      </c>
      <c r="H5" s="73">
        <f>SUM('Breakout of PCIA Rates'!H5,'Breakout of PCIA Rates'!H16,'Breakout of PCIA Rates'!H28,'Breakout of PCIA Rates'!H40,'Breakout of PCIA Rates'!H53,'Breakout of PCIA Rates'!H64,'Breakout of PCIA Rates'!H75)</f>
        <v>3.5554599999999999E-3</v>
      </c>
      <c r="I5" s="73">
        <f>SUM('Breakout of PCIA Rates'!I5,'Breakout of PCIA Rates'!I16,'Breakout of PCIA Rates'!I28,'Breakout of PCIA Rates'!I40,'Breakout of PCIA Rates'!I53,'Breakout of PCIA Rates'!I64,'Breakout of PCIA Rates'!I75)</f>
        <v>3.5071999999999968E-4</v>
      </c>
      <c r="J5" s="73">
        <f>SUM('Breakout of PCIA Rates'!J5,'Breakout of PCIA Rates'!J16,'Breakout of PCIA Rates'!J28,'Breakout of PCIA Rates'!J40,'Breakout of PCIA Rates'!J53,'Breakout of PCIA Rates'!J64,'Breakout of PCIA Rates'!J75)</f>
        <v>1.2678499999999996E-3</v>
      </c>
      <c r="K5" s="73">
        <f>SUM('Breakout of PCIA Rates'!K5,'Breakout of PCIA Rates'!K16,'Breakout of PCIA Rates'!K28,'Breakout of PCIA Rates'!K40,'Breakout of PCIA Rates'!K53,'Breakout of PCIA Rates'!K64,'Breakout of PCIA Rates'!K75)</f>
        <v>5.8920899999999991E-3</v>
      </c>
      <c r="L5" s="73">
        <f>SUM('Breakout of PCIA Rates'!L5,'Breakout of PCIA Rates'!L16,'Breakout of PCIA Rates'!L28,'Breakout of PCIA Rates'!L40,'Breakout of PCIA Rates'!L53,'Breakout of PCIA Rates'!L64,'Breakout of PCIA Rates'!L75)</f>
        <v>9.5137499999999979E-3</v>
      </c>
      <c r="M5" s="73">
        <f>SUM('Breakout of PCIA Rates'!M5,'Breakout of PCIA Rates'!M16,'Breakout of PCIA Rates'!M28,'Breakout of PCIA Rates'!M40,'Breakout of PCIA Rates'!M53,'Breakout of PCIA Rates'!M64,'Breakout of PCIA Rates'!M75)</f>
        <v>1.5611409999999999E-2</v>
      </c>
      <c r="N5" s="73">
        <f>SUM('Breakout of PCIA Rates'!N5,'Breakout of PCIA Rates'!N16,'Breakout of PCIA Rates'!N28,'Breakout of PCIA Rates'!N40,'Breakout of PCIA Rates'!N53,'Breakout of PCIA Rates'!N64,'Breakout of PCIA Rates'!N75)</f>
        <v>1.849659E-2</v>
      </c>
      <c r="O5" s="73">
        <f>SUM('Breakout of PCIA Rates'!O5,'Breakout of PCIA Rates'!O16,'Breakout of PCIA Rates'!O28,'Breakout of PCIA Rates'!O40,'Breakout of PCIA Rates'!O53,'Breakout of PCIA Rates'!O64,'Breakout of PCIA Rates'!O75)</f>
        <v>1.1592859999999998E-2</v>
      </c>
      <c r="P5" s="73">
        <f>SUM('Breakout of PCIA Rates'!P5,'Breakout of PCIA Rates'!P16,'Breakout of PCIA Rates'!P28,'Breakout of PCIA Rates'!P40,'Breakout of PCIA Rates'!P53,'Breakout of PCIA Rates'!P64,'Breakout of PCIA Rates'!P75)</f>
        <v>1.1709599999999997E-2</v>
      </c>
      <c r="Q5" s="73">
        <f>SUM('Breakout of PCIA Rates'!Q5,'Breakout of PCIA Rates'!Q16,'Breakout of PCIA Rates'!Q28,'Breakout of PCIA Rates'!Q40,'Breakout of PCIA Rates'!Q53,'Breakout of PCIA Rates'!Q64,'Breakout of PCIA Rates'!Q75)</f>
        <v>1.775676E-2</v>
      </c>
      <c r="R5" s="73">
        <f>SUM('Breakout of PCIA Rates'!R5,'Breakout of PCIA Rates'!R16,'Breakout of PCIA Rates'!R28,'Breakout of PCIA Rates'!R40,'Breakout of PCIA Rates'!R53,'Breakout of PCIA Rates'!R64,'Breakout of PCIA Rates'!R75)</f>
        <v>1.1282849999999999E-2</v>
      </c>
      <c r="S5" s="73">
        <f>SUM('Breakout of PCIA Rates'!S5,'Breakout of PCIA Rates'!S16,'Breakout of PCIA Rates'!S28,'Breakout of PCIA Rates'!S40,'Breakout of PCIA Rates'!S53,'Breakout of PCIA Rates'!S64,'Breakout of PCIA Rates'!S75)</f>
        <v>1.5996529999999998E-2</v>
      </c>
      <c r="T5" s="73">
        <f>SUM('Breakout of PCIA Rates'!T5,'Breakout of PCIA Rates'!T16,'Breakout of PCIA Rates'!T28,'Breakout of PCIA Rates'!T40,'Breakout of PCIA Rates'!T53,'Breakout of PCIA Rates'!T64,'Breakout of PCIA Rates'!T75)</f>
        <v>1.7904699999999996E-2</v>
      </c>
      <c r="U5" s="73">
        <f>SUM('Breakout of PCIA Rates'!U5,'Breakout of PCIA Rates'!U16,'Breakout of PCIA Rates'!U28,'Breakout of PCIA Rates'!U40,'Breakout of PCIA Rates'!U53,'Breakout of PCIA Rates'!U64,'Breakout of PCIA Rates'!U75)</f>
        <v>1.2955059999999997E-2</v>
      </c>
      <c r="V5" s="73">
        <f>SUM('Breakout of PCIA Rates'!V5,'Breakout of PCIA Rates'!V16,'Breakout of PCIA Rates'!V28,'Breakout of PCIA Rates'!V40,'Breakout of PCIA Rates'!V53,'Breakout of PCIA Rates'!V64,'Breakout of PCIA Rates'!V75)</f>
        <v>2.8369869999999998E-2</v>
      </c>
      <c r="W5" s="73">
        <f>SUM('Breakout of PCIA Rates'!W5,'Breakout of PCIA Rates'!W16,'Breakout of PCIA Rates'!W28,'Breakout of PCIA Rates'!W40,'Breakout of PCIA Rates'!W53,'Breakout of PCIA Rates'!W64,'Breakout of PCIA Rates'!W75)</f>
        <v>1.5262479999999997E-2</v>
      </c>
      <c r="X5" s="73">
        <f>SUM('Breakout of PCIA Rates'!X5,'Breakout of PCIA Rates'!X16,'Breakout of PCIA Rates'!X28,'Breakout of PCIA Rates'!X40,'Breakout of PCIA Rates'!X53,'Breakout of PCIA Rates'!X64,'Breakout of PCIA Rates'!X75)</f>
        <v>1.5262479999999997E-2</v>
      </c>
    </row>
    <row r="6" spans="1:25">
      <c r="A6" s="44" t="s">
        <v>54</v>
      </c>
      <c r="B6" s="73">
        <f>'Breakout of PCIA Rates'!B6</f>
        <v>2.2279E-4</v>
      </c>
      <c r="C6" s="73">
        <f>SUM('Breakout of PCIA Rates'!C6,'Breakout of PCIA Rates'!C17,'Breakout of PCIA Rates'!C29,'Breakout of PCIA Rates'!C41,'Breakout of PCIA Rates'!C54,'Breakout of PCIA Rates'!C65,'Breakout of PCIA Rates'!C76)</f>
        <v>6.5909999999999997E-5</v>
      </c>
      <c r="D6" s="73">
        <f>SUM('Breakout of PCIA Rates'!D6,'Breakout of PCIA Rates'!D17,'Breakout of PCIA Rates'!D29,'Breakout of PCIA Rates'!D41,'Breakout of PCIA Rates'!D54,'Breakout of PCIA Rates'!D65,'Breakout of PCIA Rates'!D76)</f>
        <v>7.3769999999999993E-5</v>
      </c>
      <c r="E6" s="73">
        <f>SUM('Breakout of PCIA Rates'!E6,'Breakout of PCIA Rates'!E17,'Breakout of PCIA Rates'!E29,'Breakout of PCIA Rates'!E41,'Breakout of PCIA Rates'!E54,'Breakout of PCIA Rates'!E65,'Breakout of PCIA Rates'!E76)</f>
        <v>7.3769999999999993E-5</v>
      </c>
      <c r="F6" s="73">
        <f>SUM('Breakout of PCIA Rates'!F6,'Breakout of PCIA Rates'!F17,'Breakout of PCIA Rates'!F29,'Breakout of PCIA Rates'!F41,'Breakout of PCIA Rates'!F54,'Breakout of PCIA Rates'!F65,'Breakout of PCIA Rates'!F76)</f>
        <v>1.59486E-3</v>
      </c>
      <c r="G6" s="73">
        <f>SUM('Breakout of PCIA Rates'!G6,'Breakout of PCIA Rates'!G17,'Breakout of PCIA Rates'!G29,'Breakout of PCIA Rates'!G41,'Breakout of PCIA Rates'!G54,'Breakout of PCIA Rates'!G65,'Breakout of PCIA Rates'!G76)</f>
        <v>2.41384E-3</v>
      </c>
      <c r="H6" s="73">
        <f>SUM('Breakout of PCIA Rates'!H6,'Breakout of PCIA Rates'!H17,'Breakout of PCIA Rates'!H29,'Breakout of PCIA Rates'!H41,'Breakout of PCIA Rates'!H54,'Breakout of PCIA Rates'!H65,'Breakout of PCIA Rates'!H76)</f>
        <v>3.5354000000000002E-3</v>
      </c>
      <c r="I6" s="73">
        <f>SUM('Breakout of PCIA Rates'!I6,'Breakout of PCIA Rates'!I17,'Breakout of PCIA Rates'!I29,'Breakout of PCIA Rates'!I41,'Breakout of PCIA Rates'!I54,'Breakout of PCIA Rates'!I65,'Breakout of PCIA Rates'!I76)</f>
        <v>3.249500000000005E-4</v>
      </c>
      <c r="J6" s="73">
        <f>SUM('Breakout of PCIA Rates'!J6,'Breakout of PCIA Rates'!J17,'Breakout of PCIA Rates'!J29,'Breakout of PCIA Rates'!J41,'Breakout of PCIA Rates'!J54,'Breakout of PCIA Rates'!J65,'Breakout of PCIA Rates'!J76)</f>
        <v>1.2437200000000005E-3</v>
      </c>
      <c r="K6" s="73">
        <f>SUM('Breakout of PCIA Rates'!K6,'Breakout of PCIA Rates'!K17,'Breakout of PCIA Rates'!K29,'Breakout of PCIA Rates'!K41,'Breakout of PCIA Rates'!K54,'Breakout of PCIA Rates'!K65,'Breakout of PCIA Rates'!K76)</f>
        <v>5.8730400000000004E-3</v>
      </c>
      <c r="L6" s="73">
        <f>SUM('Breakout of PCIA Rates'!L6,'Breakout of PCIA Rates'!L17,'Breakout of PCIA Rates'!L29,'Breakout of PCIA Rates'!L41,'Breakout of PCIA Rates'!L54,'Breakout of PCIA Rates'!L65,'Breakout of PCIA Rates'!L76)</f>
        <v>9.5444599999999994E-3</v>
      </c>
      <c r="M6" s="73">
        <f>SUM('Breakout of PCIA Rates'!M6,'Breakout of PCIA Rates'!M17,'Breakout of PCIA Rates'!M29,'Breakout of PCIA Rates'!M41,'Breakout of PCIA Rates'!M54,'Breakout of PCIA Rates'!M65,'Breakout of PCIA Rates'!M76)</f>
        <v>1.560916E-2</v>
      </c>
      <c r="N6" s="73">
        <f>SUM('Breakout of PCIA Rates'!N6,'Breakout of PCIA Rates'!N17,'Breakout of PCIA Rates'!N29,'Breakout of PCIA Rates'!N41,'Breakout of PCIA Rates'!N54,'Breakout of PCIA Rates'!N65,'Breakout of PCIA Rates'!N76)</f>
        <v>1.854666E-2</v>
      </c>
      <c r="O6" s="73">
        <f>SUM('Breakout of PCIA Rates'!O6,'Breakout of PCIA Rates'!O17,'Breakout of PCIA Rates'!O29,'Breakout of PCIA Rates'!O41,'Breakout of PCIA Rates'!O54,'Breakout of PCIA Rates'!O65,'Breakout of PCIA Rates'!O76)</f>
        <v>1.1582729999999999E-2</v>
      </c>
      <c r="P6" s="73">
        <f>SUM('Breakout of PCIA Rates'!P6,'Breakout of PCIA Rates'!P17,'Breakout of PCIA Rates'!P29,'Breakout of PCIA Rates'!P41,'Breakout of PCIA Rates'!P54,'Breakout of PCIA Rates'!P65,'Breakout of PCIA Rates'!P76)</f>
        <v>1.1699979999999999E-2</v>
      </c>
      <c r="Q6" s="73">
        <f>SUM('Breakout of PCIA Rates'!Q6,'Breakout of PCIA Rates'!Q17,'Breakout of PCIA Rates'!Q29,'Breakout of PCIA Rates'!Q41,'Breakout of PCIA Rates'!Q54,'Breakout of PCIA Rates'!Q65,'Breakout of PCIA Rates'!Q76)</f>
        <v>1.7708450000000001E-2</v>
      </c>
      <c r="R6" s="73">
        <f>SUM('Breakout of PCIA Rates'!R6,'Breakout of PCIA Rates'!R17,'Breakout of PCIA Rates'!R29,'Breakout of PCIA Rates'!R41,'Breakout of PCIA Rates'!R54,'Breakout of PCIA Rates'!R65,'Breakout of PCIA Rates'!R76)</f>
        <v>1.1234540000000001E-2</v>
      </c>
      <c r="S6" s="73">
        <f>SUM('Breakout of PCIA Rates'!S6,'Breakout of PCIA Rates'!S17,'Breakout of PCIA Rates'!S29,'Breakout of PCIA Rates'!S41,'Breakout of PCIA Rates'!S54,'Breakout of PCIA Rates'!S65,'Breakout of PCIA Rates'!S76)</f>
        <v>1.59445E-2</v>
      </c>
      <c r="T6" s="73">
        <f>SUM('Breakout of PCIA Rates'!T6,'Breakout of PCIA Rates'!T17,'Breakout of PCIA Rates'!T29,'Breakout of PCIA Rates'!T41,'Breakout of PCIA Rates'!T54,'Breakout of PCIA Rates'!T65,'Breakout of PCIA Rates'!T76)</f>
        <v>1.8140410000000003E-2</v>
      </c>
      <c r="U6" s="73">
        <f>SUM('Breakout of PCIA Rates'!U6,'Breakout of PCIA Rates'!U17,'Breakout of PCIA Rates'!U29,'Breakout of PCIA Rates'!U41,'Breakout of PCIA Rates'!U54,'Breakout of PCIA Rates'!U65,'Breakout of PCIA Rates'!U76)</f>
        <v>1.3115970000000001E-2</v>
      </c>
      <c r="V6" s="73">
        <f>SUM('Breakout of PCIA Rates'!V6,'Breakout of PCIA Rates'!V17,'Breakout of PCIA Rates'!V29,'Breakout of PCIA Rates'!V41,'Breakout of PCIA Rates'!V54,'Breakout of PCIA Rates'!V65,'Breakout of PCIA Rates'!V76)</f>
        <v>3.2641049999999998E-2</v>
      </c>
      <c r="W6" s="73">
        <f>SUM('Breakout of PCIA Rates'!W6,'Breakout of PCIA Rates'!W17,'Breakout of PCIA Rates'!W29,'Breakout of PCIA Rates'!W41,'Breakout of PCIA Rates'!W54,'Breakout of PCIA Rates'!W65,'Breakout of PCIA Rates'!W76)</f>
        <v>1.7156770000000002E-2</v>
      </c>
      <c r="X6" s="73">
        <f>SUM('Breakout of PCIA Rates'!X6,'Breakout of PCIA Rates'!X17,'Breakout of PCIA Rates'!X29,'Breakout of PCIA Rates'!X41,'Breakout of PCIA Rates'!X54,'Breakout of PCIA Rates'!X65,'Breakout of PCIA Rates'!X76)</f>
        <v>1.7156770000000002E-2</v>
      </c>
    </row>
    <row r="7" spans="1:25">
      <c r="A7" s="44" t="s">
        <v>52</v>
      </c>
      <c r="B7" s="73">
        <f>'Breakout of PCIA Rates'!B7</f>
        <v>2.3063000000000001E-4</v>
      </c>
      <c r="C7" s="73">
        <f>SUM('Breakout of PCIA Rates'!C7,'Breakout of PCIA Rates'!C18,'Breakout of PCIA Rates'!C30,'Breakout of PCIA Rates'!C42,'Breakout of PCIA Rates'!C55,'Breakout of PCIA Rates'!C66,'Breakout of PCIA Rates'!C77)</f>
        <v>6.8230000000000002E-5</v>
      </c>
      <c r="D7" s="73">
        <f>SUM('Breakout of PCIA Rates'!D7,'Breakout of PCIA Rates'!D18,'Breakout of PCIA Rates'!D30,'Breakout of PCIA Rates'!D42,'Breakout of PCIA Rates'!D55,'Breakout of PCIA Rates'!D66,'Breakout of PCIA Rates'!D77)</f>
        <v>7.4210000000000009E-5</v>
      </c>
      <c r="E7" s="73">
        <f>SUM('Breakout of PCIA Rates'!E7,'Breakout of PCIA Rates'!E18,'Breakout of PCIA Rates'!E30,'Breakout of PCIA Rates'!E42,'Breakout of PCIA Rates'!E55,'Breakout of PCIA Rates'!E66,'Breakout of PCIA Rates'!E77)</f>
        <v>7.4210000000000009E-5</v>
      </c>
      <c r="F7" s="73">
        <f>SUM('Breakout of PCIA Rates'!F7,'Breakout of PCIA Rates'!F18,'Breakout of PCIA Rates'!F30,'Breakout of PCIA Rates'!F42,'Breakout of PCIA Rates'!F55,'Breakout of PCIA Rates'!F66,'Breakout of PCIA Rates'!F77)</f>
        <v>1.2311599999999998E-3</v>
      </c>
      <c r="G7" s="73">
        <f>SUM('Breakout of PCIA Rates'!G7,'Breakout of PCIA Rates'!G18,'Breakout of PCIA Rates'!G30,'Breakout of PCIA Rates'!G42,'Breakout of PCIA Rates'!G55,'Breakout of PCIA Rates'!G66,'Breakout of PCIA Rates'!G77)</f>
        <v>1.8540899999999996E-3</v>
      </c>
      <c r="H7" s="73">
        <f>SUM('Breakout of PCIA Rates'!H7,'Breakout of PCIA Rates'!H18,'Breakout of PCIA Rates'!H30,'Breakout of PCIA Rates'!H42,'Breakout of PCIA Rates'!H55,'Breakout of PCIA Rates'!H66,'Breakout of PCIA Rates'!H77)</f>
        <v>2.7071499999999997E-3</v>
      </c>
      <c r="I7" s="73">
        <f>SUM('Breakout of PCIA Rates'!I7,'Breakout of PCIA Rates'!I18,'Breakout of PCIA Rates'!I30,'Breakout of PCIA Rates'!I42,'Breakout of PCIA Rates'!I55,'Breakout of PCIA Rates'!I66,'Breakout of PCIA Rates'!I77)</f>
        <v>2.652599999999998E-4</v>
      </c>
      <c r="J7" s="73">
        <f>SUM('Breakout of PCIA Rates'!J7,'Breakout of PCIA Rates'!J18,'Breakout of PCIA Rates'!J30,'Breakout of PCIA Rates'!J42,'Breakout of PCIA Rates'!J55,'Breakout of PCIA Rates'!J66,'Breakout of PCIA Rates'!J77)</f>
        <v>9.6407999999999975E-4</v>
      </c>
      <c r="K7" s="73">
        <f>SUM('Breakout of PCIA Rates'!K7,'Breakout of PCIA Rates'!K18,'Breakout of PCIA Rates'!K30,'Breakout of PCIA Rates'!K42,'Breakout of PCIA Rates'!K55,'Breakout of PCIA Rates'!K66,'Breakout of PCIA Rates'!K77)</f>
        <v>4.9102499999999997E-3</v>
      </c>
      <c r="L7" s="73">
        <f>SUM('Breakout of PCIA Rates'!L7,'Breakout of PCIA Rates'!L18,'Breakout of PCIA Rates'!L30,'Breakout of PCIA Rates'!L42,'Breakout of PCIA Rates'!L55,'Breakout of PCIA Rates'!L66,'Breakout of PCIA Rates'!L77)</f>
        <v>8.0696899999999992E-3</v>
      </c>
      <c r="M7" s="73">
        <f>SUM('Breakout of PCIA Rates'!M7,'Breakout of PCIA Rates'!M18,'Breakout of PCIA Rates'!M30,'Breakout of PCIA Rates'!M42,'Breakout of PCIA Rates'!M55,'Breakout of PCIA Rates'!M66,'Breakout of PCIA Rates'!M77)</f>
        <v>1.4284700000000001E-2</v>
      </c>
      <c r="N7" s="73">
        <f>SUM('Breakout of PCIA Rates'!N7,'Breakout of PCIA Rates'!N18,'Breakout of PCIA Rates'!N30,'Breakout of PCIA Rates'!N42,'Breakout of PCIA Rates'!N55,'Breakout of PCIA Rates'!N66,'Breakout of PCIA Rates'!N77)</f>
        <v>1.704191E-2</v>
      </c>
      <c r="O7" s="73">
        <f>SUM('Breakout of PCIA Rates'!O7,'Breakout of PCIA Rates'!O18,'Breakout of PCIA Rates'!O30,'Breakout of PCIA Rates'!O42,'Breakout of PCIA Rates'!O55,'Breakout of PCIA Rates'!O66,'Breakout of PCIA Rates'!O77)</f>
        <v>1.028452E-2</v>
      </c>
      <c r="P7" s="73">
        <f>SUM('Breakout of PCIA Rates'!P7,'Breakout of PCIA Rates'!P18,'Breakout of PCIA Rates'!P30,'Breakout of PCIA Rates'!P42,'Breakout of PCIA Rates'!P55,'Breakout of PCIA Rates'!P66,'Breakout of PCIA Rates'!P77)</f>
        <v>1.0400030000000001E-2</v>
      </c>
      <c r="Q7" s="73">
        <f>SUM('Breakout of PCIA Rates'!Q7,'Breakout of PCIA Rates'!Q18,'Breakout of PCIA Rates'!Q30,'Breakout of PCIA Rates'!Q42,'Breakout of PCIA Rates'!Q55,'Breakout of PCIA Rates'!Q66,'Breakout of PCIA Rates'!Q77)</f>
        <v>1.6541260000000002E-2</v>
      </c>
      <c r="R7" s="73">
        <f>SUM('Breakout of PCIA Rates'!R7,'Breakout of PCIA Rates'!R18,'Breakout of PCIA Rates'!R30,'Breakout of PCIA Rates'!R42,'Breakout of PCIA Rates'!R55,'Breakout of PCIA Rates'!R66,'Breakout of PCIA Rates'!R77)</f>
        <v>1.0067350000000001E-2</v>
      </c>
      <c r="S7" s="73">
        <f>SUM('Breakout of PCIA Rates'!S7,'Breakout of PCIA Rates'!S18,'Breakout of PCIA Rates'!S30,'Breakout of PCIA Rates'!S42,'Breakout of PCIA Rates'!S55,'Breakout of PCIA Rates'!S66,'Breakout of PCIA Rates'!S77)</f>
        <v>1.4788200000000001E-2</v>
      </c>
      <c r="T7" s="73">
        <f>SUM('Breakout of PCIA Rates'!T7,'Breakout of PCIA Rates'!T18,'Breakout of PCIA Rates'!T30,'Breakout of PCIA Rates'!T42,'Breakout of PCIA Rates'!T55,'Breakout of PCIA Rates'!T66,'Breakout of PCIA Rates'!T77)</f>
        <v>1.6220129999999999E-2</v>
      </c>
      <c r="U7" s="73">
        <f>SUM('Breakout of PCIA Rates'!U7,'Breakout of PCIA Rates'!U18,'Breakout of PCIA Rates'!U30,'Breakout of PCIA Rates'!U42,'Breakout of PCIA Rates'!U55,'Breakout of PCIA Rates'!U66,'Breakout of PCIA Rates'!U77)</f>
        <v>1.136881E-2</v>
      </c>
      <c r="V7" s="73">
        <f>SUM('Breakout of PCIA Rates'!V7,'Breakout of PCIA Rates'!V18,'Breakout of PCIA Rates'!V30,'Breakout of PCIA Rates'!V42,'Breakout of PCIA Rates'!V55,'Breakout of PCIA Rates'!V66,'Breakout of PCIA Rates'!V77)</f>
        <v>2.314449E-2</v>
      </c>
      <c r="W7" s="73">
        <f>SUM('Breakout of PCIA Rates'!W7,'Breakout of PCIA Rates'!W18,'Breakout of PCIA Rates'!W30,'Breakout of PCIA Rates'!W42,'Breakout of PCIA Rates'!W55,'Breakout of PCIA Rates'!W66,'Breakout of PCIA Rates'!W77)</f>
        <v>1.474522E-2</v>
      </c>
      <c r="X7" s="73">
        <f>SUM('Breakout of PCIA Rates'!X7,'Breakout of PCIA Rates'!X18,'Breakout of PCIA Rates'!X30,'Breakout of PCIA Rates'!X42,'Breakout of PCIA Rates'!X55,'Breakout of PCIA Rates'!X66,'Breakout of PCIA Rates'!X77)</f>
        <v>1.474522E-2</v>
      </c>
    </row>
    <row r="8" spans="1:25">
      <c r="A8" s="44" t="s">
        <v>53</v>
      </c>
      <c r="B8" s="73">
        <f>'Breakout of PCIA Rates'!B8</f>
        <v>2.1367000000000001E-4</v>
      </c>
      <c r="C8" s="73">
        <f>SUM('Breakout of PCIA Rates'!C8,'Breakout of PCIA Rates'!C19,'Breakout of PCIA Rates'!C31,'Breakout of PCIA Rates'!C43,'Breakout of PCIA Rates'!C56,'Breakout of PCIA Rates'!C67,'Breakout of PCIA Rates'!C78)</f>
        <v>6.321E-5</v>
      </c>
      <c r="D8" s="73">
        <f>SUM('Breakout of PCIA Rates'!D8,'Breakout of PCIA Rates'!D19,'Breakout of PCIA Rates'!D31,'Breakout of PCIA Rates'!D43,'Breakout of PCIA Rates'!D56,'Breakout of PCIA Rates'!D67,'Breakout of PCIA Rates'!D78)</f>
        <v>6.8579999999999997E-5</v>
      </c>
      <c r="E8" s="73">
        <f>SUM('Breakout of PCIA Rates'!E8,'Breakout of PCIA Rates'!E19,'Breakout of PCIA Rates'!E31,'Breakout of PCIA Rates'!E43,'Breakout of PCIA Rates'!E56,'Breakout of PCIA Rates'!E67,'Breakout of PCIA Rates'!E78)</f>
        <v>6.8579999999999997E-5</v>
      </c>
      <c r="F8" s="73">
        <f>SUM('Breakout of PCIA Rates'!F8,'Breakout of PCIA Rates'!F19,'Breakout of PCIA Rates'!F31,'Breakout of PCIA Rates'!F43,'Breakout of PCIA Rates'!F56,'Breakout of PCIA Rates'!F67,'Breakout of PCIA Rates'!F78)</f>
        <v>1.1071399999999999E-3</v>
      </c>
      <c r="G8" s="73">
        <f>SUM('Breakout of PCIA Rates'!G8,'Breakout of PCIA Rates'!G19,'Breakout of PCIA Rates'!G31,'Breakout of PCIA Rates'!G43,'Breakout of PCIA Rates'!G56,'Breakout of PCIA Rates'!G67,'Breakout of PCIA Rates'!G78)</f>
        <v>1.66632E-3</v>
      </c>
      <c r="H8" s="73">
        <f>SUM('Breakout of PCIA Rates'!H8,'Breakout of PCIA Rates'!H19,'Breakout of PCIA Rates'!H31,'Breakout of PCIA Rates'!H43,'Breakout of PCIA Rates'!H56,'Breakout of PCIA Rates'!H67,'Breakout of PCIA Rates'!H78)</f>
        <v>2.43209E-3</v>
      </c>
      <c r="I8" s="73">
        <f>SUM('Breakout of PCIA Rates'!I8,'Breakout of PCIA Rates'!I19,'Breakout of PCIA Rates'!I31,'Breakout of PCIA Rates'!I43,'Breakout of PCIA Rates'!I56,'Breakout of PCIA Rates'!I67,'Breakout of PCIA Rates'!I78)</f>
        <v>2.4007000000000021E-4</v>
      </c>
      <c r="J8" s="73">
        <f>SUM('Breakout of PCIA Rates'!J8,'Breakout of PCIA Rates'!J19,'Breakout of PCIA Rates'!J31,'Breakout of PCIA Rates'!J43,'Breakout of PCIA Rates'!J56,'Breakout of PCIA Rates'!J67,'Breakout of PCIA Rates'!J78)</f>
        <v>8.6738000000000028E-4</v>
      </c>
      <c r="K8" s="73">
        <f>SUM('Breakout of PCIA Rates'!K8,'Breakout of PCIA Rates'!K19,'Breakout of PCIA Rates'!K31,'Breakout of PCIA Rates'!K43,'Breakout of PCIA Rates'!K56,'Breakout of PCIA Rates'!K67,'Breakout of PCIA Rates'!K78)</f>
        <v>4.5914400000000005E-3</v>
      </c>
      <c r="L8" s="73">
        <f>SUM('Breakout of PCIA Rates'!L8,'Breakout of PCIA Rates'!L19,'Breakout of PCIA Rates'!L31,'Breakout of PCIA Rates'!L43,'Breakout of PCIA Rates'!L56,'Breakout of PCIA Rates'!L67,'Breakout of PCIA Rates'!L78)</f>
        <v>7.5997200000000008E-3</v>
      </c>
      <c r="M8" s="73">
        <f>SUM('Breakout of PCIA Rates'!M8,'Breakout of PCIA Rates'!M19,'Breakout of PCIA Rates'!M31,'Breakout of PCIA Rates'!M43,'Breakout of PCIA Rates'!M56,'Breakout of PCIA Rates'!M67,'Breakout of PCIA Rates'!M78)</f>
        <v>1.387101E-2</v>
      </c>
      <c r="N8" s="73">
        <f>SUM('Breakout of PCIA Rates'!N8,'Breakout of PCIA Rates'!N19,'Breakout of PCIA Rates'!N31,'Breakout of PCIA Rates'!N43,'Breakout of PCIA Rates'!N56,'Breakout of PCIA Rates'!N67,'Breakout of PCIA Rates'!N78)</f>
        <v>1.6567090000000003E-2</v>
      </c>
      <c r="O8" s="73">
        <f>SUM('Breakout of PCIA Rates'!O8,'Breakout of PCIA Rates'!O19,'Breakout of PCIA Rates'!O31,'Breakout of PCIA Rates'!O43,'Breakout of PCIA Rates'!O56,'Breakout of PCIA Rates'!O67,'Breakout of PCIA Rates'!O78)</f>
        <v>9.8796000000000023E-3</v>
      </c>
      <c r="P8" s="73">
        <f>SUM('Breakout of PCIA Rates'!P8,'Breakout of PCIA Rates'!P19,'Breakout of PCIA Rates'!P31,'Breakout of PCIA Rates'!P43,'Breakout of PCIA Rates'!P56,'Breakout of PCIA Rates'!P67,'Breakout of PCIA Rates'!P78)</f>
        <v>9.9945200000000015E-3</v>
      </c>
      <c r="Q8" s="73">
        <f>SUM('Breakout of PCIA Rates'!Q8,'Breakout of PCIA Rates'!Q19,'Breakout of PCIA Rates'!Q31,'Breakout of PCIA Rates'!Q43,'Breakout of PCIA Rates'!Q56,'Breakout of PCIA Rates'!Q67,'Breakout of PCIA Rates'!Q78)</f>
        <v>1.6180680000000003E-2</v>
      </c>
      <c r="R8" s="73">
        <f>SUM('Breakout of PCIA Rates'!R8,'Breakout of PCIA Rates'!R19,'Breakout of PCIA Rates'!R31,'Breakout of PCIA Rates'!R43,'Breakout of PCIA Rates'!R56,'Breakout of PCIA Rates'!R67,'Breakout of PCIA Rates'!R78)</f>
        <v>9.7067700000000017E-3</v>
      </c>
      <c r="S8" s="73">
        <f>SUM('Breakout of PCIA Rates'!S8,'Breakout of PCIA Rates'!S19,'Breakout of PCIA Rates'!S31,'Breakout of PCIA Rates'!S43,'Breakout of PCIA Rates'!S56,'Breakout of PCIA Rates'!S67,'Breakout of PCIA Rates'!S78)</f>
        <v>1.4431010000000001E-2</v>
      </c>
      <c r="T8" s="73">
        <f>SUM('Breakout of PCIA Rates'!T8,'Breakout of PCIA Rates'!T19,'Breakout of PCIA Rates'!T31,'Breakout of PCIA Rates'!T43,'Breakout of PCIA Rates'!T56,'Breakout of PCIA Rates'!T67,'Breakout of PCIA Rates'!T78)</f>
        <v>1.5646680000000003E-2</v>
      </c>
      <c r="U8" s="73">
        <f>SUM('Breakout of PCIA Rates'!U8,'Breakout of PCIA Rates'!U19,'Breakout of PCIA Rates'!U31,'Breakout of PCIA Rates'!U43,'Breakout of PCIA Rates'!U56,'Breakout of PCIA Rates'!U67,'Breakout of PCIA Rates'!U78)</f>
        <v>1.0839000000000001E-2</v>
      </c>
      <c r="V8" s="73">
        <f>SUM('Breakout of PCIA Rates'!V8,'Breakout of PCIA Rates'!V19,'Breakout of PCIA Rates'!V31,'Breakout of PCIA Rates'!V43,'Breakout of PCIA Rates'!V56,'Breakout of PCIA Rates'!V67,'Breakout of PCIA Rates'!V78)</f>
        <v>2.0924150000000002E-2</v>
      </c>
      <c r="W8" s="73">
        <f>SUM('Breakout of PCIA Rates'!W8,'Breakout of PCIA Rates'!W19,'Breakout of PCIA Rates'!W31,'Breakout of PCIA Rates'!W43,'Breakout of PCIA Rates'!W56,'Breakout of PCIA Rates'!W67,'Breakout of PCIA Rates'!W78)</f>
        <v>1.2996290000000001E-2</v>
      </c>
      <c r="X8" s="73">
        <f>SUM('Breakout of PCIA Rates'!X8,'Breakout of PCIA Rates'!X19,'Breakout of PCIA Rates'!X31,'Breakout of PCIA Rates'!X43,'Breakout of PCIA Rates'!X56,'Breakout of PCIA Rates'!X67,'Breakout of PCIA Rates'!X78)</f>
        <v>1.2996290000000001E-2</v>
      </c>
    </row>
    <row r="9" spans="1:25">
      <c r="A9" s="44" t="s">
        <v>55</v>
      </c>
      <c r="B9" s="73">
        <f>'Breakout of PCIA Rates'!B9</f>
        <v>2.8655000000000005E-4</v>
      </c>
      <c r="C9" s="73">
        <f>SUM('Breakout of PCIA Rates'!C9,'Breakout of PCIA Rates'!C20,'Breakout of PCIA Rates'!C32,'Breakout of PCIA Rates'!C44,'Breakout of PCIA Rates'!C57,'Breakout of PCIA Rates'!C68,'Breakout of PCIA Rates'!C79)</f>
        <v>8.4770000000000003E-5</v>
      </c>
      <c r="D9" s="73">
        <f>SUM('Breakout of PCIA Rates'!D9,'Breakout of PCIA Rates'!D20,'Breakout of PCIA Rates'!D32,'Breakout of PCIA Rates'!D44,'Breakout of PCIA Rates'!D57,'Breakout of PCIA Rates'!D68,'Breakout of PCIA Rates'!D79)</f>
        <v>9.3300000000000005E-5</v>
      </c>
      <c r="E9" s="73">
        <f>SUM('Breakout of PCIA Rates'!E9,'Breakout of PCIA Rates'!E20,'Breakout of PCIA Rates'!E32,'Breakout of PCIA Rates'!E44,'Breakout of PCIA Rates'!E57,'Breakout of PCIA Rates'!E68,'Breakout of PCIA Rates'!E79)</f>
        <v>9.3300000000000005E-5</v>
      </c>
      <c r="F9" s="73">
        <f>SUM('Breakout of PCIA Rates'!F9,'Breakout of PCIA Rates'!F20,'Breakout of PCIA Rates'!F32,'Breakout of PCIA Rates'!F44,'Breakout of PCIA Rates'!F57,'Breakout of PCIA Rates'!F68,'Breakout of PCIA Rates'!F79)</f>
        <v>1.74457E-3</v>
      </c>
      <c r="G9" s="73">
        <f>SUM('Breakout of PCIA Rates'!G9,'Breakout of PCIA Rates'!G20,'Breakout of PCIA Rates'!G32,'Breakout of PCIA Rates'!G44,'Breakout of PCIA Rates'!G57,'Breakout of PCIA Rates'!G68,'Breakout of PCIA Rates'!G79)</f>
        <v>2.63365E-3</v>
      </c>
      <c r="H9" s="73">
        <f>SUM('Breakout of PCIA Rates'!H9,'Breakout of PCIA Rates'!H20,'Breakout of PCIA Rates'!H32,'Breakout of PCIA Rates'!H44,'Breakout of PCIA Rates'!H57,'Breakout of PCIA Rates'!H68,'Breakout of PCIA Rates'!H79)</f>
        <v>3.8511999999999999E-3</v>
      </c>
      <c r="I9" s="73">
        <f>SUM('Breakout of PCIA Rates'!I9,'Breakout of PCIA Rates'!I20,'Breakout of PCIA Rates'!I32,'Breakout of PCIA Rates'!I44,'Breakout of PCIA Rates'!I57,'Breakout of PCIA Rates'!I68,'Breakout of PCIA Rates'!I79)</f>
        <v>3.6596999999999975E-4</v>
      </c>
      <c r="J9" s="73">
        <f>SUM('Breakout of PCIA Rates'!J9,'Breakout of PCIA Rates'!J20,'Breakout of PCIA Rates'!J32,'Breakout of PCIA Rates'!J44,'Breakout of PCIA Rates'!J57,'Breakout of PCIA Rates'!J68,'Breakout of PCIA Rates'!J79)</f>
        <v>1.3633799999999998E-3</v>
      </c>
      <c r="K9" s="73">
        <f>SUM('Breakout of PCIA Rates'!K9,'Breakout of PCIA Rates'!K20,'Breakout of PCIA Rates'!K32,'Breakout of PCIA Rates'!K44,'Breakout of PCIA Rates'!K57,'Breakout of PCIA Rates'!K68,'Breakout of PCIA Rates'!K79)</f>
        <v>6.2369399999999998E-3</v>
      </c>
      <c r="L9" s="73">
        <f>SUM('Breakout of PCIA Rates'!L9,'Breakout of PCIA Rates'!L20,'Breakout of PCIA Rates'!L32,'Breakout of PCIA Rates'!L44,'Breakout of PCIA Rates'!L57,'Breakout of PCIA Rates'!L68,'Breakout of PCIA Rates'!L79)</f>
        <v>1.0050659999999999E-2</v>
      </c>
      <c r="M9" s="73">
        <f>SUM('Breakout of PCIA Rates'!M9,'Breakout of PCIA Rates'!M20,'Breakout of PCIA Rates'!M32,'Breakout of PCIA Rates'!M44,'Breakout of PCIA Rates'!M57,'Breakout of PCIA Rates'!M68,'Breakout of PCIA Rates'!M79)</f>
        <v>1.6085579999999999E-2</v>
      </c>
      <c r="N9" s="73">
        <f>SUM('Breakout of PCIA Rates'!N9,'Breakout of PCIA Rates'!N20,'Breakout of PCIA Rates'!N32,'Breakout of PCIA Rates'!N44,'Breakout of PCIA Rates'!N57,'Breakout of PCIA Rates'!N68,'Breakout of PCIA Rates'!N79)</f>
        <v>1.9046210000000001E-2</v>
      </c>
      <c r="O9" s="73">
        <f>SUM('Breakout of PCIA Rates'!O9,'Breakout of PCIA Rates'!O20,'Breakout of PCIA Rates'!O32,'Breakout of PCIA Rates'!O44,'Breakout of PCIA Rates'!O57,'Breakout of PCIA Rates'!O68,'Breakout of PCIA Rates'!O79)</f>
        <v>1.2056049999999999E-2</v>
      </c>
      <c r="P9" s="73">
        <f>SUM('Breakout of PCIA Rates'!P9,'Breakout of PCIA Rates'!P20,'Breakout of PCIA Rates'!P32,'Breakout of PCIA Rates'!P44,'Breakout of PCIA Rates'!P57,'Breakout of PCIA Rates'!P68,'Breakout of PCIA Rates'!P79)</f>
        <v>1.217352E-2</v>
      </c>
      <c r="Q9" s="73">
        <f>SUM('Breakout of PCIA Rates'!Q9,'Breakout of PCIA Rates'!Q20,'Breakout of PCIA Rates'!Q32,'Breakout of PCIA Rates'!Q44,'Breakout of PCIA Rates'!Q57,'Breakout of PCIA Rates'!Q68,'Breakout of PCIA Rates'!Q79)</f>
        <v>1.8165129999999998E-2</v>
      </c>
      <c r="R9" s="73">
        <f>SUM('Breakout of PCIA Rates'!R9,'Breakout of PCIA Rates'!R20,'Breakout of PCIA Rates'!R32,'Breakout of PCIA Rates'!R44,'Breakout of PCIA Rates'!R57,'Breakout of PCIA Rates'!R68,'Breakout of PCIA Rates'!R79)</f>
        <v>1.1691219999999999E-2</v>
      </c>
      <c r="S9" s="73">
        <f>SUM('Breakout of PCIA Rates'!S9,'Breakout of PCIA Rates'!S20,'Breakout of PCIA Rates'!S32,'Breakout of PCIA Rates'!S44,'Breakout of PCIA Rates'!S57,'Breakout of PCIA Rates'!S68,'Breakout of PCIA Rates'!S79)</f>
        <v>1.6400379999999999E-2</v>
      </c>
      <c r="T9" s="73">
        <f>SUM('Breakout of PCIA Rates'!T9,'Breakout of PCIA Rates'!T20,'Breakout of PCIA Rates'!T32,'Breakout of PCIA Rates'!T44,'Breakout of PCIA Rates'!T57,'Breakout of PCIA Rates'!T68,'Breakout of PCIA Rates'!T79)</f>
        <v>1.861705E-2</v>
      </c>
      <c r="U9" s="73">
        <f>SUM('Breakout of PCIA Rates'!U9,'Breakout of PCIA Rates'!U20,'Breakout of PCIA Rates'!U32,'Breakout of PCIA Rates'!U44,'Breakout of PCIA Rates'!U57,'Breakout of PCIA Rates'!U68,'Breakout of PCIA Rates'!U79)</f>
        <v>1.359902E-2</v>
      </c>
      <c r="V9" s="73">
        <f>SUM('Breakout of PCIA Rates'!V9,'Breakout of PCIA Rates'!V20,'Breakout of PCIA Rates'!V32,'Breakout of PCIA Rates'!V44,'Breakout of PCIA Rates'!V57,'Breakout of PCIA Rates'!V68,'Breakout of PCIA Rates'!V79)</f>
        <v>3.2125229999999998E-2</v>
      </c>
      <c r="W9" s="73">
        <f>SUM('Breakout of PCIA Rates'!W9,'Breakout of PCIA Rates'!W20,'Breakout of PCIA Rates'!W32,'Breakout of PCIA Rates'!W44,'Breakout of PCIA Rates'!W57,'Breakout of PCIA Rates'!W68,'Breakout of PCIA Rates'!W79)</f>
        <v>2.0138490000000002E-2</v>
      </c>
      <c r="X9" s="73">
        <f>SUM('Breakout of PCIA Rates'!X9,'Breakout of PCIA Rates'!X20,'Breakout of PCIA Rates'!X32,'Breakout of PCIA Rates'!X44,'Breakout of PCIA Rates'!X57,'Breakout of PCIA Rates'!X68,'Breakout of PCIA Rates'!X79)</f>
        <v>2.0138490000000002E-2</v>
      </c>
    </row>
    <row r="11" spans="1:25" ht="17.25">
      <c r="A11" s="53" t="s">
        <v>151</v>
      </c>
      <c r="V11" s="87"/>
      <c r="W11" s="87"/>
      <c r="X11" s="104"/>
      <c r="Y11" s="105"/>
    </row>
    <row r="12" spans="1:25" ht="17.25">
      <c r="A12" s="53" t="s">
        <v>133</v>
      </c>
      <c r="W12" s="87"/>
    </row>
  </sheetData>
  <mergeCells count="2">
    <mergeCell ref="A1:X1"/>
    <mergeCell ref="A2:X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PCIA Inputs</vt:lpstr>
      <vt:lpstr>IOU Total Portfolio Summary</vt:lpstr>
      <vt:lpstr>Indifference Amount Calc</vt:lpstr>
      <vt:lpstr>Indifference Rate Calc</vt:lpstr>
      <vt:lpstr>Indifference Rate Calc_ERRA BA</vt:lpstr>
      <vt:lpstr>CAPBA Undercollection</vt:lpstr>
      <vt:lpstr>CAPBA Overcollection</vt:lpstr>
      <vt:lpstr>Breakout of PCIA Rates</vt:lpstr>
      <vt:lpstr>Final PCIA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McKay, Jenell T</dc:creator>
  <cp:lastModifiedBy>GRM</cp:lastModifiedBy>
  <cp:lastPrinted>2019-03-28T21:05:48Z</cp:lastPrinted>
  <dcterms:created xsi:type="dcterms:W3CDTF">2017-03-21T16:08:55Z</dcterms:created>
  <dcterms:modified xsi:type="dcterms:W3CDTF">2022-06-09T19:44:00Z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{0E2FF8FA-C848-4D4A-9817-C417F29BE04F}</vt:lpwstr>
  </property>
</Properties>
</file>