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\\corp.se.sempra.com\corpdata\Electric_Rates_Group\Proceedings\Commodity\ERRA related filings\PCIA\PCIA OIR\MPB - 2022\04 - Energy Index MPB Proposals (5.27.22)\Public Workpapers\"/>
    </mc:Choice>
  </mc:AlternateContent>
  <xr:revisionPtr revIDLastSave="0" documentId="13_ncr:1_{E66B4A70-25E5-497E-BD79-D15D66EE7444}" xr6:coauthVersionLast="47" xr6:coauthVersionMax="47" xr10:uidLastSave="{00000000-0000-0000-0000-000000000000}"/>
  <bookViews>
    <workbookView xWindow="-67320" yWindow="-3930" windowWidth="29040" windowHeight="15840" activeTab="3" xr2:uid="{00000000-000D-0000-FFFF-FFFF00000000}"/>
  </bookViews>
  <sheets>
    <sheet name="PCIA Inputs" sheetId="1" r:id="rId1"/>
    <sheet name="IOU Total Portfolio Summary" sheetId="2" r:id="rId2"/>
    <sheet name="Indifference Amount Calc" sheetId="8" r:id="rId3"/>
    <sheet name="Indifference Rate Calc" sheetId="4" r:id="rId4"/>
    <sheet name="Final PCIA Rates" sheetId="5" r:id="rId5"/>
  </sheet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2" i="8" l="1"/>
  <c r="A7" i="1" l="1"/>
  <c r="A8" i="1"/>
  <c r="W4" i="4"/>
  <c r="D15" i="1" l="1"/>
  <c r="D14" i="1"/>
  <c r="D13" i="1"/>
  <c r="F15" i="8" l="1"/>
  <c r="G15" i="8"/>
  <c r="H15" i="8"/>
  <c r="I15" i="8"/>
  <c r="J15" i="8"/>
  <c r="K15" i="8"/>
  <c r="L15" i="8"/>
  <c r="M15" i="8"/>
  <c r="N15" i="8"/>
  <c r="O15" i="8"/>
  <c r="P15" i="8"/>
  <c r="Q15" i="8"/>
  <c r="R15" i="8"/>
  <c r="S15" i="8"/>
  <c r="T15" i="8"/>
  <c r="U15" i="8"/>
  <c r="V15" i="8"/>
  <c r="W15" i="8"/>
  <c r="X15" i="8"/>
  <c r="Y15" i="8"/>
  <c r="Z15" i="8"/>
  <c r="AA15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F12" i="8"/>
  <c r="H12" i="8" l="1"/>
  <c r="F13" i="8"/>
  <c r="G12" i="8"/>
  <c r="G32" i="8" s="1"/>
  <c r="D11" i="1"/>
  <c r="K32" i="8"/>
  <c r="O32" i="8"/>
  <c r="S32" i="8"/>
  <c r="W32" i="8"/>
  <c r="I32" i="8"/>
  <c r="M32" i="8"/>
  <c r="Q32" i="8"/>
  <c r="U32" i="8"/>
  <c r="Y32" i="8"/>
  <c r="AA32" i="8"/>
  <c r="F32" i="8"/>
  <c r="N36" i="8"/>
  <c r="V32" i="8"/>
  <c r="T32" i="8"/>
  <c r="L32" i="8"/>
  <c r="Z32" i="8"/>
  <c r="R32" i="8"/>
  <c r="J32" i="8"/>
  <c r="X32" i="8"/>
  <c r="P32" i="8"/>
  <c r="H32" i="8"/>
  <c r="H10" i="8"/>
  <c r="L10" i="8"/>
  <c r="P10" i="8"/>
  <c r="T10" i="8"/>
  <c r="X10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AA10" i="8"/>
  <c r="Z10" i="8"/>
  <c r="Y10" i="8"/>
  <c r="W10" i="8"/>
  <c r="V10" i="8"/>
  <c r="U10" i="8"/>
  <c r="S10" i="8"/>
  <c r="S27" i="8" s="1"/>
  <c r="R10" i="8"/>
  <c r="R27" i="8" s="1"/>
  <c r="Q10" i="8"/>
  <c r="O10" i="8"/>
  <c r="N10" i="8"/>
  <c r="M10" i="8"/>
  <c r="K10" i="8"/>
  <c r="J10" i="8"/>
  <c r="I10" i="8"/>
  <c r="G10" i="8"/>
  <c r="F10" i="8"/>
  <c r="K27" i="8" l="1"/>
  <c r="G27" i="8"/>
  <c r="W27" i="8"/>
  <c r="F27" i="8"/>
  <c r="V27" i="8"/>
  <c r="AA27" i="8"/>
  <c r="T27" i="8"/>
  <c r="O27" i="8"/>
  <c r="N27" i="8"/>
  <c r="J27" i="8"/>
  <c r="Z27" i="8"/>
  <c r="P27" i="8"/>
  <c r="I27" i="8"/>
  <c r="M27" i="8"/>
  <c r="Q27" i="8"/>
  <c r="U27" i="8"/>
  <c r="Y27" i="8"/>
  <c r="L27" i="8"/>
  <c r="X27" i="8"/>
  <c r="H27" i="8"/>
  <c r="H37" i="8" l="1"/>
  <c r="G35" i="8"/>
  <c r="G7" i="8"/>
  <c r="H7" i="8"/>
  <c r="F7" i="8"/>
  <c r="F44" i="8" s="1"/>
  <c r="Z35" i="8" l="1"/>
  <c r="V35" i="8"/>
  <c r="R35" i="8"/>
  <c r="N35" i="8"/>
  <c r="J35" i="8"/>
  <c r="AA37" i="8"/>
  <c r="W37" i="8"/>
  <c r="S37" i="8"/>
  <c r="O37" i="8"/>
  <c r="K37" i="8"/>
  <c r="G37" i="8"/>
  <c r="F35" i="8"/>
  <c r="Y35" i="8"/>
  <c r="U35" i="8"/>
  <c r="Q35" i="8"/>
  <c r="M35" i="8"/>
  <c r="I35" i="8"/>
  <c r="Z37" i="8"/>
  <c r="V37" i="8"/>
  <c r="R37" i="8"/>
  <c r="N37" i="8"/>
  <c r="J37" i="8"/>
  <c r="F37" i="8"/>
  <c r="X35" i="8"/>
  <c r="T35" i="8"/>
  <c r="P35" i="8"/>
  <c r="L35" i="8"/>
  <c r="H35" i="8"/>
  <c r="Y37" i="8"/>
  <c r="U37" i="8"/>
  <c r="Q37" i="8"/>
  <c r="M37" i="8"/>
  <c r="I37" i="8"/>
  <c r="AA35" i="8"/>
  <c r="W35" i="8"/>
  <c r="S35" i="8"/>
  <c r="O35" i="8"/>
  <c r="K35" i="8"/>
  <c r="X37" i="8"/>
  <c r="T37" i="8"/>
  <c r="P37" i="8"/>
  <c r="L37" i="8"/>
  <c r="AA36" i="8" l="1"/>
  <c r="Z36" i="8"/>
  <c r="Y36" i="8"/>
  <c r="X36" i="8"/>
  <c r="W36" i="8"/>
  <c r="V36" i="8"/>
  <c r="U36" i="8"/>
  <c r="T36" i="8"/>
  <c r="S36" i="8"/>
  <c r="R36" i="8"/>
  <c r="Q36" i="8"/>
  <c r="P36" i="8"/>
  <c r="O36" i="8"/>
  <c r="M36" i="8"/>
  <c r="L36" i="8"/>
  <c r="K36" i="8"/>
  <c r="J36" i="8"/>
  <c r="I36" i="8"/>
  <c r="H36" i="8"/>
  <c r="G36" i="8"/>
  <c r="F36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AA9" i="8"/>
  <c r="AA22" i="8" s="1"/>
  <c r="Z9" i="8"/>
  <c r="Z22" i="8" s="1"/>
  <c r="Y9" i="8"/>
  <c r="X9" i="8"/>
  <c r="X22" i="8" s="1"/>
  <c r="W9" i="8"/>
  <c r="V9" i="8"/>
  <c r="V22" i="8" s="1"/>
  <c r="U9" i="8"/>
  <c r="U22" i="8" s="1"/>
  <c r="T9" i="8"/>
  <c r="T22" i="8" s="1"/>
  <c r="J9" i="8"/>
  <c r="J22" i="8" s="1"/>
  <c r="A9" i="8"/>
  <c r="A10" i="8" s="1"/>
  <c r="AA3" i="8"/>
  <c r="A11" i="8" l="1"/>
  <c r="A12" i="8" s="1"/>
  <c r="A13" i="8" s="1"/>
  <c r="A14" i="8" s="1"/>
  <c r="A15" i="8" s="1"/>
  <c r="A17" i="8" s="1"/>
  <c r="A19" i="8" s="1"/>
  <c r="A21" i="8" s="1"/>
  <c r="A22" i="8" s="1"/>
  <c r="A23" i="8" s="1"/>
  <c r="A24" i="8" s="1"/>
  <c r="A26" i="8" s="1"/>
  <c r="A27" i="8" s="1"/>
  <c r="W22" i="8"/>
  <c r="Y22" i="8"/>
  <c r="D24" i="8" l="1"/>
  <c r="A28" i="8"/>
  <c r="A29" i="8" s="1"/>
  <c r="A31" i="8" s="1"/>
  <c r="A32" i="8" s="1"/>
  <c r="A33" i="8" s="1"/>
  <c r="A34" i="8" s="1"/>
  <c r="A35" i="8" s="1"/>
  <c r="A36" i="8" s="1"/>
  <c r="D29" i="8" l="1"/>
  <c r="A37" i="8"/>
  <c r="A38" i="8" s="1"/>
  <c r="A40" i="8" s="1"/>
  <c r="A41" i="8" s="1"/>
  <c r="A43" i="8" s="1"/>
  <c r="A44" i="8" s="1"/>
  <c r="A45" i="8" l="1"/>
  <c r="A46" i="8" s="1"/>
  <c r="A48" i="8" s="1"/>
  <c r="D46" i="8" l="1"/>
  <c r="A49" i="8"/>
  <c r="A51" i="8" s="1"/>
  <c r="A52" i="8" s="1"/>
  <c r="A53" i="8" s="1"/>
  <c r="A55" i="8" s="1"/>
  <c r="A56" i="8" s="1"/>
  <c r="A57" i="8" s="1"/>
  <c r="A58" i="8" s="1"/>
  <c r="F9" i="8" l="1"/>
  <c r="H44" i="8"/>
  <c r="G44" i="8"/>
  <c r="G9" i="8"/>
  <c r="G22" i="8" s="1"/>
  <c r="H9" i="8"/>
  <c r="H22" i="8" s="1"/>
  <c r="I9" i="8"/>
  <c r="I22" i="8" s="1"/>
  <c r="K9" i="8"/>
  <c r="L9" i="8"/>
  <c r="L22" i="8" s="1"/>
  <c r="M9" i="8"/>
  <c r="M22" i="8" s="1"/>
  <c r="N9" i="8"/>
  <c r="N22" i="8" s="1"/>
  <c r="O9" i="8"/>
  <c r="P9" i="8"/>
  <c r="Q9" i="8"/>
  <c r="Q22" i="8" s="1"/>
  <c r="R9" i="8"/>
  <c r="R22" i="8" s="1"/>
  <c r="S9" i="8"/>
  <c r="S22" i="8" s="1"/>
  <c r="F17" i="8" l="1"/>
  <c r="F22" i="8"/>
  <c r="G28" i="8"/>
  <c r="K28" i="8"/>
  <c r="O28" i="8"/>
  <c r="S28" i="8"/>
  <c r="W28" i="8"/>
  <c r="W29" i="8" s="1"/>
  <c r="AA28" i="8"/>
  <c r="AA29" i="8" s="1"/>
  <c r="H28" i="8"/>
  <c r="L28" i="8"/>
  <c r="P28" i="8"/>
  <c r="T28" i="8"/>
  <c r="X28" i="8"/>
  <c r="F28" i="8"/>
  <c r="F29" i="8" s="1"/>
  <c r="I28" i="8"/>
  <c r="I29" i="8" s="1"/>
  <c r="M28" i="8"/>
  <c r="Q28" i="8"/>
  <c r="U28" i="8"/>
  <c r="Y28" i="8"/>
  <c r="Y29" i="8" s="1"/>
  <c r="J28" i="8"/>
  <c r="J29" i="8" s="1"/>
  <c r="N28" i="8"/>
  <c r="N29" i="8" s="1"/>
  <c r="R28" i="8"/>
  <c r="V28" i="8"/>
  <c r="V29" i="8" s="1"/>
  <c r="Z28" i="8"/>
  <c r="Z29" i="8" s="1"/>
  <c r="Y23" i="8"/>
  <c r="Y24" i="8" s="1"/>
  <c r="U23" i="8"/>
  <c r="U24" i="8" s="1"/>
  <c r="Q23" i="8"/>
  <c r="Q24" i="8" s="1"/>
  <c r="M23" i="8"/>
  <c r="I23" i="8"/>
  <c r="I24" i="8" s="1"/>
  <c r="X23" i="8"/>
  <c r="X24" i="8" s="1"/>
  <c r="T23" i="8"/>
  <c r="T24" i="8" s="1"/>
  <c r="P23" i="8"/>
  <c r="L23" i="8"/>
  <c r="H23" i="8"/>
  <c r="AA23" i="8"/>
  <c r="AA24" i="8" s="1"/>
  <c r="W23" i="8"/>
  <c r="W24" i="8" s="1"/>
  <c r="S23" i="8"/>
  <c r="O23" i="8"/>
  <c r="K23" i="8"/>
  <c r="K24" i="8" s="1"/>
  <c r="G23" i="8"/>
  <c r="Z23" i="8"/>
  <c r="Z24" i="8" s="1"/>
  <c r="V23" i="8"/>
  <c r="V24" i="8" s="1"/>
  <c r="R23" i="8"/>
  <c r="N23" i="8"/>
  <c r="J23" i="8"/>
  <c r="J24" i="8" s="1"/>
  <c r="F23" i="8"/>
  <c r="H17" i="8"/>
  <c r="Y33" i="8"/>
  <c r="U33" i="8"/>
  <c r="Q33" i="8"/>
  <c r="Q38" i="8" s="1"/>
  <c r="M33" i="8"/>
  <c r="M38" i="8" s="1"/>
  <c r="I33" i="8"/>
  <c r="X33" i="8"/>
  <c r="T33" i="8"/>
  <c r="P33" i="8"/>
  <c r="L33" i="8"/>
  <c r="H33" i="8"/>
  <c r="H38" i="8" s="1"/>
  <c r="AA33" i="8"/>
  <c r="AA38" i="8" s="1"/>
  <c r="W33" i="8"/>
  <c r="S33" i="8"/>
  <c r="O33" i="8"/>
  <c r="K33" i="8"/>
  <c r="K38" i="8" s="1"/>
  <c r="G33" i="8"/>
  <c r="G38" i="8" s="1"/>
  <c r="Z33" i="8"/>
  <c r="V33" i="8"/>
  <c r="R33" i="8"/>
  <c r="N33" i="8"/>
  <c r="J33" i="8"/>
  <c r="J38" i="8" s="1"/>
  <c r="F33" i="8"/>
  <c r="S29" i="8" l="1"/>
  <c r="G29" i="8"/>
  <c r="R24" i="8"/>
  <c r="H24" i="8"/>
  <c r="F24" i="8"/>
  <c r="F38" i="8"/>
  <c r="M24" i="8"/>
  <c r="L29" i="8"/>
  <c r="S24" i="8"/>
  <c r="R29" i="8"/>
  <c r="X29" i="8"/>
  <c r="P38" i="8"/>
  <c r="X38" i="8"/>
  <c r="P29" i="8"/>
  <c r="M29" i="8"/>
  <c r="O29" i="8"/>
  <c r="I38" i="8"/>
  <c r="I40" i="8" s="1"/>
  <c r="I41" i="8" s="1"/>
  <c r="I45" i="8" s="1"/>
  <c r="U38" i="8"/>
  <c r="N38" i="8"/>
  <c r="V38" i="8"/>
  <c r="V40" i="8" s="1"/>
  <c r="V41" i="8" s="1"/>
  <c r="V45" i="8" s="1"/>
  <c r="S38" i="8"/>
  <c r="AA40" i="8"/>
  <c r="AA41" i="8" s="1"/>
  <c r="AA45" i="8" s="1"/>
  <c r="Q29" i="8"/>
  <c r="Q40" i="8" s="1"/>
  <c r="Q41" i="8" s="1"/>
  <c r="Q45" i="8" s="1"/>
  <c r="L24" i="8"/>
  <c r="T29" i="8"/>
  <c r="L38" i="8"/>
  <c r="T38" i="8"/>
  <c r="H29" i="8"/>
  <c r="U29" i="8"/>
  <c r="G24" i="8"/>
  <c r="Y38" i="8"/>
  <c r="Y40" i="8" s="1"/>
  <c r="Y41" i="8" s="1"/>
  <c r="Y45" i="8" s="1"/>
  <c r="R38" i="8"/>
  <c r="Z38" i="8"/>
  <c r="Z40" i="8" s="1"/>
  <c r="Z41" i="8" s="1"/>
  <c r="Z45" i="8" s="1"/>
  <c r="N24" i="8"/>
  <c r="O38" i="8"/>
  <c r="W38" i="8"/>
  <c r="W40" i="8" s="1"/>
  <c r="W41" i="8" s="1"/>
  <c r="W45" i="8" s="1"/>
  <c r="J40" i="8"/>
  <c r="J41" i="8" s="1"/>
  <c r="J45" i="8" s="1"/>
  <c r="O24" i="8"/>
  <c r="K29" i="8"/>
  <c r="G17" i="8"/>
  <c r="P24" i="8"/>
  <c r="U40" i="8" l="1"/>
  <c r="U41" i="8" s="1"/>
  <c r="U45" i="8" s="1"/>
  <c r="R40" i="8"/>
  <c r="R41" i="8" s="1"/>
  <c r="R45" i="8" s="1"/>
  <c r="H40" i="8"/>
  <c r="H41" i="8" s="1"/>
  <c r="H45" i="8" s="1"/>
  <c r="H46" i="8" s="1"/>
  <c r="H52" i="8" s="1"/>
  <c r="H53" i="8" s="1"/>
  <c r="H58" i="8" s="1"/>
  <c r="G40" i="8"/>
  <c r="G41" i="8" s="1"/>
  <c r="G45" i="8" s="1"/>
  <c r="G46" i="8" s="1"/>
  <c r="S40" i="8"/>
  <c r="S41" i="8" s="1"/>
  <c r="S45" i="8" s="1"/>
  <c r="K40" i="8"/>
  <c r="K41" i="8" s="1"/>
  <c r="K45" i="8" s="1"/>
  <c r="F40" i="8"/>
  <c r="F41" i="8" s="1"/>
  <c r="F45" i="8" s="1"/>
  <c r="F46" i="8" s="1"/>
  <c r="T40" i="8"/>
  <c r="T41" i="8" s="1"/>
  <c r="T45" i="8" s="1"/>
  <c r="P40" i="8"/>
  <c r="P41" i="8" s="1"/>
  <c r="P45" i="8" s="1"/>
  <c r="M40" i="8"/>
  <c r="M41" i="8" s="1"/>
  <c r="M45" i="8" s="1"/>
  <c r="X40" i="8"/>
  <c r="X41" i="8" s="1"/>
  <c r="X45" i="8" s="1"/>
  <c r="N40" i="8"/>
  <c r="N41" i="8" s="1"/>
  <c r="N45" i="8" s="1"/>
  <c r="L40" i="8"/>
  <c r="L41" i="8" s="1"/>
  <c r="L45" i="8" s="1"/>
  <c r="O40" i="8"/>
  <c r="O41" i="8" s="1"/>
  <c r="O45" i="8" s="1"/>
  <c r="G52" i="8" l="1"/>
  <c r="H57" i="8"/>
  <c r="G53" i="8"/>
  <c r="F52" i="8"/>
  <c r="F53" i="8" s="1"/>
  <c r="F58" i="8" l="1"/>
  <c r="G58" i="8"/>
  <c r="D5" i="4" s="1"/>
  <c r="F57" i="8" l="1"/>
  <c r="C5" i="4"/>
  <c r="G57" i="8"/>
  <c r="A17" i="1"/>
  <c r="W23" i="4" l="1"/>
  <c r="X5" i="2"/>
  <c r="W33" i="4" l="1"/>
  <c r="W14" i="4"/>
  <c r="A7" i="2" l="1"/>
  <c r="A8" i="2" s="1"/>
  <c r="A9" i="2" l="1"/>
  <c r="A11" i="2" s="1"/>
  <c r="A12" i="2" s="1"/>
  <c r="A13" i="2" l="1"/>
  <c r="A14" i="2" l="1"/>
  <c r="A15" i="2" s="1"/>
  <c r="A17" i="2" s="1"/>
  <c r="A18" i="2" s="1"/>
  <c r="A19" i="2" s="1"/>
  <c r="A20" i="2" s="1"/>
  <c r="A21" i="2" s="1"/>
  <c r="A22" i="2" s="1"/>
  <c r="A23" i="2" s="1"/>
  <c r="A4" i="1"/>
  <c r="A5" i="1" s="1"/>
  <c r="A6" i="1" s="1"/>
  <c r="A10" i="1" s="1"/>
  <c r="A11" i="1" s="1"/>
  <c r="A13" i="1" l="1"/>
  <c r="A19" i="1" s="1"/>
  <c r="C15" i="4" l="1"/>
  <c r="C16" i="4" l="1"/>
  <c r="C17" i="4"/>
  <c r="C18" i="4"/>
  <c r="B20" i="4" l="1"/>
  <c r="D20" i="4" l="1"/>
  <c r="C19" i="4"/>
  <c r="C20" i="4" s="1"/>
  <c r="D10" i="4" l="1"/>
  <c r="D28" i="4" s="1"/>
  <c r="D7" i="4"/>
  <c r="D25" i="4" s="1"/>
  <c r="D8" i="4"/>
  <c r="D26" i="4" s="1"/>
  <c r="D9" i="4"/>
  <c r="D27" i="4" s="1"/>
  <c r="B11" i="4"/>
  <c r="D6" i="4"/>
  <c r="D24" i="4" s="1"/>
  <c r="D11" i="4" l="1"/>
  <c r="D29" i="4" s="1"/>
  <c r="D37" i="4"/>
  <c r="D7" i="5" s="1"/>
  <c r="D38" i="4"/>
  <c r="D8" i="5" s="1"/>
  <c r="D34" i="4"/>
  <c r="D4" i="5" s="1"/>
  <c r="D35" i="4"/>
  <c r="D5" i="5" s="1"/>
  <c r="D36" i="4"/>
  <c r="D6" i="5" s="1"/>
  <c r="D39" i="4" l="1"/>
  <c r="D9" i="5" l="1"/>
  <c r="E39" i="4" l="1"/>
  <c r="F36" i="4"/>
  <c r="F6" i="5" s="1"/>
  <c r="E36" i="4"/>
  <c r="E6" i="5" s="1"/>
  <c r="E34" i="4" l="1"/>
  <c r="E9" i="5"/>
  <c r="F35" i="4"/>
  <c r="F5" i="5" s="1"/>
  <c r="F37" i="4"/>
  <c r="F7" i="5" s="1"/>
  <c r="E38" i="4"/>
  <c r="E8" i="5" s="1"/>
  <c r="F34" i="4"/>
  <c r="F4" i="5" s="1"/>
  <c r="E35" i="4"/>
  <c r="E5" i="5" s="1"/>
  <c r="F38" i="4"/>
  <c r="F8" i="5" s="1"/>
  <c r="F39" i="4"/>
  <c r="E37" i="4"/>
  <c r="F9" i="5" l="1"/>
  <c r="E4" i="5"/>
  <c r="E7" i="5"/>
  <c r="G39" i="4" l="1"/>
  <c r="G36" i="4"/>
  <c r="G6" i="5" s="1"/>
  <c r="G9" i="5" l="1"/>
  <c r="G34" i="4"/>
  <c r="G4" i="5" s="1"/>
  <c r="I36" i="4"/>
  <c r="I6" i="5" s="1"/>
  <c r="O36" i="4"/>
  <c r="J36" i="4"/>
  <c r="J6" i="5" s="1"/>
  <c r="M36" i="4"/>
  <c r="T36" i="4"/>
  <c r="H36" i="4"/>
  <c r="H6" i="5" s="1"/>
  <c r="L36" i="4"/>
  <c r="H39" i="4"/>
  <c r="I39" i="4"/>
  <c r="P36" i="4"/>
  <c r="K36" i="4"/>
  <c r="N36" i="4"/>
  <c r="M39" i="4"/>
  <c r="P39" i="4"/>
  <c r="O39" i="4"/>
  <c r="N34" i="4"/>
  <c r="I37" i="4"/>
  <c r="I7" i="5" s="1"/>
  <c r="W34" i="4"/>
  <c r="I38" i="4"/>
  <c r="I8" i="5" s="1"/>
  <c r="I35" i="4"/>
  <c r="I5" i="5" s="1"/>
  <c r="H37" i="4"/>
  <c r="H7" i="5" s="1"/>
  <c r="J39" i="4"/>
  <c r="N38" i="4"/>
  <c r="J38" i="4"/>
  <c r="J8" i="5" s="1"/>
  <c r="K39" i="4"/>
  <c r="N39" i="4"/>
  <c r="L39" i="4"/>
  <c r="S36" i="4"/>
  <c r="L38" i="4"/>
  <c r="J35" i="4"/>
  <c r="J5" i="5" s="1"/>
  <c r="K37" i="4"/>
  <c r="P38" i="4"/>
  <c r="L37" i="4"/>
  <c r="K38" i="4"/>
  <c r="K35" i="4"/>
  <c r="H38" i="4"/>
  <c r="H8" i="5" s="1"/>
  <c r="G35" i="4"/>
  <c r="G5" i="5" s="1"/>
  <c r="G37" i="4"/>
  <c r="G7" i="5" s="1"/>
  <c r="G38" i="4"/>
  <c r="G8" i="5" s="1"/>
  <c r="M38" i="4"/>
  <c r="O38" i="4"/>
  <c r="J37" i="4"/>
  <c r="J7" i="5" s="1"/>
  <c r="P37" i="4"/>
  <c r="N35" i="4"/>
  <c r="O35" i="4"/>
  <c r="H35" i="4"/>
  <c r="H5" i="5" s="1"/>
  <c r="L35" i="4"/>
  <c r="W38" i="4"/>
  <c r="P35" i="4"/>
  <c r="M35" i="4"/>
  <c r="V36" i="4"/>
  <c r="Q39" i="4"/>
  <c r="T35" i="4"/>
  <c r="T34" i="4"/>
  <c r="T38" i="4"/>
  <c r="Q38" i="4"/>
  <c r="Q35" i="4"/>
  <c r="N37" i="4"/>
  <c r="S34" i="4"/>
  <c r="O37" i="4"/>
  <c r="U39" i="4"/>
  <c r="S39" i="4"/>
  <c r="M37" i="4"/>
  <c r="P34" i="4"/>
  <c r="S38" i="4"/>
  <c r="W35" i="4"/>
  <c r="R34" i="4"/>
  <c r="L34" i="4"/>
  <c r="O34" i="4"/>
  <c r="K34" i="4"/>
  <c r="U34" i="4"/>
  <c r="U38" i="4"/>
  <c r="V38" i="4"/>
  <c r="I34" i="4"/>
  <c r="I4" i="5" s="1"/>
  <c r="J34" i="4"/>
  <c r="J4" i="5" s="1"/>
  <c r="H34" i="4"/>
  <c r="H4" i="5" s="1"/>
  <c r="Q34" i="4"/>
  <c r="U37" i="4"/>
  <c r="R38" i="4"/>
  <c r="R35" i="4"/>
  <c r="M34" i="4"/>
  <c r="V35" i="4"/>
  <c r="S35" i="4"/>
  <c r="R39" i="4"/>
  <c r="T39" i="4"/>
  <c r="W39" i="4"/>
  <c r="R37" i="4"/>
  <c r="S37" i="4"/>
  <c r="V39" i="4"/>
  <c r="V37" i="4"/>
  <c r="W37" i="4"/>
  <c r="Q36" i="4"/>
  <c r="U36" i="4"/>
  <c r="W36" i="4"/>
  <c r="R36" i="4"/>
  <c r="U35" i="4"/>
  <c r="Q37" i="4"/>
  <c r="T37" i="4"/>
  <c r="V34" i="4"/>
  <c r="I9" i="5" l="1"/>
  <c r="H9" i="5"/>
  <c r="J9" i="5"/>
  <c r="K9" i="5"/>
  <c r="K5" i="5"/>
  <c r="K7" i="5"/>
  <c r="K6" i="5"/>
  <c r="K4" i="5"/>
  <c r="K8" i="5"/>
  <c r="U5" i="5"/>
  <c r="Q6" i="5"/>
  <c r="V9" i="5"/>
  <c r="R7" i="5"/>
  <c r="S5" i="5"/>
  <c r="R5" i="5"/>
  <c r="U8" i="5"/>
  <c r="L4" i="5"/>
  <c r="P4" i="5"/>
  <c r="O7" i="5"/>
  <c r="Q8" i="5"/>
  <c r="Q9" i="5"/>
  <c r="W8" i="5"/>
  <c r="N5" i="5"/>
  <c r="M8" i="5"/>
  <c r="P8" i="5"/>
  <c r="S6" i="5"/>
  <c r="N4" i="5"/>
  <c r="N6" i="5"/>
  <c r="R6" i="5"/>
  <c r="U4" i="5"/>
  <c r="M7" i="5"/>
  <c r="V6" i="5"/>
  <c r="P7" i="5"/>
  <c r="N8" i="5"/>
  <c r="O9" i="5"/>
  <c r="L6" i="5"/>
  <c r="T7" i="5"/>
  <c r="W6" i="5"/>
  <c r="W7" i="5"/>
  <c r="T9" i="5"/>
  <c r="V5" i="5"/>
  <c r="U7" i="5"/>
  <c r="W5" i="5"/>
  <c r="S9" i="5"/>
  <c r="N7" i="5"/>
  <c r="T4" i="5"/>
  <c r="M5" i="5"/>
  <c r="N9" i="5"/>
  <c r="W4" i="5"/>
  <c r="P9" i="5"/>
  <c r="P6" i="5"/>
  <c r="O6" i="5"/>
  <c r="M6" i="5"/>
  <c r="V4" i="5"/>
  <c r="W9" i="5"/>
  <c r="R8" i="5"/>
  <c r="R4" i="5"/>
  <c r="S4" i="5"/>
  <c r="T8" i="5"/>
  <c r="L5" i="5"/>
  <c r="L9" i="5"/>
  <c r="Q7" i="5"/>
  <c r="U6" i="5"/>
  <c r="V7" i="5"/>
  <c r="S7" i="5"/>
  <c r="R9" i="5"/>
  <c r="M4" i="5"/>
  <c r="Q4" i="5"/>
  <c r="V8" i="5"/>
  <c r="O4" i="5"/>
  <c r="S8" i="5"/>
  <c r="U9" i="5"/>
  <c r="Q5" i="5"/>
  <c r="T5" i="5"/>
  <c r="P5" i="5"/>
  <c r="O5" i="5"/>
  <c r="O8" i="5"/>
  <c r="L7" i="5"/>
  <c r="L8" i="5"/>
  <c r="M9" i="5"/>
  <c r="T6" i="5"/>
  <c r="C8" i="4" l="1"/>
  <c r="C26" i="4" s="1"/>
  <c r="C36" i="4" s="1"/>
  <c r="C6" i="5" s="1"/>
  <c r="C9" i="4"/>
  <c r="C27" i="4" s="1"/>
  <c r="C37" i="4" s="1"/>
  <c r="C7" i="5" s="1"/>
  <c r="C10" i="4"/>
  <c r="C28" i="4" s="1"/>
  <c r="C38" i="4" s="1"/>
  <c r="C8" i="5" s="1"/>
  <c r="C6" i="4"/>
  <c r="C24" i="4" s="1"/>
  <c r="C34" i="4" s="1"/>
  <c r="C4" i="5" s="1"/>
  <c r="C7" i="4"/>
  <c r="C25" i="4" s="1"/>
  <c r="C35" i="4" s="1"/>
  <c r="C5" i="5" s="1"/>
  <c r="C11" i="4"/>
  <c r="C29" i="4" s="1"/>
  <c r="C39" i="4" s="1"/>
  <c r="C9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Gill, Kellen</author>
  </authors>
  <commentList>
    <comment ref="B48" authorId="0" shapeId="0" xr:uid="{3F405AFA-BD9E-486C-9935-7AB3D2F7B58A}">
      <text>
        <r>
          <rPr>
            <sz val="9"/>
            <color indexed="81"/>
            <rFont val="Tahoma"/>
            <family val="2"/>
          </rPr>
          <t xml:space="preserve">Negative indifference amount adjustment removed per section 6.2.3 of final decision.  Replaced with year-end PCIA balance
</t>
        </r>
      </text>
    </comment>
  </commentList>
</comments>
</file>

<file path=xl/sharedStrings.xml><?xml version="1.0" encoding="utf-8"?>
<sst xmlns="http://schemas.openxmlformats.org/spreadsheetml/2006/main" count="241" uniqueCount="172">
  <si>
    <t>Description</t>
  </si>
  <si>
    <t>Source of Data</t>
  </si>
  <si>
    <t>Value</t>
  </si>
  <si>
    <t>Line No.</t>
  </si>
  <si>
    <t>On Peak SP 15 Price ($/MWh)</t>
  </si>
  <si>
    <t>Off Peak SP 15 Price ($/MWh)</t>
  </si>
  <si>
    <t>On Peak Load Weight (%)</t>
  </si>
  <si>
    <t>Off Peak Load Weight (%)</t>
  </si>
  <si>
    <t>Load Weighted Average Price ($/MWh)</t>
  </si>
  <si>
    <t>Line 1 x Line 3 + Line 2 x Line 4</t>
  </si>
  <si>
    <t>Line Loss Adjustment Factor</t>
  </si>
  <si>
    <t>Cost of Portfolio</t>
  </si>
  <si>
    <t>CRS Eligible Supply</t>
  </si>
  <si>
    <t>CRS Eligible Cumulative GWh at Meter</t>
  </si>
  <si>
    <t>CTC-Eligible</t>
  </si>
  <si>
    <t>Equation</t>
  </si>
  <si>
    <t>Unit</t>
  </si>
  <si>
    <t>CTC</t>
  </si>
  <si>
    <t>$000</t>
  </si>
  <si>
    <t>Portfolio Summary Line 6</t>
  </si>
  <si>
    <t>GWh</t>
  </si>
  <si>
    <t>MW</t>
  </si>
  <si>
    <t>Portfolio Unit Cost</t>
  </si>
  <si>
    <t>$/MWh</t>
  </si>
  <si>
    <t>Market Value of Portfolio</t>
  </si>
  <si>
    <t>Market Value of Brown Portfolio</t>
  </si>
  <si>
    <t>Non-Renewable Energy</t>
  </si>
  <si>
    <t>MWh</t>
  </si>
  <si>
    <t>Platt's Weighted Price (Brown Benchmark)</t>
  </si>
  <si>
    <t>Market Value of Green Portfolio</t>
  </si>
  <si>
    <t>Renewable Energy</t>
  </si>
  <si>
    <t>Weighted Average Green Benchmark</t>
  </si>
  <si>
    <t>Capacity Adder</t>
  </si>
  <si>
    <t>Average Monthly NQC</t>
  </si>
  <si>
    <t>$/kW-Year</t>
  </si>
  <si>
    <t>Market Value of Capacity</t>
  </si>
  <si>
    <t>Portfolio Market Value</t>
  </si>
  <si>
    <t>Line Loss Adjusted Portfolio Market value</t>
  </si>
  <si>
    <t>Indifference Amount</t>
  </si>
  <si>
    <t>Portfolio Total Cost</t>
  </si>
  <si>
    <t>Line 1</t>
  </si>
  <si>
    <t>Portfolio Unit Value</t>
  </si>
  <si>
    <t>Total Indifference Amount (Unadjusted)</t>
  </si>
  <si>
    <t>Rate Group</t>
  </si>
  <si>
    <t>CTC Indifference</t>
  </si>
  <si>
    <t>CTC Rate</t>
  </si>
  <si>
    <t>Residential</t>
  </si>
  <si>
    <t>Small Commercial</t>
  </si>
  <si>
    <t>Med&amp;Lg C&amp;I</t>
  </si>
  <si>
    <t>Agricultural</t>
  </si>
  <si>
    <t>Lighting</t>
  </si>
  <si>
    <t>System</t>
  </si>
  <si>
    <t>INPUT</t>
  </si>
  <si>
    <t>Cost of Portfolio ($000)</t>
  </si>
  <si>
    <t>CRS Eligible Net Qualifying Capacity (MW)</t>
  </si>
  <si>
    <t>CRS Eligible Cumulative Net Qualifying Capacity (MW)</t>
  </si>
  <si>
    <t>Legacy UOG</t>
  </si>
  <si>
    <t>Agriculture</t>
  </si>
  <si>
    <t>Streetlighting</t>
  </si>
  <si>
    <t>DWRBC (All Vintages)</t>
  </si>
  <si>
    <t>Medium &amp; Large C&amp;I</t>
  </si>
  <si>
    <t>System Total</t>
  </si>
  <si>
    <t>SONGS Settlement</t>
  </si>
  <si>
    <t xml:space="preserve">CRS Eligible Cumulative Portfolio Costs </t>
  </si>
  <si>
    <t xml:space="preserve">SONGS Settlement Revenue Requirement </t>
  </si>
  <si>
    <t xml:space="preserve">CRS Eligible Portfolio Costs </t>
  </si>
  <si>
    <t>Franchise Fees and Uncollectibles Factor (FF&amp;U)</t>
  </si>
  <si>
    <t>PCIA 2001 Vintage</t>
  </si>
  <si>
    <t>PCIA 2009 Vintage</t>
  </si>
  <si>
    <t>PCIA 2010 Vintage</t>
  </si>
  <si>
    <t>PCIA 2011 Vintage</t>
  </si>
  <si>
    <t>PCIA 2012 Vintage</t>
  </si>
  <si>
    <t>PCIA 2013 Vintage</t>
  </si>
  <si>
    <t>PCIA 2014 Vintage</t>
  </si>
  <si>
    <t>PCIA 2015 Vintage</t>
  </si>
  <si>
    <t>PCIA 2016 Vintage</t>
  </si>
  <si>
    <t>PCIA 2017 Vintage</t>
  </si>
  <si>
    <t>PCIA 2018 Vintage</t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</si>
  <si>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The CTC shown is illustrative and based off of forecasted PCIA customers using actuals tied to authorized sales. </t>
    </r>
  </si>
  <si>
    <t>CRS Eligible Portfolio Cost</t>
  </si>
  <si>
    <t>CRS Eligible Renewable Supply at Customer Meter</t>
  </si>
  <si>
    <t>PCIA 2019 Vintage</t>
  </si>
  <si>
    <t>PCIA 2002 Vintage</t>
  </si>
  <si>
    <t>PCIA 2003 Vintage</t>
  </si>
  <si>
    <t>PCIA 2004 Vintage</t>
  </si>
  <si>
    <t>PCIA 2005 Vintage</t>
  </si>
  <si>
    <t>PCIA 2006 Vintage</t>
  </si>
  <si>
    <t>PCIA 2007 Vintage</t>
  </si>
  <si>
    <r>
      <t>CTC (For All Vintages)</t>
    </r>
    <r>
      <rPr>
        <b/>
        <vertAlign val="superscript"/>
        <sz val="11"/>
        <rFont val="Times New Roman"/>
        <family val="1"/>
      </rPr>
      <t>1</t>
    </r>
  </si>
  <si>
    <t>Vintaged PABA Rev Req with FF&amp;U</t>
  </si>
  <si>
    <t>PABA Revenue Requirement Allocation to Rate Groups (w/ FF&amp;U) ($000) -- Vintaged Revenue Requirement x Column C</t>
  </si>
  <si>
    <t>Total Indifference Amounts by Vintage</t>
  </si>
  <si>
    <t>Line 1 / (Line 2 + Line 3)</t>
  </si>
  <si>
    <t>System RA Benchmark</t>
  </si>
  <si>
    <t>Incremental Rate for Each Portfolio of Resources (Vintage Indifference Amount by Rate Group / Forecast Sales by Rate Group)</t>
  </si>
  <si>
    <t>CTC Sales</t>
  </si>
  <si>
    <t>Total Sales</t>
  </si>
  <si>
    <t>Total</t>
  </si>
  <si>
    <t>Legacy UOG &amp; Other</t>
  </si>
  <si>
    <t>Generation Revenue Allocation Factor</t>
  </si>
  <si>
    <t>CRS Eligible Flexible Net Qualifying Capacity</t>
  </si>
  <si>
    <t>CRS Eligible System Net Qualifying Capacity</t>
  </si>
  <si>
    <t>CRS Eligible Non-Renewable Supply At Customer Meter</t>
  </si>
  <si>
    <t>CRS Eligible Non-Renewable Supply at Meter</t>
  </si>
  <si>
    <t>CRS Eligible Total Net Qualifying Capacity (MW)</t>
  </si>
  <si>
    <t>CRS Eligible System NQC (System only, No flex or local)</t>
  </si>
  <si>
    <t>CRS Eligible Flexible NQC (System and flex only, No local)</t>
  </si>
  <si>
    <t>Line 6 + Line 5</t>
  </si>
  <si>
    <t>Total "Green" Benchmark ($/MWh)</t>
  </si>
  <si>
    <t>Energy Division</t>
  </si>
  <si>
    <t>Flexible RA Benchmark ($/kW-Year)</t>
  </si>
  <si>
    <t>Local RA Benchmark</t>
  </si>
  <si>
    <t>Flexible RA Benchmark</t>
  </si>
  <si>
    <t>Average Monthly Local NQC</t>
  </si>
  <si>
    <t>Average Monthly Flexible NQC</t>
  </si>
  <si>
    <t>Portfolio Summary Line 14</t>
  </si>
  <si>
    <t>CRS Eligible NQC (System and local, with or without flex)</t>
  </si>
  <si>
    <t>CRS Eligible Local Net Qualifying Capacity</t>
  </si>
  <si>
    <t>Local RA Benchmark ($/kW-Year)</t>
  </si>
  <si>
    <t>Line 6</t>
  </si>
  <si>
    <t xml:space="preserve">Final Cumulative Rates            </t>
  </si>
  <si>
    <t xml:space="preserve"> System Sales (GWh)</t>
  </si>
  <si>
    <t>ERRA CRS Rates</t>
  </si>
  <si>
    <t>2016 Recorded Load - On Peak Hours</t>
  </si>
  <si>
    <t>2016 Recorded Load - Off Peak Hours</t>
  </si>
  <si>
    <t>PCIA 2020 Vintage</t>
  </si>
  <si>
    <t>IOU RPS Premium ($/MWh)</t>
  </si>
  <si>
    <r>
      <t xml:space="preserve">Resolution </t>
    </r>
    <r>
      <rPr>
        <sz val="11"/>
        <rFont val="Calibri"/>
        <family val="2"/>
        <scheme val="minor"/>
      </rPr>
      <t>E-4475</t>
    </r>
  </si>
  <si>
    <t xml:space="preserve">Notes: </t>
  </si>
  <si>
    <t>Platt's CA Bundled REC (Bucket 1) Mid Value</t>
  </si>
  <si>
    <t>Vintage-Billing Determinants Sales (GWh)</t>
  </si>
  <si>
    <t>PABA Year-End Balance (without FF&amp;U)</t>
  </si>
  <si>
    <t>Portfolio Summary Line 13</t>
  </si>
  <si>
    <t>CRS Eligible Renewable Supply Sales at Customer Meter</t>
  </si>
  <si>
    <t>Portfolio Summary Line 2 or 3</t>
  </si>
  <si>
    <t>PCIA Inputs Line 5</t>
  </si>
  <si>
    <t>PCIA Inputs Line 6</t>
  </si>
  <si>
    <t>System RA Benchmark ($/kW-Year)</t>
  </si>
  <si>
    <t>PCIA InputsLine 8</t>
  </si>
  <si>
    <t>PCIA InputsLine 9</t>
  </si>
  <si>
    <t>PCIA InputsLine 10</t>
  </si>
  <si>
    <t>Lines 2-3 x 1,000</t>
  </si>
  <si>
    <t>PABA prior to CAPBA calculation</t>
  </si>
  <si>
    <t>PABA after to CAPBA calculation</t>
  </si>
  <si>
    <t>CAPBA Year-End Balance (without FF&amp;U)</t>
  </si>
  <si>
    <t>Portfolio Summary Lines 7</t>
  </si>
  <si>
    <t>Portfolio Summary Lines 8</t>
  </si>
  <si>
    <t>CRS Eligible Excess System Sales</t>
  </si>
  <si>
    <t>Portfolio Summary Line 15</t>
  </si>
  <si>
    <t>Portfolio Summary Line 12</t>
  </si>
  <si>
    <t>Line 3-4 x 1,000</t>
  </si>
  <si>
    <t>Line 5 &amp; Line 8</t>
  </si>
  <si>
    <t>Line 7</t>
  </si>
  <si>
    <t>Sum (Lines 19 x 20, 21 x 22, 23 x 24)</t>
  </si>
  <si>
    <t>Line 14 + Line 18+ Line 25</t>
  </si>
  <si>
    <t>Line 27 x PCIA Inputs Line 11</t>
  </si>
  <si>
    <t>Line 28</t>
  </si>
  <si>
    <t>Sum (Lines 32:33)</t>
  </si>
  <si>
    <t>Line 36 x PCIA Inputs Line 12</t>
  </si>
  <si>
    <t>Line 41 / PCIA Inputs Line 12</t>
  </si>
  <si>
    <t>Line 37 - Line 39</t>
  </si>
  <si>
    <t>Vintaged PABA Revenue Requirement prior to CAPBA</t>
  </si>
  <si>
    <t>Vintaged PABA Rev Req with FF&amp;U prior to CAPBA</t>
  </si>
  <si>
    <t>Above-Cap PCIA Rev Req Departed Load  - CAPBA (with FF&amp;U)</t>
  </si>
  <si>
    <t>Above-Cap PCIA Rev Req Bunlded Load  (with FF&amp;U)</t>
  </si>
  <si>
    <t>Vintaged PABA Revenue Requirement without FF&amp;U</t>
  </si>
  <si>
    <t>Platt's Forward Prices as of November 1, 2019</t>
  </si>
  <si>
    <t>*</t>
  </si>
  <si>
    <t>* Used for calculation purposes ONLY.</t>
  </si>
  <si>
    <t>PCIA 
2008 Vintage</t>
  </si>
  <si>
    <t>2020 ERRA Forecast - PCIA Vintaged Rates for DA and CCA</t>
  </si>
  <si>
    <t>Aggr. Portfolio Weights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</si>
</sst>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"/>
    <numFmt numFmtId="165" formatCode="&quot;$&quot;#,##0.00"/>
    <numFmt numFmtId="166" formatCode="0.000"/>
    <numFmt numFmtId="167" formatCode="_(* #,##0_);_(* \(#,##0\);_(* &quot;-&quot;??_);_(@_)"/>
    <numFmt numFmtId="168" formatCode="_(&quot;$&quot;* #,##0_);_(&quot;$&quot;* \(#,##0\);_(&quot;$&quot;* &quot;-&quot;??_);_(@_)"/>
    <numFmt numFmtId="169" formatCode="0.000%"/>
    <numFmt numFmtId="170" formatCode="_(&quot;$&quot;* #,##0.00000000_);_(&quot;$&quot;* \(#,##0.00000000\);_(&quot;$&quot;* &quot;-&quot;??_);_(@_)"/>
    <numFmt numFmtId="171" formatCode="_(&quot;$&quot;* #,##0.00000_);_(&quot;$&quot;* \(#,##0.00000\);_(&quot;$&quot;* &quot;-&quot;??_);_(@_)"/>
    <numFmt numFmtId="172" formatCode="0.0000000"/>
    <numFmt numFmtId="173" formatCode="0.0%"/>
    <numFmt numFmtId="174" formatCode="_(* #,##0.00000_);_(* \(#,##0.00000\);_(* &quot;-&quot;??_);_(@_)"/>
    <numFmt numFmtId="175" formatCode="_(* #,##0.0000000_);_(* \(#,##0.0000000\);_(* &quot;-&quot;??_);_(@_)"/>
    <numFmt numFmtId="176" formatCode="_(* #,##0.000_);_(* \(#,##0.000\);_(* &quot;-&quot;??_);_(@_)"/>
    <numFmt numFmtId="177" formatCode="General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1"/>
      <name val="Calibri"/>
      <family val="2"/>
      <scheme val="minor"/>
    </font>
    <font>
      <sz val="10"/>
      <color theme="4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9"/>
      <color theme="4"/>
      <name val="Arial"/>
      <family val="2"/>
    </font>
    <font>
      <vertAlign val="superscript"/>
      <sz val="11"/>
      <color theme="1"/>
      <name val="Calibri"/>
      <family val="2"/>
      <scheme val="minor"/>
    </font>
    <font>
      <b/>
      <sz val="11"/>
      <name val="Times New Roman"/>
      <family val="1"/>
    </font>
    <font>
      <b/>
      <vertAlign val="superscript"/>
      <sz val="11"/>
      <name val="Times New Roman"/>
      <family val="1"/>
    </font>
    <font>
      <b/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sz val="8"/>
      <name val="Arial"/>
      <family val="2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5" fillId="0" borderId="0"/>
    <xf numFmtId="177" fontId="19" fillId="0" borderId="0"/>
  </cellStyleXfs>
  <cellXfs count="108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164" fontId="0" fillId="0" borderId="0" xfId="0" applyNumberFormat="1" applyAlignment="1">
      <alignment horizontal="center"/>
    </xf>
    <xf numFmtId="0" fontId="0" fillId="0" borderId="0" xfId="0" applyAlignment="1"/>
    <xf numFmtId="165" fontId="0" fillId="0" borderId="0" xfId="1" applyNumberFormat="1" applyFont="1" applyAlignment="1"/>
    <xf numFmtId="44" fontId="0" fillId="0" borderId="0" xfId="1" applyNumberFormat="1" applyFont="1" applyAlignment="1"/>
    <xf numFmtId="166" fontId="3" fillId="0" borderId="0" xfId="1" applyNumberFormat="1" applyFont="1" applyAlignment="1"/>
    <xf numFmtId="0" fontId="4" fillId="0" borderId="0" xfId="0" applyFont="1"/>
    <xf numFmtId="6" fontId="2" fillId="0" borderId="0" xfId="0" quotePrefix="1" applyNumberFormat="1" applyFont="1"/>
    <xf numFmtId="164" fontId="0" fillId="0" borderId="0" xfId="0" applyNumberFormat="1" applyBorder="1" applyAlignment="1">
      <alignment horizontal="center"/>
    </xf>
    <xf numFmtId="0" fontId="2" fillId="0" borderId="0" xfId="0" applyFont="1" applyFill="1" applyBorder="1"/>
    <xf numFmtId="0" fontId="5" fillId="0" borderId="0" xfId="4" applyFont="1" applyFill="1" applyBorder="1"/>
    <xf numFmtId="0" fontId="7" fillId="0" borderId="0" xfId="4" applyFont="1" applyFill="1" applyBorder="1"/>
    <xf numFmtId="0" fontId="8" fillId="0" borderId="0" xfId="4" applyFont="1" applyFill="1" applyBorder="1"/>
    <xf numFmtId="0" fontId="7" fillId="0" borderId="0" xfId="4" quotePrefix="1" applyFont="1" applyFill="1" applyBorder="1" applyAlignment="1">
      <alignment horizontal="center"/>
    </xf>
    <xf numFmtId="0" fontId="6" fillId="0" borderId="0" xfId="4" applyFont="1" applyFill="1" applyBorder="1"/>
    <xf numFmtId="164" fontId="5" fillId="0" borderId="0" xfId="4" applyNumberFormat="1" applyFont="1" applyFill="1" applyBorder="1" applyAlignment="1">
      <alignment horizontal="center"/>
    </xf>
    <xf numFmtId="164" fontId="7" fillId="0" borderId="0" xfId="4" applyNumberFormat="1" applyFont="1" applyFill="1" applyBorder="1" applyAlignment="1">
      <alignment horizontal="left"/>
    </xf>
    <xf numFmtId="167" fontId="5" fillId="0" borderId="0" xfId="5" applyNumberFormat="1" applyFont="1" applyFill="1" applyBorder="1"/>
    <xf numFmtId="49" fontId="5" fillId="0" borderId="0" xfId="4" applyNumberFormat="1" applyFont="1" applyFill="1" applyBorder="1"/>
    <xf numFmtId="167" fontId="5" fillId="0" borderId="0" xfId="2" applyNumberFormat="1" applyFont="1" applyFill="1" applyBorder="1"/>
    <xf numFmtId="49" fontId="7" fillId="0" borderId="0" xfId="4" applyNumberFormat="1" applyFont="1" applyFill="1" applyBorder="1"/>
    <xf numFmtId="43" fontId="7" fillId="0" borderId="0" xfId="5" applyNumberFormat="1" applyFont="1" applyFill="1" applyBorder="1"/>
    <xf numFmtId="44" fontId="5" fillId="0" borderId="0" xfId="1" applyNumberFormat="1" applyFont="1" applyFill="1" applyBorder="1"/>
    <xf numFmtId="168" fontId="7" fillId="0" borderId="0" xfId="1" applyNumberFormat="1" applyFont="1" applyFill="1" applyBorder="1"/>
    <xf numFmtId="43" fontId="5" fillId="0" borderId="0" xfId="4" applyNumberFormat="1" applyFont="1" applyFill="1" applyBorder="1"/>
    <xf numFmtId="44" fontId="7" fillId="0" borderId="0" xfId="1" applyFont="1" applyFill="1" applyBorder="1"/>
    <xf numFmtId="168" fontId="5" fillId="0" borderId="0" xfId="4" applyNumberFormat="1" applyFont="1" applyFill="1" applyBorder="1"/>
    <xf numFmtId="168" fontId="7" fillId="0" borderId="0" xfId="4" applyNumberFormat="1" applyFont="1" applyFill="1" applyBorder="1"/>
    <xf numFmtId="167" fontId="3" fillId="0" borderId="0" xfId="2" applyNumberFormat="1" applyFont="1"/>
    <xf numFmtId="167" fontId="10" fillId="0" borderId="0" xfId="5" applyNumberFormat="1" applyFont="1" applyFill="1" applyBorder="1"/>
    <xf numFmtId="0" fontId="11" fillId="0" borderId="0" xfId="0" applyFont="1"/>
    <xf numFmtId="0" fontId="12" fillId="0" borderId="0" xfId="6" applyFont="1" applyFill="1" applyBorder="1" applyAlignment="1">
      <alignment horizontal="left" wrapText="1"/>
    </xf>
    <xf numFmtId="168" fontId="11" fillId="0" borderId="0" xfId="1" applyNumberFormat="1" applyFont="1" applyFill="1" applyBorder="1" applyAlignment="1">
      <alignment horizontal="left" wrapText="1"/>
    </xf>
    <xf numFmtId="0" fontId="11" fillId="0" borderId="0" xfId="6" applyFont="1" applyFill="1" applyBorder="1"/>
    <xf numFmtId="169" fontId="11" fillId="0" borderId="0" xfId="3" applyNumberFormat="1" applyFont="1"/>
    <xf numFmtId="168" fontId="11" fillId="0" borderId="0" xfId="0" applyNumberFormat="1" applyFont="1"/>
    <xf numFmtId="170" fontId="11" fillId="0" borderId="0" xfId="1" applyNumberFormat="1" applyFont="1"/>
    <xf numFmtId="171" fontId="11" fillId="0" borderId="0" xfId="1" applyNumberFormat="1" applyFont="1"/>
    <xf numFmtId="171" fontId="11" fillId="0" borderId="0" xfId="0" applyNumberFormat="1" applyFont="1"/>
    <xf numFmtId="0" fontId="2" fillId="0" borderId="0" xfId="0" applyFont="1" applyAlignment="1">
      <alignment horizontal="center" wrapText="1"/>
    </xf>
    <xf numFmtId="0" fontId="13" fillId="0" borderId="0" xfId="4" applyFont="1" applyFill="1" applyBorder="1"/>
    <xf numFmtId="168" fontId="3" fillId="0" borderId="0" xfId="1" applyNumberFormat="1" applyFont="1"/>
    <xf numFmtId="168" fontId="0" fillId="0" borderId="0" xfId="1" applyNumberFormat="1" applyFont="1"/>
    <xf numFmtId="7" fontId="5" fillId="0" borderId="0" xfId="4" applyNumberFormat="1" applyFont="1" applyFill="1" applyBorder="1"/>
    <xf numFmtId="6" fontId="5" fillId="0" borderId="0" xfId="4" quotePrefix="1" applyNumberFormat="1" applyFont="1" applyFill="1" applyBorder="1"/>
    <xf numFmtId="165" fontId="0" fillId="0" borderId="0" xfId="0" applyNumberFormat="1"/>
    <xf numFmtId="172" fontId="3" fillId="0" borderId="0" xfId="0" applyNumberFormat="1" applyFont="1"/>
    <xf numFmtId="0" fontId="0" fillId="0" borderId="0" xfId="0" applyFill="1"/>
    <xf numFmtId="174" fontId="9" fillId="0" borderId="1" xfId="2" applyNumberFormat="1" applyFont="1" applyBorder="1"/>
    <xf numFmtId="44" fontId="3" fillId="0" borderId="0" xfId="1" applyFont="1" applyAlignment="1"/>
    <xf numFmtId="168" fontId="3" fillId="0" borderId="0" xfId="1" applyNumberFormat="1" applyFont="1" applyFill="1"/>
    <xf numFmtId="0" fontId="9" fillId="0" borderId="0" xfId="0" applyFont="1"/>
    <xf numFmtId="0" fontId="7" fillId="0" borderId="0" xfId="4" quotePrefix="1" applyFont="1" applyFill="1" applyBorder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15" fillId="2" borderId="1" xfId="6" applyFont="1" applyFill="1" applyBorder="1" applyAlignment="1">
      <alignment horizontal="left" wrapText="1"/>
    </xf>
    <xf numFmtId="0" fontId="15" fillId="2" borderId="1" xfId="6" applyFont="1" applyFill="1" applyBorder="1" applyAlignment="1">
      <alignment horizontal="center" wrapText="1"/>
    </xf>
    <xf numFmtId="0" fontId="1" fillId="0" borderId="1" xfId="0" applyFont="1" applyBorder="1"/>
    <xf numFmtId="174" fontId="1" fillId="0" borderId="1" xfId="2" applyNumberFormat="1" applyFont="1" applyBorder="1"/>
    <xf numFmtId="44" fontId="4" fillId="0" borderId="0" xfId="0" applyNumberFormat="1" applyFont="1"/>
    <xf numFmtId="168" fontId="0" fillId="0" borderId="0" xfId="0" applyNumberFormat="1"/>
    <xf numFmtId="167" fontId="0" fillId="0" borderId="0" xfId="2" applyNumberFormat="1" applyFont="1"/>
    <xf numFmtId="0" fontId="11" fillId="4" borderId="0" xfId="6" applyFont="1" applyFill="1" applyBorder="1" applyAlignment="1">
      <alignment horizontal="left" wrapText="1"/>
    </xf>
    <xf numFmtId="0" fontId="12" fillId="4" borderId="0" xfId="6" applyFont="1" applyFill="1" applyBorder="1" applyAlignment="1">
      <alignment horizontal="center" wrapText="1"/>
    </xf>
    <xf numFmtId="171" fontId="11" fillId="0" borderId="0" xfId="1" applyNumberFormat="1" applyFont="1" applyFill="1" applyBorder="1" applyAlignment="1">
      <alignment horizontal="left" wrapText="1"/>
    </xf>
    <xf numFmtId="0" fontId="12" fillId="0" borderId="0" xfId="6" applyFont="1" applyFill="1" applyBorder="1" applyAlignment="1">
      <alignment horizontal="center" wrapText="1"/>
    </xf>
    <xf numFmtId="167" fontId="3" fillId="0" borderId="0" xfId="2" applyNumberFormat="1" applyFont="1" applyFill="1"/>
    <xf numFmtId="164" fontId="0" fillId="0" borderId="0" xfId="0" applyNumberFormat="1" applyAlignment="1">
      <alignment horizontal="center"/>
    </xf>
    <xf numFmtId="0" fontId="0" fillId="0" borderId="0" xfId="0"/>
    <xf numFmtId="165" fontId="0" fillId="0" borderId="0" xfId="1" applyNumberFormat="1" applyFont="1" applyFill="1" applyAlignment="1"/>
    <xf numFmtId="164" fontId="0" fillId="0" borderId="0" xfId="0" applyNumberFormat="1" applyFill="1" applyAlignment="1">
      <alignment horizontal="center"/>
    </xf>
    <xf numFmtId="0" fontId="8" fillId="0" borderId="0" xfId="4" applyFont="1" applyFill="1" applyAlignment="1">
      <alignment vertical="center" wrapText="1"/>
    </xf>
    <xf numFmtId="0" fontId="8" fillId="0" borderId="0" xfId="4" applyFont="1" applyFill="1" applyBorder="1" applyAlignment="1">
      <alignment wrapText="1"/>
    </xf>
    <xf numFmtId="165" fontId="7" fillId="0" borderId="0" xfId="1" applyNumberFormat="1" applyFont="1" applyFill="1" applyBorder="1" applyAlignment="1">
      <alignment horizontal="center"/>
    </xf>
    <xf numFmtId="173" fontId="11" fillId="4" borderId="0" xfId="3" applyNumberFormat="1" applyFont="1" applyFill="1" applyAlignment="1">
      <alignment horizontal="center"/>
    </xf>
    <xf numFmtId="167" fontId="11" fillId="0" borderId="0" xfId="5" applyNumberFormat="1" applyFont="1" applyFill="1"/>
    <xf numFmtId="167" fontId="11" fillId="0" borderId="0" xfId="2" applyNumberFormat="1" applyFont="1" applyFill="1"/>
    <xf numFmtId="0" fontId="7" fillId="0" borderId="0" xfId="4" applyFont="1" applyFill="1" applyBorder="1" applyAlignment="1">
      <alignment wrapText="1"/>
    </xf>
    <xf numFmtId="0" fontId="9" fillId="0" borderId="0" xfId="0" applyFont="1" applyFill="1"/>
    <xf numFmtId="0" fontId="0" fillId="0" borderId="0" xfId="0" applyFont="1"/>
    <xf numFmtId="175" fontId="3" fillId="0" borderId="0" xfId="2" applyNumberFormat="1" applyFont="1" applyAlignment="1"/>
    <xf numFmtId="176" fontId="3" fillId="0" borderId="0" xfId="2" applyNumberFormat="1" applyFont="1" applyAlignment="1"/>
    <xf numFmtId="44" fontId="7" fillId="0" borderId="0" xfId="1" applyNumberFormat="1" applyFont="1" applyFill="1" applyBorder="1"/>
    <xf numFmtId="0" fontId="12" fillId="3" borderId="0" xfId="0" applyFont="1" applyFill="1" applyAlignment="1"/>
    <xf numFmtId="1" fontId="0" fillId="0" borderId="0" xfId="0" applyNumberFormat="1"/>
    <xf numFmtId="167" fontId="0" fillId="0" borderId="0" xfId="2" applyNumberFormat="1" applyFont="1" applyFill="1"/>
    <xf numFmtId="44" fontId="5" fillId="0" borderId="0" xfId="1" applyFont="1" applyFill="1" applyBorder="1"/>
    <xf numFmtId="168" fontId="5" fillId="0" borderId="0" xfId="1" applyNumberFormat="1" applyFont="1" applyFill="1" applyBorder="1"/>
    <xf numFmtId="0" fontId="0" fillId="0" borderId="0" xfId="0" applyFill="1" applyAlignment="1">
      <alignment horizontal="left" indent="1"/>
    </xf>
    <xf numFmtId="9" fontId="3" fillId="0" borderId="0" xfId="3" applyFont="1" applyAlignment="1"/>
    <xf numFmtId="0" fontId="9" fillId="0" borderId="0" xfId="0" applyFont="1" applyFill="1" applyAlignment="1">
      <alignment horizontal="left" indent="1"/>
    </xf>
    <xf numFmtId="43" fontId="3" fillId="0" borderId="0" xfId="2" applyFont="1" applyAlignment="1"/>
    <xf numFmtId="168" fontId="3" fillId="5" borderId="0" xfId="1" applyNumberFormat="1" applyFont="1" applyFill="1"/>
    <xf numFmtId="168" fontId="0" fillId="5" borderId="0" xfId="1" applyNumberFormat="1" applyFont="1" applyFill="1"/>
    <xf numFmtId="167" fontId="11" fillId="5" borderId="0" xfId="5" applyNumberFormat="1" applyFont="1" applyFill="1"/>
    <xf numFmtId="168" fontId="11" fillId="5" borderId="0" xfId="1" applyNumberFormat="1" applyFont="1" applyFill="1" applyBorder="1" applyAlignment="1">
      <alignment horizontal="left" wrapText="1"/>
    </xf>
    <xf numFmtId="168" fontId="11" fillId="5" borderId="0" xfId="0" applyNumberFormat="1" applyFont="1" applyFill="1"/>
    <xf numFmtId="168" fontId="5" fillId="5" borderId="0" xfId="1" applyNumberFormat="1" applyFont="1" applyFill="1" applyBorder="1"/>
    <xf numFmtId="165" fontId="7" fillId="5" borderId="0" xfId="1" applyNumberFormat="1" applyFont="1" applyFill="1" applyBorder="1" applyAlignment="1">
      <alignment horizontal="center"/>
    </xf>
    <xf numFmtId="0" fontId="0" fillId="0" borderId="0" xfId="0" applyFont="1" applyFill="1"/>
    <xf numFmtId="177" fontId="20" fillId="0" borderId="0" xfId="13" applyFont="1" applyFill="1" applyBorder="1" applyAlignment="1">
      <alignment horizontal="left" vertical="top"/>
    </xf>
    <xf numFmtId="0" fontId="17" fillId="0" borderId="0" xfId="0" applyFont="1" applyFill="1" applyAlignment="1">
      <alignment horizontal="left"/>
    </xf>
    <xf numFmtId="0" fontId="1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168" fontId="7" fillId="5" borderId="0" xfId="1" applyNumberFormat="1" applyFont="1" applyFill="1" applyBorder="1"/>
  </cellXfs>
  <cellStyles count="14">
    <cellStyle name="Comma" xfId="2" builtinId="3"/>
    <cellStyle name="Comma 10" xfId="5" xr:uid="{00000000-0005-0000-0000-000001000000}"/>
    <cellStyle name="Comma 2 4" xfId="8" xr:uid="{00000000-0005-0000-0000-000002000000}"/>
    <cellStyle name="Comma 2 4 2" xfId="9" xr:uid="{00000000-0005-0000-0000-000003000000}"/>
    <cellStyle name="Currency" xfId="1" builtinId="4"/>
    <cellStyle name="Currency 2 3" xfId="11" xr:uid="{00000000-0005-0000-0000-000005000000}"/>
    <cellStyle name="Normal" xfId="0" builtinId="0"/>
    <cellStyle name="Normal - Style1 24" xfId="7" xr:uid="{00000000-0005-0000-0000-000004000000}"/>
    <cellStyle name="Normal 10" xfId="4" xr:uid="{00000000-0005-0000-0000-000005000000}"/>
    <cellStyle name="Normal 3" xfId="6" xr:uid="{00000000-0005-0000-0000-000006000000}"/>
    <cellStyle name="Normal 3 4" xfId="12" xr:uid="{00000000-0005-0000-0000-000008000000}"/>
    <cellStyle name="Normal 5" xfId="10" xr:uid="{00000000-0005-0000-0000-000009000000}"/>
    <cellStyle name="Normal_RD-WP(Combined 1-01-01 filing)" xfId="13" xr:uid="{9859C5C9-B6DE-429B-8C57-4287CD340931}"/>
    <cellStyle name="Percent" xfId="3" builtinId="5"/>
  </cellStyles>
  <dxfs count="0"/>
  <tableStyles count="0" defaultTableStyle="TableStyleMedium2" defaultPivotStyle="PivotStyleLight16"/>
  <colors>
    <mruColors>
      <color rgb="FFFFCCCC"/>
      <color rgb="FFCCFF99"/>
      <color rgb="FFCCCCFF"/>
      <color rgb="FFFF5050"/>
      <color rgb="FFFF33CC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21"/>
  <sheetViews>
    <sheetView zoomScaleNormal="100" workbookViewId="0">
      <selection activeCell="F24" sqref="F24"/>
    </sheetView>
  </sheetViews>
  <sheetFormatPr defaultRowHeight="15" x14ac:dyDescent="0.25"/>
  <cols>
    <col min="1" max="1" width="7.28515625" bestFit="1" customWidth="1"/>
    <col min="2" max="2" width="50.42578125" customWidth="1"/>
    <col min="3" max="3" width="43.5703125" bestFit="1" customWidth="1"/>
    <col min="4" max="4" width="11" bestFit="1" customWidth="1"/>
  </cols>
  <sheetData>
    <row r="2" spans="1:4" x14ac:dyDescent="0.25">
      <c r="A2" s="1" t="s">
        <v>3</v>
      </c>
      <c r="B2" s="2" t="s">
        <v>0</v>
      </c>
      <c r="C2" s="2" t="s">
        <v>1</v>
      </c>
      <c r="D2" s="3" t="s">
        <v>2</v>
      </c>
    </row>
    <row r="3" spans="1:4" x14ac:dyDescent="0.25">
      <c r="A3" s="4">
        <v>1</v>
      </c>
      <c r="B3" s="70" t="s">
        <v>4</v>
      </c>
      <c r="C3" s="80" t="s">
        <v>166</v>
      </c>
      <c r="D3" s="52">
        <v>37.61</v>
      </c>
    </row>
    <row r="4" spans="1:4" x14ac:dyDescent="0.25">
      <c r="A4" s="4">
        <f>IF(A3=0, A2+1, A3+1)</f>
        <v>2</v>
      </c>
      <c r="B4" s="70" t="s">
        <v>5</v>
      </c>
      <c r="C4" s="80" t="s">
        <v>166</v>
      </c>
      <c r="D4" s="52">
        <v>29.56</v>
      </c>
    </row>
    <row r="5" spans="1:4" x14ac:dyDescent="0.25">
      <c r="A5" s="4">
        <f t="shared" ref="A5:A19" si="0">IF(A4=0, A3+1, A4+1)</f>
        <v>3</v>
      </c>
      <c r="B5" s="70" t="s">
        <v>6</v>
      </c>
      <c r="C5" s="54" t="s">
        <v>123</v>
      </c>
      <c r="D5" s="91">
        <v>0.56000000000000005</v>
      </c>
    </row>
    <row r="6" spans="1:4" x14ac:dyDescent="0.25">
      <c r="A6" s="4">
        <f t="shared" si="0"/>
        <v>4</v>
      </c>
      <c r="B6" s="70" t="s">
        <v>7</v>
      </c>
      <c r="C6" s="54" t="s">
        <v>124</v>
      </c>
      <c r="D6" s="91">
        <v>0.44</v>
      </c>
    </row>
    <row r="7" spans="1:4" s="70" customFormat="1" x14ac:dyDescent="0.25">
      <c r="A7" s="69">
        <f t="shared" si="0"/>
        <v>5</v>
      </c>
      <c r="B7" s="50" t="s">
        <v>171</v>
      </c>
      <c r="C7" s="80"/>
      <c r="D7" s="93">
        <v>1.154091436807045</v>
      </c>
    </row>
    <row r="8" spans="1:4" x14ac:dyDescent="0.25">
      <c r="A8" s="69">
        <f t="shared" si="0"/>
        <v>6</v>
      </c>
      <c r="B8" s="50" t="s">
        <v>8</v>
      </c>
      <c r="C8" s="101" t="s">
        <v>9</v>
      </c>
      <c r="D8" s="52">
        <v>39.317587069142405</v>
      </c>
    </row>
    <row r="9" spans="1:4" x14ac:dyDescent="0.25">
      <c r="A9" s="4"/>
      <c r="B9" s="50"/>
      <c r="C9" s="50"/>
      <c r="D9" s="5"/>
    </row>
    <row r="10" spans="1:4" ht="15" customHeight="1" x14ac:dyDescent="0.25">
      <c r="A10" s="69">
        <f t="shared" si="0"/>
        <v>7</v>
      </c>
      <c r="B10" s="50" t="s">
        <v>126</v>
      </c>
      <c r="C10" s="101" t="s">
        <v>129</v>
      </c>
      <c r="D10" s="52">
        <v>17.350000000000001</v>
      </c>
    </row>
    <row r="11" spans="1:4" ht="15" customHeight="1" x14ac:dyDescent="0.25">
      <c r="A11" s="69">
        <f t="shared" si="0"/>
        <v>8</v>
      </c>
      <c r="B11" s="50" t="s">
        <v>108</v>
      </c>
      <c r="C11" s="80" t="s">
        <v>107</v>
      </c>
      <c r="D11" s="71">
        <f>D8+D10</f>
        <v>56.667587069142407</v>
      </c>
    </row>
    <row r="12" spans="1:4" x14ac:dyDescent="0.25">
      <c r="A12" s="4"/>
      <c r="B12" s="50"/>
      <c r="C12" s="50"/>
      <c r="D12" s="7"/>
    </row>
    <row r="13" spans="1:4" x14ac:dyDescent="0.25">
      <c r="A13" s="4">
        <f>IF(A12=0, A11+1, A12+1)</f>
        <v>9</v>
      </c>
      <c r="B13" s="50" t="s">
        <v>137</v>
      </c>
      <c r="C13" s="101" t="s">
        <v>109</v>
      </c>
      <c r="D13" s="52">
        <f>4.59*12</f>
        <v>55.08</v>
      </c>
    </row>
    <row r="14" spans="1:4" s="50" customFormat="1" x14ac:dyDescent="0.25">
      <c r="A14" s="69">
        <v>9</v>
      </c>
      <c r="B14" s="50" t="s">
        <v>118</v>
      </c>
      <c r="C14" s="101" t="s">
        <v>109</v>
      </c>
      <c r="D14" s="52">
        <f>4.15*12</f>
        <v>49.800000000000004</v>
      </c>
    </row>
    <row r="15" spans="1:4" s="50" customFormat="1" x14ac:dyDescent="0.25">
      <c r="A15" s="69">
        <v>10</v>
      </c>
      <c r="B15" s="50" t="s">
        <v>110</v>
      </c>
      <c r="C15" s="101" t="s">
        <v>109</v>
      </c>
      <c r="D15" s="52">
        <f>4.41*12</f>
        <v>52.92</v>
      </c>
    </row>
    <row r="16" spans="1:4" x14ac:dyDescent="0.25">
      <c r="A16" s="4"/>
      <c r="B16" s="50"/>
      <c r="C16" s="101"/>
      <c r="D16" s="6"/>
    </row>
    <row r="17" spans="1:6" x14ac:dyDescent="0.25">
      <c r="A17" s="4">
        <f>A15+1</f>
        <v>11</v>
      </c>
      <c r="B17" s="50" t="s">
        <v>10</v>
      </c>
      <c r="C17" s="101" t="s">
        <v>127</v>
      </c>
      <c r="D17" s="83">
        <v>1.0429999999999999</v>
      </c>
    </row>
    <row r="18" spans="1:6" x14ac:dyDescent="0.25">
      <c r="A18" s="4"/>
      <c r="B18" s="70"/>
      <c r="C18" s="81"/>
      <c r="D18" s="8"/>
    </row>
    <row r="19" spans="1:6" x14ac:dyDescent="0.25">
      <c r="A19" s="4">
        <f t="shared" si="0"/>
        <v>12</v>
      </c>
      <c r="B19" s="70" t="s">
        <v>66</v>
      </c>
      <c r="C19" s="54"/>
      <c r="D19" s="82">
        <v>1.0121448</v>
      </c>
    </row>
    <row r="20" spans="1:6" x14ac:dyDescent="0.25">
      <c r="A20" s="4"/>
      <c r="D20" s="5"/>
    </row>
    <row r="21" spans="1:6" x14ac:dyDescent="0.25">
      <c r="D21" s="49"/>
      <c r="F21" s="48"/>
    </row>
  </sheetData>
  <pageMargins left="0.7" right="0.7" top="0.75" bottom="0.75" header="0.3" footer="0.3"/>
  <pageSetup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30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19" sqref="B19"/>
    </sheetView>
  </sheetViews>
  <sheetFormatPr defaultRowHeight="15" x14ac:dyDescent="0.25"/>
  <cols>
    <col min="1" max="1" width="3.5703125" bestFit="1" customWidth="1"/>
    <col min="2" max="2" width="55.85546875" customWidth="1"/>
    <col min="3" max="3" width="11.140625" bestFit="1" customWidth="1"/>
    <col min="4" max="4" width="11.140625" customWidth="1"/>
    <col min="5" max="5" width="13.85546875" bestFit="1" customWidth="1"/>
    <col min="6" max="12" width="13.85546875" customWidth="1"/>
    <col min="13" max="13" width="12.28515625" bestFit="1" customWidth="1"/>
    <col min="14" max="16" width="12.140625" bestFit="1" customWidth="1"/>
    <col min="17" max="17" width="13.28515625" bestFit="1" customWidth="1"/>
    <col min="18" max="22" width="13.7109375" bestFit="1" customWidth="1"/>
    <col min="23" max="23" width="12.28515625" style="70" bestFit="1" customWidth="1"/>
    <col min="24" max="24" width="12.28515625" bestFit="1" customWidth="1"/>
  </cols>
  <sheetData>
    <row r="1" spans="1:24" s="70" customFormat="1" x14ac:dyDescent="0.25">
      <c r="A1" s="102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</row>
    <row r="2" spans="1:24" s="70" customFormat="1" x14ac:dyDescent="0.25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</row>
    <row r="4" spans="1:24" x14ac:dyDescent="0.25">
      <c r="C4" s="9"/>
      <c r="D4" s="9"/>
    </row>
    <row r="5" spans="1:24" ht="30" x14ac:dyDescent="0.25">
      <c r="C5" s="42" t="s">
        <v>14</v>
      </c>
      <c r="D5" s="56" t="s">
        <v>62</v>
      </c>
      <c r="E5" s="56" t="s">
        <v>56</v>
      </c>
      <c r="F5" s="42">
        <v>2002</v>
      </c>
      <c r="G5" s="42">
        <v>2003</v>
      </c>
      <c r="H5" s="42">
        <v>2004</v>
      </c>
      <c r="I5" s="42">
        <v>2005</v>
      </c>
      <c r="J5" s="42">
        <v>2006</v>
      </c>
      <c r="K5" s="42">
        <v>2007</v>
      </c>
      <c r="L5" s="42">
        <v>2008</v>
      </c>
      <c r="M5" s="2">
        <v>2009</v>
      </c>
      <c r="N5" s="2">
        <v>2010</v>
      </c>
      <c r="O5" s="2">
        <v>2011</v>
      </c>
      <c r="P5" s="2">
        <v>2012</v>
      </c>
      <c r="Q5" s="2">
        <v>2013</v>
      </c>
      <c r="R5" s="2">
        <v>2014</v>
      </c>
      <c r="S5" s="2">
        <v>2015</v>
      </c>
      <c r="T5" s="2">
        <v>2016</v>
      </c>
      <c r="U5" s="2">
        <v>2017</v>
      </c>
      <c r="V5" s="2">
        <v>2018</v>
      </c>
      <c r="W5" s="2">
        <v>2019</v>
      </c>
      <c r="X5" s="2">
        <f>+W5+1</f>
        <v>2020</v>
      </c>
    </row>
    <row r="6" spans="1:24" x14ac:dyDescent="0.25">
      <c r="A6" s="4">
        <v>1</v>
      </c>
      <c r="B6" s="10" t="s">
        <v>53</v>
      </c>
    </row>
    <row r="7" spans="1:24" x14ac:dyDescent="0.25">
      <c r="A7" s="4">
        <f>A6+1</f>
        <v>2</v>
      </c>
      <c r="B7" t="s">
        <v>65</v>
      </c>
      <c r="C7" s="53">
        <v>25202.527073874524</v>
      </c>
      <c r="D7" s="53">
        <v>0</v>
      </c>
      <c r="E7" s="53">
        <v>0</v>
      </c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</row>
    <row r="8" spans="1:24" x14ac:dyDescent="0.25">
      <c r="A8" s="11">
        <f>A7+1</f>
        <v>3</v>
      </c>
      <c r="B8" t="s">
        <v>64</v>
      </c>
      <c r="C8" s="44">
        <v>0</v>
      </c>
      <c r="D8" s="53">
        <v>676</v>
      </c>
      <c r="E8" s="53">
        <v>0</v>
      </c>
      <c r="F8" s="53">
        <v>0</v>
      </c>
      <c r="G8" s="53">
        <v>0</v>
      </c>
      <c r="H8" s="53">
        <v>0</v>
      </c>
      <c r="I8" s="53">
        <v>0</v>
      </c>
      <c r="J8" s="53">
        <v>0</v>
      </c>
      <c r="K8" s="53">
        <v>0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3">
        <v>0</v>
      </c>
      <c r="V8" s="53">
        <v>0</v>
      </c>
      <c r="W8" s="53">
        <v>0</v>
      </c>
      <c r="X8" s="53">
        <v>0</v>
      </c>
    </row>
    <row r="9" spans="1:24" x14ac:dyDescent="0.25">
      <c r="A9" s="11">
        <f>A8+1</f>
        <v>4</v>
      </c>
      <c r="B9" s="12" t="s">
        <v>63</v>
      </c>
      <c r="C9" s="45">
        <v>25202.527073874524</v>
      </c>
      <c r="D9" s="45">
        <v>25878.527073874524</v>
      </c>
      <c r="E9" s="45">
        <v>25878.527073874524</v>
      </c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</row>
    <row r="10" spans="1:24" x14ac:dyDescent="0.25">
      <c r="A10" s="4"/>
      <c r="H10" s="50"/>
      <c r="V10" s="9"/>
      <c r="W10" s="61"/>
      <c r="X10" s="61"/>
    </row>
    <row r="11" spans="1:24" x14ac:dyDescent="0.25">
      <c r="A11" s="4">
        <f>A9+1</f>
        <v>5</v>
      </c>
      <c r="B11" s="2" t="s">
        <v>12</v>
      </c>
      <c r="H11" s="50"/>
    </row>
    <row r="12" spans="1:24" x14ac:dyDescent="0.25">
      <c r="A12" s="4">
        <f>A11+1</f>
        <v>6</v>
      </c>
      <c r="B12" t="s">
        <v>103</v>
      </c>
      <c r="C12" s="31">
        <v>119.64580563279002</v>
      </c>
      <c r="D12" s="31">
        <v>0</v>
      </c>
      <c r="E12" s="31">
        <v>0</v>
      </c>
      <c r="F12" s="68">
        <v>0</v>
      </c>
      <c r="G12" s="68">
        <v>0</v>
      </c>
      <c r="H12" s="68">
        <v>3211.8526506959197</v>
      </c>
      <c r="I12" s="68">
        <v>0</v>
      </c>
      <c r="J12" s="68">
        <v>0</v>
      </c>
      <c r="K12" s="68">
        <v>2488.7519575862916</v>
      </c>
      <c r="L12" s="68">
        <v>63.354034554170823</v>
      </c>
      <c r="M12" s="68">
        <v>127.77207121284731</v>
      </c>
      <c r="N12" s="68">
        <v>42.085032142856264</v>
      </c>
      <c r="O12" s="68">
        <v>566.72297497603074</v>
      </c>
      <c r="P12" s="68">
        <v>0</v>
      </c>
      <c r="Q12" s="68">
        <v>0</v>
      </c>
      <c r="R12" s="68">
        <v>0</v>
      </c>
      <c r="S12" s="68">
        <v>0</v>
      </c>
      <c r="T12" s="68">
        <v>0</v>
      </c>
      <c r="U12" s="68">
        <v>0</v>
      </c>
      <c r="V12" s="68">
        <v>0</v>
      </c>
      <c r="W12" s="68">
        <v>0</v>
      </c>
      <c r="X12" s="68">
        <v>0</v>
      </c>
    </row>
    <row r="13" spans="1:24" s="50" customFormat="1" x14ac:dyDescent="0.25">
      <c r="A13" s="72">
        <f>A12+1</f>
        <v>7</v>
      </c>
      <c r="B13" s="50" t="s">
        <v>80</v>
      </c>
      <c r="C13" s="68">
        <v>15.580441035474504</v>
      </c>
      <c r="D13" s="68">
        <v>0</v>
      </c>
      <c r="E13" s="68">
        <v>0</v>
      </c>
      <c r="F13" s="68">
        <v>0</v>
      </c>
      <c r="G13" s="68">
        <v>0</v>
      </c>
      <c r="H13" s="68">
        <v>149.45397890699905</v>
      </c>
      <c r="I13" s="68">
        <v>404.31543624161083</v>
      </c>
      <c r="J13" s="68">
        <v>313.74552253115996</v>
      </c>
      <c r="K13" s="68">
        <v>0</v>
      </c>
      <c r="L13" s="68">
        <v>554.98465963566639</v>
      </c>
      <c r="M13" s="68">
        <v>660.85026605944392</v>
      </c>
      <c r="N13" s="68">
        <v>728.39098753595408</v>
      </c>
      <c r="O13" s="68">
        <v>2418.8676170387616</v>
      </c>
      <c r="P13" s="68">
        <v>960.63764046021106</v>
      </c>
      <c r="Q13" s="68">
        <v>90.659362416107356</v>
      </c>
      <c r="R13" s="68">
        <v>36.95787538693331</v>
      </c>
      <c r="S13" s="68">
        <v>0</v>
      </c>
      <c r="T13" s="68">
        <v>0</v>
      </c>
      <c r="U13" s="68">
        <v>25.265580057526368</v>
      </c>
      <c r="V13" s="68">
        <v>0</v>
      </c>
      <c r="W13" s="68">
        <v>0</v>
      </c>
      <c r="X13" s="68">
        <v>0</v>
      </c>
    </row>
    <row r="14" spans="1:24" s="50" customFormat="1" x14ac:dyDescent="0.25">
      <c r="A14" s="72">
        <f t="shared" ref="A14:A15" si="0">A13+1</f>
        <v>8</v>
      </c>
      <c r="B14" s="50" t="s">
        <v>133</v>
      </c>
      <c r="C14" s="68">
        <v>0</v>
      </c>
      <c r="D14" s="68">
        <v>0</v>
      </c>
      <c r="E14" s="68">
        <v>0</v>
      </c>
      <c r="F14" s="68">
        <v>0</v>
      </c>
      <c r="G14" s="68">
        <v>0</v>
      </c>
      <c r="H14" s="68">
        <v>-16.731035984095865</v>
      </c>
      <c r="I14" s="68">
        <v>-45.262201529564074</v>
      </c>
      <c r="J14" s="68">
        <v>-35.123103885941234</v>
      </c>
      <c r="K14" s="68">
        <v>0</v>
      </c>
      <c r="L14" s="68">
        <v>-62.129281394131453</v>
      </c>
      <c r="M14" s="68">
        <v>-73.980697351792557</v>
      </c>
      <c r="N14" s="68">
        <v>-81.541728845764808</v>
      </c>
      <c r="O14" s="68">
        <v>-270.78677621974299</v>
      </c>
      <c r="P14" s="68">
        <v>-107.5412180241663</v>
      </c>
      <c r="Q14" s="68">
        <v>-10.149111224552657</v>
      </c>
      <c r="R14" s="68">
        <v>-4.1373508254289417</v>
      </c>
      <c r="S14" s="68">
        <v>0</v>
      </c>
      <c r="T14" s="68">
        <v>0</v>
      </c>
      <c r="U14" s="68">
        <v>-2.8284247244068004</v>
      </c>
      <c r="V14" s="68">
        <v>0</v>
      </c>
      <c r="W14" s="68">
        <v>0</v>
      </c>
      <c r="X14" s="68">
        <v>0</v>
      </c>
    </row>
    <row r="15" spans="1:24" x14ac:dyDescent="0.25">
      <c r="A15" s="72">
        <f t="shared" si="0"/>
        <v>9</v>
      </c>
      <c r="B15" s="12" t="s">
        <v>13</v>
      </c>
      <c r="C15" s="63">
        <v>135.22624666826451</v>
      </c>
      <c r="D15" s="63">
        <v>135.22624666826451</v>
      </c>
      <c r="E15" s="63">
        <v>135.22624666826451</v>
      </c>
      <c r="F15" s="63">
        <v>135.22624666826451</v>
      </c>
      <c r="G15" s="63">
        <v>135.22624666826451</v>
      </c>
      <c r="H15" s="63">
        <v>3479.8018402870875</v>
      </c>
      <c r="I15" s="63">
        <v>3838.8550749991341</v>
      </c>
      <c r="J15" s="63">
        <v>4117.4774936443528</v>
      </c>
      <c r="K15" s="63">
        <v>6606.2294512306444</v>
      </c>
      <c r="L15" s="63">
        <v>7162.4388640263505</v>
      </c>
      <c r="M15" s="63">
        <v>7877.0805039468496</v>
      </c>
      <c r="N15" s="63">
        <v>8566.0147947798941</v>
      </c>
      <c r="O15" s="63">
        <v>11280.818610574945</v>
      </c>
      <c r="P15" s="63">
        <v>12133.91503301099</v>
      </c>
      <c r="Q15" s="63">
        <v>12214.425284202543</v>
      </c>
      <c r="R15" s="63">
        <v>12247.245808764048</v>
      </c>
      <c r="S15" s="63">
        <v>12247.245808764048</v>
      </c>
      <c r="T15" s="63">
        <v>12247.245808764048</v>
      </c>
      <c r="U15" s="63">
        <v>12269.682964097168</v>
      </c>
      <c r="V15" s="63">
        <v>12269.682964097168</v>
      </c>
      <c r="W15" s="63">
        <v>12269.682964097168</v>
      </c>
      <c r="X15" s="63">
        <v>12269.682964097168</v>
      </c>
    </row>
    <row r="16" spans="1:24" x14ac:dyDescent="0.25">
      <c r="C16" s="63"/>
      <c r="D16" s="63"/>
      <c r="E16" s="63"/>
      <c r="F16" s="63"/>
      <c r="G16" s="63"/>
      <c r="H16" s="87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</row>
    <row r="17" spans="1:24" x14ac:dyDescent="0.25">
      <c r="A17" s="4">
        <f>A15+1</f>
        <v>10</v>
      </c>
      <c r="B17" s="2" t="s">
        <v>54</v>
      </c>
      <c r="C17" s="31"/>
      <c r="D17" s="31"/>
      <c r="E17" s="31"/>
      <c r="F17" s="31"/>
      <c r="G17" s="31"/>
      <c r="H17" s="68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</row>
    <row r="18" spans="1:24" s="50" customFormat="1" x14ac:dyDescent="0.25">
      <c r="A18" s="72">
        <f>A17+1</f>
        <v>11</v>
      </c>
      <c r="B18" s="50" t="s">
        <v>104</v>
      </c>
      <c r="C18" s="68">
        <v>30</v>
      </c>
      <c r="D18" s="68">
        <v>0</v>
      </c>
      <c r="E18" s="68">
        <v>0</v>
      </c>
      <c r="F18" s="68">
        <v>0</v>
      </c>
      <c r="G18" s="68">
        <v>0</v>
      </c>
      <c r="H18" s="68">
        <v>659.1</v>
      </c>
      <c r="I18" s="68">
        <v>32.1</v>
      </c>
      <c r="J18" s="68">
        <v>19.8</v>
      </c>
      <c r="K18" s="68">
        <v>419.3</v>
      </c>
      <c r="L18" s="68">
        <v>44</v>
      </c>
      <c r="M18" s="68">
        <v>98.1</v>
      </c>
      <c r="N18" s="68">
        <v>85</v>
      </c>
      <c r="O18" s="68">
        <v>173.7</v>
      </c>
      <c r="P18" s="68">
        <v>68.5</v>
      </c>
      <c r="Q18" s="68">
        <v>14.1</v>
      </c>
      <c r="R18" s="68">
        <v>2</v>
      </c>
      <c r="S18" s="68">
        <v>0</v>
      </c>
      <c r="T18" s="68">
        <v>0</v>
      </c>
      <c r="U18" s="68">
        <v>2.5</v>
      </c>
      <c r="V18" s="68">
        <v>0</v>
      </c>
      <c r="W18" s="68">
        <v>0</v>
      </c>
      <c r="X18" s="68">
        <v>1036.5999999999999</v>
      </c>
    </row>
    <row r="19" spans="1:24" s="50" customFormat="1" x14ac:dyDescent="0.25">
      <c r="A19" s="72">
        <f t="shared" ref="A19:A23" si="1">A18+1</f>
        <v>12</v>
      </c>
      <c r="B19" s="92" t="s">
        <v>105</v>
      </c>
      <c r="C19" s="86">
        <v>0</v>
      </c>
      <c r="D19" s="86">
        <v>0</v>
      </c>
      <c r="E19" s="86">
        <v>0</v>
      </c>
      <c r="F19" s="86">
        <v>0</v>
      </c>
      <c r="G19" s="86">
        <v>0</v>
      </c>
      <c r="H19" s="86">
        <v>0</v>
      </c>
      <c r="I19" s="86">
        <v>26.7</v>
      </c>
      <c r="J19" s="86">
        <v>0</v>
      </c>
      <c r="K19" s="86">
        <v>0</v>
      </c>
      <c r="L19" s="86">
        <v>0</v>
      </c>
      <c r="M19" s="86">
        <v>0</v>
      </c>
      <c r="N19" s="86">
        <v>0.6</v>
      </c>
      <c r="O19" s="86">
        <v>18.2</v>
      </c>
      <c r="P19" s="86">
        <v>36.1</v>
      </c>
      <c r="Q19" s="86">
        <v>14.1</v>
      </c>
      <c r="R19" s="86">
        <v>0</v>
      </c>
      <c r="S19" s="86">
        <v>0</v>
      </c>
      <c r="T19" s="86">
        <v>0</v>
      </c>
      <c r="U19" s="86">
        <v>0</v>
      </c>
      <c r="V19" s="86">
        <v>0</v>
      </c>
      <c r="W19" s="86">
        <v>0</v>
      </c>
      <c r="X19" s="86">
        <v>0</v>
      </c>
    </row>
    <row r="20" spans="1:24" s="50" customFormat="1" x14ac:dyDescent="0.25">
      <c r="A20" s="72">
        <f t="shared" si="1"/>
        <v>13</v>
      </c>
      <c r="B20" s="92" t="s">
        <v>116</v>
      </c>
      <c r="C20" s="68">
        <v>30</v>
      </c>
      <c r="D20" s="68">
        <v>0</v>
      </c>
      <c r="E20" s="68">
        <v>0</v>
      </c>
      <c r="F20" s="68">
        <v>0</v>
      </c>
      <c r="G20" s="68">
        <v>0</v>
      </c>
      <c r="H20" s="68">
        <v>659.1</v>
      </c>
      <c r="I20" s="68">
        <v>5.4</v>
      </c>
      <c r="J20" s="68">
        <v>19.8</v>
      </c>
      <c r="K20" s="68">
        <v>0</v>
      </c>
      <c r="L20" s="68">
        <v>44</v>
      </c>
      <c r="M20" s="68">
        <v>98.1</v>
      </c>
      <c r="N20" s="68">
        <v>84.4</v>
      </c>
      <c r="O20" s="68">
        <v>155.5</v>
      </c>
      <c r="P20" s="68">
        <v>32.4</v>
      </c>
      <c r="Q20" s="68">
        <v>0</v>
      </c>
      <c r="R20" s="68">
        <v>2</v>
      </c>
      <c r="S20" s="68">
        <v>0</v>
      </c>
      <c r="T20" s="68">
        <v>0</v>
      </c>
      <c r="U20" s="68">
        <v>2.5</v>
      </c>
      <c r="V20" s="68">
        <v>0</v>
      </c>
      <c r="W20" s="68">
        <v>0</v>
      </c>
      <c r="X20" s="68">
        <v>1036.5999999999999</v>
      </c>
    </row>
    <row r="21" spans="1:24" s="50" customFormat="1" x14ac:dyDescent="0.25">
      <c r="A21" s="72">
        <f t="shared" si="1"/>
        <v>14</v>
      </c>
      <c r="B21" s="92" t="s">
        <v>106</v>
      </c>
      <c r="C21" s="68">
        <v>0</v>
      </c>
      <c r="D21" s="68">
        <v>0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419.3</v>
      </c>
      <c r="L21" s="68">
        <v>0</v>
      </c>
      <c r="M21" s="68">
        <v>0</v>
      </c>
      <c r="N21" s="68">
        <v>0</v>
      </c>
      <c r="O21" s="68">
        <v>0</v>
      </c>
      <c r="P21" s="68">
        <v>0</v>
      </c>
      <c r="Q21" s="68">
        <v>0</v>
      </c>
      <c r="R21" s="68">
        <v>0</v>
      </c>
      <c r="S21" s="68">
        <v>0</v>
      </c>
      <c r="T21" s="68">
        <v>0</v>
      </c>
      <c r="U21" s="68">
        <v>0</v>
      </c>
      <c r="V21" s="68">
        <v>0</v>
      </c>
      <c r="W21" s="68">
        <v>0</v>
      </c>
      <c r="X21" s="68">
        <v>0</v>
      </c>
    </row>
    <row r="22" spans="1:24" s="50" customFormat="1" x14ac:dyDescent="0.25">
      <c r="A22" s="72">
        <f t="shared" si="1"/>
        <v>15</v>
      </c>
      <c r="B22" s="90" t="s">
        <v>147</v>
      </c>
      <c r="C22" s="68">
        <v>0</v>
      </c>
      <c r="D22" s="68">
        <v>0</v>
      </c>
      <c r="E22" s="68">
        <v>0</v>
      </c>
      <c r="F22" s="68">
        <v>0</v>
      </c>
      <c r="G22" s="68">
        <v>0</v>
      </c>
      <c r="H22" s="68">
        <v>0</v>
      </c>
      <c r="I22" s="68">
        <v>-26.7</v>
      </c>
      <c r="J22" s="68">
        <v>0</v>
      </c>
      <c r="K22" s="68">
        <v>-323.60000000000002</v>
      </c>
      <c r="L22" s="68">
        <v>0</v>
      </c>
      <c r="M22" s="68">
        <v>0</v>
      </c>
      <c r="N22" s="68">
        <v>-0.6</v>
      </c>
      <c r="O22" s="68">
        <v>-18.2</v>
      </c>
      <c r="P22" s="68">
        <v>-36.1</v>
      </c>
      <c r="Q22" s="68">
        <v>-14.1</v>
      </c>
      <c r="R22" s="68">
        <v>0</v>
      </c>
      <c r="S22" s="68">
        <v>0</v>
      </c>
      <c r="T22" s="68">
        <v>0</v>
      </c>
      <c r="U22" s="68">
        <v>0</v>
      </c>
      <c r="V22" s="68">
        <v>0</v>
      </c>
      <c r="W22" s="68">
        <v>0</v>
      </c>
      <c r="X22" s="68">
        <v>0</v>
      </c>
    </row>
    <row r="23" spans="1:24" x14ac:dyDescent="0.25">
      <c r="A23" s="72">
        <f t="shared" si="1"/>
        <v>16</v>
      </c>
      <c r="B23" s="12" t="s">
        <v>55</v>
      </c>
      <c r="C23" s="68">
        <v>30</v>
      </c>
      <c r="D23" s="68">
        <v>30</v>
      </c>
      <c r="E23" s="68">
        <v>30</v>
      </c>
      <c r="F23" s="68">
        <v>30</v>
      </c>
      <c r="G23" s="68">
        <v>30</v>
      </c>
      <c r="H23" s="68">
        <v>689.1</v>
      </c>
      <c r="I23" s="68">
        <v>694.5</v>
      </c>
      <c r="J23" s="68">
        <v>714.3</v>
      </c>
      <c r="K23" s="68">
        <v>810</v>
      </c>
      <c r="L23" s="68">
        <v>854</v>
      </c>
      <c r="M23" s="68">
        <v>952.1</v>
      </c>
      <c r="N23" s="68">
        <v>1036.5</v>
      </c>
      <c r="O23" s="68">
        <v>1192</v>
      </c>
      <c r="P23" s="68">
        <v>1224.4000000000001</v>
      </c>
      <c r="Q23" s="68">
        <v>1224.4000000000001</v>
      </c>
      <c r="R23" s="68">
        <v>1226.4000000000001</v>
      </c>
      <c r="S23" s="68">
        <v>1226.4000000000001</v>
      </c>
      <c r="T23" s="68">
        <v>1226.4000000000001</v>
      </c>
      <c r="U23" s="68">
        <v>1228.9000000000001</v>
      </c>
      <c r="V23" s="68">
        <v>1228.9000000000001</v>
      </c>
      <c r="W23" s="68">
        <v>1228.9000000000001</v>
      </c>
      <c r="X23" s="68">
        <v>2265.5</v>
      </c>
    </row>
    <row r="26" spans="1:24" x14ac:dyDescent="0.25">
      <c r="A26" t="s">
        <v>128</v>
      </c>
      <c r="B26" s="9"/>
      <c r="Q26" s="63"/>
    </row>
    <row r="27" spans="1:24" x14ac:dyDescent="0.25">
      <c r="A27" s="50"/>
      <c r="B27" s="80"/>
      <c r="Q27" s="63"/>
    </row>
    <row r="28" spans="1:24" x14ac:dyDescent="0.25">
      <c r="B28" s="54"/>
      <c r="Q28" s="63"/>
    </row>
    <row r="29" spans="1:24" x14ac:dyDescent="0.25">
      <c r="Q29" s="63"/>
    </row>
    <row r="30" spans="1:24" x14ac:dyDescent="0.25">
      <c r="Q30" s="62"/>
    </row>
  </sheetData>
  <mergeCells count="2">
    <mergeCell ref="A1:X1"/>
    <mergeCell ref="A2:X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5E34A-F9F6-4A23-A132-FF3EBD5D4BE9}">
  <dimension ref="A1:AN61"/>
  <sheetViews>
    <sheetView workbookViewId="0">
      <pane xSplit="5" ySplit="3" topLeftCell="S4" activePane="bottomRight" state="frozen"/>
      <selection activeCell="D37" sqref="D37"/>
      <selection pane="topRight" activeCell="D37" sqref="D37"/>
      <selection pane="bottomLeft" activeCell="D37" sqref="D37"/>
      <selection pane="bottomRight" activeCell="W18" sqref="W18"/>
    </sheetView>
  </sheetViews>
  <sheetFormatPr defaultColWidth="9.140625" defaultRowHeight="12.75" x14ac:dyDescent="0.2"/>
  <cols>
    <col min="1" max="1" width="5.5703125" style="13" customWidth="1"/>
    <col min="2" max="2" width="19.28515625" style="13" customWidth="1"/>
    <col min="3" max="3" width="48.7109375" style="13" customWidth="1"/>
    <col min="4" max="4" width="25" style="17" customWidth="1"/>
    <col min="5" max="5" width="9.85546875" style="13" bestFit="1" customWidth="1"/>
    <col min="6" max="6" width="12.85546875" style="13" bestFit="1" customWidth="1"/>
    <col min="7" max="10" width="12.85546875" style="13" customWidth="1"/>
    <col min="11" max="11" width="14.28515625" style="13" customWidth="1"/>
    <col min="12" max="13" width="12.85546875" style="13" customWidth="1"/>
    <col min="14" max="14" width="14" style="13" bestFit="1" customWidth="1"/>
    <col min="15" max="15" width="14" style="13" customWidth="1"/>
    <col min="16" max="17" width="13.7109375" style="13" bestFit="1" customWidth="1"/>
    <col min="18" max="20" width="13.7109375" style="13" customWidth="1"/>
    <col min="21" max="21" width="14" style="13" bestFit="1" customWidth="1"/>
    <col min="22" max="25" width="12.42578125" style="13" bestFit="1" customWidth="1"/>
    <col min="26" max="27" width="13.7109375" style="13" bestFit="1" customWidth="1"/>
    <col min="28" max="28" width="13" style="13" customWidth="1"/>
    <col min="29" max="16384" width="9.140625" style="13"/>
  </cols>
  <sheetData>
    <row r="1" spans="1:27" s="70" customFormat="1" ht="15" x14ac:dyDescent="0.25">
      <c r="A1" s="102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</row>
    <row r="2" spans="1:27" s="70" customFormat="1" ht="15" x14ac:dyDescent="0.25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</row>
    <row r="3" spans="1:27" ht="26.25" x14ac:dyDescent="0.25">
      <c r="A3" s="79" t="s">
        <v>3</v>
      </c>
      <c r="B3" s="14"/>
      <c r="C3" s="14" t="s">
        <v>0</v>
      </c>
      <c r="D3" s="15" t="s">
        <v>15</v>
      </c>
      <c r="E3" s="13" t="s">
        <v>16</v>
      </c>
      <c r="F3" s="16" t="s">
        <v>17</v>
      </c>
      <c r="G3" s="55" t="s">
        <v>62</v>
      </c>
      <c r="H3" s="56" t="s">
        <v>56</v>
      </c>
      <c r="I3" s="42">
        <v>2002</v>
      </c>
      <c r="J3" s="42">
        <v>2003</v>
      </c>
      <c r="K3" s="42">
        <v>2004</v>
      </c>
      <c r="L3" s="42">
        <v>2005</v>
      </c>
      <c r="M3" s="42">
        <v>2006</v>
      </c>
      <c r="N3" s="42">
        <v>2007</v>
      </c>
      <c r="O3" s="42">
        <v>2008</v>
      </c>
      <c r="P3" s="16">
        <v>2009</v>
      </c>
      <c r="Q3" s="16">
        <v>2010</v>
      </c>
      <c r="R3" s="16">
        <v>2011</v>
      </c>
      <c r="S3" s="16">
        <v>2012</v>
      </c>
      <c r="T3" s="16">
        <v>2013</v>
      </c>
      <c r="U3" s="16">
        <v>2014</v>
      </c>
      <c r="V3" s="16">
        <v>2015</v>
      </c>
      <c r="W3" s="16">
        <v>2016</v>
      </c>
      <c r="X3" s="16">
        <v>2017</v>
      </c>
      <c r="Y3" s="16">
        <v>2018</v>
      </c>
      <c r="Z3" s="16">
        <v>2019</v>
      </c>
      <c r="AA3" s="16">
        <f>+Z3+1</f>
        <v>2020</v>
      </c>
    </row>
    <row r="4" spans="1:27" ht="6" customHeight="1" x14ac:dyDescent="0.2"/>
    <row r="5" spans="1:27" x14ac:dyDescent="0.2">
      <c r="A5" s="18"/>
      <c r="B5" s="19" t="s">
        <v>11</v>
      </c>
      <c r="C5" s="14"/>
      <c r="D5" s="15"/>
      <c r="E5" s="14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</row>
    <row r="6" spans="1:27" x14ac:dyDescent="0.2">
      <c r="A6" s="18"/>
      <c r="B6" s="19"/>
      <c r="C6" s="14"/>
      <c r="D6" s="15"/>
      <c r="E6" s="14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</row>
    <row r="7" spans="1:27" x14ac:dyDescent="0.2">
      <c r="A7" s="18">
        <v>1</v>
      </c>
      <c r="B7" s="18"/>
      <c r="C7" s="13" t="s">
        <v>79</v>
      </c>
      <c r="D7" s="17" t="s">
        <v>134</v>
      </c>
      <c r="E7" s="21" t="s">
        <v>18</v>
      </c>
      <c r="F7" s="89">
        <f>'IOU Total Portfolio Summary'!C7</f>
        <v>25202.527073874524</v>
      </c>
      <c r="G7" s="89">
        <f>'IOU Total Portfolio Summary'!D8</f>
        <v>676</v>
      </c>
      <c r="H7" s="89">
        <f>'IOU Total Portfolio Summary'!E7</f>
        <v>0</v>
      </c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</row>
    <row r="8" spans="1:27" x14ac:dyDescent="0.2">
      <c r="A8" s="18"/>
      <c r="B8" s="18"/>
      <c r="E8" s="21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</row>
    <row r="9" spans="1:27" x14ac:dyDescent="0.2">
      <c r="A9" s="18">
        <f>IF(A8=0, A7+1, A8+1)</f>
        <v>2</v>
      </c>
      <c r="B9" s="18"/>
      <c r="C9" s="13" t="s">
        <v>102</v>
      </c>
      <c r="D9" s="17" t="s">
        <v>19</v>
      </c>
      <c r="E9" s="21" t="s">
        <v>20</v>
      </c>
      <c r="F9" s="22">
        <f>'IOU Total Portfolio Summary'!C12</f>
        <v>119.64580563279002</v>
      </c>
      <c r="G9" s="22">
        <f>'IOU Total Portfolio Summary'!D12</f>
        <v>0</v>
      </c>
      <c r="H9" s="22">
        <f>'IOU Total Portfolio Summary'!E12</f>
        <v>0</v>
      </c>
      <c r="I9" s="22">
        <f>'IOU Total Portfolio Summary'!F12</f>
        <v>0</v>
      </c>
      <c r="J9" s="22">
        <f>'IOU Total Portfolio Summary'!G12</f>
        <v>0</v>
      </c>
      <c r="K9" s="22">
        <f>'IOU Total Portfolio Summary'!H12</f>
        <v>3211.8526506959197</v>
      </c>
      <c r="L9" s="22">
        <f>'IOU Total Portfolio Summary'!I12</f>
        <v>0</v>
      </c>
      <c r="M9" s="22">
        <f>'IOU Total Portfolio Summary'!J12</f>
        <v>0</v>
      </c>
      <c r="N9" s="22">
        <f>'IOU Total Portfolio Summary'!K12</f>
        <v>2488.7519575862916</v>
      </c>
      <c r="O9" s="22">
        <f>'IOU Total Portfolio Summary'!L12</f>
        <v>63.354034554170823</v>
      </c>
      <c r="P9" s="22">
        <f>'IOU Total Portfolio Summary'!M12</f>
        <v>127.77207121284731</v>
      </c>
      <c r="Q9" s="22">
        <f>'IOU Total Portfolio Summary'!N12</f>
        <v>42.085032142856264</v>
      </c>
      <c r="R9" s="22">
        <f>'IOU Total Portfolio Summary'!O12</f>
        <v>566.72297497603074</v>
      </c>
      <c r="S9" s="22">
        <f>'IOU Total Portfolio Summary'!P12</f>
        <v>0</v>
      </c>
      <c r="T9" s="22">
        <f>'IOU Total Portfolio Summary'!Q12</f>
        <v>0</v>
      </c>
      <c r="U9" s="22">
        <f>'IOU Total Portfolio Summary'!R12</f>
        <v>0</v>
      </c>
      <c r="V9" s="22">
        <f>'IOU Total Portfolio Summary'!S12</f>
        <v>0</v>
      </c>
      <c r="W9" s="22">
        <f>'IOU Total Portfolio Summary'!T12</f>
        <v>0</v>
      </c>
      <c r="X9" s="22">
        <f>'IOU Total Portfolio Summary'!U12</f>
        <v>0</v>
      </c>
      <c r="Y9" s="22">
        <f>'IOU Total Portfolio Summary'!V12</f>
        <v>0</v>
      </c>
      <c r="Z9" s="22">
        <f>'IOU Total Portfolio Summary'!W12</f>
        <v>0</v>
      </c>
      <c r="AA9" s="22">
        <f>'IOU Total Portfolio Summary'!X12</f>
        <v>0</v>
      </c>
    </row>
    <row r="10" spans="1:27" x14ac:dyDescent="0.2">
      <c r="A10" s="18">
        <f t="shared" ref="A10:A17" si="0">IF(A9=0, A8+1, A9+1)</f>
        <v>3</v>
      </c>
      <c r="B10" s="18"/>
      <c r="C10" s="13" t="s">
        <v>80</v>
      </c>
      <c r="D10" s="17" t="s">
        <v>145</v>
      </c>
      <c r="E10" s="21" t="s">
        <v>20</v>
      </c>
      <c r="F10" s="22">
        <f>'IOU Total Portfolio Summary'!C13</f>
        <v>15.580441035474504</v>
      </c>
      <c r="G10" s="22">
        <f>'IOU Total Portfolio Summary'!D13</f>
        <v>0</v>
      </c>
      <c r="H10" s="22">
        <f>'IOU Total Portfolio Summary'!E13</f>
        <v>0</v>
      </c>
      <c r="I10" s="22">
        <f>'IOU Total Portfolio Summary'!F13</f>
        <v>0</v>
      </c>
      <c r="J10" s="22">
        <f>'IOU Total Portfolio Summary'!G13</f>
        <v>0</v>
      </c>
      <c r="K10" s="22">
        <f>'IOU Total Portfolio Summary'!H13</f>
        <v>149.45397890699905</v>
      </c>
      <c r="L10" s="22">
        <f>'IOU Total Portfolio Summary'!I13</f>
        <v>404.31543624161083</v>
      </c>
      <c r="M10" s="22">
        <f>'IOU Total Portfolio Summary'!J13</f>
        <v>313.74552253115996</v>
      </c>
      <c r="N10" s="22">
        <f>'IOU Total Portfolio Summary'!K13</f>
        <v>0</v>
      </c>
      <c r="O10" s="22">
        <f>'IOU Total Portfolio Summary'!L13</f>
        <v>554.98465963566639</v>
      </c>
      <c r="P10" s="22">
        <f>'IOU Total Portfolio Summary'!M13</f>
        <v>660.85026605944392</v>
      </c>
      <c r="Q10" s="22">
        <f>'IOU Total Portfolio Summary'!N13</f>
        <v>728.39098753595408</v>
      </c>
      <c r="R10" s="22">
        <f>'IOU Total Portfolio Summary'!O13</f>
        <v>2418.8676170387616</v>
      </c>
      <c r="S10" s="22">
        <f>'IOU Total Portfolio Summary'!P13</f>
        <v>960.63764046021106</v>
      </c>
      <c r="T10" s="22">
        <f>'IOU Total Portfolio Summary'!Q13</f>
        <v>90.659362416107356</v>
      </c>
      <c r="U10" s="22">
        <f>'IOU Total Portfolio Summary'!R13</f>
        <v>36.95787538693331</v>
      </c>
      <c r="V10" s="22">
        <f>'IOU Total Portfolio Summary'!S13</f>
        <v>0</v>
      </c>
      <c r="W10" s="22">
        <f>'IOU Total Portfolio Summary'!T13</f>
        <v>0</v>
      </c>
      <c r="X10" s="22">
        <f>'IOU Total Portfolio Summary'!U13</f>
        <v>25.265580057526368</v>
      </c>
      <c r="Y10" s="22">
        <f>'IOU Total Portfolio Summary'!V13</f>
        <v>0</v>
      </c>
      <c r="Z10" s="22">
        <f>'IOU Total Portfolio Summary'!W13</f>
        <v>0</v>
      </c>
      <c r="AA10" s="22">
        <f>'IOU Total Portfolio Summary'!X13</f>
        <v>0</v>
      </c>
    </row>
    <row r="11" spans="1:27" ht="15" x14ac:dyDescent="0.25">
      <c r="A11" s="18">
        <f t="shared" si="0"/>
        <v>4</v>
      </c>
      <c r="B11" s="18"/>
      <c r="C11" s="50" t="s">
        <v>133</v>
      </c>
      <c r="D11" s="17" t="s">
        <v>146</v>
      </c>
      <c r="E11" s="21" t="s">
        <v>20</v>
      </c>
      <c r="F11" s="22">
        <f>'IOU Total Portfolio Summary'!C14</f>
        <v>0</v>
      </c>
      <c r="G11" s="22">
        <f>'IOU Total Portfolio Summary'!D14</f>
        <v>0</v>
      </c>
      <c r="H11" s="22">
        <f>'IOU Total Portfolio Summary'!E14</f>
        <v>0</v>
      </c>
      <c r="I11" s="22">
        <f>'IOU Total Portfolio Summary'!F14</f>
        <v>0</v>
      </c>
      <c r="J11" s="22">
        <f>'IOU Total Portfolio Summary'!G14</f>
        <v>0</v>
      </c>
      <c r="K11" s="22">
        <f>'IOU Total Portfolio Summary'!H14</f>
        <v>-16.731035984095865</v>
      </c>
      <c r="L11" s="22">
        <f>'IOU Total Portfolio Summary'!I14</f>
        <v>-45.262201529564074</v>
      </c>
      <c r="M11" s="22">
        <f>'IOU Total Portfolio Summary'!J14</f>
        <v>-35.123103885941234</v>
      </c>
      <c r="N11" s="22">
        <f>'IOU Total Portfolio Summary'!K14</f>
        <v>0</v>
      </c>
      <c r="O11" s="22">
        <f>'IOU Total Portfolio Summary'!L14</f>
        <v>-62.129281394131453</v>
      </c>
      <c r="P11" s="22">
        <f>'IOU Total Portfolio Summary'!M14</f>
        <v>-73.980697351792557</v>
      </c>
      <c r="Q11" s="22">
        <f>'IOU Total Portfolio Summary'!N14</f>
        <v>-81.541728845764808</v>
      </c>
      <c r="R11" s="22">
        <f>'IOU Total Portfolio Summary'!O14</f>
        <v>-270.78677621974299</v>
      </c>
      <c r="S11" s="22">
        <f>'IOU Total Portfolio Summary'!P14</f>
        <v>-107.5412180241663</v>
      </c>
      <c r="T11" s="22">
        <f>'IOU Total Portfolio Summary'!Q14</f>
        <v>-10.149111224552657</v>
      </c>
      <c r="U11" s="22">
        <f>'IOU Total Portfolio Summary'!R14</f>
        <v>-4.1373508254289417</v>
      </c>
      <c r="V11" s="22">
        <f>'IOU Total Portfolio Summary'!S14</f>
        <v>0</v>
      </c>
      <c r="W11" s="22">
        <f>'IOU Total Portfolio Summary'!T14</f>
        <v>0</v>
      </c>
      <c r="X11" s="22">
        <f>'IOU Total Portfolio Summary'!U14</f>
        <v>-2.8284247244068004</v>
      </c>
      <c r="Y11" s="22">
        <f>'IOU Total Portfolio Summary'!V14</f>
        <v>0</v>
      </c>
      <c r="Z11" s="22">
        <f>'IOU Total Portfolio Summary'!W14</f>
        <v>0</v>
      </c>
      <c r="AA11" s="22">
        <f>'IOU Total Portfolio Summary'!X14</f>
        <v>0</v>
      </c>
    </row>
    <row r="12" spans="1:27" x14ac:dyDescent="0.2">
      <c r="A12" s="18">
        <f t="shared" si="0"/>
        <v>5</v>
      </c>
      <c r="B12" s="18"/>
      <c r="C12" s="13" t="s">
        <v>101</v>
      </c>
      <c r="D12" s="17" t="s">
        <v>149</v>
      </c>
      <c r="E12" s="21" t="s">
        <v>21</v>
      </c>
      <c r="F12" s="22">
        <f>'IOU Total Portfolio Summary'!C19</f>
        <v>0</v>
      </c>
      <c r="G12" s="22">
        <f>'IOU Total Portfolio Summary'!D19</f>
        <v>0</v>
      </c>
      <c r="H12" s="22">
        <f>'IOU Total Portfolio Summary'!E19</f>
        <v>0</v>
      </c>
      <c r="I12" s="22">
        <f>'IOU Total Portfolio Summary'!F19</f>
        <v>0</v>
      </c>
      <c r="J12" s="22">
        <f>'IOU Total Portfolio Summary'!G19</f>
        <v>0</v>
      </c>
      <c r="K12" s="22">
        <f>'IOU Total Portfolio Summary'!H19</f>
        <v>0</v>
      </c>
      <c r="L12" s="22">
        <f>'IOU Total Portfolio Summary'!I19</f>
        <v>26.7</v>
      </c>
      <c r="M12" s="22">
        <f>'IOU Total Portfolio Summary'!J19</f>
        <v>0</v>
      </c>
      <c r="N12" s="22">
        <f>'IOU Total Portfolio Summary'!K19</f>
        <v>0</v>
      </c>
      <c r="O12" s="22">
        <f>'IOU Total Portfolio Summary'!L19</f>
        <v>0</v>
      </c>
      <c r="P12" s="22">
        <f>'IOU Total Portfolio Summary'!M19</f>
        <v>0</v>
      </c>
      <c r="Q12" s="22">
        <f>'IOU Total Portfolio Summary'!N19</f>
        <v>0.6</v>
      </c>
      <c r="R12" s="22">
        <f>'IOU Total Portfolio Summary'!O19</f>
        <v>18.2</v>
      </c>
      <c r="S12" s="22">
        <f>'IOU Total Portfolio Summary'!P19</f>
        <v>36.1</v>
      </c>
      <c r="T12" s="22">
        <f>'IOU Total Portfolio Summary'!Q19</f>
        <v>14.1</v>
      </c>
      <c r="U12" s="22">
        <f>'IOU Total Portfolio Summary'!R19</f>
        <v>0</v>
      </c>
      <c r="V12" s="22">
        <f>'IOU Total Portfolio Summary'!S19</f>
        <v>0</v>
      </c>
      <c r="W12" s="22">
        <f>'IOU Total Portfolio Summary'!T19</f>
        <v>0</v>
      </c>
      <c r="X12" s="22">
        <f>'IOU Total Portfolio Summary'!U19</f>
        <v>0</v>
      </c>
      <c r="Y12" s="22">
        <f>'IOU Total Portfolio Summary'!V19</f>
        <v>0</v>
      </c>
      <c r="Z12" s="22">
        <f>'IOU Total Portfolio Summary'!W19</f>
        <v>0</v>
      </c>
      <c r="AA12" s="22">
        <f>'IOU Total Portfolio Summary'!X19</f>
        <v>0</v>
      </c>
    </row>
    <row r="13" spans="1:27" x14ac:dyDescent="0.2">
      <c r="A13" s="18">
        <f t="shared" si="0"/>
        <v>6</v>
      </c>
      <c r="B13" s="18"/>
      <c r="C13" s="13" t="s">
        <v>117</v>
      </c>
      <c r="D13" s="17" t="s">
        <v>132</v>
      </c>
      <c r="E13" s="21" t="s">
        <v>21</v>
      </c>
      <c r="F13" s="22">
        <f>'IOU Total Portfolio Summary'!C20</f>
        <v>30</v>
      </c>
      <c r="G13" s="22">
        <f>'IOU Total Portfolio Summary'!D20</f>
        <v>0</v>
      </c>
      <c r="H13" s="22">
        <f>'IOU Total Portfolio Summary'!E20</f>
        <v>0</v>
      </c>
      <c r="I13" s="22">
        <f>'IOU Total Portfolio Summary'!F20</f>
        <v>0</v>
      </c>
      <c r="J13" s="22">
        <f>'IOU Total Portfolio Summary'!G20</f>
        <v>0</v>
      </c>
      <c r="K13" s="22">
        <f>'IOU Total Portfolio Summary'!H20</f>
        <v>659.1</v>
      </c>
      <c r="L13" s="22">
        <f>'IOU Total Portfolio Summary'!I20</f>
        <v>5.4</v>
      </c>
      <c r="M13" s="22">
        <f>'IOU Total Portfolio Summary'!J20</f>
        <v>19.8</v>
      </c>
      <c r="N13" s="22">
        <f>'IOU Total Portfolio Summary'!K20</f>
        <v>0</v>
      </c>
      <c r="O13" s="22">
        <f>'IOU Total Portfolio Summary'!L20</f>
        <v>44</v>
      </c>
      <c r="P13" s="22">
        <f>'IOU Total Portfolio Summary'!M20</f>
        <v>98.1</v>
      </c>
      <c r="Q13" s="22">
        <f>'IOU Total Portfolio Summary'!N20</f>
        <v>84.4</v>
      </c>
      <c r="R13" s="22">
        <f>'IOU Total Portfolio Summary'!O20</f>
        <v>155.5</v>
      </c>
      <c r="S13" s="22">
        <f>'IOU Total Portfolio Summary'!P20</f>
        <v>32.4</v>
      </c>
      <c r="T13" s="22">
        <f>'IOU Total Portfolio Summary'!Q20</f>
        <v>0</v>
      </c>
      <c r="U13" s="22">
        <f>'IOU Total Portfolio Summary'!R20</f>
        <v>2</v>
      </c>
      <c r="V13" s="22">
        <f>'IOU Total Portfolio Summary'!S20</f>
        <v>0</v>
      </c>
      <c r="W13" s="22">
        <f>'IOU Total Portfolio Summary'!T20</f>
        <v>0</v>
      </c>
      <c r="X13" s="22">
        <f>'IOU Total Portfolio Summary'!U20</f>
        <v>2.5</v>
      </c>
      <c r="Y13" s="22">
        <f>'IOU Total Portfolio Summary'!V20</f>
        <v>0</v>
      </c>
      <c r="Z13" s="22">
        <f>'IOU Total Portfolio Summary'!W20</f>
        <v>0</v>
      </c>
      <c r="AA13" s="22">
        <f>'IOU Total Portfolio Summary'!X20</f>
        <v>1036.5999999999999</v>
      </c>
    </row>
    <row r="14" spans="1:27" x14ac:dyDescent="0.2">
      <c r="A14" s="18">
        <f t="shared" si="0"/>
        <v>7</v>
      </c>
      <c r="B14" s="18"/>
      <c r="C14" s="13" t="s">
        <v>100</v>
      </c>
      <c r="D14" s="17" t="s">
        <v>115</v>
      </c>
      <c r="E14" s="21" t="s">
        <v>21</v>
      </c>
      <c r="F14" s="22">
        <f>'IOU Total Portfolio Summary'!C21</f>
        <v>0</v>
      </c>
      <c r="G14" s="22">
        <f>'IOU Total Portfolio Summary'!D21</f>
        <v>0</v>
      </c>
      <c r="H14" s="22">
        <f>'IOU Total Portfolio Summary'!E21</f>
        <v>0</v>
      </c>
      <c r="I14" s="22">
        <f>'IOU Total Portfolio Summary'!F21</f>
        <v>0</v>
      </c>
      <c r="J14" s="22">
        <f>'IOU Total Portfolio Summary'!G21</f>
        <v>0</v>
      </c>
      <c r="K14" s="22">
        <f>'IOU Total Portfolio Summary'!H21</f>
        <v>0</v>
      </c>
      <c r="L14" s="22">
        <f>'IOU Total Portfolio Summary'!I21</f>
        <v>0</v>
      </c>
      <c r="M14" s="22">
        <f>'IOU Total Portfolio Summary'!J21</f>
        <v>0</v>
      </c>
      <c r="N14" s="22">
        <f>'IOU Total Portfolio Summary'!K21</f>
        <v>419.3</v>
      </c>
      <c r="O14" s="22">
        <f>'IOU Total Portfolio Summary'!L21</f>
        <v>0</v>
      </c>
      <c r="P14" s="22">
        <f>'IOU Total Portfolio Summary'!M21</f>
        <v>0</v>
      </c>
      <c r="Q14" s="22">
        <f>'IOU Total Portfolio Summary'!N21</f>
        <v>0</v>
      </c>
      <c r="R14" s="22">
        <f>'IOU Total Portfolio Summary'!O21</f>
        <v>0</v>
      </c>
      <c r="S14" s="22">
        <f>'IOU Total Portfolio Summary'!P21</f>
        <v>0</v>
      </c>
      <c r="T14" s="22">
        <f>'IOU Total Portfolio Summary'!Q21</f>
        <v>0</v>
      </c>
      <c r="U14" s="22">
        <f>'IOU Total Portfolio Summary'!R21</f>
        <v>0</v>
      </c>
      <c r="V14" s="22">
        <f>'IOU Total Portfolio Summary'!S21</f>
        <v>0</v>
      </c>
      <c r="W14" s="22">
        <f>'IOU Total Portfolio Summary'!T21</f>
        <v>0</v>
      </c>
      <c r="X14" s="22">
        <f>'IOU Total Portfolio Summary'!U21</f>
        <v>0</v>
      </c>
      <c r="Y14" s="22">
        <f>'IOU Total Portfolio Summary'!V21</f>
        <v>0</v>
      </c>
      <c r="Z14" s="22">
        <f>'IOU Total Portfolio Summary'!W21</f>
        <v>0</v>
      </c>
      <c r="AA14" s="22">
        <f>'IOU Total Portfolio Summary'!X21</f>
        <v>0</v>
      </c>
    </row>
    <row r="15" spans="1:27" ht="15" x14ac:dyDescent="0.25">
      <c r="A15" s="18">
        <f t="shared" si="0"/>
        <v>8</v>
      </c>
      <c r="B15" s="18"/>
      <c r="C15" s="70" t="s">
        <v>147</v>
      </c>
      <c r="D15" s="17" t="s">
        <v>148</v>
      </c>
      <c r="E15" s="21" t="s">
        <v>21</v>
      </c>
      <c r="F15" s="22">
        <f>'IOU Total Portfolio Summary'!C22</f>
        <v>0</v>
      </c>
      <c r="G15" s="22">
        <f>'IOU Total Portfolio Summary'!D22</f>
        <v>0</v>
      </c>
      <c r="H15" s="22">
        <f>'IOU Total Portfolio Summary'!E22</f>
        <v>0</v>
      </c>
      <c r="I15" s="22">
        <f>'IOU Total Portfolio Summary'!F22</f>
        <v>0</v>
      </c>
      <c r="J15" s="22">
        <f>'IOU Total Portfolio Summary'!G22</f>
        <v>0</v>
      </c>
      <c r="K15" s="22">
        <f>'IOU Total Portfolio Summary'!H22</f>
        <v>0</v>
      </c>
      <c r="L15" s="22">
        <f>'IOU Total Portfolio Summary'!I22</f>
        <v>-26.7</v>
      </c>
      <c r="M15" s="22">
        <f>'IOU Total Portfolio Summary'!J22</f>
        <v>0</v>
      </c>
      <c r="N15" s="22">
        <f>'IOU Total Portfolio Summary'!K22</f>
        <v>-323.60000000000002</v>
      </c>
      <c r="O15" s="22">
        <f>'IOU Total Portfolio Summary'!L22</f>
        <v>0</v>
      </c>
      <c r="P15" s="22">
        <f>'IOU Total Portfolio Summary'!M22</f>
        <v>0</v>
      </c>
      <c r="Q15" s="22">
        <f>'IOU Total Portfolio Summary'!N22</f>
        <v>-0.6</v>
      </c>
      <c r="R15" s="22">
        <f>'IOU Total Portfolio Summary'!O22</f>
        <v>-18.2</v>
      </c>
      <c r="S15" s="22">
        <f>'IOU Total Portfolio Summary'!P22</f>
        <v>-36.1</v>
      </c>
      <c r="T15" s="22">
        <f>'IOU Total Portfolio Summary'!Q22</f>
        <v>-14.1</v>
      </c>
      <c r="U15" s="22">
        <f>'IOU Total Portfolio Summary'!R22</f>
        <v>0</v>
      </c>
      <c r="V15" s="22">
        <f>'IOU Total Portfolio Summary'!S22</f>
        <v>0</v>
      </c>
      <c r="W15" s="22">
        <f>'IOU Total Portfolio Summary'!T22</f>
        <v>0</v>
      </c>
      <c r="X15" s="22">
        <f>'IOU Total Portfolio Summary'!U22</f>
        <v>0</v>
      </c>
      <c r="Y15" s="22">
        <f>'IOU Total Portfolio Summary'!V22</f>
        <v>0</v>
      </c>
      <c r="Z15" s="22">
        <f>'IOU Total Portfolio Summary'!W22</f>
        <v>0</v>
      </c>
      <c r="AA15" s="22">
        <f>'IOU Total Portfolio Summary'!X22</f>
        <v>0</v>
      </c>
    </row>
    <row r="16" spans="1:27" x14ac:dyDescent="0.2">
      <c r="A16" s="18"/>
      <c r="B16" s="18"/>
      <c r="E16" s="21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</row>
    <row r="17" spans="1:40" x14ac:dyDescent="0.2">
      <c r="A17" s="18">
        <f t="shared" si="0"/>
        <v>9</v>
      </c>
      <c r="B17" s="14" t="s">
        <v>22</v>
      </c>
      <c r="C17" s="14"/>
      <c r="D17" s="73" t="s">
        <v>92</v>
      </c>
      <c r="E17" s="23" t="s">
        <v>23</v>
      </c>
      <c r="F17" s="75">
        <f>IF(SUM(F9:F10)=0,"NA",F7/SUM(F9:F10))</f>
        <v>186.37304291748242</v>
      </c>
      <c r="G17" s="75" t="str">
        <f t="shared" ref="G17:H17" si="1">IF(SUM(G9:G10)=0,"NA",G7/SUM(G9:G10))</f>
        <v>NA</v>
      </c>
      <c r="H17" s="75" t="str">
        <f t="shared" si="1"/>
        <v>NA</v>
      </c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</row>
    <row r="18" spans="1:40" x14ac:dyDescent="0.2">
      <c r="A18" s="18"/>
      <c r="B18" s="18"/>
      <c r="E18" s="21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</row>
    <row r="19" spans="1:40" x14ac:dyDescent="0.2">
      <c r="A19" s="18">
        <f t="shared" ref="A19:A58" si="2">IF(A18=0, A17+1, A18+1)</f>
        <v>10</v>
      </c>
      <c r="B19" s="19" t="s">
        <v>24</v>
      </c>
      <c r="E19" s="21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</row>
    <row r="20" spans="1:40" x14ac:dyDescent="0.2">
      <c r="A20" s="18"/>
      <c r="B20" s="18"/>
      <c r="E20" s="21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</row>
    <row r="21" spans="1:40" x14ac:dyDescent="0.2">
      <c r="A21" s="18">
        <f t="shared" si="2"/>
        <v>11</v>
      </c>
      <c r="B21" s="18"/>
      <c r="C21" s="14" t="s">
        <v>25</v>
      </c>
      <c r="E21" s="21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</row>
    <row r="22" spans="1:40" x14ac:dyDescent="0.2">
      <c r="A22" s="18">
        <f t="shared" si="2"/>
        <v>12</v>
      </c>
      <c r="B22" s="18"/>
      <c r="C22" s="13" t="s">
        <v>26</v>
      </c>
      <c r="D22" s="17" t="s">
        <v>141</v>
      </c>
      <c r="E22" s="21" t="s">
        <v>27</v>
      </c>
      <c r="F22" s="22">
        <f>(F9+F10)*1000</f>
        <v>135226.2466682645</v>
      </c>
      <c r="G22" s="22">
        <f t="shared" ref="G22:AA22" si="3">(G9+G10)*1000</f>
        <v>0</v>
      </c>
      <c r="H22" s="22">
        <f t="shared" si="3"/>
        <v>0</v>
      </c>
      <c r="I22" s="22">
        <f t="shared" si="3"/>
        <v>0</v>
      </c>
      <c r="J22" s="22">
        <f t="shared" si="3"/>
        <v>0</v>
      </c>
      <c r="K22" s="22">
        <f>(K9+K10)*1000</f>
        <v>3361306.6296029189</v>
      </c>
      <c r="L22" s="22">
        <f t="shared" si="3"/>
        <v>404315.43624161085</v>
      </c>
      <c r="M22" s="22">
        <f t="shared" si="3"/>
        <v>313745.52253115998</v>
      </c>
      <c r="N22" s="22">
        <f t="shared" si="3"/>
        <v>2488751.9575862917</v>
      </c>
      <c r="O22" s="22">
        <v>39489.694189837319</v>
      </c>
      <c r="P22" s="22">
        <v>131472.00977229129</v>
      </c>
      <c r="Q22" s="22">
        <f t="shared" si="3"/>
        <v>770476.01967881026</v>
      </c>
      <c r="R22" s="22">
        <f t="shared" si="3"/>
        <v>2985590.5920147924</v>
      </c>
      <c r="S22" s="22">
        <f t="shared" si="3"/>
        <v>960637.64046021109</v>
      </c>
      <c r="T22" s="22">
        <f t="shared" si="3"/>
        <v>90659.362416107353</v>
      </c>
      <c r="U22" s="22">
        <f t="shared" si="3"/>
        <v>36957.875386933309</v>
      </c>
      <c r="V22" s="22">
        <f t="shared" si="3"/>
        <v>0</v>
      </c>
      <c r="W22" s="22">
        <f t="shared" si="3"/>
        <v>0</v>
      </c>
      <c r="X22" s="22">
        <f t="shared" si="3"/>
        <v>25265.580057526367</v>
      </c>
      <c r="Y22" s="22">
        <f t="shared" si="3"/>
        <v>0</v>
      </c>
      <c r="Z22" s="22">
        <f t="shared" si="3"/>
        <v>0</v>
      </c>
      <c r="AA22" s="22">
        <f t="shared" si="3"/>
        <v>0</v>
      </c>
      <c r="AB22" s="29"/>
    </row>
    <row r="23" spans="1:40" x14ac:dyDescent="0.2">
      <c r="A23" s="18">
        <f t="shared" si="2"/>
        <v>13</v>
      </c>
      <c r="B23" s="18"/>
      <c r="C23" s="13" t="s">
        <v>28</v>
      </c>
      <c r="D23" s="17" t="s">
        <v>135</v>
      </c>
      <c r="E23" s="21" t="s">
        <v>23</v>
      </c>
      <c r="F23" s="25">
        <f>'PCIA Inputs'!$D$8</f>
        <v>39.317587069142405</v>
      </c>
      <c r="G23" s="25">
        <f>'PCIA Inputs'!$D$8</f>
        <v>39.317587069142405</v>
      </c>
      <c r="H23" s="25">
        <f>'PCIA Inputs'!$D$8</f>
        <v>39.317587069142405</v>
      </c>
      <c r="I23" s="25">
        <f>'PCIA Inputs'!$D$8</f>
        <v>39.317587069142405</v>
      </c>
      <c r="J23" s="25">
        <f>'PCIA Inputs'!$D$8</f>
        <v>39.317587069142405</v>
      </c>
      <c r="K23" s="25">
        <f>'PCIA Inputs'!$D$8</f>
        <v>39.317587069142405</v>
      </c>
      <c r="L23" s="25">
        <f>'PCIA Inputs'!$D$8</f>
        <v>39.317587069142405</v>
      </c>
      <c r="M23" s="25">
        <f>'PCIA Inputs'!$D$8</f>
        <v>39.317587069142405</v>
      </c>
      <c r="N23" s="25">
        <f>'PCIA Inputs'!$D$8</f>
        <v>39.317587069142405</v>
      </c>
      <c r="O23" s="25">
        <f>'PCIA Inputs'!$D$8</f>
        <v>39.317587069142405</v>
      </c>
      <c r="P23" s="25">
        <f>'PCIA Inputs'!$D$8</f>
        <v>39.317587069142405</v>
      </c>
      <c r="Q23" s="25">
        <f>'PCIA Inputs'!$D$8</f>
        <v>39.317587069142405</v>
      </c>
      <c r="R23" s="25">
        <f>'PCIA Inputs'!$D$8</f>
        <v>39.317587069142405</v>
      </c>
      <c r="S23" s="25">
        <f>'PCIA Inputs'!$D$8</f>
        <v>39.317587069142405</v>
      </c>
      <c r="T23" s="25">
        <f>'PCIA Inputs'!$D$8</f>
        <v>39.317587069142405</v>
      </c>
      <c r="U23" s="25">
        <f>'PCIA Inputs'!$D$8</f>
        <v>39.317587069142405</v>
      </c>
      <c r="V23" s="25">
        <f>'PCIA Inputs'!$D$8</f>
        <v>39.317587069142405</v>
      </c>
      <c r="W23" s="25">
        <f>'PCIA Inputs'!$D$8</f>
        <v>39.317587069142405</v>
      </c>
      <c r="X23" s="25">
        <f>'PCIA Inputs'!$D$8</f>
        <v>39.317587069142405</v>
      </c>
      <c r="Y23" s="25">
        <f>'PCIA Inputs'!$D$8</f>
        <v>39.317587069142405</v>
      </c>
      <c r="Z23" s="25">
        <f>'PCIA Inputs'!$D$8</f>
        <v>39.317587069142405</v>
      </c>
      <c r="AA23" s="25">
        <f>'PCIA Inputs'!$D$8</f>
        <v>39.317587069142405</v>
      </c>
    </row>
    <row r="24" spans="1:40" x14ac:dyDescent="0.2">
      <c r="A24" s="18">
        <f t="shared" si="2"/>
        <v>14</v>
      </c>
      <c r="B24" s="18"/>
      <c r="C24" s="14" t="s">
        <v>25</v>
      </c>
      <c r="D24" s="15" t="str">
        <f>"Line "&amp;A22&amp;" x Line "&amp;A23</f>
        <v>Line 12 x Line 13</v>
      </c>
      <c r="E24" s="23" t="s">
        <v>18</v>
      </c>
      <c r="F24" s="26">
        <f>(F22*F23)/1000</f>
        <v>5316.7697274128177</v>
      </c>
      <c r="G24" s="26">
        <f>(G22*G23)/1000</f>
        <v>0</v>
      </c>
      <c r="H24" s="26">
        <f t="shared" ref="H24:W24" si="4">(H22*H23)/1000</f>
        <v>0</v>
      </c>
      <c r="I24" s="26">
        <f t="shared" si="4"/>
        <v>0</v>
      </c>
      <c r="J24" s="26">
        <f>(J22*J23)/1000</f>
        <v>0</v>
      </c>
      <c r="K24" s="26">
        <f>(K22*K23)/1000</f>
        <v>132158.46607549835</v>
      </c>
      <c r="L24" s="26">
        <f t="shared" si="4"/>
        <v>15896.707367827828</v>
      </c>
      <c r="M24" s="26">
        <f t="shared" si="4"/>
        <v>12335.716899672463</v>
      </c>
      <c r="N24" s="26">
        <f t="shared" si="4"/>
        <v>97851.721785897622</v>
      </c>
      <c r="O24" s="26">
        <f t="shared" si="4"/>
        <v>1552.6394896427357</v>
      </c>
      <c r="P24" s="26">
        <f t="shared" si="4"/>
        <v>5169.1621913772042</v>
      </c>
      <c r="Q24" s="26">
        <f t="shared" si="4"/>
        <v>30293.257988407899</v>
      </c>
      <c r="R24" s="26">
        <f t="shared" si="4"/>
        <v>117386.21805435402</v>
      </c>
      <c r="S24" s="26">
        <f t="shared" si="4"/>
        <v>37769.954070689862</v>
      </c>
      <c r="T24" s="26">
        <f t="shared" si="4"/>
        <v>3564.5073754282375</v>
      </c>
      <c r="U24" s="26">
        <f t="shared" si="4"/>
        <v>1453.0944834162653</v>
      </c>
      <c r="V24" s="26">
        <f t="shared" si="4"/>
        <v>0</v>
      </c>
      <c r="W24" s="26">
        <f t="shared" si="4"/>
        <v>0</v>
      </c>
      <c r="X24" s="26">
        <f>(X22*X23)/1000</f>
        <v>993.38164376418092</v>
      </c>
      <c r="Y24" s="26">
        <f t="shared" ref="Y24:AA24" si="5">(Y22*Y23)/1000</f>
        <v>0</v>
      </c>
      <c r="Z24" s="26">
        <f t="shared" si="5"/>
        <v>0</v>
      </c>
      <c r="AA24" s="26">
        <f t="shared" si="5"/>
        <v>0</v>
      </c>
      <c r="AB24" s="29"/>
    </row>
    <row r="25" spans="1:40" x14ac:dyDescent="0.2">
      <c r="A25" s="18"/>
      <c r="B25" s="18"/>
      <c r="E25" s="21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</row>
    <row r="26" spans="1:40" x14ac:dyDescent="0.2">
      <c r="A26" s="18">
        <f t="shared" si="2"/>
        <v>15</v>
      </c>
      <c r="B26" s="18"/>
      <c r="C26" s="14" t="s">
        <v>29</v>
      </c>
      <c r="E26" s="21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</row>
    <row r="27" spans="1:40" x14ac:dyDescent="0.2">
      <c r="A27" s="18">
        <f t="shared" si="2"/>
        <v>16</v>
      </c>
      <c r="B27" s="18"/>
      <c r="C27" s="13" t="s">
        <v>30</v>
      </c>
      <c r="D27" s="17" t="s">
        <v>150</v>
      </c>
      <c r="E27" s="21" t="s">
        <v>27</v>
      </c>
      <c r="F27" s="22">
        <f>(F10+F11)*1000</f>
        <v>15580.441035474503</v>
      </c>
      <c r="G27" s="22">
        <f t="shared" ref="G27:AA27" si="6">(G10+G11)*1000</f>
        <v>0</v>
      </c>
      <c r="H27" s="22">
        <f t="shared" si="6"/>
        <v>0</v>
      </c>
      <c r="I27" s="22">
        <f t="shared" si="6"/>
        <v>0</v>
      </c>
      <c r="J27" s="22">
        <f t="shared" si="6"/>
        <v>0</v>
      </c>
      <c r="K27" s="22">
        <f t="shared" si="6"/>
        <v>132722.9429229032</v>
      </c>
      <c r="L27" s="22">
        <f t="shared" si="6"/>
        <v>359053.23471204675</v>
      </c>
      <c r="M27" s="22">
        <f t="shared" si="6"/>
        <v>278622.41864521871</v>
      </c>
      <c r="N27" s="22">
        <f t="shared" si="6"/>
        <v>0</v>
      </c>
      <c r="O27" s="22">
        <f t="shared" si="6"/>
        <v>492855.37824153493</v>
      </c>
      <c r="P27" s="22">
        <f t="shared" si="6"/>
        <v>586869.56870765146</v>
      </c>
      <c r="Q27" s="22">
        <f t="shared" si="6"/>
        <v>646849.25869018922</v>
      </c>
      <c r="R27" s="22">
        <f t="shared" si="6"/>
        <v>2148080.8408190189</v>
      </c>
      <c r="S27" s="22">
        <f t="shared" si="6"/>
        <v>853096.42243604478</v>
      </c>
      <c r="T27" s="22">
        <f t="shared" si="6"/>
        <v>80510.251191554707</v>
      </c>
      <c r="U27" s="22">
        <f t="shared" si="6"/>
        <v>32820.524561504368</v>
      </c>
      <c r="V27" s="22">
        <f t="shared" si="6"/>
        <v>0</v>
      </c>
      <c r="W27" s="22">
        <f t="shared" si="6"/>
        <v>0</v>
      </c>
      <c r="X27" s="22">
        <f t="shared" si="6"/>
        <v>22437.155333119565</v>
      </c>
      <c r="Y27" s="22">
        <f t="shared" si="6"/>
        <v>0</v>
      </c>
      <c r="Z27" s="22">
        <f t="shared" si="6"/>
        <v>0</v>
      </c>
      <c r="AA27" s="22">
        <f t="shared" si="6"/>
        <v>0</v>
      </c>
      <c r="AB27" s="29"/>
    </row>
    <row r="28" spans="1:40" x14ac:dyDescent="0.2">
      <c r="A28" s="18">
        <f t="shared" si="2"/>
        <v>17</v>
      </c>
      <c r="B28" s="18"/>
      <c r="C28" s="13" t="s">
        <v>31</v>
      </c>
      <c r="D28" s="17" t="s">
        <v>136</v>
      </c>
      <c r="E28" s="21" t="s">
        <v>23</v>
      </c>
      <c r="F28" s="25">
        <f>'PCIA Inputs'!$D$10</f>
        <v>17.350000000000001</v>
      </c>
      <c r="G28" s="25">
        <f>'PCIA Inputs'!$D$10</f>
        <v>17.350000000000001</v>
      </c>
      <c r="H28" s="25">
        <f>'PCIA Inputs'!$D$10</f>
        <v>17.350000000000001</v>
      </c>
      <c r="I28" s="25">
        <f>'PCIA Inputs'!$D$10</f>
        <v>17.350000000000001</v>
      </c>
      <c r="J28" s="25">
        <f>'PCIA Inputs'!$D$10</f>
        <v>17.350000000000001</v>
      </c>
      <c r="K28" s="25">
        <f>'PCIA Inputs'!$D$10</f>
        <v>17.350000000000001</v>
      </c>
      <c r="L28" s="25">
        <f>'PCIA Inputs'!$D$10</f>
        <v>17.350000000000001</v>
      </c>
      <c r="M28" s="25">
        <f>'PCIA Inputs'!$D$10</f>
        <v>17.350000000000001</v>
      </c>
      <c r="N28" s="25">
        <f>'PCIA Inputs'!$D$10</f>
        <v>17.350000000000001</v>
      </c>
      <c r="O28" s="25">
        <f>'PCIA Inputs'!$D$10</f>
        <v>17.350000000000001</v>
      </c>
      <c r="P28" s="25">
        <f>'PCIA Inputs'!$D$10</f>
        <v>17.350000000000001</v>
      </c>
      <c r="Q28" s="25">
        <f>'PCIA Inputs'!$D$10</f>
        <v>17.350000000000001</v>
      </c>
      <c r="R28" s="25">
        <f>'PCIA Inputs'!$D$10</f>
        <v>17.350000000000001</v>
      </c>
      <c r="S28" s="25">
        <f>'PCIA Inputs'!$D$10</f>
        <v>17.350000000000001</v>
      </c>
      <c r="T28" s="25">
        <f>'PCIA Inputs'!$D$10</f>
        <v>17.350000000000001</v>
      </c>
      <c r="U28" s="25">
        <f>'PCIA Inputs'!$D$10</f>
        <v>17.350000000000001</v>
      </c>
      <c r="V28" s="25">
        <f>'PCIA Inputs'!$D$10</f>
        <v>17.350000000000001</v>
      </c>
      <c r="W28" s="25">
        <f>'PCIA Inputs'!$D$10</f>
        <v>17.350000000000001</v>
      </c>
      <c r="X28" s="25">
        <f>'PCIA Inputs'!$D$10</f>
        <v>17.350000000000001</v>
      </c>
      <c r="Y28" s="25">
        <f>'PCIA Inputs'!$D$10</f>
        <v>17.350000000000001</v>
      </c>
      <c r="Z28" s="25">
        <f>'PCIA Inputs'!$D$10</f>
        <v>17.350000000000001</v>
      </c>
      <c r="AA28" s="25">
        <f>'PCIA Inputs'!$D$10</f>
        <v>17.350000000000001</v>
      </c>
    </row>
    <row r="29" spans="1:40" x14ac:dyDescent="0.2">
      <c r="A29" s="18">
        <f t="shared" si="2"/>
        <v>18</v>
      </c>
      <c r="B29" s="18"/>
      <c r="C29" s="14" t="s">
        <v>29</v>
      </c>
      <c r="D29" s="15" t="str">
        <f>"Line "&amp;A27&amp;" x Line "&amp;A28</f>
        <v>Line 16 x Line 17</v>
      </c>
      <c r="E29" s="23" t="s">
        <v>18</v>
      </c>
      <c r="F29" s="26">
        <f>(F28*F27)/1000</f>
        <v>270.32065196548263</v>
      </c>
      <c r="G29" s="26">
        <f>(G28*G27)/1000</f>
        <v>0</v>
      </c>
      <c r="H29" s="26">
        <f t="shared" ref="H29:W29" si="7">(H28*H27)/1000</f>
        <v>0</v>
      </c>
      <c r="I29" s="26">
        <f>(I28*I27)/1000</f>
        <v>0</v>
      </c>
      <c r="J29" s="26">
        <f t="shared" si="7"/>
        <v>0</v>
      </c>
      <c r="K29" s="26">
        <f t="shared" si="7"/>
        <v>2302.7430597123707</v>
      </c>
      <c r="L29" s="26">
        <f t="shared" si="7"/>
        <v>6229.5736222540108</v>
      </c>
      <c r="M29" s="26">
        <f t="shared" si="7"/>
        <v>4834.0989634945445</v>
      </c>
      <c r="N29" s="26">
        <f t="shared" si="7"/>
        <v>0</v>
      </c>
      <c r="O29" s="26">
        <f t="shared" si="7"/>
        <v>8551.0408124906317</v>
      </c>
      <c r="P29" s="26">
        <f t="shared" si="7"/>
        <v>10182.187017077753</v>
      </c>
      <c r="Q29" s="26">
        <f t="shared" si="7"/>
        <v>11222.834638274784</v>
      </c>
      <c r="R29" s="26">
        <f t="shared" si="7"/>
        <v>37269.202588209977</v>
      </c>
      <c r="S29" s="26">
        <f t="shared" si="7"/>
        <v>14801.222929265377</v>
      </c>
      <c r="T29" s="26">
        <f t="shared" si="7"/>
        <v>1396.8528581734743</v>
      </c>
      <c r="U29" s="26">
        <f t="shared" si="7"/>
        <v>569.43610114210082</v>
      </c>
      <c r="V29" s="26">
        <f t="shared" si="7"/>
        <v>0</v>
      </c>
      <c r="W29" s="26">
        <f t="shared" si="7"/>
        <v>0</v>
      </c>
      <c r="X29" s="26">
        <f>(X28*X27)/1000</f>
        <v>389.28464502962447</v>
      </c>
      <c r="Y29" s="26">
        <f t="shared" ref="Y29:AA29" si="8">(Y28*Y27)/1000</f>
        <v>0</v>
      </c>
      <c r="Z29" s="26">
        <f t="shared" si="8"/>
        <v>0</v>
      </c>
      <c r="AA29" s="26">
        <f t="shared" si="8"/>
        <v>0</v>
      </c>
      <c r="AB29" s="29"/>
    </row>
    <row r="30" spans="1:40" x14ac:dyDescent="0.2">
      <c r="A30" s="18"/>
      <c r="B30" s="18"/>
      <c r="E30" s="21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</row>
    <row r="31" spans="1:40" x14ac:dyDescent="0.2">
      <c r="A31" s="18">
        <f t="shared" si="2"/>
        <v>19</v>
      </c>
      <c r="B31" s="18"/>
      <c r="C31" s="14" t="s">
        <v>32</v>
      </c>
      <c r="E31" s="21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</row>
    <row r="32" spans="1:40" x14ac:dyDescent="0.2">
      <c r="A32" s="18">
        <f t="shared" si="2"/>
        <v>20</v>
      </c>
      <c r="B32" s="18"/>
      <c r="C32" s="13" t="s">
        <v>33</v>
      </c>
      <c r="D32" s="17" t="s">
        <v>151</v>
      </c>
      <c r="E32" s="21" t="s">
        <v>21</v>
      </c>
      <c r="F32" s="22">
        <f>F12+F15</f>
        <v>0</v>
      </c>
      <c r="G32" s="22">
        <f t="shared" ref="G32:AA32" si="9">G12+G15</f>
        <v>0</v>
      </c>
      <c r="H32" s="22">
        <f t="shared" si="9"/>
        <v>0</v>
      </c>
      <c r="I32" s="22">
        <f t="shared" si="9"/>
        <v>0</v>
      </c>
      <c r="J32" s="22">
        <f t="shared" si="9"/>
        <v>0</v>
      </c>
      <c r="K32" s="22">
        <f t="shared" si="9"/>
        <v>0</v>
      </c>
      <c r="L32" s="22">
        <f t="shared" si="9"/>
        <v>0</v>
      </c>
      <c r="M32" s="22">
        <f t="shared" si="9"/>
        <v>0</v>
      </c>
      <c r="N32" s="22"/>
      <c r="O32" s="22">
        <f t="shared" si="9"/>
        <v>0</v>
      </c>
      <c r="P32" s="22">
        <f t="shared" si="9"/>
        <v>0</v>
      </c>
      <c r="Q32" s="22">
        <f t="shared" si="9"/>
        <v>0</v>
      </c>
      <c r="R32" s="22">
        <f t="shared" si="9"/>
        <v>0</v>
      </c>
      <c r="S32" s="22">
        <f t="shared" si="9"/>
        <v>0</v>
      </c>
      <c r="T32" s="22">
        <f t="shared" si="9"/>
        <v>0</v>
      </c>
      <c r="U32" s="22">
        <f t="shared" si="9"/>
        <v>0</v>
      </c>
      <c r="V32" s="22">
        <f t="shared" si="9"/>
        <v>0</v>
      </c>
      <c r="W32" s="22">
        <f t="shared" si="9"/>
        <v>0</v>
      </c>
      <c r="X32" s="22">
        <f t="shared" si="9"/>
        <v>0</v>
      </c>
      <c r="Y32" s="22">
        <f t="shared" si="9"/>
        <v>0</v>
      </c>
      <c r="Z32" s="22">
        <f t="shared" si="9"/>
        <v>0</v>
      </c>
      <c r="AA32" s="22">
        <f t="shared" si="9"/>
        <v>0</v>
      </c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</row>
    <row r="33" spans="1:28" x14ac:dyDescent="0.2">
      <c r="A33" s="18">
        <f t="shared" si="2"/>
        <v>21</v>
      </c>
      <c r="B33" s="18"/>
      <c r="C33" s="13" t="s">
        <v>93</v>
      </c>
      <c r="D33" s="17" t="s">
        <v>138</v>
      </c>
      <c r="E33" s="21" t="s">
        <v>34</v>
      </c>
      <c r="F33" s="25">
        <f>'PCIA Inputs'!$D$13</f>
        <v>55.08</v>
      </c>
      <c r="G33" s="25">
        <f>'PCIA Inputs'!$D$13</f>
        <v>55.08</v>
      </c>
      <c r="H33" s="25">
        <f>'PCIA Inputs'!$D$13</f>
        <v>55.08</v>
      </c>
      <c r="I33" s="25">
        <f>'PCIA Inputs'!$D$13</f>
        <v>55.08</v>
      </c>
      <c r="J33" s="25">
        <f>'PCIA Inputs'!$D$13</f>
        <v>55.08</v>
      </c>
      <c r="K33" s="25">
        <f>'PCIA Inputs'!$D$13</f>
        <v>55.08</v>
      </c>
      <c r="L33" s="25">
        <f>'PCIA Inputs'!$D$13</f>
        <v>55.08</v>
      </c>
      <c r="M33" s="25">
        <f>'PCIA Inputs'!$D$13</f>
        <v>55.08</v>
      </c>
      <c r="N33" s="25">
        <f>'PCIA Inputs'!$D$13</f>
        <v>55.08</v>
      </c>
      <c r="O33" s="25">
        <f>'PCIA Inputs'!$D$13</f>
        <v>55.08</v>
      </c>
      <c r="P33" s="25">
        <f>'PCIA Inputs'!$D$13</f>
        <v>55.08</v>
      </c>
      <c r="Q33" s="25">
        <f>'PCIA Inputs'!$D$13</f>
        <v>55.08</v>
      </c>
      <c r="R33" s="25">
        <f>'PCIA Inputs'!$D$13</f>
        <v>55.08</v>
      </c>
      <c r="S33" s="25">
        <f>'PCIA Inputs'!$D$13</f>
        <v>55.08</v>
      </c>
      <c r="T33" s="25">
        <f>'PCIA Inputs'!$D$13</f>
        <v>55.08</v>
      </c>
      <c r="U33" s="25">
        <f>'PCIA Inputs'!$D$13</f>
        <v>55.08</v>
      </c>
      <c r="V33" s="25">
        <f>'PCIA Inputs'!$D$13</f>
        <v>55.08</v>
      </c>
      <c r="W33" s="25">
        <f>'PCIA Inputs'!$D$13</f>
        <v>55.08</v>
      </c>
      <c r="X33" s="25">
        <f>'PCIA Inputs'!$D$13</f>
        <v>55.08</v>
      </c>
      <c r="Y33" s="25">
        <f>'PCIA Inputs'!$D$13</f>
        <v>55.08</v>
      </c>
      <c r="Z33" s="25">
        <f>'PCIA Inputs'!$D$13</f>
        <v>55.08</v>
      </c>
      <c r="AA33" s="25">
        <f>'PCIA Inputs'!$D$13</f>
        <v>55.08</v>
      </c>
    </row>
    <row r="34" spans="1:28" x14ac:dyDescent="0.2">
      <c r="A34" s="18">
        <f t="shared" si="2"/>
        <v>22</v>
      </c>
      <c r="B34" s="18"/>
      <c r="C34" s="13" t="s">
        <v>113</v>
      </c>
      <c r="D34" s="17" t="s">
        <v>119</v>
      </c>
      <c r="E34" s="21" t="s">
        <v>21</v>
      </c>
      <c r="F34" s="22">
        <f>F13</f>
        <v>30</v>
      </c>
      <c r="G34" s="22">
        <f t="shared" ref="G34:AA34" si="10">G13</f>
        <v>0</v>
      </c>
      <c r="H34" s="22">
        <f t="shared" si="10"/>
        <v>0</v>
      </c>
      <c r="I34" s="22">
        <f t="shared" si="10"/>
        <v>0</v>
      </c>
      <c r="J34" s="22">
        <f t="shared" si="10"/>
        <v>0</v>
      </c>
      <c r="K34" s="22">
        <f t="shared" si="10"/>
        <v>659.1</v>
      </c>
      <c r="L34" s="22">
        <f t="shared" si="10"/>
        <v>5.4</v>
      </c>
      <c r="M34" s="22">
        <f t="shared" si="10"/>
        <v>19.8</v>
      </c>
      <c r="N34" s="22">
        <f t="shared" si="10"/>
        <v>0</v>
      </c>
      <c r="O34" s="22">
        <f t="shared" si="10"/>
        <v>44</v>
      </c>
      <c r="P34" s="22">
        <f t="shared" si="10"/>
        <v>98.1</v>
      </c>
      <c r="Q34" s="22">
        <f t="shared" si="10"/>
        <v>84.4</v>
      </c>
      <c r="R34" s="22">
        <f t="shared" si="10"/>
        <v>155.5</v>
      </c>
      <c r="S34" s="22">
        <f t="shared" si="10"/>
        <v>32.4</v>
      </c>
      <c r="T34" s="22">
        <f t="shared" si="10"/>
        <v>0</v>
      </c>
      <c r="U34" s="22">
        <f t="shared" si="10"/>
        <v>2</v>
      </c>
      <c r="V34" s="22">
        <f t="shared" si="10"/>
        <v>0</v>
      </c>
      <c r="W34" s="22">
        <f t="shared" si="10"/>
        <v>0</v>
      </c>
      <c r="X34" s="22">
        <f t="shared" si="10"/>
        <v>2.5</v>
      </c>
      <c r="Y34" s="22">
        <f t="shared" si="10"/>
        <v>0</v>
      </c>
      <c r="Z34" s="22">
        <f t="shared" si="10"/>
        <v>0</v>
      </c>
      <c r="AA34" s="22">
        <f t="shared" si="10"/>
        <v>1036.5999999999999</v>
      </c>
    </row>
    <row r="35" spans="1:28" x14ac:dyDescent="0.2">
      <c r="A35" s="18">
        <f t="shared" si="2"/>
        <v>23</v>
      </c>
      <c r="B35" s="18"/>
      <c r="C35" s="13" t="s">
        <v>111</v>
      </c>
      <c r="D35" s="17" t="s">
        <v>139</v>
      </c>
      <c r="E35" s="21" t="s">
        <v>34</v>
      </c>
      <c r="F35" s="25">
        <f>'PCIA Inputs'!$D$14</f>
        <v>49.800000000000004</v>
      </c>
      <c r="G35" s="25">
        <f>'PCIA Inputs'!$D$14</f>
        <v>49.800000000000004</v>
      </c>
      <c r="H35" s="25">
        <f>'PCIA Inputs'!$D$14</f>
        <v>49.800000000000004</v>
      </c>
      <c r="I35" s="25">
        <f>'PCIA Inputs'!$D$14</f>
        <v>49.800000000000004</v>
      </c>
      <c r="J35" s="25">
        <f>'PCIA Inputs'!$D$14</f>
        <v>49.800000000000004</v>
      </c>
      <c r="K35" s="25">
        <f>'PCIA Inputs'!$D$14</f>
        <v>49.800000000000004</v>
      </c>
      <c r="L35" s="25">
        <f>'PCIA Inputs'!$D$14</f>
        <v>49.800000000000004</v>
      </c>
      <c r="M35" s="25">
        <f>'PCIA Inputs'!$D$14</f>
        <v>49.800000000000004</v>
      </c>
      <c r="N35" s="25">
        <f>'PCIA Inputs'!$D$14</f>
        <v>49.800000000000004</v>
      </c>
      <c r="O35" s="25">
        <f>'PCIA Inputs'!$D$14</f>
        <v>49.800000000000004</v>
      </c>
      <c r="P35" s="25">
        <f>'PCIA Inputs'!$D$14</f>
        <v>49.800000000000004</v>
      </c>
      <c r="Q35" s="25">
        <f>'PCIA Inputs'!$D$14</f>
        <v>49.800000000000004</v>
      </c>
      <c r="R35" s="25">
        <f>'PCIA Inputs'!$D$14</f>
        <v>49.800000000000004</v>
      </c>
      <c r="S35" s="25">
        <f>'PCIA Inputs'!$D$14</f>
        <v>49.800000000000004</v>
      </c>
      <c r="T35" s="25">
        <f>'PCIA Inputs'!$D$14</f>
        <v>49.800000000000004</v>
      </c>
      <c r="U35" s="25">
        <f>'PCIA Inputs'!$D$14</f>
        <v>49.800000000000004</v>
      </c>
      <c r="V35" s="25">
        <f>'PCIA Inputs'!$D$14</f>
        <v>49.800000000000004</v>
      </c>
      <c r="W35" s="25">
        <f>'PCIA Inputs'!$D$14</f>
        <v>49.800000000000004</v>
      </c>
      <c r="X35" s="25">
        <f>'PCIA Inputs'!$D$14</f>
        <v>49.800000000000004</v>
      </c>
      <c r="Y35" s="25">
        <f>'PCIA Inputs'!$D$14</f>
        <v>49.800000000000004</v>
      </c>
      <c r="Z35" s="25">
        <f>'PCIA Inputs'!$D$14</f>
        <v>49.800000000000004</v>
      </c>
      <c r="AA35" s="25">
        <f>'PCIA Inputs'!$D$14</f>
        <v>49.800000000000004</v>
      </c>
    </row>
    <row r="36" spans="1:28" x14ac:dyDescent="0.2">
      <c r="A36" s="18">
        <f t="shared" si="2"/>
        <v>24</v>
      </c>
      <c r="B36" s="18"/>
      <c r="C36" s="13" t="s">
        <v>114</v>
      </c>
      <c r="D36" s="17" t="s">
        <v>152</v>
      </c>
      <c r="E36" s="21" t="s">
        <v>21</v>
      </c>
      <c r="F36" s="22">
        <f>F14</f>
        <v>0</v>
      </c>
      <c r="G36" s="22">
        <f t="shared" ref="G36:AA36" si="11">G14</f>
        <v>0</v>
      </c>
      <c r="H36" s="22">
        <f t="shared" si="11"/>
        <v>0</v>
      </c>
      <c r="I36" s="22">
        <f t="shared" si="11"/>
        <v>0</v>
      </c>
      <c r="J36" s="22">
        <f t="shared" si="11"/>
        <v>0</v>
      </c>
      <c r="K36" s="22">
        <f t="shared" si="11"/>
        <v>0</v>
      </c>
      <c r="L36" s="22">
        <f t="shared" si="11"/>
        <v>0</v>
      </c>
      <c r="M36" s="22">
        <f t="shared" si="11"/>
        <v>0</v>
      </c>
      <c r="N36" s="22">
        <f>N14+N15</f>
        <v>95.699999999999989</v>
      </c>
      <c r="O36" s="22">
        <f t="shared" si="11"/>
        <v>0</v>
      </c>
      <c r="P36" s="22">
        <f t="shared" si="11"/>
        <v>0</v>
      </c>
      <c r="Q36" s="22">
        <f t="shared" si="11"/>
        <v>0</v>
      </c>
      <c r="R36" s="22">
        <f t="shared" si="11"/>
        <v>0</v>
      </c>
      <c r="S36" s="22">
        <f t="shared" si="11"/>
        <v>0</v>
      </c>
      <c r="T36" s="22">
        <f t="shared" si="11"/>
        <v>0</v>
      </c>
      <c r="U36" s="22">
        <f t="shared" si="11"/>
        <v>0</v>
      </c>
      <c r="V36" s="22">
        <f t="shared" si="11"/>
        <v>0</v>
      </c>
      <c r="W36" s="22">
        <f t="shared" si="11"/>
        <v>0</v>
      </c>
      <c r="X36" s="22">
        <f t="shared" si="11"/>
        <v>0</v>
      </c>
      <c r="Y36" s="22">
        <f t="shared" si="11"/>
        <v>0</v>
      </c>
      <c r="Z36" s="22">
        <f t="shared" si="11"/>
        <v>0</v>
      </c>
      <c r="AA36" s="22">
        <f t="shared" si="11"/>
        <v>0</v>
      </c>
    </row>
    <row r="37" spans="1:28" x14ac:dyDescent="0.2">
      <c r="A37" s="18">
        <f t="shared" si="2"/>
        <v>25</v>
      </c>
      <c r="B37" s="18"/>
      <c r="C37" s="13" t="s">
        <v>112</v>
      </c>
      <c r="D37" s="17" t="s">
        <v>140</v>
      </c>
      <c r="E37" s="21" t="s">
        <v>34</v>
      </c>
      <c r="F37" s="25">
        <f>'PCIA Inputs'!$D$15</f>
        <v>52.92</v>
      </c>
      <c r="G37" s="25">
        <f>'PCIA Inputs'!$D$15</f>
        <v>52.92</v>
      </c>
      <c r="H37" s="25">
        <f>'PCIA Inputs'!$D$15</f>
        <v>52.92</v>
      </c>
      <c r="I37" s="25">
        <f>'PCIA Inputs'!$D$15</f>
        <v>52.92</v>
      </c>
      <c r="J37" s="25">
        <f>'PCIA Inputs'!$D$15</f>
        <v>52.92</v>
      </c>
      <c r="K37" s="25">
        <f>'PCIA Inputs'!$D$15</f>
        <v>52.92</v>
      </c>
      <c r="L37" s="25">
        <f>'PCIA Inputs'!$D$15</f>
        <v>52.92</v>
      </c>
      <c r="M37" s="25">
        <f>'PCIA Inputs'!$D$15</f>
        <v>52.92</v>
      </c>
      <c r="N37" s="25">
        <f>'PCIA Inputs'!$D$15</f>
        <v>52.92</v>
      </c>
      <c r="O37" s="25">
        <f>'PCIA Inputs'!$D$15</f>
        <v>52.92</v>
      </c>
      <c r="P37" s="25">
        <f>'PCIA Inputs'!$D$15</f>
        <v>52.92</v>
      </c>
      <c r="Q37" s="25">
        <f>'PCIA Inputs'!$D$15</f>
        <v>52.92</v>
      </c>
      <c r="R37" s="25">
        <f>'PCIA Inputs'!$D$15</f>
        <v>52.92</v>
      </c>
      <c r="S37" s="25">
        <f>'PCIA Inputs'!$D$15</f>
        <v>52.92</v>
      </c>
      <c r="T37" s="25">
        <f>'PCIA Inputs'!$D$15</f>
        <v>52.92</v>
      </c>
      <c r="U37" s="25">
        <f>'PCIA Inputs'!$D$15</f>
        <v>52.92</v>
      </c>
      <c r="V37" s="25">
        <f>'PCIA Inputs'!$D$15</f>
        <v>52.92</v>
      </c>
      <c r="W37" s="25">
        <f>'PCIA Inputs'!$D$15</f>
        <v>52.92</v>
      </c>
      <c r="X37" s="25">
        <f>'PCIA Inputs'!$D$15</f>
        <v>52.92</v>
      </c>
      <c r="Y37" s="25">
        <f>'PCIA Inputs'!$D$15</f>
        <v>52.92</v>
      </c>
      <c r="Z37" s="25">
        <f>'PCIA Inputs'!$D$15</f>
        <v>52.92</v>
      </c>
      <c r="AA37" s="25">
        <f>'PCIA Inputs'!$D$15</f>
        <v>52.92</v>
      </c>
    </row>
    <row r="38" spans="1:28" ht="24" x14ac:dyDescent="0.2">
      <c r="A38" s="18">
        <f t="shared" si="2"/>
        <v>26</v>
      </c>
      <c r="B38" s="18"/>
      <c r="C38" s="14" t="s">
        <v>35</v>
      </c>
      <c r="D38" s="73" t="s">
        <v>153</v>
      </c>
      <c r="E38" s="23" t="s">
        <v>18</v>
      </c>
      <c r="F38" s="26">
        <f>SUM(F32*F33,F34*F35,F36*F37)</f>
        <v>1494.0000000000002</v>
      </c>
      <c r="G38" s="26">
        <f t="shared" ref="G38:AA38" si="12">SUM(G32*G33,G34*G35,G36*G37)</f>
        <v>0</v>
      </c>
      <c r="H38" s="26">
        <f t="shared" si="12"/>
        <v>0</v>
      </c>
      <c r="I38" s="26">
        <f t="shared" si="12"/>
        <v>0</v>
      </c>
      <c r="J38" s="26">
        <f t="shared" si="12"/>
        <v>0</v>
      </c>
      <c r="K38" s="26">
        <f t="shared" si="12"/>
        <v>32823.180000000008</v>
      </c>
      <c r="L38" s="26">
        <f t="shared" si="12"/>
        <v>268.92</v>
      </c>
      <c r="M38" s="26">
        <f t="shared" si="12"/>
        <v>986.04000000000008</v>
      </c>
      <c r="N38" s="26">
        <f t="shared" si="12"/>
        <v>5064.4439999999995</v>
      </c>
      <c r="O38" s="26">
        <f t="shared" si="12"/>
        <v>2191.2000000000003</v>
      </c>
      <c r="P38" s="26">
        <f t="shared" si="12"/>
        <v>4885.38</v>
      </c>
      <c r="Q38" s="26">
        <f t="shared" si="12"/>
        <v>4203.1200000000008</v>
      </c>
      <c r="R38" s="26">
        <f t="shared" si="12"/>
        <v>7743.9000000000005</v>
      </c>
      <c r="S38" s="26">
        <f t="shared" si="12"/>
        <v>1613.52</v>
      </c>
      <c r="T38" s="26">
        <f t="shared" si="12"/>
        <v>0</v>
      </c>
      <c r="U38" s="26">
        <f t="shared" si="12"/>
        <v>99.600000000000009</v>
      </c>
      <c r="V38" s="26">
        <f t="shared" si="12"/>
        <v>0</v>
      </c>
      <c r="W38" s="26">
        <f t="shared" si="12"/>
        <v>0</v>
      </c>
      <c r="X38" s="26">
        <f>SUM(X32*X33,X34*X35,X36*X37)</f>
        <v>124.50000000000001</v>
      </c>
      <c r="Y38" s="26">
        <f t="shared" si="12"/>
        <v>0</v>
      </c>
      <c r="Z38" s="26">
        <f t="shared" si="12"/>
        <v>0</v>
      </c>
      <c r="AA38" s="26">
        <f t="shared" si="12"/>
        <v>51622.68</v>
      </c>
      <c r="AB38" s="29"/>
    </row>
    <row r="39" spans="1:28" x14ac:dyDescent="0.2">
      <c r="A39" s="18"/>
      <c r="B39" s="18"/>
      <c r="E39" s="21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</row>
    <row r="40" spans="1:28" x14ac:dyDescent="0.2">
      <c r="A40" s="18">
        <f t="shared" si="2"/>
        <v>27</v>
      </c>
      <c r="B40" s="19" t="s">
        <v>36</v>
      </c>
      <c r="D40" s="15" t="s">
        <v>154</v>
      </c>
      <c r="E40" s="21" t="s">
        <v>18</v>
      </c>
      <c r="F40" s="26">
        <f>F24+F29+F38</f>
        <v>7081.0903793783</v>
      </c>
      <c r="G40" s="26">
        <f>G24+G29+G38</f>
        <v>0</v>
      </c>
      <c r="H40" s="26">
        <f t="shared" ref="H40:AA40" si="13">H24+H29+H38</f>
        <v>0</v>
      </c>
      <c r="I40" s="26">
        <f t="shared" si="13"/>
        <v>0</v>
      </c>
      <c r="J40" s="26">
        <f t="shared" si="13"/>
        <v>0</v>
      </c>
      <c r="K40" s="26">
        <f t="shared" si="13"/>
        <v>167284.38913521072</v>
      </c>
      <c r="L40" s="26">
        <f t="shared" si="13"/>
        <v>22395.200990081838</v>
      </c>
      <c r="M40" s="26">
        <f t="shared" si="13"/>
        <v>18155.855863167009</v>
      </c>
      <c r="N40" s="26">
        <f t="shared" si="13"/>
        <v>102916.16578589763</v>
      </c>
      <c r="O40" s="26">
        <f t="shared" si="13"/>
        <v>12294.880302133368</v>
      </c>
      <c r="P40" s="26">
        <f t="shared" si="13"/>
        <v>20236.729208454959</v>
      </c>
      <c r="Q40" s="26">
        <f t="shared" si="13"/>
        <v>45719.212626682689</v>
      </c>
      <c r="R40" s="26">
        <f t="shared" si="13"/>
        <v>162399.32064256398</v>
      </c>
      <c r="S40" s="26">
        <f t="shared" si="13"/>
        <v>54184.696999955238</v>
      </c>
      <c r="T40" s="26">
        <f t="shared" si="13"/>
        <v>4961.360233601712</v>
      </c>
      <c r="U40" s="26">
        <f t="shared" si="13"/>
        <v>2122.1305845583661</v>
      </c>
      <c r="V40" s="26">
        <f t="shared" si="13"/>
        <v>0</v>
      </c>
      <c r="W40" s="26">
        <f t="shared" si="13"/>
        <v>0</v>
      </c>
      <c r="X40" s="26">
        <f t="shared" si="13"/>
        <v>1507.1662887938055</v>
      </c>
      <c r="Y40" s="26">
        <f t="shared" si="13"/>
        <v>0</v>
      </c>
      <c r="Z40" s="26">
        <f t="shared" si="13"/>
        <v>0</v>
      </c>
      <c r="AA40" s="26">
        <f t="shared" si="13"/>
        <v>51622.68</v>
      </c>
      <c r="AB40" s="29"/>
    </row>
    <row r="41" spans="1:28" x14ac:dyDescent="0.2">
      <c r="A41" s="18">
        <f t="shared" si="2"/>
        <v>28</v>
      </c>
      <c r="B41" s="19" t="s">
        <v>37</v>
      </c>
      <c r="D41" s="15" t="s">
        <v>155</v>
      </c>
      <c r="E41" s="21" t="s">
        <v>18</v>
      </c>
      <c r="F41" s="26">
        <f>F40*'PCIA Inputs'!$D$17</f>
        <v>7385.577265691566</v>
      </c>
      <c r="G41" s="26">
        <f>G40*'PCIA Inputs'!$D$17</f>
        <v>0</v>
      </c>
      <c r="H41" s="26">
        <f>H40*'PCIA Inputs'!$D$17</f>
        <v>0</v>
      </c>
      <c r="I41" s="26">
        <f>I40*'PCIA Inputs'!$D$17</f>
        <v>0</v>
      </c>
      <c r="J41" s="26">
        <f>J40*'PCIA Inputs'!$D$17</f>
        <v>0</v>
      </c>
      <c r="K41" s="26">
        <f>K40*'PCIA Inputs'!$D$17</f>
        <v>174477.61786802477</v>
      </c>
      <c r="L41" s="26">
        <f>L40*'PCIA Inputs'!$D$17</f>
        <v>23358.194632655355</v>
      </c>
      <c r="M41" s="26">
        <f>M40*'PCIA Inputs'!$D$17</f>
        <v>18936.557665283188</v>
      </c>
      <c r="N41" s="26">
        <f>N40*'PCIA Inputs'!$D$17</f>
        <v>107341.56091469122</v>
      </c>
      <c r="O41" s="26">
        <f>O40*'PCIA Inputs'!$D$17</f>
        <v>12823.560155125102</v>
      </c>
      <c r="P41" s="26">
        <f>P40*'PCIA Inputs'!$D$17</f>
        <v>21106.908564418522</v>
      </c>
      <c r="Q41" s="26">
        <f>Q40*'PCIA Inputs'!$D$17</f>
        <v>47685.138769630044</v>
      </c>
      <c r="R41" s="26">
        <f>R40*'PCIA Inputs'!$D$17</f>
        <v>169382.49143019423</v>
      </c>
      <c r="S41" s="26">
        <f>S40*'PCIA Inputs'!$D$17</f>
        <v>56514.63897095331</v>
      </c>
      <c r="T41" s="26">
        <f>T40*'PCIA Inputs'!$D$17</f>
        <v>5174.6987236465857</v>
      </c>
      <c r="U41" s="26">
        <f>U40*'PCIA Inputs'!$D$17</f>
        <v>2213.3821996943757</v>
      </c>
      <c r="V41" s="26">
        <f>V40*'PCIA Inputs'!$D$17</f>
        <v>0</v>
      </c>
      <c r="W41" s="26">
        <f>W40*'PCIA Inputs'!$D$17</f>
        <v>0</v>
      </c>
      <c r="X41" s="84">
        <f>X40*'PCIA Inputs'!$D$17</f>
        <v>1571.9744392119389</v>
      </c>
      <c r="Y41" s="26">
        <f>Y40*'PCIA Inputs'!$D$17</f>
        <v>0</v>
      </c>
      <c r="Z41" s="26">
        <f>Z40*'PCIA Inputs'!$D$17</f>
        <v>0</v>
      </c>
      <c r="AA41" s="26">
        <f>AA40*'PCIA Inputs'!$D$17</f>
        <v>53842.455239999996</v>
      </c>
    </row>
    <row r="42" spans="1:28" x14ac:dyDescent="0.2">
      <c r="A42" s="18"/>
      <c r="B42" s="19"/>
      <c r="E42" s="21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</row>
    <row r="43" spans="1:28" x14ac:dyDescent="0.2">
      <c r="A43" s="18">
        <f>IF(A42=0, A41+1, A42+1)</f>
        <v>29</v>
      </c>
      <c r="B43" s="19" t="s">
        <v>38</v>
      </c>
      <c r="E43" s="21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</row>
    <row r="44" spans="1:28" x14ac:dyDescent="0.2">
      <c r="A44" s="18">
        <f t="shared" si="2"/>
        <v>30</v>
      </c>
      <c r="B44" s="19"/>
      <c r="C44" s="14" t="s">
        <v>39</v>
      </c>
      <c r="D44" s="15" t="s">
        <v>40</v>
      </c>
      <c r="E44" s="21" t="s">
        <v>18</v>
      </c>
      <c r="F44" s="26">
        <f>F7</f>
        <v>25202.527073874524</v>
      </c>
      <c r="G44" s="26">
        <f t="shared" ref="G44:AA44" si="14">G7</f>
        <v>676</v>
      </c>
      <c r="H44" s="26">
        <f t="shared" si="14"/>
        <v>0</v>
      </c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29"/>
    </row>
    <row r="45" spans="1:28" x14ac:dyDescent="0.2">
      <c r="A45" s="18">
        <f t="shared" si="2"/>
        <v>31</v>
      </c>
      <c r="B45" s="19"/>
      <c r="C45" s="14" t="s">
        <v>41</v>
      </c>
      <c r="D45" s="15" t="s">
        <v>156</v>
      </c>
      <c r="E45" s="21" t="s">
        <v>18</v>
      </c>
      <c r="F45" s="26">
        <f>F41</f>
        <v>7385.577265691566</v>
      </c>
      <c r="G45" s="26">
        <f>G41</f>
        <v>0</v>
      </c>
      <c r="H45" s="26">
        <f t="shared" ref="H45:AA45" si="15">H41</f>
        <v>0</v>
      </c>
      <c r="I45" s="26">
        <f>I41</f>
        <v>0</v>
      </c>
      <c r="J45" s="26">
        <f t="shared" si="15"/>
        <v>0</v>
      </c>
      <c r="K45" s="26">
        <f t="shared" si="15"/>
        <v>174477.61786802477</v>
      </c>
      <c r="L45" s="26">
        <f t="shared" si="15"/>
        <v>23358.194632655355</v>
      </c>
      <c r="M45" s="26">
        <f t="shared" si="15"/>
        <v>18936.557665283188</v>
      </c>
      <c r="N45" s="26">
        <f t="shared" si="15"/>
        <v>107341.56091469122</v>
      </c>
      <c r="O45" s="26">
        <f t="shared" si="15"/>
        <v>12823.560155125102</v>
      </c>
      <c r="P45" s="26">
        <f t="shared" si="15"/>
        <v>21106.908564418522</v>
      </c>
      <c r="Q45" s="26">
        <f t="shared" si="15"/>
        <v>47685.138769630044</v>
      </c>
      <c r="R45" s="26">
        <f t="shared" si="15"/>
        <v>169382.49143019423</v>
      </c>
      <c r="S45" s="26">
        <f t="shared" si="15"/>
        <v>56514.63897095331</v>
      </c>
      <c r="T45" s="26">
        <f t="shared" si="15"/>
        <v>5174.6987236465857</v>
      </c>
      <c r="U45" s="26">
        <f t="shared" si="15"/>
        <v>2213.3821996943757</v>
      </c>
      <c r="V45" s="26">
        <f t="shared" si="15"/>
        <v>0</v>
      </c>
      <c r="W45" s="26">
        <f t="shared" si="15"/>
        <v>0</v>
      </c>
      <c r="X45" s="26">
        <f t="shared" si="15"/>
        <v>1571.9744392119389</v>
      </c>
      <c r="Y45" s="26">
        <f t="shared" si="15"/>
        <v>0</v>
      </c>
      <c r="Z45" s="26">
        <f t="shared" si="15"/>
        <v>0</v>
      </c>
      <c r="AA45" s="26">
        <f t="shared" si="15"/>
        <v>53842.455239999996</v>
      </c>
      <c r="AB45" s="29"/>
    </row>
    <row r="46" spans="1:28" x14ac:dyDescent="0.2">
      <c r="A46" s="18">
        <f t="shared" si="2"/>
        <v>32</v>
      </c>
      <c r="B46" s="14" t="s">
        <v>42</v>
      </c>
      <c r="C46" s="14"/>
      <c r="D46" s="15" t="str">
        <f>"Line "&amp;A44&amp;" - Line "&amp;A45</f>
        <v>Line 30 - Line 31</v>
      </c>
      <c r="E46" s="21" t="s">
        <v>18</v>
      </c>
      <c r="F46" s="26">
        <f>F44-F45</f>
        <v>17816.949808182959</v>
      </c>
      <c r="G46" s="26">
        <f>G44-G45</f>
        <v>676</v>
      </c>
      <c r="H46" s="26">
        <f t="shared" ref="H46:P46" si="16">H44-H45</f>
        <v>0</v>
      </c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</row>
    <row r="47" spans="1:28" x14ac:dyDescent="0.2">
      <c r="A47" s="18"/>
    </row>
    <row r="48" spans="1:28" x14ac:dyDescent="0.2">
      <c r="A48" s="18">
        <f t="shared" si="2"/>
        <v>33</v>
      </c>
      <c r="B48" s="14" t="s">
        <v>131</v>
      </c>
      <c r="D48" s="43" t="s">
        <v>52</v>
      </c>
      <c r="E48" s="21" t="s">
        <v>18</v>
      </c>
      <c r="F48" s="32">
        <v>0</v>
      </c>
      <c r="G48" s="32">
        <v>0</v>
      </c>
      <c r="H48" s="32">
        <v>0</v>
      </c>
      <c r="I48" s="32">
        <v>-6816.5761030497106</v>
      </c>
      <c r="J48" s="32">
        <v>0</v>
      </c>
      <c r="K48" s="32">
        <v>45285.153990922416</v>
      </c>
      <c r="L48" s="32">
        <v>7388.096273923883</v>
      </c>
      <c r="M48" s="32">
        <v>10753.380785269099</v>
      </c>
      <c r="N48" s="32">
        <v>3947.1856033619588</v>
      </c>
      <c r="O48" s="32">
        <v>18113.945041650168</v>
      </c>
      <c r="P48" s="32">
        <v>23253.090376249867</v>
      </c>
      <c r="Q48" s="32">
        <v>34011.482143351539</v>
      </c>
      <c r="R48" s="32">
        <v>90501.776868971414</v>
      </c>
      <c r="S48" s="32">
        <v>24835.407182058916</v>
      </c>
      <c r="T48" s="32">
        <v>1662.3017319703097</v>
      </c>
      <c r="U48" s="32">
        <v>450.70964853162616</v>
      </c>
      <c r="V48" s="32">
        <v>7687.7829664267974</v>
      </c>
      <c r="W48" s="32">
        <v>0</v>
      </c>
      <c r="X48" s="32">
        <v>-4449.8193486044993</v>
      </c>
      <c r="Y48" s="32">
        <v>0</v>
      </c>
      <c r="Z48" s="32">
        <v>-5615.6579618350224</v>
      </c>
      <c r="AA48" s="32">
        <v>0</v>
      </c>
    </row>
    <row r="49" spans="1:27" x14ac:dyDescent="0.2">
      <c r="A49" s="18">
        <f t="shared" si="2"/>
        <v>34</v>
      </c>
      <c r="B49" s="14" t="s">
        <v>144</v>
      </c>
      <c r="D49" s="43" t="s">
        <v>52</v>
      </c>
      <c r="E49" s="21" t="s">
        <v>18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32">
        <v>0</v>
      </c>
      <c r="L49" s="32">
        <v>0</v>
      </c>
      <c r="M49" s="32">
        <v>0</v>
      </c>
      <c r="N49" s="32">
        <v>0</v>
      </c>
      <c r="O49" s="32">
        <v>0</v>
      </c>
      <c r="P49" s="32">
        <v>0</v>
      </c>
      <c r="Q49" s="32">
        <v>0</v>
      </c>
      <c r="R49" s="32">
        <v>0</v>
      </c>
      <c r="S49" s="32">
        <v>0</v>
      </c>
      <c r="T49" s="32">
        <v>0</v>
      </c>
      <c r="U49" s="32">
        <v>0</v>
      </c>
      <c r="V49" s="32">
        <v>0</v>
      </c>
      <c r="W49" s="32">
        <v>0</v>
      </c>
      <c r="X49" s="32">
        <v>0</v>
      </c>
      <c r="Y49" s="32">
        <v>0</v>
      </c>
      <c r="Z49" s="32">
        <v>0</v>
      </c>
      <c r="AA49" s="32">
        <v>0</v>
      </c>
    </row>
    <row r="50" spans="1:27" x14ac:dyDescent="0.2">
      <c r="A50" s="18"/>
      <c r="B50" s="14"/>
      <c r="D50" s="43"/>
      <c r="E50" s="21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</row>
    <row r="51" spans="1:27" x14ac:dyDescent="0.2">
      <c r="A51" s="18">
        <f t="shared" si="2"/>
        <v>35</v>
      </c>
      <c r="B51" s="14" t="s">
        <v>142</v>
      </c>
      <c r="D51" s="43"/>
      <c r="E51" s="21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</row>
    <row r="52" spans="1:27" ht="12.75" customHeight="1" x14ac:dyDescent="0.2">
      <c r="A52" s="18">
        <f t="shared" si="2"/>
        <v>36</v>
      </c>
      <c r="B52" s="14" t="s">
        <v>161</v>
      </c>
      <c r="D52" s="74" t="s">
        <v>157</v>
      </c>
      <c r="E52" s="21" t="s">
        <v>18</v>
      </c>
      <c r="F52" s="30">
        <f>SUM(F46:F48)</f>
        <v>17816.949808182959</v>
      </c>
      <c r="G52" s="30">
        <f t="shared" ref="G52:AA52" si="17">SUM(G46:G51)</f>
        <v>676</v>
      </c>
      <c r="H52" s="30">
        <f t="shared" si="17"/>
        <v>0</v>
      </c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</row>
    <row r="53" spans="1:27" x14ac:dyDescent="0.2">
      <c r="A53" s="18">
        <f t="shared" si="2"/>
        <v>37</v>
      </c>
      <c r="B53" s="14" t="s">
        <v>162</v>
      </c>
      <c r="D53" s="74" t="s">
        <v>158</v>
      </c>
      <c r="E53" s="21" t="s">
        <v>18</v>
      </c>
      <c r="F53" s="30">
        <f>F52*'PCIA Inputs'!$D$19</f>
        <v>18033.333100213378</v>
      </c>
      <c r="G53" s="30">
        <f>G52*'PCIA Inputs'!$D$19</f>
        <v>684.20988479999994</v>
      </c>
      <c r="H53" s="30">
        <f>H52*'PCIA Inputs'!$D$19</f>
        <v>0</v>
      </c>
      <c r="I53" s="107"/>
      <c r="J53" s="107"/>
      <c r="K53" s="107"/>
      <c r="L53" s="107"/>
      <c r="M53" s="107"/>
      <c r="N53" s="107"/>
      <c r="O53" s="107"/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</row>
    <row r="54" spans="1:27" x14ac:dyDescent="0.2">
      <c r="A54" s="18"/>
    </row>
    <row r="55" spans="1:27" x14ac:dyDescent="0.2">
      <c r="A55" s="18">
        <f t="shared" si="2"/>
        <v>38</v>
      </c>
      <c r="B55" s="14" t="s">
        <v>143</v>
      </c>
      <c r="E55" s="47"/>
      <c r="F55" s="29"/>
      <c r="G55" s="29"/>
      <c r="H55" s="29"/>
      <c r="I55" s="29"/>
      <c r="J55" s="29"/>
      <c r="K55" s="29"/>
      <c r="L55" s="29"/>
      <c r="M55" s="29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</row>
    <row r="56" spans="1:27" s="88" customFormat="1" x14ac:dyDescent="0.2">
      <c r="A56" s="18">
        <f t="shared" si="2"/>
        <v>39</v>
      </c>
      <c r="B56" s="14" t="s">
        <v>163</v>
      </c>
      <c r="C56" s="13"/>
      <c r="D56" s="43" t="s">
        <v>52</v>
      </c>
      <c r="E56" s="21" t="s">
        <v>18</v>
      </c>
      <c r="F56" s="32">
        <v>0</v>
      </c>
      <c r="G56" s="32">
        <v>0</v>
      </c>
      <c r="H56" s="32">
        <v>0</v>
      </c>
      <c r="I56" s="32">
        <v>0</v>
      </c>
      <c r="J56" s="32">
        <v>0</v>
      </c>
      <c r="K56" s="32">
        <v>0</v>
      </c>
      <c r="L56" s="32">
        <v>0</v>
      </c>
      <c r="M56" s="32">
        <v>0</v>
      </c>
      <c r="N56" s="32">
        <v>0</v>
      </c>
      <c r="O56" s="32">
        <v>0</v>
      </c>
      <c r="P56" s="32">
        <v>3077.1777092534585</v>
      </c>
      <c r="Q56" s="32">
        <v>2181.2895595023392</v>
      </c>
      <c r="R56" s="32">
        <v>3781.3881334549692</v>
      </c>
      <c r="S56" s="32">
        <v>714.70370832688945</v>
      </c>
      <c r="T56" s="32">
        <v>0</v>
      </c>
      <c r="U56" s="32">
        <v>78.514905600459642</v>
      </c>
      <c r="V56" s="32">
        <v>6.3557208759868198</v>
      </c>
      <c r="W56" s="32">
        <v>0</v>
      </c>
      <c r="X56" s="32">
        <v>0</v>
      </c>
      <c r="Y56" s="32">
        <v>0</v>
      </c>
      <c r="Z56" s="32">
        <v>0</v>
      </c>
      <c r="AA56" s="32">
        <v>0</v>
      </c>
    </row>
    <row r="57" spans="1:27" s="88" customFormat="1" x14ac:dyDescent="0.2">
      <c r="A57" s="18">
        <f t="shared" si="2"/>
        <v>40</v>
      </c>
      <c r="B57" s="14" t="s">
        <v>165</v>
      </c>
      <c r="C57" s="13"/>
      <c r="D57" s="74" t="s">
        <v>159</v>
      </c>
      <c r="E57" s="21" t="s">
        <v>18</v>
      </c>
      <c r="F57" s="26">
        <f>F58/'PCIA Inputs'!$D$19</f>
        <v>17816.949808182959</v>
      </c>
      <c r="G57" s="26">
        <f>G58/'PCIA Inputs'!$D$19</f>
        <v>676</v>
      </c>
      <c r="H57" s="26">
        <f>H58/'PCIA Inputs'!$D$19</f>
        <v>0</v>
      </c>
      <c r="I57" s="107"/>
      <c r="J57" s="107"/>
      <c r="K57" s="107"/>
      <c r="L57" s="107"/>
      <c r="M57" s="107"/>
      <c r="N57" s="107"/>
      <c r="O57" s="107"/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</row>
    <row r="58" spans="1:27" s="88" customFormat="1" x14ac:dyDescent="0.2">
      <c r="A58" s="18">
        <f t="shared" si="2"/>
        <v>41</v>
      </c>
      <c r="B58" s="14" t="s">
        <v>89</v>
      </c>
      <c r="C58" s="13"/>
      <c r="D58" s="74" t="s">
        <v>160</v>
      </c>
      <c r="E58" s="21" t="s">
        <v>18</v>
      </c>
      <c r="F58" s="26">
        <f>F53-F56</f>
        <v>18033.333100213378</v>
      </c>
      <c r="G58" s="26">
        <f t="shared" ref="G58:S58" si="18">G53-G56</f>
        <v>684.20988479999994</v>
      </c>
      <c r="H58" s="26">
        <f t="shared" si="18"/>
        <v>0</v>
      </c>
      <c r="I58" s="107"/>
      <c r="J58" s="107"/>
      <c r="K58" s="107"/>
      <c r="L58" s="107"/>
      <c r="M58" s="107"/>
      <c r="N58" s="107"/>
      <c r="O58" s="107"/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</row>
    <row r="59" spans="1:27" x14ac:dyDescent="0.2">
      <c r="A59" s="18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</row>
    <row r="60" spans="1:27" x14ac:dyDescent="0.2">
      <c r="A60" s="18" t="s">
        <v>167</v>
      </c>
      <c r="B60" s="14" t="s">
        <v>164</v>
      </c>
      <c r="D60" s="43" t="s">
        <v>52</v>
      </c>
      <c r="E60" s="21" t="s">
        <v>18</v>
      </c>
      <c r="F60" s="32">
        <v>0</v>
      </c>
      <c r="G60" s="32">
        <v>0</v>
      </c>
      <c r="H60" s="32">
        <v>0</v>
      </c>
      <c r="I60" s="107"/>
      <c r="J60" s="107"/>
      <c r="K60" s="107"/>
      <c r="L60" s="107"/>
      <c r="M60" s="107"/>
      <c r="N60" s="107"/>
      <c r="O60" s="107"/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</row>
    <row r="61" spans="1:27" x14ac:dyDescent="0.2">
      <c r="A61" s="13" t="s">
        <v>168</v>
      </c>
    </row>
  </sheetData>
  <mergeCells count="2">
    <mergeCell ref="A1:X1"/>
    <mergeCell ref="A2:X2"/>
  </mergeCells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X40"/>
  <sheetViews>
    <sheetView tabSelected="1" zoomScale="70" zoomScaleNormal="70" workbookViewId="0">
      <pane xSplit="4" ySplit="4" topLeftCell="E5" activePane="bottomRight" state="frozen"/>
      <selection pane="topRight" activeCell="E1" sqref="E1"/>
      <selection pane="bottomLeft" activeCell="A3" sqref="A3"/>
      <selection pane="bottomRight" activeCell="T31" sqref="T31"/>
    </sheetView>
  </sheetViews>
  <sheetFormatPr defaultColWidth="9.140625" defaultRowHeight="15.75" x14ac:dyDescent="0.25"/>
  <cols>
    <col min="1" max="1" width="20.85546875" style="33" customWidth="1"/>
    <col min="2" max="2" width="18" style="33" customWidth="1"/>
    <col min="3" max="3" width="13" style="33" customWidth="1"/>
    <col min="4" max="10" width="14.5703125" style="33" customWidth="1"/>
    <col min="11" max="21" width="14.5703125" style="33" bestFit="1" customWidth="1"/>
    <col min="22" max="22" width="13.5703125" style="33" customWidth="1"/>
    <col min="23" max="23" width="12.5703125" style="33" customWidth="1"/>
    <col min="24" max="24" width="15.28515625" style="33" bestFit="1" customWidth="1"/>
    <col min="25" max="16384" width="9.140625" style="33"/>
  </cols>
  <sheetData>
    <row r="1" spans="1:24" s="50" customFormat="1" ht="15" x14ac:dyDescent="0.25">
      <c r="A1" s="102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</row>
    <row r="2" spans="1:24" s="50" customFormat="1" ht="15" x14ac:dyDescent="0.25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</row>
    <row r="3" spans="1:24" x14ac:dyDescent="0.25">
      <c r="C3" s="104" t="s">
        <v>90</v>
      </c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</row>
    <row r="4" spans="1:24" ht="47.25" x14ac:dyDescent="0.25">
      <c r="A4" s="34" t="s">
        <v>43</v>
      </c>
      <c r="B4" s="65" t="s">
        <v>99</v>
      </c>
      <c r="C4" s="67" t="s">
        <v>44</v>
      </c>
      <c r="D4" s="65" t="s">
        <v>98</v>
      </c>
      <c r="E4" s="67">
        <v>2002</v>
      </c>
      <c r="F4" s="67">
        <v>2003</v>
      </c>
      <c r="G4" s="67">
        <v>2004</v>
      </c>
      <c r="H4" s="67">
        <v>2005</v>
      </c>
      <c r="I4" s="67">
        <v>2006</v>
      </c>
      <c r="J4" s="67">
        <v>2007</v>
      </c>
      <c r="K4" s="67">
        <v>2008</v>
      </c>
      <c r="L4" s="67">
        <v>2009</v>
      </c>
      <c r="M4" s="67">
        <v>2010</v>
      </c>
      <c r="N4" s="67">
        <v>2011</v>
      </c>
      <c r="O4" s="67">
        <v>2012</v>
      </c>
      <c r="P4" s="67">
        <v>2013</v>
      </c>
      <c r="Q4" s="67">
        <v>2014</v>
      </c>
      <c r="R4" s="67">
        <v>2015</v>
      </c>
      <c r="S4" s="67">
        <v>2016</v>
      </c>
      <c r="T4" s="67">
        <v>2017</v>
      </c>
      <c r="U4" s="67">
        <v>2018</v>
      </c>
      <c r="V4" s="67">
        <v>2019</v>
      </c>
      <c r="W4" s="67">
        <f>+V4+1</f>
        <v>2020</v>
      </c>
    </row>
    <row r="5" spans="1:24" ht="31.5" x14ac:dyDescent="0.25">
      <c r="A5" s="34" t="s">
        <v>91</v>
      </c>
      <c r="B5" s="64"/>
      <c r="C5" s="35">
        <f>'Indifference Amount Calc'!F58</f>
        <v>18033.333100213378</v>
      </c>
      <c r="D5" s="35">
        <f>'Indifference Amount Calc'!G58+'Indifference Amount Calc'!H58-'Indifference Amount Calc'!H60</f>
        <v>684.20988479999994</v>
      </c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</row>
    <row r="6" spans="1:24" x14ac:dyDescent="0.25">
      <c r="A6" s="36" t="s">
        <v>46</v>
      </c>
      <c r="B6" s="76">
        <v>0.42829805435073137</v>
      </c>
      <c r="C6" s="38">
        <f t="shared" ref="C6:C11" si="0">B6*C$5</f>
        <v>7723.6414802800327</v>
      </c>
      <c r="D6" s="38">
        <f t="shared" ref="D6:D11" si="1">$B6*D$5</f>
        <v>293.04576242737801</v>
      </c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</row>
    <row r="7" spans="1:24" x14ac:dyDescent="0.25">
      <c r="A7" s="36" t="s">
        <v>47</v>
      </c>
      <c r="B7" s="76">
        <v>0.13271428239502228</v>
      </c>
      <c r="C7" s="38">
        <f t="shared" si="0"/>
        <v>2393.2808615852209</v>
      </c>
      <c r="D7" s="38">
        <f t="shared" si="1"/>
        <v>90.804423868812862</v>
      </c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</row>
    <row r="8" spans="1:24" x14ac:dyDescent="0.25">
      <c r="A8" s="36" t="s">
        <v>48</v>
      </c>
      <c r="B8" s="76">
        <v>0.42030832470214263</v>
      </c>
      <c r="C8" s="38">
        <f t="shared" si="0"/>
        <v>7579.5600241463808</v>
      </c>
      <c r="D8" s="38">
        <f t="shared" si="1"/>
        <v>287.57911042493396</v>
      </c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</row>
    <row r="9" spans="1:24" x14ac:dyDescent="0.25">
      <c r="A9" s="36" t="s">
        <v>49</v>
      </c>
      <c r="B9" s="76">
        <v>1.4992320849857636E-2</v>
      </c>
      <c r="C9" s="38">
        <f t="shared" si="0"/>
        <v>270.36151583075684</v>
      </c>
      <c r="D9" s="38">
        <f t="shared" si="1"/>
        <v>10.25789412156573</v>
      </c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</row>
    <row r="10" spans="1:24" x14ac:dyDescent="0.25">
      <c r="A10" s="36" t="s">
        <v>50</v>
      </c>
      <c r="B10" s="76">
        <v>3.6870177022459631E-3</v>
      </c>
      <c r="C10" s="38">
        <f t="shared" si="0"/>
        <v>66.489218370984801</v>
      </c>
      <c r="D10" s="38">
        <f t="shared" si="1"/>
        <v>2.5226939573092708</v>
      </c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</row>
    <row r="11" spans="1:24" x14ac:dyDescent="0.25">
      <c r="A11" s="36" t="s">
        <v>97</v>
      </c>
      <c r="B11" s="76">
        <f>SUM(B6:B10)</f>
        <v>1</v>
      </c>
      <c r="C11" s="38">
        <f t="shared" si="0"/>
        <v>18033.333100213378</v>
      </c>
      <c r="D11" s="38">
        <f t="shared" si="1"/>
        <v>684.20988479999994</v>
      </c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</row>
    <row r="13" spans="1:24" x14ac:dyDescent="0.25">
      <c r="C13" s="85"/>
      <c r="D13" s="85"/>
      <c r="E13" s="104" t="s">
        <v>130</v>
      </c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</row>
    <row r="14" spans="1:24" ht="31.5" x14ac:dyDescent="0.25">
      <c r="A14" s="34" t="s">
        <v>43</v>
      </c>
      <c r="B14" s="67" t="s">
        <v>121</v>
      </c>
      <c r="C14" s="67" t="s">
        <v>95</v>
      </c>
      <c r="D14" s="65" t="s">
        <v>98</v>
      </c>
      <c r="E14" s="67">
        <v>2002</v>
      </c>
      <c r="F14" s="67">
        <v>2003</v>
      </c>
      <c r="G14" s="67">
        <v>2004</v>
      </c>
      <c r="H14" s="67">
        <v>2005</v>
      </c>
      <c r="I14" s="67">
        <v>2006</v>
      </c>
      <c r="J14" s="67">
        <v>2007</v>
      </c>
      <c r="K14" s="67">
        <v>2008</v>
      </c>
      <c r="L14" s="67">
        <v>2009</v>
      </c>
      <c r="M14" s="67">
        <v>2010</v>
      </c>
      <c r="N14" s="67">
        <v>2011</v>
      </c>
      <c r="O14" s="67">
        <v>2012</v>
      </c>
      <c r="P14" s="67">
        <v>2013</v>
      </c>
      <c r="Q14" s="67">
        <v>2014</v>
      </c>
      <c r="R14" s="67">
        <v>2015</v>
      </c>
      <c r="S14" s="67">
        <v>2016</v>
      </c>
      <c r="T14" s="67">
        <v>2017</v>
      </c>
      <c r="U14" s="67">
        <v>2018</v>
      </c>
      <c r="V14" s="67">
        <v>2019</v>
      </c>
      <c r="W14" s="67">
        <f>+W4</f>
        <v>2020</v>
      </c>
    </row>
    <row r="15" spans="1:24" x14ac:dyDescent="0.25">
      <c r="A15" s="36" t="s">
        <v>46</v>
      </c>
      <c r="B15" s="77">
        <v>6104.9625120000037</v>
      </c>
      <c r="C15" s="78">
        <f>B15</f>
        <v>6104.9625120000037</v>
      </c>
      <c r="D15" s="77">
        <v>6104.9625119999992</v>
      </c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</row>
    <row r="16" spans="1:24" x14ac:dyDescent="0.25">
      <c r="A16" s="36" t="s">
        <v>47</v>
      </c>
      <c r="B16" s="77">
        <v>2262.4466040000002</v>
      </c>
      <c r="C16" s="78">
        <f t="shared" ref="C16:C19" si="2">B16</f>
        <v>2262.4466040000002</v>
      </c>
      <c r="D16" s="77">
        <v>2262.4466040000002</v>
      </c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</row>
    <row r="17" spans="1:23" x14ac:dyDescent="0.25">
      <c r="A17" s="36" t="s">
        <v>48</v>
      </c>
      <c r="B17" s="77">
        <v>9440.6648659999937</v>
      </c>
      <c r="C17" s="78">
        <f t="shared" si="2"/>
        <v>9440.6648659999937</v>
      </c>
      <c r="D17" s="77">
        <v>9440.6648659999992</v>
      </c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</row>
    <row r="18" spans="1:23" x14ac:dyDescent="0.25">
      <c r="A18" s="36" t="s">
        <v>49</v>
      </c>
      <c r="B18" s="77">
        <v>322.65922499999999</v>
      </c>
      <c r="C18" s="78">
        <f t="shared" si="2"/>
        <v>322.65922499999999</v>
      </c>
      <c r="D18" s="77">
        <v>322.65922499999994</v>
      </c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</row>
    <row r="19" spans="1:23" x14ac:dyDescent="0.25">
      <c r="A19" s="36" t="s">
        <v>50</v>
      </c>
      <c r="B19" s="77">
        <v>79.987054999999998</v>
      </c>
      <c r="C19" s="78">
        <f t="shared" si="2"/>
        <v>79.987054999999998</v>
      </c>
      <c r="D19" s="77">
        <v>79.987054999999998</v>
      </c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</row>
    <row r="20" spans="1:23" x14ac:dyDescent="0.25">
      <c r="A20" s="36" t="s">
        <v>96</v>
      </c>
      <c r="B20" s="77">
        <f t="shared" ref="B20:D20" si="3">SUM(B15:B19)</f>
        <v>18210.720261999999</v>
      </c>
      <c r="C20" s="78">
        <f t="shared" si="3"/>
        <v>18210.720261999999</v>
      </c>
      <c r="D20" s="77">
        <f t="shared" si="3"/>
        <v>18210.720261999999</v>
      </c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</row>
    <row r="22" spans="1:23" x14ac:dyDescent="0.25">
      <c r="C22" s="104" t="s">
        <v>94</v>
      </c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</row>
    <row r="23" spans="1:23" s="34" customFormat="1" ht="31.5" x14ac:dyDescent="0.25">
      <c r="B23" s="34" t="s">
        <v>43</v>
      </c>
      <c r="C23" s="67" t="s">
        <v>45</v>
      </c>
      <c r="D23" s="65" t="s">
        <v>98</v>
      </c>
      <c r="E23" s="67">
        <v>2002</v>
      </c>
      <c r="F23" s="67">
        <v>2003</v>
      </c>
      <c r="G23" s="67">
        <v>2004</v>
      </c>
      <c r="H23" s="67">
        <v>2005</v>
      </c>
      <c r="I23" s="67">
        <v>2006</v>
      </c>
      <c r="J23" s="67">
        <v>2007</v>
      </c>
      <c r="K23" s="67">
        <v>2008</v>
      </c>
      <c r="L23" s="67">
        <v>2009</v>
      </c>
      <c r="M23" s="67">
        <v>2010</v>
      </c>
      <c r="N23" s="67">
        <v>2011</v>
      </c>
      <c r="O23" s="67">
        <v>2012</v>
      </c>
      <c r="P23" s="67">
        <v>2013</v>
      </c>
      <c r="Q23" s="67">
        <v>2014</v>
      </c>
      <c r="R23" s="67">
        <v>2015</v>
      </c>
      <c r="S23" s="67">
        <v>2016</v>
      </c>
      <c r="T23" s="67">
        <v>2017</v>
      </c>
      <c r="U23" s="67">
        <v>2018</v>
      </c>
      <c r="V23" s="67">
        <v>2019</v>
      </c>
      <c r="W23" s="67">
        <f>+W4</f>
        <v>2020</v>
      </c>
    </row>
    <row r="24" spans="1:23" x14ac:dyDescent="0.25">
      <c r="B24" s="36" t="s">
        <v>46</v>
      </c>
      <c r="C24" s="66">
        <f t="shared" ref="C24:D24" si="4">ROUND(C6/C15,5)/1000</f>
        <v>1.2651399999999999E-3</v>
      </c>
      <c r="D24" s="66">
        <f t="shared" si="4"/>
        <v>4.8000000000000001E-5</v>
      </c>
      <c r="E24" s="66">
        <v>-4.8477999999999998E-4</v>
      </c>
      <c r="F24" s="66">
        <v>0</v>
      </c>
      <c r="G24" s="66">
        <v>8.3106699999999992E-3</v>
      </c>
      <c r="H24" s="66">
        <v>1.8634999999999999E-3</v>
      </c>
      <c r="I24" s="66">
        <v>2.3845900000000002E-3</v>
      </c>
      <c r="J24" s="66">
        <v>2.7328999999999998E-4</v>
      </c>
      <c r="K24" s="66">
        <v>2.3617199999999999E-3</v>
      </c>
      <c r="L24" s="66">
        <v>-1.17E-6</v>
      </c>
      <c r="M24" s="66">
        <v>3.4666499999999999E-3</v>
      </c>
      <c r="N24" s="66">
        <v>7.1962900000000002E-3</v>
      </c>
      <c r="O24" s="66">
        <v>1.9674700000000002E-3</v>
      </c>
      <c r="P24" s="66">
        <v>2.1235000000000001E-4</v>
      </c>
      <c r="Q24" s="66">
        <v>-2.2844E-4</v>
      </c>
      <c r="R24" s="66">
        <v>5.1588000000000003E-4</v>
      </c>
      <c r="S24" s="66">
        <v>0</v>
      </c>
      <c r="T24" s="66">
        <v>-1.8961E-4</v>
      </c>
      <c r="U24" s="66">
        <v>0</v>
      </c>
      <c r="V24" s="66">
        <v>-4.0155000000000003E-4</v>
      </c>
      <c r="W24" s="66">
        <v>1.1824699999999999E-3</v>
      </c>
    </row>
    <row r="25" spans="1:23" x14ac:dyDescent="0.25">
      <c r="B25" s="36" t="s">
        <v>47</v>
      </c>
      <c r="C25" s="66">
        <f t="shared" ref="C25:D25" si="5">ROUND(C7/C16,5)/1000</f>
        <v>1.0578300000000001E-3</v>
      </c>
      <c r="D25" s="66">
        <f t="shared" si="5"/>
        <v>4.0140000000000005E-5</v>
      </c>
      <c r="E25" s="66">
        <v>-4.0677000000000004E-4</v>
      </c>
      <c r="F25" s="66">
        <v>0</v>
      </c>
      <c r="G25" s="66">
        <v>6.9733499999999997E-3</v>
      </c>
      <c r="H25" s="66">
        <v>1.5636300000000001E-3</v>
      </c>
      <c r="I25" s="66">
        <v>2.0008700000000001E-3</v>
      </c>
      <c r="J25" s="66">
        <v>2.2931000000000001E-4</v>
      </c>
      <c r="K25" s="66">
        <v>1.98168E-3</v>
      </c>
      <c r="L25" s="66">
        <v>-9.7999999999999993E-7</v>
      </c>
      <c r="M25" s="66">
        <v>2.91034E-3</v>
      </c>
      <c r="N25" s="66">
        <v>6.0608899999999993E-3</v>
      </c>
      <c r="O25" s="66">
        <v>1.6581900000000001E-3</v>
      </c>
      <c r="P25" s="66">
        <v>1.7898E-4</v>
      </c>
      <c r="Q25" s="66">
        <v>-1.9253E-4</v>
      </c>
      <c r="R25" s="66">
        <v>4.3480999999999999E-4</v>
      </c>
      <c r="S25" s="66">
        <v>0</v>
      </c>
      <c r="T25" s="66">
        <v>-1.6022000000000001E-4</v>
      </c>
      <c r="U25" s="66">
        <v>0</v>
      </c>
      <c r="V25" s="66">
        <v>-3.3924999999999998E-4</v>
      </c>
      <c r="W25" s="66">
        <v>9.9901000000000005E-4</v>
      </c>
    </row>
    <row r="26" spans="1:23" x14ac:dyDescent="0.25">
      <c r="B26" s="36" t="s">
        <v>48</v>
      </c>
      <c r="C26" s="66">
        <f t="shared" ref="C26:D26" si="6">ROUND(C8/C17,5)/1000</f>
        <v>8.0285999999999997E-4</v>
      </c>
      <c r="D26" s="66">
        <f t="shared" si="6"/>
        <v>3.046E-5</v>
      </c>
      <c r="E26" s="66">
        <v>-4.3662000000000003E-4</v>
      </c>
      <c r="F26" s="66">
        <v>0</v>
      </c>
      <c r="G26" s="66">
        <v>7.4850799999999999E-3</v>
      </c>
      <c r="H26" s="66">
        <v>1.6783799999999999E-3</v>
      </c>
      <c r="I26" s="66">
        <v>2.1476999999999998E-3</v>
      </c>
      <c r="J26" s="66">
        <v>2.4614E-4</v>
      </c>
      <c r="K26" s="66">
        <v>2.1270999999999998E-3</v>
      </c>
      <c r="L26" s="66">
        <v>-1.0499999999999999E-6</v>
      </c>
      <c r="M26" s="66">
        <v>3.19463E-3</v>
      </c>
      <c r="N26" s="66">
        <v>6.8919100000000002E-3</v>
      </c>
      <c r="O26" s="66">
        <v>1.9351000000000001E-3</v>
      </c>
      <c r="P26" s="66">
        <v>2.0897999999999999E-4</v>
      </c>
      <c r="Q26" s="66">
        <v>-2.2481000000000001E-4</v>
      </c>
      <c r="R26" s="66">
        <v>5.0768999999999999E-4</v>
      </c>
      <c r="S26" s="66">
        <v>0</v>
      </c>
      <c r="T26" s="66">
        <v>-1.9128999999999999E-4</v>
      </c>
      <c r="U26" s="66">
        <v>0</v>
      </c>
      <c r="V26" s="66">
        <v>-4.0385999999999997E-4</v>
      </c>
      <c r="W26" s="66">
        <v>1.18925E-3</v>
      </c>
    </row>
    <row r="27" spans="1:23" x14ac:dyDescent="0.25">
      <c r="B27" s="36" t="s">
        <v>49</v>
      </c>
      <c r="C27" s="66">
        <f t="shared" ref="C27:D27" si="7">ROUND(C9/C18,5)/1000</f>
        <v>8.3792000000000003E-4</v>
      </c>
      <c r="D27" s="66">
        <f t="shared" si="7"/>
        <v>3.1789999999999999E-5</v>
      </c>
      <c r="E27" s="66">
        <v>-3.3429999999999999E-4</v>
      </c>
      <c r="F27" s="66">
        <v>0</v>
      </c>
      <c r="G27" s="66">
        <v>5.7310299999999998E-3</v>
      </c>
      <c r="H27" s="66">
        <v>1.2850699999999999E-3</v>
      </c>
      <c r="I27" s="66">
        <v>1.64441E-3</v>
      </c>
      <c r="J27" s="66">
        <v>1.8845999999999999E-4</v>
      </c>
      <c r="K27" s="66">
        <v>1.62864E-3</v>
      </c>
      <c r="L27" s="66">
        <v>-8.0999999999999997E-7</v>
      </c>
      <c r="M27" s="66">
        <v>2.3906000000000001E-3</v>
      </c>
      <c r="N27" s="66">
        <v>5.1462899999999995E-3</v>
      </c>
      <c r="O27" s="66">
        <v>1.407E-3</v>
      </c>
      <c r="P27" s="66">
        <v>1.5186E-4</v>
      </c>
      <c r="Q27" s="66">
        <v>-1.6336000000000001E-4</v>
      </c>
      <c r="R27" s="66">
        <v>3.6892000000000001E-4</v>
      </c>
      <c r="S27" s="66">
        <v>0</v>
      </c>
      <c r="T27" s="66">
        <v>-1.3559999999999999E-4</v>
      </c>
      <c r="U27" s="66">
        <v>0</v>
      </c>
      <c r="V27" s="66">
        <v>-2.8592999999999999E-4</v>
      </c>
      <c r="W27" s="66">
        <v>8.4199000000000003E-4</v>
      </c>
    </row>
    <row r="28" spans="1:23" x14ac:dyDescent="0.25">
      <c r="B28" s="36" t="s">
        <v>50</v>
      </c>
      <c r="C28" s="66">
        <f t="shared" ref="C28:D28" si="8">ROUND(C10/C19,5)/1000</f>
        <v>8.3125000000000007E-4</v>
      </c>
      <c r="D28" s="66">
        <f t="shared" si="8"/>
        <v>3.154E-5</v>
      </c>
      <c r="E28" s="66">
        <v>-3.1859E-4</v>
      </c>
      <c r="F28" s="66">
        <v>0</v>
      </c>
      <c r="G28" s="66">
        <v>5.4616400000000002E-3</v>
      </c>
      <c r="H28" s="66">
        <v>1.22466E-3</v>
      </c>
      <c r="I28" s="66">
        <v>1.56711E-3</v>
      </c>
      <c r="J28" s="66">
        <v>1.796E-4</v>
      </c>
      <c r="K28" s="66">
        <v>1.55208E-3</v>
      </c>
      <c r="L28" s="66">
        <v>-7.6999999999999993E-7</v>
      </c>
      <c r="M28" s="66">
        <v>2.27823E-3</v>
      </c>
      <c r="N28" s="66">
        <v>4.7292899999999997E-3</v>
      </c>
      <c r="O28" s="66">
        <v>1.29149E-3</v>
      </c>
      <c r="P28" s="66">
        <v>1.3938999999999998E-4</v>
      </c>
      <c r="Q28" s="66">
        <v>-1.4995000000000001E-4</v>
      </c>
      <c r="R28" s="66">
        <v>3.3862999999999997E-4</v>
      </c>
      <c r="S28" s="66">
        <v>0</v>
      </c>
      <c r="T28" s="66">
        <v>-1.2447000000000001E-4</v>
      </c>
      <c r="U28" s="66">
        <v>0</v>
      </c>
      <c r="V28" s="66">
        <v>-2.6352999999999999E-4</v>
      </c>
      <c r="W28" s="66">
        <v>7.7603000000000004E-4</v>
      </c>
    </row>
    <row r="29" spans="1:23" x14ac:dyDescent="0.25">
      <c r="B29" s="36" t="s">
        <v>51</v>
      </c>
      <c r="C29" s="66">
        <f t="shared" ref="C29:D29" si="9">ROUND(C11/C20,5)/1000</f>
        <v>9.9025999999999997E-4</v>
      </c>
      <c r="D29" s="66">
        <f t="shared" si="9"/>
        <v>3.7570000000000001E-5</v>
      </c>
      <c r="E29" s="66">
        <v>-4.4867000000000003E-4</v>
      </c>
      <c r="F29" s="66">
        <v>0</v>
      </c>
      <c r="G29" s="66">
        <v>7.6916299999999996E-3</v>
      </c>
      <c r="H29" s="66">
        <v>1.7246900000000001E-3</v>
      </c>
      <c r="I29" s="66">
        <v>2.2069699999999999E-3</v>
      </c>
      <c r="J29" s="66">
        <v>2.5293000000000001E-4</v>
      </c>
      <c r="K29" s="66">
        <v>2.1857999999999999E-3</v>
      </c>
      <c r="L29" s="66">
        <v>-1.08E-6</v>
      </c>
      <c r="M29" s="66">
        <v>3.2403800000000002E-3</v>
      </c>
      <c r="N29" s="66">
        <v>6.8449999999999995E-3</v>
      </c>
      <c r="O29" s="66">
        <v>1.8923700000000002E-3</v>
      </c>
      <c r="P29" s="66">
        <v>2.0430000000000001E-4</v>
      </c>
      <c r="Q29" s="66">
        <v>-2.1976999999999999E-4</v>
      </c>
      <c r="R29" s="66">
        <v>4.9631000000000002E-4</v>
      </c>
      <c r="S29" s="66">
        <v>0</v>
      </c>
      <c r="T29" s="66">
        <v>-1.8435000000000001E-4</v>
      </c>
      <c r="U29" s="66">
        <v>0</v>
      </c>
      <c r="V29" s="66">
        <v>-3.8987000000000001E-4</v>
      </c>
      <c r="W29" s="66">
        <v>1.14806E-3</v>
      </c>
    </row>
    <row r="30" spans="1:23" x14ac:dyDescent="0.25">
      <c r="A30" s="36"/>
      <c r="B30" s="77"/>
      <c r="C30" s="37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</row>
    <row r="32" spans="1:23" ht="15.75" customHeight="1" x14ac:dyDescent="0.25">
      <c r="C32" s="104" t="s">
        <v>120</v>
      </c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</row>
    <row r="33" spans="2:24" x14ac:dyDescent="0.25">
      <c r="B33" s="34" t="s">
        <v>43</v>
      </c>
      <c r="C33" s="67" t="s">
        <v>17</v>
      </c>
      <c r="D33" s="67">
        <v>2001</v>
      </c>
      <c r="E33" s="67">
        <v>2002</v>
      </c>
      <c r="F33" s="67">
        <v>2003</v>
      </c>
      <c r="G33" s="67">
        <v>2004</v>
      </c>
      <c r="H33" s="67">
        <v>2005</v>
      </c>
      <c r="I33" s="67">
        <v>2006</v>
      </c>
      <c r="J33" s="67">
        <v>2007</v>
      </c>
      <c r="K33" s="67">
        <v>2008</v>
      </c>
      <c r="L33" s="67">
        <v>2009</v>
      </c>
      <c r="M33" s="67">
        <v>2010</v>
      </c>
      <c r="N33" s="67">
        <v>2011</v>
      </c>
      <c r="O33" s="67">
        <v>2012</v>
      </c>
      <c r="P33" s="67">
        <v>2013</v>
      </c>
      <c r="Q33" s="67">
        <v>2014</v>
      </c>
      <c r="R33" s="67">
        <v>2015</v>
      </c>
      <c r="S33" s="67">
        <v>2016</v>
      </c>
      <c r="T33" s="67">
        <v>2017</v>
      </c>
      <c r="U33" s="67">
        <v>2018</v>
      </c>
      <c r="V33" s="67">
        <v>2019</v>
      </c>
      <c r="W33" s="67">
        <f>+W4</f>
        <v>2020</v>
      </c>
    </row>
    <row r="34" spans="2:24" x14ac:dyDescent="0.25">
      <c r="B34" s="36" t="s">
        <v>46</v>
      </c>
      <c r="C34" s="40">
        <f>C24</f>
        <v>1.2651399999999999E-3</v>
      </c>
      <c r="D34" s="41">
        <f>D24</f>
        <v>4.8000000000000001E-5</v>
      </c>
      <c r="E34" s="40">
        <f>SUM($D24:E24)</f>
        <v>-4.3678E-4</v>
      </c>
      <c r="F34" s="40">
        <f>SUM($D24:F24)</f>
        <v>-4.3678E-4</v>
      </c>
      <c r="G34" s="40">
        <f>SUM($D24:G24)</f>
        <v>7.8738899999999997E-3</v>
      </c>
      <c r="H34" s="40">
        <f>SUM($D24:H24)</f>
        <v>9.7373900000000003E-3</v>
      </c>
      <c r="I34" s="40">
        <f>SUM($D24:I24)</f>
        <v>1.2121980000000001E-2</v>
      </c>
      <c r="J34" s="40">
        <f>SUM($D24:J24)</f>
        <v>1.2395270000000002E-2</v>
      </c>
      <c r="K34" s="40">
        <f>SUM($D24:K24)</f>
        <v>1.4756990000000001E-2</v>
      </c>
      <c r="L34" s="40">
        <f>SUM($D24:L24)</f>
        <v>1.4755820000000001E-2</v>
      </c>
      <c r="M34" s="40">
        <f>SUM($D24:M24)</f>
        <v>1.8222470000000001E-2</v>
      </c>
      <c r="N34" s="40">
        <f>SUM($D24:N24)</f>
        <v>2.5418760000000002E-2</v>
      </c>
      <c r="O34" s="40">
        <f>SUM($D24:O24)</f>
        <v>2.7386230000000001E-2</v>
      </c>
      <c r="P34" s="40">
        <f>SUM($D24:P24)</f>
        <v>2.7598580000000001E-2</v>
      </c>
      <c r="Q34" s="40">
        <f>SUM($D24:Q24)</f>
        <v>2.7370140000000001E-2</v>
      </c>
      <c r="R34" s="40">
        <f>SUM($D24:R24)</f>
        <v>2.7886020000000001E-2</v>
      </c>
      <c r="S34" s="40">
        <f>SUM($D24:S24)</f>
        <v>2.7886020000000001E-2</v>
      </c>
      <c r="T34" s="40">
        <f>SUM($D24:T24)</f>
        <v>2.7696410000000001E-2</v>
      </c>
      <c r="U34" s="40">
        <f>SUM($D24:U24)</f>
        <v>2.7696410000000001E-2</v>
      </c>
      <c r="V34" s="40">
        <f>SUM($D24:V24)</f>
        <v>2.7294860000000001E-2</v>
      </c>
      <c r="W34" s="40">
        <f>SUM($D24:W24)</f>
        <v>2.8477330000000002E-2</v>
      </c>
      <c r="X34" s="39"/>
    </row>
    <row r="35" spans="2:24" x14ac:dyDescent="0.25">
      <c r="B35" s="36" t="s">
        <v>47</v>
      </c>
      <c r="C35" s="40">
        <f>C25</f>
        <v>1.0578300000000001E-3</v>
      </c>
      <c r="D35" s="41">
        <f t="shared" ref="D35:D39" si="10">D25</f>
        <v>4.0140000000000005E-5</v>
      </c>
      <c r="E35" s="40">
        <f>SUM($D25:E25)</f>
        <v>-3.6663000000000006E-4</v>
      </c>
      <c r="F35" s="40">
        <f>SUM($D25:F25)</f>
        <v>-3.6663000000000006E-4</v>
      </c>
      <c r="G35" s="40">
        <f>SUM($D25:G25)</f>
        <v>6.60672E-3</v>
      </c>
      <c r="H35" s="40">
        <f>SUM($D25:H25)</f>
        <v>8.1703499999999998E-3</v>
      </c>
      <c r="I35" s="40">
        <f>SUM($D25:I25)</f>
        <v>1.017122E-2</v>
      </c>
      <c r="J35" s="40">
        <f>SUM($D25:J25)</f>
        <v>1.040053E-2</v>
      </c>
      <c r="K35" s="40">
        <f>SUM($D25:K25)</f>
        <v>1.2382209999999999E-2</v>
      </c>
      <c r="L35" s="40">
        <f>SUM($D25:L25)</f>
        <v>1.238123E-2</v>
      </c>
      <c r="M35" s="40">
        <f>SUM($D25:M25)</f>
        <v>1.5291570000000001E-2</v>
      </c>
      <c r="N35" s="40">
        <f>SUM($D25:N25)</f>
        <v>2.135246E-2</v>
      </c>
      <c r="O35" s="40">
        <f>SUM($D25:O25)</f>
        <v>2.3010650000000001E-2</v>
      </c>
      <c r="P35" s="40">
        <f>SUM($D25:P25)</f>
        <v>2.3189629999999999E-2</v>
      </c>
      <c r="Q35" s="40">
        <f>SUM($D25:Q25)</f>
        <v>2.2997099999999999E-2</v>
      </c>
      <c r="R35" s="40">
        <f>SUM($D25:R25)</f>
        <v>2.343191E-2</v>
      </c>
      <c r="S35" s="40">
        <f>SUM($D25:S25)</f>
        <v>2.343191E-2</v>
      </c>
      <c r="T35" s="40">
        <f>SUM($D25:T25)</f>
        <v>2.3271690000000001E-2</v>
      </c>
      <c r="U35" s="40">
        <f>SUM($D25:U25)</f>
        <v>2.3271690000000001E-2</v>
      </c>
      <c r="V35" s="40">
        <f>SUM($D25:V25)</f>
        <v>2.2932440000000002E-2</v>
      </c>
      <c r="W35" s="40">
        <f>SUM($D25:W25)</f>
        <v>2.3931450000000003E-2</v>
      </c>
      <c r="X35" s="39"/>
    </row>
    <row r="36" spans="2:24" x14ac:dyDescent="0.25">
      <c r="B36" s="36" t="s">
        <v>48</v>
      </c>
      <c r="C36" s="40">
        <f>C26</f>
        <v>8.0285999999999997E-4</v>
      </c>
      <c r="D36" s="41">
        <f t="shared" si="10"/>
        <v>3.046E-5</v>
      </c>
      <c r="E36" s="40">
        <f>SUM($D26:E26)</f>
        <v>-4.0616000000000003E-4</v>
      </c>
      <c r="F36" s="40">
        <f>SUM($D26:F26)</f>
        <v>-4.0616000000000003E-4</v>
      </c>
      <c r="G36" s="40">
        <f>SUM($D26:G26)</f>
        <v>7.0789199999999998E-3</v>
      </c>
      <c r="H36" s="40">
        <f>SUM($D26:H26)</f>
        <v>8.7572999999999991E-3</v>
      </c>
      <c r="I36" s="40">
        <f>SUM($D26:I26)</f>
        <v>1.0904999999999998E-2</v>
      </c>
      <c r="J36" s="40">
        <f>SUM($D26:J26)</f>
        <v>1.1151139999999999E-2</v>
      </c>
      <c r="K36" s="40">
        <f>SUM($D26:K26)</f>
        <v>1.3278239999999998E-2</v>
      </c>
      <c r="L36" s="40">
        <f>SUM($D26:L26)</f>
        <v>1.3277189999999998E-2</v>
      </c>
      <c r="M36" s="40">
        <f>SUM($D26:M26)</f>
        <v>1.6471819999999998E-2</v>
      </c>
      <c r="N36" s="40">
        <f>SUM($D26:N26)</f>
        <v>2.3363729999999999E-2</v>
      </c>
      <c r="O36" s="40">
        <f>SUM($D26:O26)</f>
        <v>2.5298829999999998E-2</v>
      </c>
      <c r="P36" s="40">
        <f>SUM($D26:P26)</f>
        <v>2.5507809999999999E-2</v>
      </c>
      <c r="Q36" s="40">
        <f>SUM($D26:Q26)</f>
        <v>2.5283E-2</v>
      </c>
      <c r="R36" s="40">
        <f>SUM($D26:R26)</f>
        <v>2.5790690000000002E-2</v>
      </c>
      <c r="S36" s="40">
        <f>SUM($D26:S26)</f>
        <v>2.5790690000000002E-2</v>
      </c>
      <c r="T36" s="40">
        <f>SUM($D26:T26)</f>
        <v>2.5599400000000001E-2</v>
      </c>
      <c r="U36" s="40">
        <f>SUM($D26:U26)</f>
        <v>2.5599400000000001E-2</v>
      </c>
      <c r="V36" s="40">
        <f>SUM($D26:V26)</f>
        <v>2.5195540000000002E-2</v>
      </c>
      <c r="W36" s="40">
        <f>SUM($D26:W26)</f>
        <v>2.6384790000000002E-2</v>
      </c>
      <c r="X36" s="39"/>
    </row>
    <row r="37" spans="2:24" x14ac:dyDescent="0.25">
      <c r="B37" s="36" t="s">
        <v>49</v>
      </c>
      <c r="C37" s="40">
        <f>C27</f>
        <v>8.3792000000000003E-4</v>
      </c>
      <c r="D37" s="41">
        <f t="shared" si="10"/>
        <v>3.1789999999999999E-5</v>
      </c>
      <c r="E37" s="40">
        <f>SUM($D27:E27)</f>
        <v>-3.0250999999999998E-4</v>
      </c>
      <c r="F37" s="40">
        <f>SUM($D27:F27)</f>
        <v>-3.0250999999999998E-4</v>
      </c>
      <c r="G37" s="40">
        <f>SUM($D27:G27)</f>
        <v>5.42852E-3</v>
      </c>
      <c r="H37" s="40">
        <f>SUM($D27:H27)</f>
        <v>6.7135900000000002E-3</v>
      </c>
      <c r="I37" s="40">
        <f>SUM($D27:I27)</f>
        <v>8.3580000000000008E-3</v>
      </c>
      <c r="J37" s="40">
        <f>SUM($D27:J27)</f>
        <v>8.5464600000000005E-3</v>
      </c>
      <c r="K37" s="40">
        <f>SUM($D27:K27)</f>
        <v>1.0175100000000001E-2</v>
      </c>
      <c r="L37" s="40">
        <f>SUM($D27:L27)</f>
        <v>1.0174290000000001E-2</v>
      </c>
      <c r="M37" s="40">
        <f>SUM($D27:M27)</f>
        <v>1.256489E-2</v>
      </c>
      <c r="N37" s="40">
        <f>SUM($D27:N27)</f>
        <v>1.771118E-2</v>
      </c>
      <c r="O37" s="40">
        <f>SUM($D27:O27)</f>
        <v>1.9118179999999999E-2</v>
      </c>
      <c r="P37" s="40">
        <f>SUM($D27:P27)</f>
        <v>1.9270039999999999E-2</v>
      </c>
      <c r="Q37" s="40">
        <f>SUM($D27:Q27)</f>
        <v>1.9106679999999997E-2</v>
      </c>
      <c r="R37" s="40">
        <f>SUM($D27:R27)</f>
        <v>1.9475599999999996E-2</v>
      </c>
      <c r="S37" s="40">
        <f>SUM($D27:S27)</f>
        <v>1.9475599999999996E-2</v>
      </c>
      <c r="T37" s="40">
        <f>SUM($D27:T27)</f>
        <v>1.9339999999999996E-2</v>
      </c>
      <c r="U37" s="40">
        <f>SUM($D27:U27)</f>
        <v>1.9339999999999996E-2</v>
      </c>
      <c r="V37" s="40">
        <f>SUM($D27:V27)</f>
        <v>1.9054069999999996E-2</v>
      </c>
      <c r="W37" s="40">
        <f>SUM($D27:W27)</f>
        <v>1.9896059999999997E-2</v>
      </c>
      <c r="X37" s="39"/>
    </row>
    <row r="38" spans="2:24" x14ac:dyDescent="0.25">
      <c r="B38" s="36" t="s">
        <v>50</v>
      </c>
      <c r="C38" s="40">
        <f>C28</f>
        <v>8.3125000000000007E-4</v>
      </c>
      <c r="D38" s="41">
        <f t="shared" si="10"/>
        <v>3.154E-5</v>
      </c>
      <c r="E38" s="40">
        <f>SUM($D28:E28)</f>
        <v>-2.8705000000000001E-4</v>
      </c>
      <c r="F38" s="40">
        <f>SUM($D28:F28)</f>
        <v>-2.8705000000000001E-4</v>
      </c>
      <c r="G38" s="40">
        <f>SUM($D28:G28)</f>
        <v>5.1745900000000006E-3</v>
      </c>
      <c r="H38" s="40">
        <f>SUM($D28:H28)</f>
        <v>6.3992500000000004E-3</v>
      </c>
      <c r="I38" s="40">
        <f>SUM($D28:I28)</f>
        <v>7.9663600000000005E-3</v>
      </c>
      <c r="J38" s="40">
        <f>SUM($D28:J28)</f>
        <v>8.1459600000000007E-3</v>
      </c>
      <c r="K38" s="40">
        <f>SUM($D28:K28)</f>
        <v>9.6980400000000015E-3</v>
      </c>
      <c r="L38" s="40">
        <f>SUM($D28:L28)</f>
        <v>9.6972700000000009E-3</v>
      </c>
      <c r="M38" s="40">
        <f>SUM($D28:M28)</f>
        <v>1.19755E-2</v>
      </c>
      <c r="N38" s="40">
        <f>SUM($D28:N28)</f>
        <v>1.6704790000000001E-2</v>
      </c>
      <c r="O38" s="40">
        <f>SUM($D28:O28)</f>
        <v>1.799628E-2</v>
      </c>
      <c r="P38" s="40">
        <f>SUM($D28:P28)</f>
        <v>1.813567E-2</v>
      </c>
      <c r="Q38" s="40">
        <f>SUM($D28:Q28)</f>
        <v>1.798572E-2</v>
      </c>
      <c r="R38" s="40">
        <f>SUM($D28:R28)</f>
        <v>1.832435E-2</v>
      </c>
      <c r="S38" s="40">
        <f>SUM($D28:S28)</f>
        <v>1.832435E-2</v>
      </c>
      <c r="T38" s="40">
        <f>SUM($D28:T28)</f>
        <v>1.8199879999999998E-2</v>
      </c>
      <c r="U38" s="40">
        <f>SUM($D28:U28)</f>
        <v>1.8199879999999998E-2</v>
      </c>
      <c r="V38" s="40">
        <f>SUM($D28:V28)</f>
        <v>1.7936349999999997E-2</v>
      </c>
      <c r="W38" s="40">
        <f>SUM($D28:W28)</f>
        <v>1.8712379999999997E-2</v>
      </c>
      <c r="X38" s="39"/>
    </row>
    <row r="39" spans="2:24" x14ac:dyDescent="0.25">
      <c r="B39" s="36" t="s">
        <v>51</v>
      </c>
      <c r="C39" s="40">
        <f>C29</f>
        <v>9.9025999999999997E-4</v>
      </c>
      <c r="D39" s="41">
        <f t="shared" si="10"/>
        <v>3.7570000000000001E-5</v>
      </c>
      <c r="E39" s="40">
        <f>SUM($D29:E29)</f>
        <v>-4.1110000000000002E-4</v>
      </c>
      <c r="F39" s="40">
        <f>SUM($D29:F29)</f>
        <v>-4.1110000000000002E-4</v>
      </c>
      <c r="G39" s="40">
        <f>SUM($D29:G29)</f>
        <v>7.2805299999999995E-3</v>
      </c>
      <c r="H39" s="40">
        <f>SUM($D29:H29)</f>
        <v>9.0052199999999995E-3</v>
      </c>
      <c r="I39" s="40">
        <f>SUM($D29:I29)</f>
        <v>1.121219E-2</v>
      </c>
      <c r="J39" s="40">
        <f>SUM($D29:J29)</f>
        <v>1.1465120000000001E-2</v>
      </c>
      <c r="K39" s="40">
        <f>SUM($D29:K29)</f>
        <v>1.365092E-2</v>
      </c>
      <c r="L39" s="40">
        <f>SUM($D29:L29)</f>
        <v>1.364984E-2</v>
      </c>
      <c r="M39" s="40">
        <f>SUM($D29:M29)</f>
        <v>1.6890220000000001E-2</v>
      </c>
      <c r="N39" s="40">
        <f>SUM($D29:N29)</f>
        <v>2.3735220000000001E-2</v>
      </c>
      <c r="O39" s="40">
        <f>SUM($D29:O29)</f>
        <v>2.5627590000000002E-2</v>
      </c>
      <c r="P39" s="40">
        <f>SUM($D29:P29)</f>
        <v>2.5831890000000003E-2</v>
      </c>
      <c r="Q39" s="40">
        <f>SUM($D29:Q29)</f>
        <v>2.5612120000000002E-2</v>
      </c>
      <c r="R39" s="40">
        <f>SUM($D29:R29)</f>
        <v>2.6108430000000002E-2</v>
      </c>
      <c r="S39" s="40">
        <f>SUM($D29:S29)</f>
        <v>2.6108430000000002E-2</v>
      </c>
      <c r="T39" s="40">
        <f>SUM($D29:T29)</f>
        <v>2.5924080000000002E-2</v>
      </c>
      <c r="U39" s="40">
        <f>SUM($D29:U29)</f>
        <v>2.5924080000000002E-2</v>
      </c>
      <c r="V39" s="40">
        <f>SUM($D29:V29)</f>
        <v>2.5534210000000002E-2</v>
      </c>
      <c r="W39" s="40">
        <f>SUM($D29:W29)</f>
        <v>2.6682270000000001E-2</v>
      </c>
      <c r="X39" s="39"/>
    </row>
    <row r="40" spans="2:24" x14ac:dyDescent="0.25">
      <c r="B40" s="36"/>
      <c r="C40" s="40"/>
      <c r="D40" s="41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39"/>
    </row>
  </sheetData>
  <mergeCells count="6">
    <mergeCell ref="A1:X1"/>
    <mergeCell ref="A2:X2"/>
    <mergeCell ref="C3:W3"/>
    <mergeCell ref="C22:W22"/>
    <mergeCell ref="C32:W32"/>
    <mergeCell ref="E13:W13"/>
  </mergeCells>
  <pageMargins left="0.7" right="0.7" top="0.75" bottom="0.75" header="0.3" footer="0.3"/>
  <pageSetup scale="37" orientation="landscape" r:id="rId1"/>
  <ignoredErrors>
    <ignoredError sqref="C15:C19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12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25" sqref="A25"/>
    </sheetView>
  </sheetViews>
  <sheetFormatPr defaultRowHeight="15" x14ac:dyDescent="0.25"/>
  <cols>
    <col min="1" max="1" width="19.28515625" bestFit="1" customWidth="1"/>
    <col min="2" max="2" width="10.5703125" customWidth="1"/>
    <col min="3" max="3" width="11" customWidth="1"/>
    <col min="4" max="4" width="9.5703125" customWidth="1"/>
    <col min="5" max="5" width="9.5703125" style="50" customWidth="1"/>
    <col min="6" max="6" width="9.7109375" style="50" customWidth="1"/>
    <col min="7" max="9" width="9.140625" style="50" customWidth="1"/>
    <col min="10" max="11" width="8.85546875" style="50" customWidth="1"/>
    <col min="12" max="12" width="8.85546875" customWidth="1"/>
    <col min="13" max="13" width="9.140625" customWidth="1"/>
    <col min="15" max="21" width="9.7109375" bestFit="1" customWidth="1"/>
    <col min="22" max="22" width="9.7109375" style="70" bestFit="1" customWidth="1"/>
    <col min="23" max="23" width="9.7109375" bestFit="1" customWidth="1"/>
  </cols>
  <sheetData>
    <row r="1" spans="1:23" s="70" customFormat="1" x14ac:dyDescent="0.25">
      <c r="A1" s="105" t="s">
        <v>122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</row>
    <row r="2" spans="1:23" x14ac:dyDescent="0.25">
      <c r="A2" s="106" t="s">
        <v>170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</row>
    <row r="3" spans="1:23" ht="45.75" x14ac:dyDescent="0.25">
      <c r="A3" s="57" t="s">
        <v>43</v>
      </c>
      <c r="B3" s="58" t="s">
        <v>59</v>
      </c>
      <c r="C3" s="58" t="s">
        <v>88</v>
      </c>
      <c r="D3" s="58" t="s">
        <v>67</v>
      </c>
      <c r="E3" s="58" t="s">
        <v>82</v>
      </c>
      <c r="F3" s="58" t="s">
        <v>83</v>
      </c>
      <c r="G3" s="58" t="s">
        <v>84</v>
      </c>
      <c r="H3" s="58" t="s">
        <v>85</v>
      </c>
      <c r="I3" s="58" t="s">
        <v>86</v>
      </c>
      <c r="J3" s="58" t="s">
        <v>87</v>
      </c>
      <c r="K3" s="58" t="s">
        <v>169</v>
      </c>
      <c r="L3" s="58" t="s">
        <v>68</v>
      </c>
      <c r="M3" s="58" t="s">
        <v>69</v>
      </c>
      <c r="N3" s="58" t="s">
        <v>70</v>
      </c>
      <c r="O3" s="58" t="s">
        <v>71</v>
      </c>
      <c r="P3" s="58" t="s">
        <v>72</v>
      </c>
      <c r="Q3" s="58" t="s">
        <v>73</v>
      </c>
      <c r="R3" s="58" t="s">
        <v>74</v>
      </c>
      <c r="S3" s="58" t="s">
        <v>75</v>
      </c>
      <c r="T3" s="58" t="s">
        <v>76</v>
      </c>
      <c r="U3" s="58" t="s">
        <v>77</v>
      </c>
      <c r="V3" s="58" t="s">
        <v>81</v>
      </c>
      <c r="W3" s="58" t="s">
        <v>125</v>
      </c>
    </row>
    <row r="4" spans="1:23" x14ac:dyDescent="0.25">
      <c r="A4" s="59" t="s">
        <v>46</v>
      </c>
      <c r="B4" s="51">
        <v>5.0299999999999997E-3</v>
      </c>
      <c r="C4" s="60">
        <f>'Indifference Rate Calc'!C34</f>
        <v>1.2651399999999999E-3</v>
      </c>
      <c r="D4" s="60">
        <f>'Indifference Rate Calc'!D34</f>
        <v>4.8000000000000001E-5</v>
      </c>
      <c r="E4" s="60">
        <f>'Indifference Rate Calc'!E34</f>
        <v>-4.3678E-4</v>
      </c>
      <c r="F4" s="60">
        <f>'Indifference Rate Calc'!F34</f>
        <v>-4.3678E-4</v>
      </c>
      <c r="G4" s="60">
        <f>'Indifference Rate Calc'!G34</f>
        <v>7.8738899999999997E-3</v>
      </c>
      <c r="H4" s="60">
        <f>'Indifference Rate Calc'!H34</f>
        <v>9.7373900000000003E-3</v>
      </c>
      <c r="I4" s="60">
        <f>'Indifference Rate Calc'!I34</f>
        <v>1.2121980000000001E-2</v>
      </c>
      <c r="J4" s="60">
        <f>'Indifference Rate Calc'!J34</f>
        <v>1.2395270000000002E-2</v>
      </c>
      <c r="K4" s="60">
        <f>'Indifference Rate Calc'!K34</f>
        <v>1.4756990000000001E-2</v>
      </c>
      <c r="L4" s="60">
        <f>'Indifference Rate Calc'!L34</f>
        <v>1.4755820000000001E-2</v>
      </c>
      <c r="M4" s="60">
        <f>'Indifference Rate Calc'!M34</f>
        <v>1.8222470000000001E-2</v>
      </c>
      <c r="N4" s="60">
        <f>'Indifference Rate Calc'!N34</f>
        <v>2.5418760000000002E-2</v>
      </c>
      <c r="O4" s="60">
        <f>'Indifference Rate Calc'!O34</f>
        <v>2.7386230000000001E-2</v>
      </c>
      <c r="P4" s="60">
        <f>'Indifference Rate Calc'!P34</f>
        <v>2.7598580000000001E-2</v>
      </c>
      <c r="Q4" s="60">
        <f>'Indifference Rate Calc'!Q34</f>
        <v>2.7370140000000001E-2</v>
      </c>
      <c r="R4" s="60">
        <f>'Indifference Rate Calc'!R34</f>
        <v>2.7886020000000001E-2</v>
      </c>
      <c r="S4" s="60">
        <f>'Indifference Rate Calc'!S34</f>
        <v>2.7886020000000001E-2</v>
      </c>
      <c r="T4" s="60">
        <f>'Indifference Rate Calc'!T34</f>
        <v>2.7696410000000001E-2</v>
      </c>
      <c r="U4" s="60">
        <f>'Indifference Rate Calc'!U34</f>
        <v>2.7696410000000001E-2</v>
      </c>
      <c r="V4" s="60">
        <f>'Indifference Rate Calc'!V34</f>
        <v>2.7294860000000001E-2</v>
      </c>
      <c r="W4" s="60">
        <f>'Indifference Rate Calc'!W34</f>
        <v>2.8477330000000002E-2</v>
      </c>
    </row>
    <row r="5" spans="1:23" x14ac:dyDescent="0.25">
      <c r="A5" s="59" t="s">
        <v>47</v>
      </c>
      <c r="B5" s="51">
        <v>5.0299999999999997E-3</v>
      </c>
      <c r="C5" s="60">
        <f>'Indifference Rate Calc'!C35</f>
        <v>1.0578300000000001E-3</v>
      </c>
      <c r="D5" s="60">
        <f>'Indifference Rate Calc'!D35</f>
        <v>4.0140000000000005E-5</v>
      </c>
      <c r="E5" s="60">
        <f>'Indifference Rate Calc'!E35</f>
        <v>-3.6663000000000006E-4</v>
      </c>
      <c r="F5" s="60">
        <f>'Indifference Rate Calc'!F35</f>
        <v>-3.6663000000000006E-4</v>
      </c>
      <c r="G5" s="60">
        <f>'Indifference Rate Calc'!G35</f>
        <v>6.60672E-3</v>
      </c>
      <c r="H5" s="60">
        <f>'Indifference Rate Calc'!H35</f>
        <v>8.1703499999999998E-3</v>
      </c>
      <c r="I5" s="60">
        <f>'Indifference Rate Calc'!I35</f>
        <v>1.017122E-2</v>
      </c>
      <c r="J5" s="60">
        <f>'Indifference Rate Calc'!J35</f>
        <v>1.040053E-2</v>
      </c>
      <c r="K5" s="60">
        <f>'Indifference Rate Calc'!K35</f>
        <v>1.2382209999999999E-2</v>
      </c>
      <c r="L5" s="60">
        <f>'Indifference Rate Calc'!L35</f>
        <v>1.238123E-2</v>
      </c>
      <c r="M5" s="60">
        <f>'Indifference Rate Calc'!M35</f>
        <v>1.5291570000000001E-2</v>
      </c>
      <c r="N5" s="60">
        <f>'Indifference Rate Calc'!N35</f>
        <v>2.135246E-2</v>
      </c>
      <c r="O5" s="60">
        <f>'Indifference Rate Calc'!O35</f>
        <v>2.3010650000000001E-2</v>
      </c>
      <c r="P5" s="60">
        <f>'Indifference Rate Calc'!P35</f>
        <v>2.3189629999999999E-2</v>
      </c>
      <c r="Q5" s="60">
        <f>'Indifference Rate Calc'!Q35</f>
        <v>2.2997099999999999E-2</v>
      </c>
      <c r="R5" s="60">
        <f>'Indifference Rate Calc'!R35</f>
        <v>2.343191E-2</v>
      </c>
      <c r="S5" s="60">
        <f>'Indifference Rate Calc'!S35</f>
        <v>2.343191E-2</v>
      </c>
      <c r="T5" s="60">
        <f>'Indifference Rate Calc'!T35</f>
        <v>2.3271690000000001E-2</v>
      </c>
      <c r="U5" s="60">
        <f>'Indifference Rate Calc'!U35</f>
        <v>2.3271690000000001E-2</v>
      </c>
      <c r="V5" s="60">
        <f>'Indifference Rate Calc'!V35</f>
        <v>2.2932440000000002E-2</v>
      </c>
      <c r="W5" s="60">
        <f>'Indifference Rate Calc'!W35</f>
        <v>2.3931450000000003E-2</v>
      </c>
    </row>
    <row r="6" spans="1:23" x14ac:dyDescent="0.25">
      <c r="A6" s="59" t="s">
        <v>60</v>
      </c>
      <c r="B6" s="51">
        <v>5.0299999999999997E-3</v>
      </c>
      <c r="C6" s="60">
        <f>'Indifference Rate Calc'!C36</f>
        <v>8.0285999999999997E-4</v>
      </c>
      <c r="D6" s="60">
        <f>'Indifference Rate Calc'!D36</f>
        <v>3.046E-5</v>
      </c>
      <c r="E6" s="60">
        <f>'Indifference Rate Calc'!E36</f>
        <v>-4.0616000000000003E-4</v>
      </c>
      <c r="F6" s="60">
        <f>'Indifference Rate Calc'!F36</f>
        <v>-4.0616000000000003E-4</v>
      </c>
      <c r="G6" s="60">
        <f>'Indifference Rate Calc'!G36</f>
        <v>7.0789199999999998E-3</v>
      </c>
      <c r="H6" s="60">
        <f>'Indifference Rate Calc'!H36</f>
        <v>8.7572999999999991E-3</v>
      </c>
      <c r="I6" s="60">
        <f>'Indifference Rate Calc'!I36</f>
        <v>1.0904999999999998E-2</v>
      </c>
      <c r="J6" s="60">
        <f>'Indifference Rate Calc'!J36</f>
        <v>1.1151139999999999E-2</v>
      </c>
      <c r="K6" s="60">
        <f>'Indifference Rate Calc'!K36</f>
        <v>1.3278239999999998E-2</v>
      </c>
      <c r="L6" s="60">
        <f>'Indifference Rate Calc'!L36</f>
        <v>1.3277189999999998E-2</v>
      </c>
      <c r="M6" s="60">
        <f>'Indifference Rate Calc'!M36</f>
        <v>1.6471819999999998E-2</v>
      </c>
      <c r="N6" s="60">
        <f>'Indifference Rate Calc'!N36</f>
        <v>2.3363729999999999E-2</v>
      </c>
      <c r="O6" s="60">
        <f>'Indifference Rate Calc'!O36</f>
        <v>2.5298829999999998E-2</v>
      </c>
      <c r="P6" s="60">
        <f>'Indifference Rate Calc'!P36</f>
        <v>2.5507809999999999E-2</v>
      </c>
      <c r="Q6" s="60">
        <f>'Indifference Rate Calc'!Q36</f>
        <v>2.5283E-2</v>
      </c>
      <c r="R6" s="60">
        <f>'Indifference Rate Calc'!R36</f>
        <v>2.5790690000000002E-2</v>
      </c>
      <c r="S6" s="60">
        <f>'Indifference Rate Calc'!S36</f>
        <v>2.5790690000000002E-2</v>
      </c>
      <c r="T6" s="60">
        <f>'Indifference Rate Calc'!T36</f>
        <v>2.5599400000000001E-2</v>
      </c>
      <c r="U6" s="60">
        <f>'Indifference Rate Calc'!U36</f>
        <v>2.5599400000000001E-2</v>
      </c>
      <c r="V6" s="60">
        <f>'Indifference Rate Calc'!V36</f>
        <v>2.5195540000000002E-2</v>
      </c>
      <c r="W6" s="60">
        <f>'Indifference Rate Calc'!W36</f>
        <v>2.6384790000000002E-2</v>
      </c>
    </row>
    <row r="7" spans="1:23" x14ac:dyDescent="0.25">
      <c r="A7" s="59" t="s">
        <v>57</v>
      </c>
      <c r="B7" s="51">
        <v>5.0299999999999997E-3</v>
      </c>
      <c r="C7" s="60">
        <f>'Indifference Rate Calc'!C37</f>
        <v>8.3792000000000003E-4</v>
      </c>
      <c r="D7" s="60">
        <f>'Indifference Rate Calc'!D37</f>
        <v>3.1789999999999999E-5</v>
      </c>
      <c r="E7" s="60">
        <f>'Indifference Rate Calc'!E37</f>
        <v>-3.0250999999999998E-4</v>
      </c>
      <c r="F7" s="60">
        <f>'Indifference Rate Calc'!F37</f>
        <v>-3.0250999999999998E-4</v>
      </c>
      <c r="G7" s="60">
        <f>'Indifference Rate Calc'!G37</f>
        <v>5.42852E-3</v>
      </c>
      <c r="H7" s="60">
        <f>'Indifference Rate Calc'!H37</f>
        <v>6.7135900000000002E-3</v>
      </c>
      <c r="I7" s="60">
        <f>'Indifference Rate Calc'!I37</f>
        <v>8.3580000000000008E-3</v>
      </c>
      <c r="J7" s="60">
        <f>'Indifference Rate Calc'!J37</f>
        <v>8.5464600000000005E-3</v>
      </c>
      <c r="K7" s="60">
        <f>'Indifference Rate Calc'!K37</f>
        <v>1.0175100000000001E-2</v>
      </c>
      <c r="L7" s="60">
        <f>'Indifference Rate Calc'!L37</f>
        <v>1.0174290000000001E-2</v>
      </c>
      <c r="M7" s="60">
        <f>'Indifference Rate Calc'!M37</f>
        <v>1.256489E-2</v>
      </c>
      <c r="N7" s="60">
        <f>'Indifference Rate Calc'!N37</f>
        <v>1.771118E-2</v>
      </c>
      <c r="O7" s="60">
        <f>'Indifference Rate Calc'!O37</f>
        <v>1.9118179999999999E-2</v>
      </c>
      <c r="P7" s="60">
        <f>'Indifference Rate Calc'!P37</f>
        <v>1.9270039999999999E-2</v>
      </c>
      <c r="Q7" s="60">
        <f>'Indifference Rate Calc'!Q37</f>
        <v>1.9106679999999997E-2</v>
      </c>
      <c r="R7" s="60">
        <f>'Indifference Rate Calc'!R37</f>
        <v>1.9475599999999996E-2</v>
      </c>
      <c r="S7" s="60">
        <f>'Indifference Rate Calc'!S37</f>
        <v>1.9475599999999996E-2</v>
      </c>
      <c r="T7" s="60">
        <f>'Indifference Rate Calc'!T37</f>
        <v>1.9339999999999996E-2</v>
      </c>
      <c r="U7" s="60">
        <f>'Indifference Rate Calc'!U37</f>
        <v>1.9339999999999996E-2</v>
      </c>
      <c r="V7" s="60">
        <f>'Indifference Rate Calc'!V37</f>
        <v>1.9054069999999996E-2</v>
      </c>
      <c r="W7" s="60">
        <f>'Indifference Rate Calc'!W37</f>
        <v>1.9896059999999997E-2</v>
      </c>
    </row>
    <row r="8" spans="1:23" x14ac:dyDescent="0.25">
      <c r="A8" s="59" t="s">
        <v>58</v>
      </c>
      <c r="B8" s="51">
        <v>5.0299999999999997E-3</v>
      </c>
      <c r="C8" s="60">
        <f>'Indifference Rate Calc'!C38</f>
        <v>8.3125000000000007E-4</v>
      </c>
      <c r="D8" s="60">
        <f>'Indifference Rate Calc'!D38</f>
        <v>3.154E-5</v>
      </c>
      <c r="E8" s="60">
        <f>'Indifference Rate Calc'!E38</f>
        <v>-2.8705000000000001E-4</v>
      </c>
      <c r="F8" s="60">
        <f>'Indifference Rate Calc'!F38</f>
        <v>-2.8705000000000001E-4</v>
      </c>
      <c r="G8" s="60">
        <f>'Indifference Rate Calc'!G38</f>
        <v>5.1745900000000006E-3</v>
      </c>
      <c r="H8" s="60">
        <f>'Indifference Rate Calc'!H38</f>
        <v>6.3992500000000004E-3</v>
      </c>
      <c r="I8" s="60">
        <f>'Indifference Rate Calc'!I38</f>
        <v>7.9663600000000005E-3</v>
      </c>
      <c r="J8" s="60">
        <f>'Indifference Rate Calc'!J38</f>
        <v>8.1459600000000007E-3</v>
      </c>
      <c r="K8" s="60">
        <f>'Indifference Rate Calc'!K38</f>
        <v>9.6980400000000015E-3</v>
      </c>
      <c r="L8" s="60">
        <f>'Indifference Rate Calc'!L38</f>
        <v>9.6972700000000009E-3</v>
      </c>
      <c r="M8" s="60">
        <f>'Indifference Rate Calc'!M38</f>
        <v>1.19755E-2</v>
      </c>
      <c r="N8" s="60">
        <f>'Indifference Rate Calc'!N38</f>
        <v>1.6704790000000001E-2</v>
      </c>
      <c r="O8" s="60">
        <f>'Indifference Rate Calc'!O38</f>
        <v>1.799628E-2</v>
      </c>
      <c r="P8" s="60">
        <f>'Indifference Rate Calc'!P38</f>
        <v>1.813567E-2</v>
      </c>
      <c r="Q8" s="60">
        <f>'Indifference Rate Calc'!Q38</f>
        <v>1.798572E-2</v>
      </c>
      <c r="R8" s="60">
        <f>'Indifference Rate Calc'!R38</f>
        <v>1.832435E-2</v>
      </c>
      <c r="S8" s="60">
        <f>'Indifference Rate Calc'!S38</f>
        <v>1.832435E-2</v>
      </c>
      <c r="T8" s="60">
        <f>'Indifference Rate Calc'!T38</f>
        <v>1.8199879999999998E-2</v>
      </c>
      <c r="U8" s="60">
        <f>'Indifference Rate Calc'!U38</f>
        <v>1.8199879999999998E-2</v>
      </c>
      <c r="V8" s="60">
        <f>'Indifference Rate Calc'!V38</f>
        <v>1.7936349999999997E-2</v>
      </c>
      <c r="W8" s="60">
        <f>'Indifference Rate Calc'!W38</f>
        <v>1.8712379999999997E-2</v>
      </c>
    </row>
    <row r="9" spans="1:23" x14ac:dyDescent="0.25">
      <c r="A9" s="59" t="s">
        <v>61</v>
      </c>
      <c r="B9" s="51">
        <v>5.0299999999999997E-3</v>
      </c>
      <c r="C9" s="60">
        <f>'Indifference Rate Calc'!C39</f>
        <v>9.9025999999999997E-4</v>
      </c>
      <c r="D9" s="60">
        <f>'Indifference Rate Calc'!D39</f>
        <v>3.7570000000000001E-5</v>
      </c>
      <c r="E9" s="60">
        <f>'Indifference Rate Calc'!E39</f>
        <v>-4.1110000000000002E-4</v>
      </c>
      <c r="F9" s="60">
        <f>'Indifference Rate Calc'!F39</f>
        <v>-4.1110000000000002E-4</v>
      </c>
      <c r="G9" s="60">
        <f>'Indifference Rate Calc'!G39</f>
        <v>7.2805299999999995E-3</v>
      </c>
      <c r="H9" s="60">
        <f>'Indifference Rate Calc'!H39</f>
        <v>9.0052199999999995E-3</v>
      </c>
      <c r="I9" s="60">
        <f>'Indifference Rate Calc'!I39</f>
        <v>1.121219E-2</v>
      </c>
      <c r="J9" s="60">
        <f>'Indifference Rate Calc'!J39</f>
        <v>1.1465120000000001E-2</v>
      </c>
      <c r="K9" s="60">
        <f>'Indifference Rate Calc'!K39</f>
        <v>1.365092E-2</v>
      </c>
      <c r="L9" s="60">
        <f>'Indifference Rate Calc'!L39</f>
        <v>1.364984E-2</v>
      </c>
      <c r="M9" s="60">
        <f>'Indifference Rate Calc'!M39</f>
        <v>1.6890220000000001E-2</v>
      </c>
      <c r="N9" s="60">
        <f>'Indifference Rate Calc'!N39</f>
        <v>2.3735220000000001E-2</v>
      </c>
      <c r="O9" s="60">
        <f>'Indifference Rate Calc'!O39</f>
        <v>2.5627590000000002E-2</v>
      </c>
      <c r="P9" s="60">
        <f>'Indifference Rate Calc'!P39</f>
        <v>2.5831890000000003E-2</v>
      </c>
      <c r="Q9" s="60">
        <f>'Indifference Rate Calc'!Q39</f>
        <v>2.5612120000000002E-2</v>
      </c>
      <c r="R9" s="60">
        <f>'Indifference Rate Calc'!R39</f>
        <v>2.6108430000000002E-2</v>
      </c>
      <c r="S9" s="60">
        <f>'Indifference Rate Calc'!S39</f>
        <v>2.6108430000000002E-2</v>
      </c>
      <c r="T9" s="60">
        <f>'Indifference Rate Calc'!T39</f>
        <v>2.5924080000000002E-2</v>
      </c>
      <c r="U9" s="60">
        <f>'Indifference Rate Calc'!U39</f>
        <v>2.5924080000000002E-2</v>
      </c>
      <c r="V9" s="60">
        <f>'Indifference Rate Calc'!V39</f>
        <v>2.5534210000000002E-2</v>
      </c>
      <c r="W9" s="60">
        <f>'Indifference Rate Calc'!W39</f>
        <v>2.6682270000000001E-2</v>
      </c>
    </row>
    <row r="10" spans="1:23" x14ac:dyDescent="0.25">
      <c r="C10" s="50"/>
      <c r="D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</row>
    <row r="11" spans="1:23" ht="17.25" x14ac:dyDescent="0.25">
      <c r="A11" t="s">
        <v>78</v>
      </c>
    </row>
    <row r="12" spans="1:23" x14ac:dyDescent="0.25">
      <c r="A12" s="54"/>
    </row>
  </sheetData>
  <mergeCells count="2">
    <mergeCell ref="A1:W1"/>
    <mergeCell ref="A2:W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PCIA Inputs</vt:lpstr>
      <vt:lpstr>IOU Total Portfolio Summary</vt:lpstr>
      <vt:lpstr>Indifference Amount Calc</vt:lpstr>
      <vt:lpstr>Indifference Rate Calc</vt:lpstr>
      <vt:lpstr>Final PCIA 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McKay, Jenell T</dc:creator>
  <cp:lastModifiedBy>GRM</cp:lastModifiedBy>
  <cp:lastPrinted>2019-03-28T21:05:48Z</cp:lastPrinted>
  <dcterms:created xsi:type="dcterms:W3CDTF">2017-03-21T16:08:55Z</dcterms:created>
  <dcterms:modified xsi:type="dcterms:W3CDTF">2022-06-09T19:55:41Z</dcterms:modified>
  <cp:contentStatus/>
</cp:coreProperties>
</file>