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sharedStrings.xml" ContentType="application/vnd.openxmlformats-officedocument.spreadsheetml.sharedStrings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14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10.xml" ContentType="application/vnd.openxmlformats-officedocument.spreadsheetml.worksheet+xml"/>
  <Override PartName="/xl/worksheets/sheet12.xml" ContentType="application/vnd.openxmlformats-officedocument.spreadsheetml.worksheet+xml"/>
  <Override PartName="/xl/worksheets/sheet9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3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https://sempra-my.sharepoint.com/personal/rschimka_semprautilities_com/Documents/Data/Clean Transportation/0000 SB350/TURN DR 7 Cost Estimate/"/>
    </mc:Choice>
  </mc:AlternateContent>
  <bookViews>
    <workbookView xWindow="0" yWindow="0" windowWidth="17985" windowHeight="7485" firstSheet="6" activeTab="6"/>
  </bookViews>
  <sheets>
    <sheet name="Cascade" sheetId="23" r:id="rId1"/>
    <sheet name="Appendix A" sheetId="28" r:id="rId2"/>
    <sheet name="Filed@90,000 vs Rebut@90,000" sheetId="26" r:id="rId3"/>
    <sheet name="Rev Req Input" sheetId="25" r:id="rId4"/>
    <sheet name="MATRIX SUM" sheetId="20" r:id="rId5"/>
    <sheet name="Percentages" sheetId="24" r:id="rId6"/>
    <sheet name="100% Ownership" sheetId="30" r:id="rId7"/>
    <sheet name="Total SD-SF-MF-DAC" sheetId="29" r:id="rId8"/>
    <sheet name="SD-SF-WH" sheetId="2" r:id="rId9"/>
    <sheet name="SD-SF-SepM" sheetId="3" r:id="rId10"/>
    <sheet name="SD-SF-SubM" sheetId="4" r:id="rId11"/>
    <sheet name="SD-MF-WH" sheetId="5" r:id="rId12"/>
    <sheet name="SD-MF-SepM" sheetId="6" r:id="rId13"/>
    <sheet name="SD-MF-SubM" sheetId="7" r:id="rId14"/>
    <sheet name="SD-DAC-WH" sheetId="8" r:id="rId15"/>
    <sheet name="SD-DAC-SepM" sheetId="9" r:id="rId16"/>
    <sheet name="SD-DAC-SubM" sheetId="10" r:id="rId17"/>
    <sheet name="CO-SF-WH" sheetId="11" r:id="rId18"/>
    <sheet name="CO-SF-SepM" sheetId="12" r:id="rId19"/>
    <sheet name="CO-SF-SubM" sheetId="13" r:id="rId20"/>
    <sheet name="CO-MF-WH" sheetId="14" r:id="rId21"/>
    <sheet name="CO-MF-SepM" sheetId="15" r:id="rId22"/>
    <sheet name="CO-MF-SubM" sheetId="16" r:id="rId23"/>
    <sheet name="CO-DAC-WH" sheetId="17" r:id="rId24"/>
    <sheet name="CO-DAC-SepM" sheetId="18" r:id="rId25"/>
    <sheet name="CO-DAC-SubM" sheetId="19" r:id="rId26"/>
  </sheets>
  <externalReferences>
    <externalReference r:id="rId27"/>
    <externalReference r:id="rId28"/>
    <externalReference r:id="rId29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AccountTypeRef">[1]Validations!$G$2:$G$41</definedName>
    <definedName name="AccountTypes">[1]Validations!$H$1:$W$1</definedName>
    <definedName name="BaseDate">'[1]Project Assumptions'!$J$13</definedName>
    <definedName name="BaseYear">'[1]Project Assumptions'!$J$11</definedName>
    <definedName name="BonusDFed">[1]Engine!$E$200</definedName>
    <definedName name="BonusDState">[1]Engine!$E$201</definedName>
    <definedName name="CBMultiplier">[1]Engine!$C$10</definedName>
    <definedName name="CostCommon">[1]Engine!$E$250</definedName>
    <definedName name="DepVal">'[2]Depreciation&amp;Tax'!$O$2:$O$207</definedName>
    <definedName name="DiscountRate">[1]Engine!$E$259</definedName>
    <definedName name="Forecast_Years">OFFSET('[3]Data Lists'!$B$9,0,0,'[3]Data Lists'!$B$7,1)</definedName>
    <definedName name="IncludeITC">[1]Engine!$D$242</definedName>
    <definedName name="ITCAssetPercentage">[1]Engine!$D$243</definedName>
    <definedName name="ITCRate">[1]Engine!$E$224</definedName>
    <definedName name="ITCTaxAdj">[1]Engine!$E$225</definedName>
    <definedName name="Mode">[1]Engine!$H$3</definedName>
    <definedName name="Pal_Workbook_GUID" hidden="1">"4UDUM1AM3IE6GAHR58IB35SE"</definedName>
    <definedName name="PeriodNumbers">'[1]Project Assumptions'!$J$1:$WL$1</definedName>
    <definedName name="PlanningHorizon">'[1]Project Assumptions'!$J$12</definedName>
    <definedName name="PlantTypeRef">[1]Validations!$A$2:$A$11</definedName>
    <definedName name="PlantTypes">[1]Validations!$B$1:$E$1</definedName>
    <definedName name="_xlnm.Print_Area" localSheetId="6">'100% Ownership'!$A$1:$J$42</definedName>
    <definedName name="_xlnm.Print_Area" localSheetId="1">'Appendix A'!$A$1:$L$41</definedName>
    <definedName name="_xlnm.Print_Area" localSheetId="0">Cascade!$A$2:$L$47</definedName>
    <definedName name="_xlnm.Print_Area" localSheetId="24">'CO-DAC-SepM'!$A$1:$J$21</definedName>
    <definedName name="_xlnm.Print_Area" localSheetId="25">'CO-DAC-SubM'!$A$1:$J$21</definedName>
    <definedName name="_xlnm.Print_Area" localSheetId="23">'CO-DAC-WH'!$A$1:$J$21</definedName>
    <definedName name="_xlnm.Print_Area" localSheetId="21">'CO-MF-SepM'!$A$1:$J$21</definedName>
    <definedName name="_xlnm.Print_Area" localSheetId="22">'CO-MF-SubM'!$A$1:$J$21</definedName>
    <definedName name="_xlnm.Print_Area" localSheetId="20">'CO-MF-WH'!$A$1:$J$21</definedName>
    <definedName name="_xlnm.Print_Area" localSheetId="18">'CO-SF-SepM'!$A$1:$J$21</definedName>
    <definedName name="_xlnm.Print_Area" localSheetId="19">'CO-SF-SubM'!$A$1:$J$21</definedName>
    <definedName name="_xlnm.Print_Area" localSheetId="17">'CO-SF-WH'!$A$1:$J$21</definedName>
    <definedName name="_xlnm.Print_Area" localSheetId="2">'Filed@90,000 vs Rebut@90,000'!$D$3:$J$49</definedName>
    <definedName name="_xlnm.Print_Area" localSheetId="15">'SD-DAC-SepM'!$A$1:$J$21</definedName>
    <definedName name="_xlnm.Print_Area" localSheetId="16">'SD-DAC-SubM'!$A$1:$J$21</definedName>
    <definedName name="_xlnm.Print_Area" localSheetId="14">'SD-DAC-WH'!$A$1:$J$21</definedName>
    <definedName name="_xlnm.Print_Area" localSheetId="12">'SD-MF-SepM'!$A$1:$J$21</definedName>
    <definedName name="_xlnm.Print_Area" localSheetId="13">'SD-MF-SubM'!$A$1:$J$21</definedName>
    <definedName name="_xlnm.Print_Area" localSheetId="11">'SD-MF-WH'!$A$1:$J$21</definedName>
    <definedName name="_xlnm.Print_Area" localSheetId="9">'SD-SF-SepM'!$A$1:$J$21</definedName>
    <definedName name="_xlnm.Print_Area" localSheetId="10">'SD-SF-SubM'!$A$1:$J$21</definedName>
    <definedName name="_xlnm.Print_Area" localSheetId="8">'SD-SF-WH'!$A$1:$J$21</definedName>
    <definedName name="_xlnm.Print_Area" localSheetId="7">'Total SD-SF-MF-DAC'!$A$1:$J$42</definedName>
    <definedName name="ProjectLev0">OFFSET('[3]Data Lists'!$C$8,0,0,'[3]Data Lists'!$C$7,1)</definedName>
    <definedName name="ProjectRep">OFFSET('[3]Data Lists'!$E$8,0,0,'[3]Data Lists'!$E$7,1)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OEKicker">[1]Engine!$E$251</definedName>
    <definedName name="SDS">[1]Engine!$D$199</definedName>
    <definedName name="server">OFFSET('[3]Service Selection'!$B$5,MATCH(1,'[3]Service Selection'!$D$6:$D$20,0),0,'[3]Service Selection'!$D$5)</definedName>
    <definedName name="StartYear">'[1]Project Assumptions'!$J$10</definedName>
    <definedName name="TM1REBUILDOPTION">1</definedName>
    <definedName name="TrueFalse">[1]Validations!$AA$2:$AA$3</definedName>
    <definedName name="ValidationCapitalTypes">[1]Validations!$AB$2:$AB$4</definedName>
    <definedName name="ValidationCompany">[1]Validations!$Z$2:$Z$3</definedName>
    <definedName name="VersionRep">OFFSET('[3]Data Lists'!$F$9,0,0,'[3]Data Lists'!$F$7,1)</definedName>
    <definedName name="Versions">OFFSET('[3]Data Lists'!$D$9,0,0,'[3]Data Lists'!$D$7,1)</definedName>
  </definedNames>
  <calcPr calcId="171027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30" l="1"/>
  <c r="C14" i="30"/>
  <c r="B13" i="30"/>
  <c r="B17" i="30"/>
  <c r="A11" i="30"/>
  <c r="A17" i="30" s="1"/>
  <c r="D37" i="30"/>
  <c r="D36" i="30"/>
  <c r="E34" i="30"/>
  <c r="E38" i="30" s="1"/>
  <c r="C38" i="30"/>
  <c r="D38" i="30"/>
  <c r="D17" i="30"/>
  <c r="C17" i="30"/>
  <c r="E41" i="30" l="1"/>
  <c r="B19" i="30"/>
  <c r="B20" i="30" s="1"/>
  <c r="C19" i="30"/>
  <c r="C18" i="30"/>
  <c r="C20" i="30" s="1"/>
  <c r="A18" i="30"/>
  <c r="D19" i="30"/>
  <c r="D20" i="30" s="1"/>
  <c r="A19" i="30"/>
  <c r="A20" i="30" l="1"/>
  <c r="E22" i="30"/>
  <c r="E42" i="30" l="1"/>
  <c r="E40" i="30"/>
  <c r="A11" i="29" l="1"/>
  <c r="A17" i="29" s="1"/>
  <c r="B13" i="29"/>
  <c r="B17" i="29" s="1"/>
  <c r="C14" i="29"/>
  <c r="C17" i="29" s="1"/>
  <c r="C18" i="29" l="1"/>
  <c r="C19" i="29"/>
  <c r="C20" i="29" s="1"/>
  <c r="A20" i="29"/>
  <c r="A19" i="29"/>
  <c r="A18" i="29"/>
  <c r="B19" i="29"/>
  <c r="B20" i="29" s="1"/>
  <c r="G10" i="29"/>
  <c r="D37" i="29"/>
  <c r="D36" i="29"/>
  <c r="E35" i="29"/>
  <c r="E34" i="29"/>
  <c r="E33" i="29"/>
  <c r="E30" i="29"/>
  <c r="C34" i="29"/>
  <c r="C32" i="29"/>
  <c r="C31" i="29"/>
  <c r="D30" i="29"/>
  <c r="D29" i="29"/>
  <c r="D28" i="29"/>
  <c r="B80" i="29"/>
  <c r="B68" i="29"/>
  <c r="C51" i="29"/>
  <c r="B51" i="29"/>
  <c r="F25" i="29"/>
  <c r="D17" i="29"/>
  <c r="C77" i="29" l="1"/>
  <c r="C80" i="29" s="1"/>
  <c r="D19" i="29"/>
  <c r="D20" i="29" s="1"/>
  <c r="E10" i="29"/>
  <c r="F26" i="29"/>
  <c r="E38" i="29"/>
  <c r="C67" i="29" s="1"/>
  <c r="B60" i="29"/>
  <c r="U32" i="25"/>
  <c r="U31" i="25"/>
  <c r="U30" i="25"/>
  <c r="C54" i="29" l="1"/>
  <c r="C55" i="29"/>
  <c r="D38" i="29"/>
  <c r="B59" i="29"/>
  <c r="B61" i="29" s="1"/>
  <c r="C38" i="29"/>
  <c r="G39" i="26"/>
  <c r="G38" i="26"/>
  <c r="G37" i="26"/>
  <c r="G36" i="26"/>
  <c r="G35" i="26"/>
  <c r="G34" i="26"/>
  <c r="G33" i="26"/>
  <c r="G25" i="26"/>
  <c r="G24" i="26"/>
  <c r="G20" i="26"/>
  <c r="G19" i="26"/>
  <c r="G18" i="26"/>
  <c r="G17" i="26"/>
  <c r="G16" i="26"/>
  <c r="G12" i="26"/>
  <c r="G11" i="26"/>
  <c r="G10" i="26"/>
  <c r="G9" i="26"/>
  <c r="B39" i="26"/>
  <c r="B38" i="26"/>
  <c r="B37" i="26"/>
  <c r="B36" i="26"/>
  <c r="B35" i="26"/>
  <c r="B34" i="26"/>
  <c r="B33" i="26"/>
  <c r="B25" i="26"/>
  <c r="B24" i="26"/>
  <c r="B20" i="26"/>
  <c r="B19" i="26"/>
  <c r="B18" i="26"/>
  <c r="B17" i="26"/>
  <c r="B16" i="26"/>
  <c r="B12" i="26"/>
  <c r="B11" i="26"/>
  <c r="B10" i="26"/>
  <c r="B9" i="26"/>
  <c r="C56" i="29" l="1"/>
  <c r="E41" i="29"/>
  <c r="C66" i="29"/>
  <c r="C68" i="29" s="1"/>
  <c r="C72" i="29"/>
  <c r="B55" i="29"/>
  <c r="E19" i="26"/>
  <c r="B52" i="10"/>
  <c r="B52" i="9"/>
  <c r="B52" i="8"/>
  <c r="C70" i="29" l="1"/>
  <c r="B72" i="29"/>
  <c r="E22" i="29"/>
  <c r="B54" i="29"/>
  <c r="B56" i="29" s="1"/>
  <c r="B70" i="29" s="1"/>
  <c r="B52" i="7"/>
  <c r="B52" i="6"/>
  <c r="B52" i="5"/>
  <c r="B52" i="4"/>
  <c r="B52" i="3"/>
  <c r="B52" i="2"/>
  <c r="E33" i="10"/>
  <c r="C33" i="10"/>
  <c r="E33" i="9"/>
  <c r="C33" i="9"/>
  <c r="E33" i="8"/>
  <c r="C33" i="8"/>
  <c r="E33" i="7"/>
  <c r="C33" i="7"/>
  <c r="E33" i="6"/>
  <c r="C33" i="6"/>
  <c r="E33" i="5"/>
  <c r="C33" i="5"/>
  <c r="E33" i="4"/>
  <c r="C33" i="4"/>
  <c r="E33" i="3"/>
  <c r="C33" i="3"/>
  <c r="E33" i="2"/>
  <c r="C33" i="2"/>
  <c r="E40" i="29" l="1"/>
  <c r="E42" i="29"/>
  <c r="E47" i="26"/>
  <c r="E46" i="26"/>
  <c r="E45" i="26"/>
  <c r="E39" i="26" l="1"/>
  <c r="E37" i="26"/>
  <c r="E34" i="26"/>
  <c r="E33" i="26"/>
  <c r="E35" i="26"/>
  <c r="E12" i="26"/>
  <c r="E36" i="26"/>
  <c r="E25" i="26"/>
  <c r="E24" i="26"/>
  <c r="E20" i="26"/>
  <c r="E18" i="26"/>
  <c r="E17" i="26"/>
  <c r="E16" i="26"/>
  <c r="E11" i="26"/>
  <c r="E10" i="26"/>
  <c r="E9" i="26"/>
  <c r="C13" i="8"/>
  <c r="C14" i="9"/>
  <c r="C13" i="10"/>
  <c r="G9" i="10"/>
  <c r="G9" i="9"/>
  <c r="G9" i="8"/>
  <c r="G9" i="7"/>
  <c r="G9" i="6"/>
  <c r="G9" i="5"/>
  <c r="G9" i="4"/>
  <c r="G9" i="3"/>
  <c r="G9" i="2"/>
  <c r="G29" i="24"/>
  <c r="S29" i="24"/>
  <c r="G9" i="19"/>
  <c r="C13" i="19"/>
  <c r="G9" i="18"/>
  <c r="C14" i="18"/>
  <c r="C13" i="17"/>
  <c r="G9" i="17"/>
  <c r="G9" i="16"/>
  <c r="G9" i="15"/>
  <c r="G9" i="14"/>
  <c r="G9" i="13"/>
  <c r="G9" i="12"/>
  <c r="G9" i="11"/>
  <c r="E13" i="26" l="1"/>
  <c r="J30" i="28"/>
  <c r="I30" i="28"/>
  <c r="H30" i="28"/>
  <c r="G30" i="28"/>
  <c r="F30" i="28"/>
  <c r="E30" i="28"/>
  <c r="O26" i="25"/>
  <c r="O22" i="25"/>
  <c r="O8" i="25"/>
  <c r="E29" i="19"/>
  <c r="E29" i="18"/>
  <c r="O25" i="25" s="1"/>
  <c r="E29" i="17"/>
  <c r="O24" i="25" s="1"/>
  <c r="E29" i="16"/>
  <c r="O23" i="25" s="1"/>
  <c r="E29" i="15"/>
  <c r="E29" i="14"/>
  <c r="O21" i="25" s="1"/>
  <c r="E29" i="13"/>
  <c r="O20" i="25" s="1"/>
  <c r="E29" i="12"/>
  <c r="O19" i="25" s="1"/>
  <c r="E29" i="11"/>
  <c r="O18" i="25" s="1"/>
  <c r="E29" i="10"/>
  <c r="O15" i="25" s="1"/>
  <c r="E29" i="9"/>
  <c r="O14" i="25" s="1"/>
  <c r="E29" i="8"/>
  <c r="O13" i="25" s="1"/>
  <c r="E29" i="7"/>
  <c r="O11" i="25" s="1"/>
  <c r="E29" i="6"/>
  <c r="E29" i="5"/>
  <c r="O10" i="25" s="1"/>
  <c r="E29" i="4"/>
  <c r="O9" i="25" s="1"/>
  <c r="E29" i="3"/>
  <c r="E29" i="2"/>
  <c r="O7" i="25" s="1"/>
  <c r="O12" i="25" l="1"/>
  <c r="O28" i="25"/>
  <c r="D20" i="28"/>
  <c r="D19" i="28"/>
  <c r="D29" i="19"/>
  <c r="D29" i="18"/>
  <c r="D29" i="17"/>
  <c r="D29" i="16"/>
  <c r="D29" i="15"/>
  <c r="D29" i="14"/>
  <c r="D29" i="13"/>
  <c r="D29" i="12"/>
  <c r="D29" i="11"/>
  <c r="D29" i="10"/>
  <c r="D29" i="9"/>
  <c r="D29" i="8"/>
  <c r="D29" i="7"/>
  <c r="D29" i="6"/>
  <c r="D29" i="5"/>
  <c r="D29" i="4"/>
  <c r="D29" i="3"/>
  <c r="D29" i="2"/>
  <c r="C31" i="19"/>
  <c r="C30" i="19"/>
  <c r="C31" i="18"/>
  <c r="C30" i="18"/>
  <c r="C31" i="17"/>
  <c r="C30" i="17"/>
  <c r="C31" i="16"/>
  <c r="C30" i="16"/>
  <c r="C31" i="15"/>
  <c r="C30" i="15"/>
  <c r="C31" i="14"/>
  <c r="C30" i="14"/>
  <c r="C31" i="13"/>
  <c r="C30" i="13"/>
  <c r="C31" i="12"/>
  <c r="C30" i="12"/>
  <c r="C31" i="11"/>
  <c r="C30" i="11"/>
  <c r="C31" i="10"/>
  <c r="C30" i="10"/>
  <c r="C31" i="9"/>
  <c r="C30" i="9"/>
  <c r="C31" i="8"/>
  <c r="C30" i="8"/>
  <c r="C31" i="7"/>
  <c r="C30" i="7"/>
  <c r="C31" i="6"/>
  <c r="C30" i="6"/>
  <c r="C31" i="5"/>
  <c r="C30" i="5"/>
  <c r="L31" i="4"/>
  <c r="L30" i="4"/>
  <c r="C31" i="4"/>
  <c r="C30" i="4"/>
  <c r="C31" i="3"/>
  <c r="C30" i="3"/>
  <c r="C31" i="2"/>
  <c r="C30" i="2"/>
  <c r="K41" i="28" l="1"/>
  <c r="J34" i="28"/>
  <c r="I34" i="28"/>
  <c r="H34" i="28"/>
  <c r="H39" i="28" s="1"/>
  <c r="H41" i="28" s="1"/>
  <c r="G34" i="28"/>
  <c r="G39" i="28" s="1"/>
  <c r="G41" i="28" s="1"/>
  <c r="F34" i="28"/>
  <c r="E34" i="28"/>
  <c r="K39" i="28"/>
  <c r="J39" i="28"/>
  <c r="J41" i="28" s="1"/>
  <c r="I39" i="28"/>
  <c r="I41" i="28" s="1"/>
  <c r="F39" i="28"/>
  <c r="F41" i="28" s="1"/>
  <c r="E39" i="28"/>
  <c r="E41" i="28" s="1"/>
  <c r="D39" i="28"/>
  <c r="L37" i="28"/>
  <c r="L36" i="28"/>
  <c r="L35" i="28"/>
  <c r="L33" i="28"/>
  <c r="L32" i="28"/>
  <c r="L31" i="28"/>
  <c r="L30" i="28"/>
  <c r="L29" i="28"/>
  <c r="L28" i="28"/>
  <c r="D37" i="28"/>
  <c r="D36" i="28"/>
  <c r="D35" i="28"/>
  <c r="K37" i="28"/>
  <c r="K36" i="28"/>
  <c r="K35" i="28"/>
  <c r="J37" i="28"/>
  <c r="I37" i="28"/>
  <c r="H37" i="28"/>
  <c r="G37" i="28"/>
  <c r="F37" i="28"/>
  <c r="J36" i="28"/>
  <c r="I36" i="28"/>
  <c r="H36" i="28"/>
  <c r="G36" i="28"/>
  <c r="F36" i="28"/>
  <c r="J35" i="28"/>
  <c r="I35" i="28"/>
  <c r="H35" i="28"/>
  <c r="G35" i="28"/>
  <c r="F35" i="28"/>
  <c r="E37" i="28"/>
  <c r="E36" i="28"/>
  <c r="E35" i="28"/>
  <c r="K34" i="28"/>
  <c r="K33" i="28"/>
  <c r="K32" i="28"/>
  <c r="J33" i="28"/>
  <c r="I33" i="28"/>
  <c r="H33" i="28"/>
  <c r="G33" i="28"/>
  <c r="F33" i="28"/>
  <c r="J32" i="28"/>
  <c r="I32" i="28"/>
  <c r="H32" i="28"/>
  <c r="G32" i="28"/>
  <c r="F32" i="28"/>
  <c r="E33" i="28"/>
  <c r="E32" i="28"/>
  <c r="D34" i="28"/>
  <c r="D33" i="28"/>
  <c r="D32" i="28"/>
  <c r="C34" i="28"/>
  <c r="C33" i="28"/>
  <c r="C32" i="28"/>
  <c r="B34" i="28"/>
  <c r="B33" i="28"/>
  <c r="B32" i="28"/>
  <c r="D31" i="28"/>
  <c r="D30" i="28"/>
  <c r="D29" i="28"/>
  <c r="D28" i="28"/>
  <c r="K31" i="28"/>
  <c r="K30" i="28"/>
  <c r="K29" i="28"/>
  <c r="J31" i="28"/>
  <c r="I31" i="28"/>
  <c r="H31" i="28"/>
  <c r="G31" i="28"/>
  <c r="F31" i="28"/>
  <c r="E31" i="28"/>
  <c r="J29" i="28"/>
  <c r="I29" i="28"/>
  <c r="H29" i="28"/>
  <c r="G29" i="28"/>
  <c r="F29" i="28"/>
  <c r="E29" i="28"/>
  <c r="K28" i="28"/>
  <c r="J28" i="28"/>
  <c r="I28" i="28"/>
  <c r="H28" i="28"/>
  <c r="G28" i="28"/>
  <c r="F28" i="28"/>
  <c r="E28" i="28"/>
  <c r="L20" i="28"/>
  <c r="L19" i="28"/>
  <c r="K20" i="28"/>
  <c r="K19" i="28"/>
  <c r="K21" i="28" s="1"/>
  <c r="L16" i="28"/>
  <c r="L15" i="28"/>
  <c r="K15" i="28"/>
  <c r="K14" i="28"/>
  <c r="L14" i="28" s="1"/>
  <c r="L13" i="28"/>
  <c r="K13" i="28"/>
  <c r="K12" i="28"/>
  <c r="L12" i="28" s="1"/>
  <c r="L11" i="28"/>
  <c r="K11" i="28"/>
  <c r="K10" i="28"/>
  <c r="K16" i="28" s="1"/>
  <c r="K9" i="28"/>
  <c r="L9" i="28"/>
  <c r="J23" i="28"/>
  <c r="I23" i="28"/>
  <c r="H23" i="28"/>
  <c r="G23" i="28"/>
  <c r="F23" i="28"/>
  <c r="E23" i="28"/>
  <c r="D23" i="28"/>
  <c r="D41" i="28" s="1"/>
  <c r="D15" i="28"/>
  <c r="D14" i="28"/>
  <c r="D13" i="28"/>
  <c r="D12" i="28"/>
  <c r="D16" i="28" s="1"/>
  <c r="D11" i="28"/>
  <c r="D10" i="28"/>
  <c r="D9" i="28"/>
  <c r="J21" i="28"/>
  <c r="I21" i="28"/>
  <c r="H21" i="28"/>
  <c r="G21" i="28"/>
  <c r="F21" i="28"/>
  <c r="E21" i="28"/>
  <c r="J20" i="28"/>
  <c r="I20" i="28"/>
  <c r="H20" i="28"/>
  <c r="G20" i="28"/>
  <c r="F20" i="28"/>
  <c r="J19" i="28"/>
  <c r="I19" i="28"/>
  <c r="H19" i="28"/>
  <c r="G19" i="28"/>
  <c r="F19" i="28"/>
  <c r="E20" i="28"/>
  <c r="E19" i="28"/>
  <c r="D21" i="28"/>
  <c r="J16" i="28"/>
  <c r="I16" i="28"/>
  <c r="H16" i="28"/>
  <c r="G16" i="28"/>
  <c r="F16" i="28"/>
  <c r="E16" i="28"/>
  <c r="J14" i="28"/>
  <c r="I14" i="28"/>
  <c r="H14" i="28"/>
  <c r="G14" i="28"/>
  <c r="F14" i="28"/>
  <c r="E14" i="28"/>
  <c r="J13" i="28"/>
  <c r="I13" i="28"/>
  <c r="H13" i="28"/>
  <c r="G13" i="28"/>
  <c r="F13" i="28"/>
  <c r="E13" i="28"/>
  <c r="J15" i="28"/>
  <c r="I15" i="28"/>
  <c r="H15" i="28"/>
  <c r="G15" i="28"/>
  <c r="F15" i="28"/>
  <c r="E15" i="28"/>
  <c r="C15" i="28"/>
  <c r="C14" i="28"/>
  <c r="C13" i="28"/>
  <c r="B15" i="28"/>
  <c r="B14" i="28"/>
  <c r="B13" i="28"/>
  <c r="C12" i="28"/>
  <c r="B12" i="28"/>
  <c r="C11" i="28"/>
  <c r="C10" i="28"/>
  <c r="C9" i="28"/>
  <c r="B11" i="28"/>
  <c r="B10" i="28"/>
  <c r="B9" i="28"/>
  <c r="J12" i="28"/>
  <c r="I12" i="28"/>
  <c r="H12" i="28"/>
  <c r="G12" i="28"/>
  <c r="F12" i="28"/>
  <c r="E12" i="28"/>
  <c r="J11" i="28"/>
  <c r="I11" i="28"/>
  <c r="H11" i="28"/>
  <c r="G11" i="28"/>
  <c r="F11" i="28"/>
  <c r="J10" i="28"/>
  <c r="I10" i="28"/>
  <c r="H10" i="28"/>
  <c r="G10" i="28"/>
  <c r="F10" i="28"/>
  <c r="J9" i="28"/>
  <c r="I9" i="28"/>
  <c r="H9" i="28"/>
  <c r="G9" i="28"/>
  <c r="F9" i="28"/>
  <c r="E11" i="28"/>
  <c r="E10" i="28"/>
  <c r="E9" i="28"/>
  <c r="L21" i="28" l="1"/>
  <c r="L23" i="28" s="1"/>
  <c r="L34" i="28"/>
  <c r="L39" i="28" s="1"/>
  <c r="K23" i="28"/>
  <c r="L10" i="28"/>
  <c r="L41" i="28" l="1"/>
  <c r="E48" i="26" l="1"/>
  <c r="B30" i="23"/>
  <c r="B16" i="23"/>
  <c r="B17" i="23"/>
  <c r="B23" i="25"/>
  <c r="B21" i="25"/>
  <c r="B20" i="25"/>
  <c r="B18" i="25"/>
  <c r="B15" i="23"/>
  <c r="D176" i="20" l="1"/>
  <c r="B19" i="23"/>
  <c r="B18" i="23"/>
  <c r="B14" i="23"/>
  <c r="B13" i="23"/>
  <c r="B12" i="23"/>
  <c r="B48" i="26"/>
  <c r="G13" i="26" l="1"/>
  <c r="G21" i="26"/>
  <c r="B21" i="26"/>
  <c r="E26" i="26"/>
  <c r="B13" i="26"/>
  <c r="E21" i="26"/>
  <c r="E28" i="26" l="1"/>
  <c r="B5" i="23" l="1"/>
  <c r="J26" i="25"/>
  <c r="J25" i="25"/>
  <c r="J24" i="25"/>
  <c r="J23" i="25"/>
  <c r="J22" i="25"/>
  <c r="J21" i="25"/>
  <c r="J20" i="25"/>
  <c r="J19" i="25"/>
  <c r="J18" i="25"/>
  <c r="L15" i="25"/>
  <c r="K15" i="25"/>
  <c r="L14" i="25"/>
  <c r="K14" i="25"/>
  <c r="L13" i="25"/>
  <c r="K13" i="25"/>
  <c r="L12" i="25"/>
  <c r="K12" i="25"/>
  <c r="L11" i="25"/>
  <c r="K11" i="25"/>
  <c r="L10" i="25"/>
  <c r="K10" i="25"/>
  <c r="L9" i="25"/>
  <c r="K9" i="25"/>
  <c r="L8" i="25"/>
  <c r="K8" i="25"/>
  <c r="L7" i="25"/>
  <c r="K7" i="25"/>
  <c r="J15" i="25"/>
  <c r="J14" i="25"/>
  <c r="J13" i="25"/>
  <c r="J12" i="25"/>
  <c r="J11" i="25"/>
  <c r="J10" i="25"/>
  <c r="J9" i="25"/>
  <c r="J8" i="25"/>
  <c r="J7" i="25"/>
  <c r="W33" i="24"/>
  <c r="S33" i="24"/>
  <c r="O33" i="24"/>
  <c r="K33" i="24"/>
  <c r="G33" i="24"/>
  <c r="C33" i="24"/>
  <c r="J28" i="25" l="1"/>
  <c r="J115" i="23" l="1"/>
  <c r="I115" i="23"/>
  <c r="I114" i="23"/>
  <c r="J114" i="23" s="1"/>
  <c r="I113" i="23"/>
  <c r="H115" i="23"/>
  <c r="H114" i="23"/>
  <c r="H113" i="23"/>
  <c r="J113" i="23" s="1"/>
  <c r="J116" i="23" s="1"/>
  <c r="K24" i="24"/>
  <c r="K23" i="24"/>
  <c r="K22" i="24"/>
  <c r="K21" i="24"/>
  <c r="L24" i="24"/>
  <c r="L21" i="24"/>
  <c r="L22" i="24"/>
  <c r="J18" i="24"/>
  <c r="J17" i="24"/>
  <c r="J16" i="24"/>
  <c r="L23" i="24"/>
  <c r="B28" i="23" l="1"/>
  <c r="I116" i="23"/>
  <c r="H116" i="23"/>
  <c r="D115" i="23"/>
  <c r="D114" i="23"/>
  <c r="D113" i="23"/>
  <c r="D116" i="23" l="1"/>
  <c r="I118" i="23"/>
  <c r="I120" i="23"/>
  <c r="I119" i="23"/>
  <c r="H119" i="23"/>
  <c r="H118" i="23"/>
  <c r="H120" i="23"/>
  <c r="D118" i="23"/>
  <c r="D119" i="23"/>
  <c r="D120" i="23"/>
  <c r="S30" i="24"/>
  <c r="M28" i="24"/>
  <c r="G30" i="24" s="1"/>
  <c r="S20" i="24"/>
  <c r="C18" i="24"/>
  <c r="D18" i="24" s="1"/>
  <c r="B18" i="24"/>
  <c r="C17" i="24"/>
  <c r="G17" i="24" s="1"/>
  <c r="B17" i="24"/>
  <c r="B19" i="24" s="1"/>
  <c r="C16" i="24"/>
  <c r="W7" i="24"/>
  <c r="S7" i="24"/>
  <c r="O7" i="24"/>
  <c r="K7" i="24"/>
  <c r="G7" i="24"/>
  <c r="C7" i="24"/>
  <c r="M2" i="24"/>
  <c r="D121" i="23" l="1"/>
  <c r="J119" i="23"/>
  <c r="J120" i="23"/>
  <c r="H121" i="23"/>
  <c r="I121" i="23"/>
  <c r="J118" i="23"/>
  <c r="S4" i="24"/>
  <c r="O8" i="24" s="1"/>
  <c r="G4" i="24"/>
  <c r="K8" i="24" s="1"/>
  <c r="C19" i="24"/>
  <c r="C23" i="24" s="1"/>
  <c r="G16" i="24"/>
  <c r="D16" i="24"/>
  <c r="S8" i="24"/>
  <c r="D17" i="24"/>
  <c r="C22" i="24"/>
  <c r="J121" i="23" l="1"/>
  <c r="L10" i="24"/>
  <c r="L9" i="24" s="1"/>
  <c r="K10" i="24"/>
  <c r="K9" i="24" s="1"/>
  <c r="J10" i="24"/>
  <c r="J9" i="24" s="1"/>
  <c r="N10" i="24"/>
  <c r="N9" i="24" s="1"/>
  <c r="P10" i="24"/>
  <c r="P9" i="24" s="1"/>
  <c r="O10" i="24"/>
  <c r="O9" i="24" s="1"/>
  <c r="C8" i="24"/>
  <c r="G21" i="24"/>
  <c r="G8" i="24"/>
  <c r="H16" i="24"/>
  <c r="H18" i="24" s="1"/>
  <c r="G18" i="24"/>
  <c r="H17" i="24" s="1"/>
  <c r="S10" i="24"/>
  <c r="S9" i="24" s="1"/>
  <c r="R10" i="24"/>
  <c r="R9" i="24" s="1"/>
  <c r="T10" i="24"/>
  <c r="T9" i="24" s="1"/>
  <c r="W8" i="24"/>
  <c r="X10" i="24" l="1"/>
  <c r="X9" i="24" s="1"/>
  <c r="W10" i="24"/>
  <c r="W9" i="24" s="1"/>
  <c r="V10" i="24"/>
  <c r="V9" i="24" s="1"/>
  <c r="H10" i="24"/>
  <c r="H9" i="24" s="1"/>
  <c r="G10" i="24"/>
  <c r="G9" i="24" s="1"/>
  <c r="F10" i="24"/>
  <c r="F9" i="24" s="1"/>
  <c r="C10" i="24"/>
  <c r="C9" i="24" s="1"/>
  <c r="B10" i="24"/>
  <c r="B9" i="24" s="1"/>
  <c r="D10" i="24"/>
  <c r="D9" i="24" s="1"/>
  <c r="G22" i="24"/>
  <c r="C21" i="24"/>
  <c r="C24" i="24" l="1"/>
  <c r="B21" i="24" s="1"/>
  <c r="C34" i="24" l="1"/>
  <c r="O34" i="24"/>
  <c r="D21" i="24"/>
  <c r="B23" i="24"/>
  <c r="B22" i="24"/>
  <c r="E113" i="23" l="1"/>
  <c r="F113" i="23" s="1"/>
  <c r="C42" i="24"/>
  <c r="P36" i="24"/>
  <c r="P35" i="24" s="1"/>
  <c r="O36" i="24"/>
  <c r="O35" i="24" s="1"/>
  <c r="N36" i="24"/>
  <c r="N35" i="24" s="1"/>
  <c r="G34" i="24"/>
  <c r="C43" i="24" s="1"/>
  <c r="S34" i="24"/>
  <c r="D22" i="24"/>
  <c r="B24" i="24"/>
  <c r="K34" i="24"/>
  <c r="C44" i="24" s="1"/>
  <c r="W34" i="24"/>
  <c r="D23" i="24"/>
  <c r="B36" i="24"/>
  <c r="B35" i="24" s="1"/>
  <c r="D36" i="24"/>
  <c r="D35" i="24" s="1"/>
  <c r="C36" i="24"/>
  <c r="C35" i="24" s="1"/>
  <c r="E115" i="23" l="1"/>
  <c r="F115" i="23" s="1"/>
  <c r="E114" i="23"/>
  <c r="F114" i="23" s="1"/>
  <c r="G36" i="24"/>
  <c r="G35" i="24" s="1"/>
  <c r="F36" i="24"/>
  <c r="F35" i="24" s="1"/>
  <c r="H36" i="24"/>
  <c r="H35" i="24" s="1"/>
  <c r="L36" i="24"/>
  <c r="L35" i="24" s="1"/>
  <c r="K36" i="24"/>
  <c r="K35" i="24" s="1"/>
  <c r="J36" i="24"/>
  <c r="J35" i="24" s="1"/>
  <c r="X36" i="24"/>
  <c r="X35" i="24" s="1"/>
  <c r="W36" i="24"/>
  <c r="W35" i="24" s="1"/>
  <c r="V36" i="24"/>
  <c r="V35" i="24" s="1"/>
  <c r="R36" i="24"/>
  <c r="R35" i="24" s="1"/>
  <c r="T36" i="24"/>
  <c r="T35" i="24" s="1"/>
  <c r="S36" i="24"/>
  <c r="S35" i="24" s="1"/>
  <c r="F116" i="23" l="1"/>
  <c r="E116" i="23"/>
  <c r="E118" i="23" s="1"/>
  <c r="F118" i="23" s="1"/>
  <c r="E120" i="23"/>
  <c r="F120" i="23" s="1"/>
  <c r="AB28" i="20"/>
  <c r="V28" i="20"/>
  <c r="S28" i="20"/>
  <c r="J28" i="20"/>
  <c r="D28" i="20"/>
  <c r="AK12" i="20"/>
  <c r="AE12" i="20"/>
  <c r="AB12" i="20"/>
  <c r="S12" i="20"/>
  <c r="M12" i="20"/>
  <c r="J12" i="20"/>
  <c r="D12" i="20"/>
  <c r="P12" i="20"/>
  <c r="E119" i="23" l="1"/>
  <c r="F119" i="23" s="1"/>
  <c r="F121" i="23" s="1"/>
  <c r="E34" i="11"/>
  <c r="R18" i="25" s="1"/>
  <c r="E121" i="23" l="1"/>
  <c r="P128" i="20"/>
  <c r="P127" i="20"/>
  <c r="D28" i="19" l="1"/>
  <c r="I26" i="25" s="1"/>
  <c r="D27" i="19"/>
  <c r="H26" i="25" s="1"/>
  <c r="D28" i="18"/>
  <c r="I25" i="25" s="1"/>
  <c r="D27" i="18"/>
  <c r="H25" i="25" s="1"/>
  <c r="D28" i="17"/>
  <c r="I24" i="25" s="1"/>
  <c r="D27" i="17"/>
  <c r="H24" i="25" s="1"/>
  <c r="D28" i="16"/>
  <c r="I23" i="25" s="1"/>
  <c r="D27" i="16"/>
  <c r="H23" i="25" s="1"/>
  <c r="D28" i="15"/>
  <c r="I22" i="25" s="1"/>
  <c r="D27" i="15"/>
  <c r="H22" i="25" s="1"/>
  <c r="D28" i="14"/>
  <c r="I21" i="25" s="1"/>
  <c r="D27" i="14"/>
  <c r="H21" i="25" s="1"/>
  <c r="D28" i="13"/>
  <c r="I20" i="25" s="1"/>
  <c r="D27" i="13"/>
  <c r="H20" i="25" s="1"/>
  <c r="D28" i="12"/>
  <c r="I19" i="25" s="1"/>
  <c r="D27" i="12"/>
  <c r="H19" i="25" s="1"/>
  <c r="D28" i="11"/>
  <c r="I18" i="25" s="1"/>
  <c r="D27" i="11"/>
  <c r="H18" i="25" s="1"/>
  <c r="D28" i="10"/>
  <c r="I15" i="25" s="1"/>
  <c r="D27" i="10"/>
  <c r="H15" i="25" s="1"/>
  <c r="M15" i="25" s="1"/>
  <c r="D28" i="9"/>
  <c r="I14" i="25" s="1"/>
  <c r="D27" i="9"/>
  <c r="H14" i="25" s="1"/>
  <c r="M14" i="25" s="1"/>
  <c r="D28" i="8"/>
  <c r="I13" i="25" s="1"/>
  <c r="D27" i="8"/>
  <c r="H13" i="25" s="1"/>
  <c r="M13" i="25" s="1"/>
  <c r="D28" i="7"/>
  <c r="I12" i="25" s="1"/>
  <c r="D27" i="7"/>
  <c r="H12" i="25" s="1"/>
  <c r="M12" i="25" s="1"/>
  <c r="D28" i="6"/>
  <c r="I11" i="25" s="1"/>
  <c r="D27" i="6"/>
  <c r="H11" i="25" s="1"/>
  <c r="M11" i="25" s="1"/>
  <c r="D28" i="5"/>
  <c r="I10" i="25" s="1"/>
  <c r="D27" i="5"/>
  <c r="H10" i="25" s="1"/>
  <c r="M10" i="25" s="1"/>
  <c r="D28" i="4"/>
  <c r="I9" i="25" s="1"/>
  <c r="D27" i="4"/>
  <c r="H9" i="25" s="1"/>
  <c r="M9" i="25" s="1"/>
  <c r="D28" i="3"/>
  <c r="I8" i="25" s="1"/>
  <c r="D27" i="3"/>
  <c r="H8" i="25" s="1"/>
  <c r="M8" i="25" s="1"/>
  <c r="D28" i="2"/>
  <c r="I7" i="25" s="1"/>
  <c r="D27" i="2"/>
  <c r="D108" i="20" l="1"/>
  <c r="H7" i="25"/>
  <c r="M7" i="25" s="1"/>
  <c r="I28" i="25"/>
  <c r="B27" i="23" s="1"/>
  <c r="H28" i="25"/>
  <c r="D109" i="20"/>
  <c r="E34" i="19"/>
  <c r="R26" i="25" s="1"/>
  <c r="E34" i="18"/>
  <c r="R25" i="25" s="1"/>
  <c r="E34" i="17"/>
  <c r="R24" i="25" s="1"/>
  <c r="P96" i="20" l="1"/>
  <c r="B26" i="23" l="1"/>
  <c r="Q86" i="20"/>
  <c r="Q88" i="20"/>
  <c r="P87" i="20"/>
  <c r="S87" i="20" s="1"/>
  <c r="P86" i="20"/>
  <c r="P88" i="20" s="1"/>
  <c r="Q87" i="20"/>
  <c r="S86" i="20" l="1"/>
  <c r="S88" i="20" s="1"/>
  <c r="E34" i="13"/>
  <c r="R20" i="25" s="1"/>
  <c r="E34" i="16" l="1"/>
  <c r="R23" i="25" s="1"/>
  <c r="E34" i="15"/>
  <c r="R22" i="25" s="1"/>
  <c r="E34" i="14"/>
  <c r="R21" i="25" s="1"/>
  <c r="E34" i="12"/>
  <c r="R19" i="25" s="1"/>
  <c r="G98" i="20" l="1"/>
  <c r="G101" i="20" s="1"/>
  <c r="K92" i="20"/>
  <c r="J92" i="20"/>
  <c r="K91" i="20"/>
  <c r="J91" i="20"/>
  <c r="K80" i="20"/>
  <c r="J80" i="20"/>
  <c r="M79" i="20"/>
  <c r="M78" i="20"/>
  <c r="M80" i="20" s="1"/>
  <c r="M87" i="20"/>
  <c r="K88" i="20"/>
  <c r="J88" i="20"/>
  <c r="D61" i="20"/>
  <c r="G60" i="20"/>
  <c r="G59" i="20"/>
  <c r="G61" i="20" s="1"/>
  <c r="E61" i="20"/>
  <c r="G79" i="20"/>
  <c r="E80" i="20"/>
  <c r="G78" i="20"/>
  <c r="K49" i="20"/>
  <c r="J50" i="20"/>
  <c r="J48" i="20"/>
  <c r="J47" i="20"/>
  <c r="K46" i="20"/>
  <c r="K44" i="20"/>
  <c r="G50" i="20"/>
  <c r="H49" i="20"/>
  <c r="G48" i="20"/>
  <c r="G47" i="20"/>
  <c r="H46" i="20"/>
  <c r="H44" i="20"/>
  <c r="E49" i="20"/>
  <c r="D47" i="20"/>
  <c r="E46" i="20"/>
  <c r="E44" i="20"/>
  <c r="E66" i="20"/>
  <c r="E86" i="20" s="1"/>
  <c r="E91" i="20" s="1"/>
  <c r="D50" i="20"/>
  <c r="D48" i="20"/>
  <c r="M92" i="20" l="1"/>
  <c r="J93" i="20"/>
  <c r="K93" i="20"/>
  <c r="M91" i="20"/>
  <c r="M93" i="20" s="1"/>
  <c r="M86" i="20"/>
  <c r="M88" i="20" s="1"/>
  <c r="G80" i="20"/>
  <c r="D80" i="20"/>
  <c r="B78" i="6" l="1"/>
  <c r="B66" i="6"/>
  <c r="C49" i="6"/>
  <c r="B49" i="6"/>
  <c r="E34" i="6"/>
  <c r="Q11" i="25"/>
  <c r="E32" i="6"/>
  <c r="B58" i="6"/>
  <c r="F11" i="25" s="1"/>
  <c r="B57" i="6"/>
  <c r="E11" i="25" s="1"/>
  <c r="F25" i="6"/>
  <c r="F24" i="6"/>
  <c r="D16" i="6"/>
  <c r="C16" i="6"/>
  <c r="C17" i="6" s="1"/>
  <c r="E9" i="6"/>
  <c r="B12" i="6" s="1"/>
  <c r="B16" i="6" s="1"/>
  <c r="E36" i="6" l="1"/>
  <c r="C65" i="6" s="1"/>
  <c r="Q16" i="20" s="1"/>
  <c r="P11" i="25"/>
  <c r="S11" i="25" s="1"/>
  <c r="C75" i="6"/>
  <c r="R11" i="25"/>
  <c r="A10" i="6"/>
  <c r="D35" i="6"/>
  <c r="B59" i="6"/>
  <c r="C36" i="6"/>
  <c r="B18" i="6"/>
  <c r="B19" i="6" s="1"/>
  <c r="D36" i="6"/>
  <c r="C18" i="6"/>
  <c r="C19" i="6"/>
  <c r="D18" i="6"/>
  <c r="D19" i="6" s="1"/>
  <c r="C53" i="6" s="1"/>
  <c r="B53" i="6" l="1"/>
  <c r="C11" i="25" s="1"/>
  <c r="P11" i="20"/>
  <c r="C78" i="6"/>
  <c r="U11" i="25"/>
  <c r="P13" i="20"/>
  <c r="A16" i="6"/>
  <c r="C70" i="6"/>
  <c r="C52" i="6"/>
  <c r="C54" i="6" s="1"/>
  <c r="E39" i="6"/>
  <c r="E149" i="20" s="1"/>
  <c r="C64" i="6"/>
  <c r="C66" i="6" s="1"/>
  <c r="A17" i="6" l="1"/>
  <c r="A18" i="6"/>
  <c r="C68" i="6"/>
  <c r="A19" i="6" l="1"/>
  <c r="C76" i="17"/>
  <c r="U24" i="25" s="1"/>
  <c r="C76" i="19"/>
  <c r="U26" i="25" s="1"/>
  <c r="C76" i="18"/>
  <c r="U25" i="25" s="1"/>
  <c r="C76" i="16"/>
  <c r="U23" i="25" s="1"/>
  <c r="C76" i="15"/>
  <c r="U22" i="25" s="1"/>
  <c r="C76" i="14"/>
  <c r="U21" i="25" s="1"/>
  <c r="C76" i="13"/>
  <c r="U20" i="25" s="1"/>
  <c r="C76" i="12"/>
  <c r="U19" i="25" s="1"/>
  <c r="C76" i="11"/>
  <c r="U18" i="25" s="1"/>
  <c r="E34" i="2"/>
  <c r="R7" i="25" s="1"/>
  <c r="F25" i="9"/>
  <c r="B70" i="6" l="1"/>
  <c r="E21" i="6"/>
  <c r="C75" i="2"/>
  <c r="U7" i="25" s="1"/>
  <c r="P19" i="20"/>
  <c r="P15" i="20"/>
  <c r="Q14" i="20"/>
  <c r="B54" i="6" l="1"/>
  <c r="B68" i="6" s="1"/>
  <c r="B11" i="25"/>
  <c r="E38" i="6"/>
  <c r="D149" i="20" s="1"/>
  <c r="E40" i="6"/>
  <c r="Q17" i="20"/>
  <c r="P17" i="20"/>
  <c r="B79" i="19" l="1"/>
  <c r="B67" i="19"/>
  <c r="C50" i="19"/>
  <c r="B50" i="19"/>
  <c r="C79" i="19"/>
  <c r="E33" i="19"/>
  <c r="Q26" i="25" s="1"/>
  <c r="E32" i="19"/>
  <c r="P26" i="25" s="1"/>
  <c r="S26" i="25" s="1"/>
  <c r="B59" i="19"/>
  <c r="F26" i="25" s="1"/>
  <c r="B58" i="19"/>
  <c r="E26" i="25" s="1"/>
  <c r="F25" i="19"/>
  <c r="F24" i="19"/>
  <c r="A18" i="19"/>
  <c r="D16" i="19"/>
  <c r="C16" i="19"/>
  <c r="C17" i="19" s="1"/>
  <c r="A16" i="19"/>
  <c r="A17" i="19" s="1"/>
  <c r="E9" i="19"/>
  <c r="B79" i="18"/>
  <c r="C79" i="18"/>
  <c r="B67" i="18"/>
  <c r="C50" i="18"/>
  <c r="B50" i="18"/>
  <c r="E33" i="18"/>
  <c r="Q25" i="25" s="1"/>
  <c r="E32" i="18"/>
  <c r="P25" i="25" s="1"/>
  <c r="S25" i="25" s="1"/>
  <c r="B59" i="18"/>
  <c r="F25" i="25" s="1"/>
  <c r="B58" i="18"/>
  <c r="E25" i="25" s="1"/>
  <c r="F25" i="18"/>
  <c r="F24" i="18"/>
  <c r="D16" i="18"/>
  <c r="C16" i="18"/>
  <c r="C17" i="18" s="1"/>
  <c r="E9" i="18"/>
  <c r="B79" i="17"/>
  <c r="B67" i="17"/>
  <c r="C50" i="17"/>
  <c r="B50" i="17"/>
  <c r="C79" i="17"/>
  <c r="E33" i="17"/>
  <c r="Q24" i="25" s="1"/>
  <c r="E32" i="17"/>
  <c r="P24" i="25" s="1"/>
  <c r="S24" i="25" s="1"/>
  <c r="B59" i="17"/>
  <c r="F24" i="25" s="1"/>
  <c r="B58" i="17"/>
  <c r="E24" i="25" s="1"/>
  <c r="F25" i="17"/>
  <c r="F24" i="17"/>
  <c r="D16" i="17"/>
  <c r="D18" i="17" s="1"/>
  <c r="D19" i="17" s="1"/>
  <c r="C54" i="17" s="1"/>
  <c r="C16" i="17"/>
  <c r="C17" i="17" s="1"/>
  <c r="A16" i="17"/>
  <c r="E9" i="17"/>
  <c r="B12" i="19" l="1"/>
  <c r="D36" i="19"/>
  <c r="L26" i="25" s="1"/>
  <c r="A13" i="18"/>
  <c r="B12" i="18"/>
  <c r="D36" i="18"/>
  <c r="L25" i="25" s="1"/>
  <c r="B13" i="18"/>
  <c r="Y135" i="20" s="1"/>
  <c r="D36" i="17"/>
  <c r="L24" i="25" s="1"/>
  <c r="B12" i="17"/>
  <c r="E37" i="19"/>
  <c r="C66" i="19" s="1"/>
  <c r="AC33" i="20" s="1"/>
  <c r="D35" i="19"/>
  <c r="K26" i="25" s="1"/>
  <c r="M26" i="25" s="1"/>
  <c r="D35" i="18"/>
  <c r="K25" i="25" s="1"/>
  <c r="M25" i="25" s="1"/>
  <c r="D35" i="17"/>
  <c r="B60" i="19"/>
  <c r="A19" i="19"/>
  <c r="AK28" i="20" s="1"/>
  <c r="AC31" i="20"/>
  <c r="AB36" i="20"/>
  <c r="B16" i="19"/>
  <c r="B18" i="19" s="1"/>
  <c r="C37" i="19"/>
  <c r="AB32" i="20" s="1"/>
  <c r="Z31" i="20"/>
  <c r="Y36" i="20"/>
  <c r="E37" i="18"/>
  <c r="C66" i="18" s="1"/>
  <c r="Z33" i="20" s="1"/>
  <c r="C37" i="18"/>
  <c r="Y32" i="20" s="1"/>
  <c r="B60" i="18"/>
  <c r="E37" i="17"/>
  <c r="C66" i="17" s="1"/>
  <c r="W33" i="20" s="1"/>
  <c r="V36" i="20"/>
  <c r="B53" i="19"/>
  <c r="D37" i="19"/>
  <c r="C18" i="19"/>
  <c r="C19" i="19" s="1"/>
  <c r="D18" i="19"/>
  <c r="D19" i="19" s="1"/>
  <c r="C54" i="19" s="1"/>
  <c r="B16" i="18"/>
  <c r="C18" i="18"/>
  <c r="C19" i="18" s="1"/>
  <c r="A16" i="18"/>
  <c r="D18" i="18"/>
  <c r="D19" i="18" s="1"/>
  <c r="C54" i="18" s="1"/>
  <c r="A17" i="17"/>
  <c r="A19" i="17"/>
  <c r="AE28" i="20" s="1"/>
  <c r="A18" i="17"/>
  <c r="B60" i="17"/>
  <c r="B16" i="17"/>
  <c r="C37" i="17"/>
  <c r="C18" i="17"/>
  <c r="C19" i="17" s="1"/>
  <c r="D37" i="17" l="1"/>
  <c r="K24" i="25"/>
  <c r="M24" i="25" s="1"/>
  <c r="W31" i="20"/>
  <c r="AC34" i="20"/>
  <c r="Z34" i="20"/>
  <c r="B19" i="19"/>
  <c r="B71" i="19" s="1"/>
  <c r="D37" i="18"/>
  <c r="E40" i="18" s="1"/>
  <c r="E165" i="20" s="1"/>
  <c r="W34" i="20"/>
  <c r="C53" i="19"/>
  <c r="C71" i="19"/>
  <c r="E40" i="19"/>
  <c r="E166" i="20" s="1"/>
  <c r="C65" i="19"/>
  <c r="C67" i="19" s="1"/>
  <c r="C53" i="18"/>
  <c r="B18" i="18"/>
  <c r="B19" i="18" s="1"/>
  <c r="Y27" i="20" s="1"/>
  <c r="A17" i="18"/>
  <c r="A18" i="18"/>
  <c r="C53" i="17"/>
  <c r="C71" i="17"/>
  <c r="B18" i="17"/>
  <c r="B19" i="17" s="1"/>
  <c r="V27" i="20" s="1"/>
  <c r="B53" i="17"/>
  <c r="C65" i="17"/>
  <c r="C67" i="17" s="1"/>
  <c r="E40" i="17"/>
  <c r="E164" i="20" s="1"/>
  <c r="AB27" i="20" l="1"/>
  <c r="AB34" i="20" s="1"/>
  <c r="C55" i="19"/>
  <c r="C69" i="19" s="1"/>
  <c r="B26" i="25"/>
  <c r="C55" i="18"/>
  <c r="C55" i="17"/>
  <c r="B24" i="25"/>
  <c r="B54" i="19"/>
  <c r="E21" i="19"/>
  <c r="E39" i="19" s="1"/>
  <c r="D166" i="20" s="1"/>
  <c r="C65" i="18"/>
  <c r="C67" i="18" s="1"/>
  <c r="B54" i="18"/>
  <c r="C25" i="25" s="1"/>
  <c r="A19" i="18"/>
  <c r="Y28" i="20" s="1"/>
  <c r="Y134" i="20" s="1"/>
  <c r="C71" i="18"/>
  <c r="B71" i="18"/>
  <c r="B54" i="17"/>
  <c r="B71" i="17"/>
  <c r="E21" i="17"/>
  <c r="C69" i="17"/>
  <c r="B55" i="19" l="1"/>
  <c r="B69" i="19" s="1"/>
  <c r="C26" i="25"/>
  <c r="C69" i="18"/>
  <c r="B55" i="17"/>
  <c r="B69" i="17" s="1"/>
  <c r="C24" i="25"/>
  <c r="E41" i="19"/>
  <c r="Y34" i="20"/>
  <c r="E21" i="18"/>
  <c r="E41" i="18" s="1"/>
  <c r="B53" i="18"/>
  <c r="E39" i="17"/>
  <c r="D164" i="20" s="1"/>
  <c r="E41" i="17"/>
  <c r="B55" i="18" l="1"/>
  <c r="B69" i="18" s="1"/>
  <c r="B25" i="25"/>
  <c r="E39" i="18"/>
  <c r="D165" i="20" s="1"/>
  <c r="B79" i="16"/>
  <c r="B67" i="16"/>
  <c r="C50" i="16"/>
  <c r="B50" i="16"/>
  <c r="C79" i="16"/>
  <c r="E33" i="16"/>
  <c r="Q23" i="25" s="1"/>
  <c r="E32" i="16"/>
  <c r="P23" i="25" s="1"/>
  <c r="B59" i="16"/>
  <c r="F23" i="25" s="1"/>
  <c r="B58" i="16"/>
  <c r="E23" i="25" s="1"/>
  <c r="F25" i="16"/>
  <c r="F24" i="16"/>
  <c r="A18" i="16"/>
  <c r="D16" i="16"/>
  <c r="C16" i="16"/>
  <c r="C17" i="16" s="1"/>
  <c r="A16" i="16"/>
  <c r="A17" i="16" s="1"/>
  <c r="A19" i="16" s="1"/>
  <c r="E9" i="16"/>
  <c r="B79" i="15"/>
  <c r="B67" i="15"/>
  <c r="C50" i="15"/>
  <c r="B50" i="15"/>
  <c r="C79" i="15"/>
  <c r="E33" i="15"/>
  <c r="Q22" i="25" s="1"/>
  <c r="E32" i="15"/>
  <c r="P22" i="25" s="1"/>
  <c r="S22" i="25" s="1"/>
  <c r="B59" i="15"/>
  <c r="F22" i="25" s="1"/>
  <c r="B58" i="15"/>
  <c r="E22" i="25" s="1"/>
  <c r="F25" i="15"/>
  <c r="F24" i="15"/>
  <c r="D16" i="15"/>
  <c r="C16" i="15"/>
  <c r="C17" i="15" s="1"/>
  <c r="E9" i="15"/>
  <c r="B79" i="14"/>
  <c r="B67" i="14"/>
  <c r="C50" i="14"/>
  <c r="B50" i="14"/>
  <c r="C79" i="14"/>
  <c r="E33" i="14"/>
  <c r="Q21" i="25" s="1"/>
  <c r="E32" i="14"/>
  <c r="P21" i="25" s="1"/>
  <c r="S21" i="25" s="1"/>
  <c r="B59" i="14"/>
  <c r="F21" i="25" s="1"/>
  <c r="B58" i="14"/>
  <c r="E21" i="25" s="1"/>
  <c r="F25" i="14"/>
  <c r="F24" i="14"/>
  <c r="A18" i="14"/>
  <c r="D16" i="14"/>
  <c r="C16" i="14"/>
  <c r="C17" i="14" s="1"/>
  <c r="A16" i="14"/>
  <c r="A17" i="14" s="1"/>
  <c r="A19" i="14" s="1"/>
  <c r="E9" i="14"/>
  <c r="S23" i="25" l="1"/>
  <c r="D36" i="16"/>
  <c r="D35" i="16"/>
  <c r="K23" i="25" s="1"/>
  <c r="B13" i="15"/>
  <c r="P135" i="20" s="1"/>
  <c r="D36" i="15"/>
  <c r="L22" i="25" s="1"/>
  <c r="A13" i="15"/>
  <c r="D35" i="15"/>
  <c r="K22" i="25" s="1"/>
  <c r="M22" i="25" s="1"/>
  <c r="D36" i="14"/>
  <c r="L21" i="25" s="1"/>
  <c r="D35" i="14"/>
  <c r="K21" i="25" s="1"/>
  <c r="M21" i="25" s="1"/>
  <c r="B60" i="16"/>
  <c r="B60" i="14"/>
  <c r="S36" i="20"/>
  <c r="E37" i="16"/>
  <c r="C66" i="16" s="1"/>
  <c r="T33" i="20" s="1"/>
  <c r="C37" i="16"/>
  <c r="S32" i="20" s="1"/>
  <c r="B60" i="15"/>
  <c r="C37" i="15"/>
  <c r="Q31" i="20"/>
  <c r="P36" i="20"/>
  <c r="E37" i="15"/>
  <c r="C66" i="15" s="1"/>
  <c r="Q33" i="20" s="1"/>
  <c r="A16" i="15"/>
  <c r="A18" i="15" s="1"/>
  <c r="C37" i="14"/>
  <c r="M32" i="20" s="1"/>
  <c r="E37" i="14"/>
  <c r="C66" i="14" s="1"/>
  <c r="N33" i="20" s="1"/>
  <c r="N31" i="20"/>
  <c r="M36" i="20"/>
  <c r="B53" i="16"/>
  <c r="D19" i="16"/>
  <c r="C54" i="16" s="1"/>
  <c r="D37" i="16"/>
  <c r="C18" i="16"/>
  <c r="C19" i="16"/>
  <c r="B12" i="16"/>
  <c r="B16" i="16" s="1"/>
  <c r="D18" i="16"/>
  <c r="D37" i="15"/>
  <c r="C18" i="15"/>
  <c r="C19" i="15"/>
  <c r="B12" i="15"/>
  <c r="B16" i="15" s="1"/>
  <c r="D18" i="15"/>
  <c r="D19" i="15" s="1"/>
  <c r="C54" i="15" s="1"/>
  <c r="B53" i="14"/>
  <c r="D37" i="14"/>
  <c r="B12" i="14"/>
  <c r="B16" i="14" s="1"/>
  <c r="C18" i="14"/>
  <c r="C19" i="14" s="1"/>
  <c r="D18" i="14"/>
  <c r="D19" i="14" s="1"/>
  <c r="C54" i="14" s="1"/>
  <c r="T31" i="20" l="1"/>
  <c r="L23" i="25"/>
  <c r="M23" i="25" s="1"/>
  <c r="A17" i="15"/>
  <c r="A19" i="15" s="1"/>
  <c r="P32" i="20"/>
  <c r="N34" i="20"/>
  <c r="E40" i="16"/>
  <c r="E163" i="20" s="1"/>
  <c r="C65" i="16"/>
  <c r="C67" i="16" s="1"/>
  <c r="C71" i="16"/>
  <c r="C53" i="16"/>
  <c r="C55" i="16" s="1"/>
  <c r="B18" i="16"/>
  <c r="B19" i="16" s="1"/>
  <c r="S27" i="20" s="1"/>
  <c r="C53" i="15"/>
  <c r="C55" i="15" s="1"/>
  <c r="C71" i="15"/>
  <c r="C65" i="15"/>
  <c r="C67" i="15" s="1"/>
  <c r="E40" i="15"/>
  <c r="E162" i="20" s="1"/>
  <c r="B18" i="15"/>
  <c r="B19" i="15" s="1"/>
  <c r="P27" i="20" s="1"/>
  <c r="C71" i="14"/>
  <c r="C53" i="14"/>
  <c r="C55" i="14" s="1"/>
  <c r="C65" i="14"/>
  <c r="C67" i="14" s="1"/>
  <c r="E40" i="14"/>
  <c r="E161" i="20" s="1"/>
  <c r="B18" i="14"/>
  <c r="B19" i="14" s="1"/>
  <c r="M27" i="20" s="1"/>
  <c r="B54" i="15" l="1"/>
  <c r="C22" i="25" s="1"/>
  <c r="P28" i="20"/>
  <c r="P134" i="20" s="1"/>
  <c r="D139" i="20" s="1"/>
  <c r="B53" i="15"/>
  <c r="C69" i="15"/>
  <c r="C69" i="16"/>
  <c r="S34" i="20"/>
  <c r="M34" i="20"/>
  <c r="C69" i="14"/>
  <c r="B54" i="16"/>
  <c r="B71" i="16"/>
  <c r="E21" i="16"/>
  <c r="E21" i="15"/>
  <c r="B71" i="15"/>
  <c r="B54" i="14"/>
  <c r="B71" i="14"/>
  <c r="E21" i="14"/>
  <c r="B55" i="16" l="1"/>
  <c r="B69" i="16" s="1"/>
  <c r="C23" i="25"/>
  <c r="B55" i="15"/>
  <c r="B69" i="15" s="1"/>
  <c r="B22" i="25"/>
  <c r="B55" i="14"/>
  <c r="B69" i="14" s="1"/>
  <c r="C21" i="25"/>
  <c r="E39" i="16"/>
  <c r="D163" i="20" s="1"/>
  <c r="E41" i="16"/>
  <c r="E39" i="15"/>
  <c r="D162" i="20" s="1"/>
  <c r="E41" i="15"/>
  <c r="E39" i="14"/>
  <c r="D161" i="20" s="1"/>
  <c r="E41" i="14"/>
  <c r="B79" i="13" l="1"/>
  <c r="C79" i="13"/>
  <c r="B67" i="13"/>
  <c r="C50" i="13"/>
  <c r="B50" i="13"/>
  <c r="E33" i="13"/>
  <c r="Q20" i="25" s="1"/>
  <c r="E32" i="13"/>
  <c r="P20" i="25" s="1"/>
  <c r="S20" i="25" s="1"/>
  <c r="B59" i="13"/>
  <c r="F20" i="25" s="1"/>
  <c r="B58" i="13"/>
  <c r="E20" i="25" s="1"/>
  <c r="F25" i="13"/>
  <c r="F24" i="13"/>
  <c r="A18" i="13"/>
  <c r="D16" i="13"/>
  <c r="C16" i="13"/>
  <c r="C17" i="13" s="1"/>
  <c r="A16" i="13"/>
  <c r="A17" i="13" s="1"/>
  <c r="A19" i="13" s="1"/>
  <c r="E9" i="13"/>
  <c r="D36" i="13" s="1"/>
  <c r="L20" i="25" s="1"/>
  <c r="B79" i="12"/>
  <c r="B67" i="12"/>
  <c r="C50" i="12"/>
  <c r="B50" i="12"/>
  <c r="C79" i="12"/>
  <c r="E33" i="12"/>
  <c r="Q19" i="25" s="1"/>
  <c r="E32" i="12"/>
  <c r="P19" i="25" s="1"/>
  <c r="S19" i="25" s="1"/>
  <c r="B59" i="12"/>
  <c r="F19" i="25" s="1"/>
  <c r="B58" i="12"/>
  <c r="F25" i="12"/>
  <c r="F24" i="12"/>
  <c r="D18" i="12"/>
  <c r="D19" i="12" s="1"/>
  <c r="C54" i="12" s="1"/>
  <c r="D16" i="12"/>
  <c r="C16" i="12"/>
  <c r="C17" i="12" s="1"/>
  <c r="E9" i="12"/>
  <c r="B79" i="11"/>
  <c r="B67" i="11"/>
  <c r="C50" i="11"/>
  <c r="B50" i="11"/>
  <c r="C79" i="11"/>
  <c r="E33" i="11"/>
  <c r="Q18" i="25" s="1"/>
  <c r="E32" i="11"/>
  <c r="P18" i="25" s="1"/>
  <c r="B59" i="11"/>
  <c r="F18" i="25" s="1"/>
  <c r="C37" i="11"/>
  <c r="D32" i="20" s="1"/>
  <c r="F25" i="11"/>
  <c r="F24" i="11"/>
  <c r="C18" i="11"/>
  <c r="C19" i="11" s="1"/>
  <c r="C17" i="11"/>
  <c r="D16" i="11"/>
  <c r="C16" i="11"/>
  <c r="A16" i="11"/>
  <c r="A17" i="11" s="1"/>
  <c r="E9" i="11"/>
  <c r="D36" i="11" s="1"/>
  <c r="L18" i="25" s="1"/>
  <c r="S18" i="25" l="1"/>
  <c r="B60" i="12"/>
  <c r="E19" i="25"/>
  <c r="B13" i="12"/>
  <c r="D36" i="12"/>
  <c r="A13" i="12"/>
  <c r="D35" i="13"/>
  <c r="K20" i="25" s="1"/>
  <c r="M20" i="25" s="1"/>
  <c r="D35" i="12"/>
  <c r="K19" i="25" s="1"/>
  <c r="A16" i="12"/>
  <c r="A17" i="12" s="1"/>
  <c r="D36" i="20"/>
  <c r="AE36" i="20" s="1"/>
  <c r="D35" i="11"/>
  <c r="K18" i="25" s="1"/>
  <c r="B60" i="13"/>
  <c r="C37" i="13"/>
  <c r="J32" i="20" s="1"/>
  <c r="AK32" i="20" s="1"/>
  <c r="J36" i="20"/>
  <c r="AK36" i="20" s="1"/>
  <c r="E37" i="13"/>
  <c r="C66" i="13" s="1"/>
  <c r="K33" i="20" s="1"/>
  <c r="C37" i="12"/>
  <c r="G32" i="20" s="1"/>
  <c r="AH32" i="20" s="1"/>
  <c r="G36" i="20"/>
  <c r="AH36" i="20" s="1"/>
  <c r="E37" i="12"/>
  <c r="C66" i="12" s="1"/>
  <c r="H33" i="20" s="1"/>
  <c r="B12" i="11"/>
  <c r="B16" i="11" s="1"/>
  <c r="E31" i="20"/>
  <c r="B53" i="13"/>
  <c r="D19" i="13"/>
  <c r="C54" i="13" s="1"/>
  <c r="D37" i="13"/>
  <c r="C18" i="13"/>
  <c r="C19" i="13"/>
  <c r="B12" i="13"/>
  <c r="B16" i="13" s="1"/>
  <c r="D18" i="13"/>
  <c r="D37" i="12"/>
  <c r="G135" i="20"/>
  <c r="D135" i="20" s="1"/>
  <c r="C18" i="12"/>
  <c r="C19" i="12" s="1"/>
  <c r="B12" i="12"/>
  <c r="B16" i="12" s="1"/>
  <c r="B18" i="11"/>
  <c r="B19" i="11" s="1"/>
  <c r="D27" i="20" s="1"/>
  <c r="C53" i="11"/>
  <c r="A19" i="11"/>
  <c r="B58" i="11"/>
  <c r="D18" i="11"/>
  <c r="D19" i="11" s="1"/>
  <c r="A18" i="11"/>
  <c r="E37" i="11"/>
  <c r="C66" i="11" s="1"/>
  <c r="E33" i="20" s="1"/>
  <c r="H31" i="20" l="1"/>
  <c r="L19" i="25"/>
  <c r="L28" i="25" s="1"/>
  <c r="M19" i="25"/>
  <c r="D116" i="20"/>
  <c r="K28" i="25"/>
  <c r="M18" i="25"/>
  <c r="B60" i="11"/>
  <c r="E18" i="25"/>
  <c r="D115" i="20"/>
  <c r="A18" i="12"/>
  <c r="AF33" i="20"/>
  <c r="K31" i="20"/>
  <c r="AL33" i="20"/>
  <c r="A19" i="12"/>
  <c r="G28" i="20" s="1"/>
  <c r="Q34" i="20"/>
  <c r="H34" i="20"/>
  <c r="AI31" i="20"/>
  <c r="H48" i="20" s="1"/>
  <c r="B54" i="11"/>
  <c r="C18" i="25" s="1"/>
  <c r="AF31" i="20"/>
  <c r="D37" i="11"/>
  <c r="C65" i="11" s="1"/>
  <c r="C67" i="11" s="1"/>
  <c r="C71" i="13"/>
  <c r="C53" i="13"/>
  <c r="C55" i="13" s="1"/>
  <c r="C65" i="13"/>
  <c r="C67" i="13" s="1"/>
  <c r="E40" i="13"/>
  <c r="E160" i="20" s="1"/>
  <c r="B18" i="13"/>
  <c r="B19" i="13" s="1"/>
  <c r="J27" i="20" s="1"/>
  <c r="C53" i="12"/>
  <c r="C55" i="12" s="1"/>
  <c r="C71" i="12"/>
  <c r="E40" i="12"/>
  <c r="E159" i="20" s="1"/>
  <c r="C65" i="12"/>
  <c r="C67" i="12" s="1"/>
  <c r="B18" i="12"/>
  <c r="B19" i="12" s="1"/>
  <c r="G27" i="20" s="1"/>
  <c r="B53" i="11"/>
  <c r="E21" i="11"/>
  <c r="B71" i="11"/>
  <c r="C54" i="11"/>
  <c r="C55" i="11"/>
  <c r="M28" i="25" l="1"/>
  <c r="B36" i="25" s="1"/>
  <c r="AH28" i="20"/>
  <c r="G134" i="20"/>
  <c r="D134" i="20" s="1"/>
  <c r="B53" i="12"/>
  <c r="B19" i="25" s="1"/>
  <c r="E34" i="20"/>
  <c r="AF34" i="20"/>
  <c r="E48" i="20"/>
  <c r="C69" i="11"/>
  <c r="J34" i="20"/>
  <c r="AK27" i="20"/>
  <c r="AK34" i="20" s="1"/>
  <c r="T34" i="20"/>
  <c r="K34" i="20"/>
  <c r="AL31" i="20"/>
  <c r="B54" i="12"/>
  <c r="C19" i="25" s="1"/>
  <c r="P34" i="20"/>
  <c r="AI33" i="20"/>
  <c r="AI34" i="20" s="1"/>
  <c r="C69" i="12"/>
  <c r="E40" i="11"/>
  <c r="E158" i="20" s="1"/>
  <c r="E168" i="20" s="1"/>
  <c r="C71" i="11"/>
  <c r="B55" i="11"/>
  <c r="B69" i="11" s="1"/>
  <c r="D34" i="20"/>
  <c r="AE27" i="20"/>
  <c r="B54" i="13"/>
  <c r="B71" i="13"/>
  <c r="E21" i="13"/>
  <c r="C69" i="13"/>
  <c r="E21" i="12"/>
  <c r="B71" i="12"/>
  <c r="E41" i="11"/>
  <c r="E39" i="11"/>
  <c r="D158" i="20" s="1"/>
  <c r="B55" i="13" l="1"/>
  <c r="B69" i="13" s="1"/>
  <c r="C20" i="25"/>
  <c r="B29" i="23"/>
  <c r="B55" i="12"/>
  <c r="B69" i="12" s="1"/>
  <c r="AL34" i="20"/>
  <c r="AO34" i="20" s="1"/>
  <c r="K48" i="20"/>
  <c r="N48" i="20" s="1"/>
  <c r="AH27" i="20"/>
  <c r="AH34" i="20" s="1"/>
  <c r="G34" i="20"/>
  <c r="E39" i="13"/>
  <c r="D160" i="20" s="1"/>
  <c r="E41" i="13"/>
  <c r="E39" i="12"/>
  <c r="D159" i="20" s="1"/>
  <c r="D168" i="20" s="1"/>
  <c r="E41" i="12"/>
  <c r="B78" i="10" l="1"/>
  <c r="B66" i="10"/>
  <c r="C49" i="10"/>
  <c r="B49" i="10"/>
  <c r="E34" i="10"/>
  <c r="R15" i="25" s="1"/>
  <c r="Q15" i="25"/>
  <c r="E32" i="10"/>
  <c r="P15" i="25" s="1"/>
  <c r="B58" i="10"/>
  <c r="F15" i="25" s="1"/>
  <c r="B57" i="10"/>
  <c r="E15" i="25" s="1"/>
  <c r="F25" i="10"/>
  <c r="F24" i="10"/>
  <c r="D16" i="10"/>
  <c r="C16" i="10"/>
  <c r="C18" i="10" s="1"/>
  <c r="E9" i="10"/>
  <c r="B78" i="9"/>
  <c r="B66" i="9"/>
  <c r="C49" i="9"/>
  <c r="B49" i="9"/>
  <c r="E34" i="9"/>
  <c r="R14" i="25" s="1"/>
  <c r="Q14" i="25"/>
  <c r="E32" i="9"/>
  <c r="P14" i="25" s="1"/>
  <c r="B58" i="9"/>
  <c r="F14" i="25" s="1"/>
  <c r="B57" i="9"/>
  <c r="E14" i="25" s="1"/>
  <c r="F24" i="9"/>
  <c r="D16" i="9"/>
  <c r="C16" i="9"/>
  <c r="C18" i="9" s="1"/>
  <c r="E9" i="9"/>
  <c r="B78" i="8"/>
  <c r="B66" i="8"/>
  <c r="C49" i="8"/>
  <c r="B49" i="8"/>
  <c r="E34" i="8"/>
  <c r="R13" i="25" s="1"/>
  <c r="Q13" i="25"/>
  <c r="E32" i="8"/>
  <c r="P13" i="25" s="1"/>
  <c r="B58" i="8"/>
  <c r="F13" i="25" s="1"/>
  <c r="B57" i="8"/>
  <c r="F25" i="8"/>
  <c r="F24" i="8"/>
  <c r="D16" i="8"/>
  <c r="C16" i="8"/>
  <c r="C17" i="8" s="1"/>
  <c r="E9" i="8"/>
  <c r="S15" i="25" l="1"/>
  <c r="S14" i="25"/>
  <c r="S13" i="25"/>
  <c r="B59" i="8"/>
  <c r="E13" i="25"/>
  <c r="B12" i="10"/>
  <c r="A10" i="10"/>
  <c r="B13" i="9"/>
  <c r="B12" i="9"/>
  <c r="A13" i="9"/>
  <c r="A10" i="9"/>
  <c r="Y13" i="20" s="1"/>
  <c r="B12" i="8"/>
  <c r="B16" i="8" s="1"/>
  <c r="B18" i="8" s="1"/>
  <c r="B19" i="8" s="1"/>
  <c r="A10" i="8"/>
  <c r="C75" i="10"/>
  <c r="D35" i="9"/>
  <c r="Z14" i="20" s="1"/>
  <c r="C75" i="9"/>
  <c r="C75" i="8"/>
  <c r="C17" i="10"/>
  <c r="C19" i="10" s="1"/>
  <c r="C52" i="10" s="1"/>
  <c r="C17" i="9"/>
  <c r="C19" i="9" s="1"/>
  <c r="C52" i="9" s="1"/>
  <c r="D35" i="10"/>
  <c r="AC14" i="20" s="1"/>
  <c r="AB19" i="20"/>
  <c r="E36" i="10"/>
  <c r="C65" i="10" s="1"/>
  <c r="AC16" i="20" s="1"/>
  <c r="Y19" i="20"/>
  <c r="E36" i="9"/>
  <c r="C65" i="9" s="1"/>
  <c r="C36" i="8"/>
  <c r="D35" i="8"/>
  <c r="W14" i="20" s="1"/>
  <c r="V19" i="20"/>
  <c r="E36" i="8"/>
  <c r="C65" i="8" s="1"/>
  <c r="W16" i="20" s="1"/>
  <c r="B59" i="10"/>
  <c r="D18" i="10"/>
  <c r="D19" i="10" s="1"/>
  <c r="B16" i="10"/>
  <c r="C36" i="10"/>
  <c r="AB15" i="20" s="1"/>
  <c r="A16" i="10"/>
  <c r="A18" i="10" s="1"/>
  <c r="B59" i="9"/>
  <c r="D18" i="9"/>
  <c r="D19" i="9" s="1"/>
  <c r="C36" i="9"/>
  <c r="Y15" i="20" s="1"/>
  <c r="C18" i="8"/>
  <c r="C19" i="8" s="1"/>
  <c r="A16" i="8"/>
  <c r="A18" i="8" s="1"/>
  <c r="D18" i="8"/>
  <c r="D19" i="8" s="1"/>
  <c r="C53" i="8" s="1"/>
  <c r="V11" i="20" l="1"/>
  <c r="C78" i="10"/>
  <c r="U15" i="25"/>
  <c r="C78" i="9"/>
  <c r="U14" i="25"/>
  <c r="C78" i="8"/>
  <c r="U13" i="25"/>
  <c r="D36" i="9"/>
  <c r="C64" i="9" s="1"/>
  <c r="C66" i="9" s="1"/>
  <c r="A16" i="9"/>
  <c r="A17" i="9" s="1"/>
  <c r="D36" i="10"/>
  <c r="C64" i="10" s="1"/>
  <c r="C66" i="10" s="1"/>
  <c r="B16" i="9"/>
  <c r="B18" i="9" s="1"/>
  <c r="B19" i="9" s="1"/>
  <c r="Y128" i="20"/>
  <c r="Y12" i="20"/>
  <c r="Y127" i="20" s="1"/>
  <c r="A18" i="9"/>
  <c r="Z16" i="20"/>
  <c r="Z17" i="20" s="1"/>
  <c r="AC17" i="20"/>
  <c r="B53" i="8"/>
  <c r="C13" i="25" s="1"/>
  <c r="D36" i="8"/>
  <c r="E39" i="8" s="1"/>
  <c r="E151" i="20" s="1"/>
  <c r="W17" i="20"/>
  <c r="V32" i="20"/>
  <c r="V15" i="20"/>
  <c r="C53" i="10"/>
  <c r="A17" i="10"/>
  <c r="B18" i="10"/>
  <c r="B19" i="10" s="1"/>
  <c r="AB11" i="20" s="1"/>
  <c r="C54" i="10"/>
  <c r="C53" i="9"/>
  <c r="C54" i="9" s="1"/>
  <c r="C70" i="9"/>
  <c r="C52" i="8"/>
  <c r="C54" i="8" s="1"/>
  <c r="A17" i="8"/>
  <c r="E39" i="10" l="1"/>
  <c r="E39" i="9"/>
  <c r="E152" i="20" s="1"/>
  <c r="B53" i="9"/>
  <c r="C14" i="25" s="1"/>
  <c r="Y11" i="20"/>
  <c r="A19" i="9"/>
  <c r="B14" i="25" s="1"/>
  <c r="C70" i="10"/>
  <c r="E153" i="20"/>
  <c r="C68" i="10"/>
  <c r="C68" i="9"/>
  <c r="C70" i="8"/>
  <c r="B54" i="9"/>
  <c r="B68" i="9" s="1"/>
  <c r="Y17" i="20"/>
  <c r="E21" i="9"/>
  <c r="E38" i="9" s="1"/>
  <c r="D152" i="20" s="1"/>
  <c r="B70" i="9"/>
  <c r="C64" i="8"/>
  <c r="C66" i="8" s="1"/>
  <c r="C68" i="8" s="1"/>
  <c r="A19" i="10"/>
  <c r="AB13" i="20" s="1"/>
  <c r="B53" i="10"/>
  <c r="C15" i="25" s="1"/>
  <c r="A19" i="8"/>
  <c r="V13" i="20" s="1"/>
  <c r="V34" i="20"/>
  <c r="AE32" i="20"/>
  <c r="AE34" i="20" s="1"/>
  <c r="AN34" i="20" s="1"/>
  <c r="V17" i="20" l="1"/>
  <c r="B70" i="10"/>
  <c r="E21" i="10"/>
  <c r="E38" i="10" s="1"/>
  <c r="D153" i="20" s="1"/>
  <c r="E40" i="9"/>
  <c r="AB17" i="20"/>
  <c r="B70" i="8"/>
  <c r="E21" i="8"/>
  <c r="E40" i="8" s="1"/>
  <c r="B54" i="10" l="1"/>
  <c r="B68" i="10" s="1"/>
  <c r="B15" i="25"/>
  <c r="B54" i="8"/>
  <c r="B68" i="8" s="1"/>
  <c r="B13" i="25"/>
  <c r="E40" i="10"/>
  <c r="E38" i="8"/>
  <c r="D151" i="20" s="1"/>
  <c r="B78" i="7"/>
  <c r="B66" i="7"/>
  <c r="C49" i="7"/>
  <c r="B49" i="7"/>
  <c r="E34" i="7"/>
  <c r="R12" i="25" s="1"/>
  <c r="Q12" i="25"/>
  <c r="E32" i="7"/>
  <c r="P12" i="25" s="1"/>
  <c r="B58" i="7"/>
  <c r="F12" i="25" s="1"/>
  <c r="B57" i="7"/>
  <c r="E12" i="25" s="1"/>
  <c r="F25" i="7"/>
  <c r="F24" i="7"/>
  <c r="D16" i="7"/>
  <c r="C16" i="7"/>
  <c r="C17" i="7" s="1"/>
  <c r="B12" i="7"/>
  <c r="B16" i="7" s="1"/>
  <c r="E9" i="7"/>
  <c r="B78" i="5"/>
  <c r="B66" i="5"/>
  <c r="C49" i="5"/>
  <c r="B49" i="5"/>
  <c r="E34" i="5"/>
  <c r="R10" i="25" s="1"/>
  <c r="Q10" i="25"/>
  <c r="E32" i="5"/>
  <c r="B58" i="5"/>
  <c r="F10" i="25" s="1"/>
  <c r="B57" i="5"/>
  <c r="E10" i="25" s="1"/>
  <c r="F25" i="5"/>
  <c r="F24" i="5"/>
  <c r="D16" i="5"/>
  <c r="C16" i="5"/>
  <c r="C17" i="5" s="1"/>
  <c r="E9" i="5"/>
  <c r="S12" i="25" l="1"/>
  <c r="E36" i="5"/>
  <c r="C65" i="5" s="1"/>
  <c r="P10" i="25"/>
  <c r="S10" i="25" s="1"/>
  <c r="A10" i="7"/>
  <c r="A16" i="7" s="1"/>
  <c r="A18" i="7" s="1"/>
  <c r="D35" i="7"/>
  <c r="T14" i="20" s="1"/>
  <c r="S19" i="20"/>
  <c r="C75" i="7"/>
  <c r="U12" i="25" s="1"/>
  <c r="E36" i="7"/>
  <c r="C65" i="7" s="1"/>
  <c r="C75" i="5"/>
  <c r="A10" i="5"/>
  <c r="A16" i="5" s="1"/>
  <c r="A18" i="5" s="1"/>
  <c r="D35" i="5"/>
  <c r="N14" i="20" s="1"/>
  <c r="M19" i="20"/>
  <c r="B12" i="5"/>
  <c r="B16" i="5" s="1"/>
  <c r="B18" i="5" s="1"/>
  <c r="B19" i="5" s="1"/>
  <c r="M11" i="20" s="1"/>
  <c r="B59" i="5"/>
  <c r="B59" i="7"/>
  <c r="C36" i="7"/>
  <c r="S15" i="20" s="1"/>
  <c r="C36" i="5"/>
  <c r="M15" i="20" s="1"/>
  <c r="B18" i="7"/>
  <c r="B19" i="7" s="1"/>
  <c r="S11" i="20" s="1"/>
  <c r="C18" i="7"/>
  <c r="C19" i="7"/>
  <c r="D18" i="7"/>
  <c r="D19" i="7" s="1"/>
  <c r="C53" i="7" s="1"/>
  <c r="C18" i="5"/>
  <c r="C19" i="5" s="1"/>
  <c r="D18" i="5"/>
  <c r="D19" i="5" s="1"/>
  <c r="C53" i="5" s="1"/>
  <c r="A17" i="7" l="1"/>
  <c r="A19" i="7" s="1"/>
  <c r="S13" i="20" s="1"/>
  <c r="C78" i="7"/>
  <c r="T16" i="20"/>
  <c r="T17" i="20" s="1"/>
  <c r="D36" i="5"/>
  <c r="C70" i="5" s="1"/>
  <c r="C78" i="5"/>
  <c r="U10" i="25"/>
  <c r="B53" i="7"/>
  <c r="C12" i="25" s="1"/>
  <c r="D36" i="7"/>
  <c r="C64" i="7" s="1"/>
  <c r="C66" i="7" s="1"/>
  <c r="N16" i="20"/>
  <c r="N17" i="20" s="1"/>
  <c r="B53" i="5"/>
  <c r="C10" i="25" s="1"/>
  <c r="A17" i="5"/>
  <c r="A19" i="5" s="1"/>
  <c r="M13" i="20" s="1"/>
  <c r="S17" i="20"/>
  <c r="C52" i="7"/>
  <c r="C54" i="7" s="1"/>
  <c r="B70" i="7"/>
  <c r="E21" i="7"/>
  <c r="C52" i="5"/>
  <c r="C54" i="5" s="1"/>
  <c r="C64" i="5" l="1"/>
  <c r="C66" i="5" s="1"/>
  <c r="E39" i="5"/>
  <c r="E148" i="20" s="1"/>
  <c r="E39" i="7"/>
  <c r="E150" i="20" s="1"/>
  <c r="B54" i="7"/>
  <c r="B68" i="7" s="1"/>
  <c r="B12" i="25"/>
  <c r="C70" i="7"/>
  <c r="B54" i="5"/>
  <c r="B68" i="5" s="1"/>
  <c r="B70" i="5"/>
  <c r="E21" i="5"/>
  <c r="E40" i="5" s="1"/>
  <c r="M17" i="20"/>
  <c r="C68" i="5"/>
  <c r="E38" i="7"/>
  <c r="D150" i="20" s="1"/>
  <c r="E40" i="7"/>
  <c r="C68" i="7"/>
  <c r="B10" i="25" l="1"/>
  <c r="E38" i="5"/>
  <c r="D148" i="20" s="1"/>
  <c r="B78" i="4"/>
  <c r="B66" i="4"/>
  <c r="C49" i="4"/>
  <c r="B49" i="4"/>
  <c r="E34" i="4"/>
  <c r="R9" i="25" s="1"/>
  <c r="Q9" i="25"/>
  <c r="E32" i="4"/>
  <c r="B58" i="4"/>
  <c r="F9" i="25" s="1"/>
  <c r="B57" i="4"/>
  <c r="E9" i="25" s="1"/>
  <c r="F25" i="4"/>
  <c r="F24" i="4"/>
  <c r="D16" i="4"/>
  <c r="C16" i="4"/>
  <c r="C17" i="4" s="1"/>
  <c r="E9" i="4"/>
  <c r="A10" i="4" s="1"/>
  <c r="E36" i="4" l="1"/>
  <c r="C65" i="4" s="1"/>
  <c r="P9" i="25"/>
  <c r="S9" i="25" s="1"/>
  <c r="D35" i="4"/>
  <c r="A16" i="4"/>
  <c r="A18" i="4" s="1"/>
  <c r="C75" i="4"/>
  <c r="B59" i="4"/>
  <c r="K14" i="20"/>
  <c r="J19" i="20"/>
  <c r="AK19" i="20" s="1"/>
  <c r="J53" i="20" s="1"/>
  <c r="B12" i="4"/>
  <c r="B16" i="4" s="1"/>
  <c r="B18" i="4" s="1"/>
  <c r="B19" i="4" s="1"/>
  <c r="J11" i="20" s="1"/>
  <c r="C36" i="4"/>
  <c r="J15" i="20" s="1"/>
  <c r="AK15" i="20" s="1"/>
  <c r="J49" i="20" s="1"/>
  <c r="D36" i="4"/>
  <c r="C18" i="4"/>
  <c r="C19" i="4" s="1"/>
  <c r="D18" i="4"/>
  <c r="D19" i="4" s="1"/>
  <c r="C53" i="4" s="1"/>
  <c r="K16" i="20" l="1"/>
  <c r="AL16" i="20" s="1"/>
  <c r="K50" i="20" s="1"/>
  <c r="U9" i="25"/>
  <c r="C78" i="4"/>
  <c r="A17" i="4"/>
  <c r="A19" i="4" s="1"/>
  <c r="J13" i="20" s="1"/>
  <c r="AK13" i="20" s="1"/>
  <c r="J46" i="20" s="1"/>
  <c r="B53" i="4"/>
  <c r="C9" i="25" s="1"/>
  <c r="AL14" i="20"/>
  <c r="C52" i="4"/>
  <c r="C54" i="4" s="1"/>
  <c r="C70" i="4"/>
  <c r="C64" i="4"/>
  <c r="C66" i="4" s="1"/>
  <c r="E39" i="4"/>
  <c r="E147" i="20" s="1"/>
  <c r="K17" i="20" l="1"/>
  <c r="AL17" i="20"/>
  <c r="AL39" i="20" s="1"/>
  <c r="K47" i="20"/>
  <c r="K51" i="20" s="1"/>
  <c r="E21" i="4"/>
  <c r="E40" i="4" s="1"/>
  <c r="B70" i="4"/>
  <c r="AK11" i="20"/>
  <c r="J17" i="20"/>
  <c r="C68" i="4"/>
  <c r="B54" i="4" l="1"/>
  <c r="B68" i="4" s="1"/>
  <c r="B9" i="25"/>
  <c r="E38" i="4"/>
  <c r="D147" i="20" s="1"/>
  <c r="AK17" i="20"/>
  <c r="AK39" i="20" s="1"/>
  <c r="J44" i="20"/>
  <c r="J51" i="20" s="1"/>
  <c r="B78" i="3"/>
  <c r="B66" i="3"/>
  <c r="C49" i="3"/>
  <c r="B49" i="3"/>
  <c r="E34" i="3"/>
  <c r="R8" i="25" s="1"/>
  <c r="R28" i="25" s="1"/>
  <c r="B33" i="23" s="1"/>
  <c r="Q8" i="25"/>
  <c r="E32" i="3"/>
  <c r="P8" i="25" s="1"/>
  <c r="B58" i="3"/>
  <c r="F8" i="25" s="1"/>
  <c r="B57" i="3"/>
  <c r="E8" i="25" s="1"/>
  <c r="F25" i="3"/>
  <c r="F24" i="3"/>
  <c r="D16" i="3"/>
  <c r="C16" i="3"/>
  <c r="C17" i="3" s="1"/>
  <c r="E9" i="3"/>
  <c r="A10" i="3" s="1"/>
  <c r="S8" i="25" l="1"/>
  <c r="B13" i="3"/>
  <c r="G128" i="20" s="1"/>
  <c r="D128" i="20" s="1"/>
  <c r="A13" i="3"/>
  <c r="D35" i="3"/>
  <c r="H14" i="20" s="1"/>
  <c r="G13" i="20"/>
  <c r="E36" i="3"/>
  <c r="C65" i="3" s="1"/>
  <c r="C75" i="3"/>
  <c r="D113" i="20"/>
  <c r="G19" i="20"/>
  <c r="AH19" i="20" s="1"/>
  <c r="G53" i="20" s="1"/>
  <c r="B59" i="3"/>
  <c r="C36" i="3"/>
  <c r="G15" i="20" s="1"/>
  <c r="AH15" i="20" s="1"/>
  <c r="G49" i="20" s="1"/>
  <c r="C18" i="3"/>
  <c r="C19" i="3" s="1"/>
  <c r="B12" i="3"/>
  <c r="D18" i="3"/>
  <c r="D19" i="3" s="1"/>
  <c r="C53" i="3" s="1"/>
  <c r="C78" i="3" l="1"/>
  <c r="U8" i="25"/>
  <c r="U28" i="25" s="1"/>
  <c r="B43" i="25" s="1"/>
  <c r="H16" i="20"/>
  <c r="AI16" i="20" s="1"/>
  <c r="H50" i="20" s="1"/>
  <c r="A18" i="3"/>
  <c r="G12" i="20"/>
  <c r="G127" i="20" s="1"/>
  <c r="D127" i="20" s="1"/>
  <c r="D137" i="20" s="1"/>
  <c r="D141" i="20" s="1"/>
  <c r="A16" i="3"/>
  <c r="A17" i="3" s="1"/>
  <c r="AH13" i="20"/>
  <c r="G46" i="20" s="1"/>
  <c r="AI14" i="20"/>
  <c r="B16" i="3"/>
  <c r="B18" i="3" s="1"/>
  <c r="B19" i="3" s="1"/>
  <c r="G11" i="20" s="1"/>
  <c r="D36" i="3"/>
  <c r="C52" i="3"/>
  <c r="C54" i="3" s="1"/>
  <c r="A19" i="3" l="1"/>
  <c r="H17" i="20"/>
  <c r="AH12" i="20"/>
  <c r="D121" i="20" s="1"/>
  <c r="G45" i="20"/>
  <c r="M45" i="20" s="1"/>
  <c r="AI17" i="20"/>
  <c r="AI39" i="20" s="1"/>
  <c r="H47" i="20"/>
  <c r="H51" i="20" s="1"/>
  <c r="B53" i="3"/>
  <c r="C8" i="25" s="1"/>
  <c r="C64" i="3"/>
  <c r="C66" i="3" s="1"/>
  <c r="C68" i="3" s="1"/>
  <c r="E39" i="3"/>
  <c r="E146" i="20" s="1"/>
  <c r="C70" i="3"/>
  <c r="B70" i="3"/>
  <c r="E21" i="3"/>
  <c r="B8" i="25"/>
  <c r="B54" i="3" l="1"/>
  <c r="B68" i="3" s="1"/>
  <c r="AH11" i="20"/>
  <c r="G17" i="20"/>
  <c r="E38" i="3"/>
  <c r="D146" i="20" s="1"/>
  <c r="E40" i="3"/>
  <c r="AH17" i="20" l="1"/>
  <c r="AH39" i="20" s="1"/>
  <c r="G44" i="20"/>
  <c r="G51" i="20" s="1"/>
  <c r="E9" i="2"/>
  <c r="A10" i="2" s="1"/>
  <c r="C16" i="2"/>
  <c r="D16" i="2"/>
  <c r="C17" i="2"/>
  <c r="C18" i="2"/>
  <c r="D18" i="2"/>
  <c r="C19" i="2"/>
  <c r="D19" i="2"/>
  <c r="F24" i="2"/>
  <c r="F25" i="2"/>
  <c r="D110" i="20"/>
  <c r="B58" i="2"/>
  <c r="F7" i="25" s="1"/>
  <c r="F28" i="25" s="1"/>
  <c r="E32" i="2"/>
  <c r="Q7" i="25"/>
  <c r="Q28" i="25" s="1"/>
  <c r="C78" i="2"/>
  <c r="B49" i="2"/>
  <c r="C49" i="2"/>
  <c r="C53" i="2"/>
  <c r="B66" i="2"/>
  <c r="B78" i="2"/>
  <c r="E38" i="26" l="1"/>
  <c r="E40" i="26" s="1"/>
  <c r="D111" i="20"/>
  <c r="P7" i="25"/>
  <c r="D19" i="20"/>
  <c r="AE19" i="20" s="1"/>
  <c r="D53" i="20" s="1"/>
  <c r="D35" i="2"/>
  <c r="D114" i="20" s="1"/>
  <c r="A16" i="2"/>
  <c r="A18" i="2" s="1"/>
  <c r="E36" i="2"/>
  <c r="C65" i="2" s="1"/>
  <c r="D112" i="20"/>
  <c r="B12" i="2"/>
  <c r="B16" i="2" s="1"/>
  <c r="B18" i="2" s="1"/>
  <c r="B19" i="2" s="1"/>
  <c r="D11" i="20" s="1"/>
  <c r="C36" i="2"/>
  <c r="D119" i="20" s="1"/>
  <c r="D15" i="20"/>
  <c r="B57" i="2"/>
  <c r="C52" i="2"/>
  <c r="C54" i="2" s="1"/>
  <c r="B24" i="23" l="1"/>
  <c r="E42" i="26"/>
  <c r="B32" i="23"/>
  <c r="P28" i="25"/>
  <c r="S7" i="25"/>
  <c r="S28" i="25" s="1"/>
  <c r="B37" i="25" s="1"/>
  <c r="B38" i="25" s="1"/>
  <c r="B59" i="2"/>
  <c r="E7" i="25"/>
  <c r="E28" i="25" s="1"/>
  <c r="E14" i="20"/>
  <c r="AF14" i="20" s="1"/>
  <c r="D36" i="2"/>
  <c r="C64" i="2" s="1"/>
  <c r="C66" i="2" s="1"/>
  <c r="C68" i="2" s="1"/>
  <c r="E16" i="20"/>
  <c r="AF16" i="20" s="1"/>
  <c r="E50" i="20" s="1"/>
  <c r="N50" i="20" s="1"/>
  <c r="N51" i="20" s="1"/>
  <c r="A17" i="2"/>
  <c r="A19" i="2" s="1"/>
  <c r="D13" i="20" s="1"/>
  <c r="B53" i="2"/>
  <c r="C7" i="25" s="1"/>
  <c r="C28" i="25" s="1"/>
  <c r="AE15" i="20"/>
  <c r="D49" i="20" s="1"/>
  <c r="B40" i="26" l="1"/>
  <c r="C70" i="2"/>
  <c r="B32" i="25"/>
  <c r="E39" i="2"/>
  <c r="E145" i="20" s="1"/>
  <c r="E155" i="20" s="1"/>
  <c r="E170" i="20" s="1"/>
  <c r="AE11" i="20"/>
  <c r="D44" i="20" s="1"/>
  <c r="M44" i="20" s="1"/>
  <c r="AE13" i="20"/>
  <c r="D46" i="20" s="1"/>
  <c r="E21" i="2"/>
  <c r="E40" i="2" s="1"/>
  <c r="B70" i="2"/>
  <c r="D66" i="20"/>
  <c r="D86" i="20" s="1"/>
  <c r="D91" i="20" s="1"/>
  <c r="G91" i="20" s="1"/>
  <c r="M49" i="20"/>
  <c r="E17" i="20"/>
  <c r="AF17" i="20"/>
  <c r="E47" i="20"/>
  <c r="E51" i="20" s="1"/>
  <c r="D17" i="20"/>
  <c r="E38" i="2"/>
  <c r="D145" i="20" s="1"/>
  <c r="D155" i="20" s="1"/>
  <c r="D170" i="20" s="1"/>
  <c r="D171" i="20" s="1"/>
  <c r="B31" i="23" l="1"/>
  <c r="B35" i="23" s="1"/>
  <c r="G40" i="26"/>
  <c r="B54" i="2"/>
  <c r="B68" i="2" s="1"/>
  <c r="B7" i="25"/>
  <c r="B28" i="25" s="1"/>
  <c r="B31" i="25" s="1"/>
  <c r="B33" i="25" s="1"/>
  <c r="B40" i="25" s="1"/>
  <c r="G26" i="26"/>
  <c r="B26" i="26"/>
  <c r="B28" i="26" s="1"/>
  <c r="B42" i="26" s="1"/>
  <c r="D51" i="20"/>
  <c r="AE17" i="20"/>
  <c r="AN17" i="20" s="1"/>
  <c r="AN37" i="20" s="1"/>
  <c r="G66" i="20"/>
  <c r="E67" i="20"/>
  <c r="E87" i="20" s="1"/>
  <c r="E92" i="20" s="1"/>
  <c r="E93" i="20" s="1"/>
  <c r="D67" i="20"/>
  <c r="D87" i="20" s="1"/>
  <c r="D92" i="20" s="1"/>
  <c r="D93" i="20" s="1"/>
  <c r="M46" i="20"/>
  <c r="M51" i="20" s="1"/>
  <c r="D120" i="20"/>
  <c r="G86" i="20"/>
  <c r="AO17" i="20"/>
  <c r="AO37" i="20" s="1"/>
  <c r="AF39" i="20"/>
  <c r="AO39" i="20" s="1"/>
  <c r="AE39" i="20" l="1"/>
  <c r="AN39" i="20" s="1"/>
  <c r="G28" i="26"/>
  <c r="G42" i="26" s="1"/>
  <c r="B9" i="23"/>
  <c r="B21" i="23" s="1"/>
  <c r="B37" i="23" s="1"/>
  <c r="E68" i="20"/>
  <c r="P95" i="20"/>
  <c r="P98" i="20" s="1"/>
  <c r="G67" i="20"/>
  <c r="G68" i="20" s="1"/>
  <c r="G70" i="20" s="1"/>
  <c r="D88" i="20"/>
  <c r="G87" i="20"/>
  <c r="G88" i="20" s="1"/>
  <c r="D68" i="20"/>
  <c r="D70" i="20" s="1"/>
  <c r="G92" i="20"/>
  <c r="G93" i="20" s="1"/>
  <c r="E88" i="20"/>
  <c r="E70" i="20"/>
  <c r="D172" i="20" l="1"/>
  <c r="D174" i="20" s="1"/>
</calcChain>
</file>

<file path=xl/sharedStrings.xml><?xml version="1.0" encoding="utf-8"?>
<sst xmlns="http://schemas.openxmlformats.org/spreadsheetml/2006/main" count="2451" uniqueCount="309">
  <si>
    <t>Construction ends Dec 2026</t>
  </si>
  <si>
    <t>6 year duration</t>
  </si>
  <si>
    <t>Construction starts Jan 2020</t>
  </si>
  <si>
    <t>Customer engagement and RFP - 2019 through 2020</t>
  </si>
  <si>
    <t>Decision by end of 2018</t>
  </si>
  <si>
    <t>Assumptions:</t>
  </si>
  <si>
    <t>Note:  Out Years includes O&amp;M costs beyond 2027</t>
  </si>
  <si>
    <t>Total</t>
  </si>
  <si>
    <t>EVSE Replacement</t>
  </si>
  <si>
    <t>Labor</t>
  </si>
  <si>
    <t>Non-Labor</t>
  </si>
  <si>
    <t>O&amp;M</t>
  </si>
  <si>
    <t>Capital</t>
  </si>
  <si>
    <t>O&amp;M Out Years</t>
  </si>
  <si>
    <t>Check</t>
  </si>
  <si>
    <t>Subtotal</t>
  </si>
  <si>
    <t>Other O&amp;M</t>
  </si>
  <si>
    <t>Direct Costs</t>
  </si>
  <si>
    <t>Purchased</t>
  </si>
  <si>
    <t>Self Developed</t>
  </si>
  <si>
    <t>Account C303 - Software</t>
  </si>
  <si>
    <t>E398</t>
  </si>
  <si>
    <t>E368</t>
  </si>
  <si>
    <t>Summary by FERC Account for input to Revenue Requirements model</t>
  </si>
  <si>
    <t>Total CapEx and O&amp;M</t>
  </si>
  <si>
    <t>O&amp;M Total</t>
  </si>
  <si>
    <t>CapEx Total</t>
  </si>
  <si>
    <t>Customer Participation Payment</t>
  </si>
  <si>
    <t>1 service call for each installation spread over 5 years @ $250 each</t>
  </si>
  <si>
    <t>Maintenance (service calls)</t>
  </si>
  <si>
    <t>($100K each for two contractors for 5 year project duration)</t>
  </si>
  <si>
    <t>SDG&amp;E  Clean Transportation PM</t>
  </si>
  <si>
    <t>($80K for five years for contractor)</t>
  </si>
  <si>
    <t>Billing Support</t>
  </si>
  <si>
    <t>Purchased Software</t>
  </si>
  <si>
    <t>Self Developed Software</t>
  </si>
  <si>
    <t>Measurement &amp; Evaluation</t>
  </si>
  <si>
    <t xml:space="preserve">Advertising </t>
  </si>
  <si>
    <t>Customer Engagement</t>
  </si>
  <si>
    <t>O&amp;M Labor</t>
  </si>
  <si>
    <t>Additional CapEx, O&amp;M Costs</t>
  </si>
  <si>
    <t>CapEx</t>
  </si>
  <si>
    <t>15% Contingency</t>
  </si>
  <si>
    <t>8% Tax</t>
  </si>
  <si>
    <t>EVSE Installation @ $1425 (including permit)</t>
  </si>
  <si>
    <t>Percentage</t>
  </si>
  <si>
    <t>Overall</t>
  </si>
  <si>
    <t>Quantity</t>
  </si>
  <si>
    <t>Calc</t>
  </si>
  <si>
    <t>Charging Equipment Cost Estimate</t>
  </si>
  <si>
    <t>Table HC-1</t>
  </si>
  <si>
    <t xml:space="preserve">     All cost estimates are unloaded</t>
  </si>
  <si>
    <t xml:space="preserve">     Revised 6/8/17 - RLS</t>
  </si>
  <si>
    <t>SDG&amp;E Home Charging Cost Estimate</t>
  </si>
  <si>
    <t>Separate Meter @ $100 &amp; Installation @ $300</t>
  </si>
  <si>
    <t>$0 Participation Payment for DAC</t>
  </si>
  <si>
    <t>ASSUMPTIONS</t>
  </si>
  <si>
    <t>50% of Single Family Customer Choose Option-I</t>
  </si>
  <si>
    <t>50% of Single Family Customer Choose Option-II</t>
  </si>
  <si>
    <t>OPTION-I</t>
  </si>
  <si>
    <t>SDG&amp;E Costs</t>
  </si>
  <si>
    <t>Whole Home</t>
  </si>
  <si>
    <t>Separate Meter</t>
  </si>
  <si>
    <t>Sub-Meter</t>
  </si>
  <si>
    <t>No.</t>
  </si>
  <si>
    <t>Items</t>
  </si>
  <si>
    <t>(1)</t>
  </si>
  <si>
    <t>New Circuit</t>
  </si>
  <si>
    <t>(2)</t>
  </si>
  <si>
    <t>N/A</t>
  </si>
  <si>
    <t>(3)</t>
  </si>
  <si>
    <t>EVSE</t>
  </si>
  <si>
    <t>(4)</t>
  </si>
  <si>
    <t>Participation Payment</t>
  </si>
  <si>
    <t>(5)</t>
  </si>
  <si>
    <t>IT Costs</t>
  </si>
  <si>
    <t>(6)</t>
  </si>
  <si>
    <t>O&amp;M Costs</t>
  </si>
  <si>
    <t xml:space="preserve">   Subtotal</t>
  </si>
  <si>
    <t>OPTION-II</t>
  </si>
  <si>
    <t>CUSTOMER OWNS THE EVSE</t>
  </si>
  <si>
    <t>Allowance for EVSE</t>
  </si>
  <si>
    <t>(7)</t>
  </si>
  <si>
    <t>SDG&amp;E % - O&amp;M Costs</t>
  </si>
  <si>
    <t># of EVSE's</t>
  </si>
  <si>
    <t>SINGLE FAMILY</t>
  </si>
  <si>
    <t>DAC's</t>
  </si>
  <si>
    <t>SDG&amp;E OWNS</t>
  </si>
  <si>
    <t>MULTI FAMILY</t>
  </si>
  <si>
    <t>TOTAL</t>
  </si>
  <si>
    <t>OPTION - I &amp; II</t>
  </si>
  <si>
    <t>SDG&amp;E OWNS 50% &amp; CUSTOMER OWNS 50% OF EVSE</t>
  </si>
  <si>
    <t>SINGLE FAMILY, MULTI FAMILY &amp; DAC'S</t>
  </si>
  <si>
    <t>Direct</t>
  </si>
  <si>
    <t>Cost</t>
  </si>
  <si>
    <t>Settlement</t>
  </si>
  <si>
    <t>EVSE Costs</t>
  </si>
  <si>
    <t xml:space="preserve">   Total Direct</t>
  </si>
  <si>
    <t>Check Fig</t>
  </si>
  <si>
    <t>Filed</t>
  </si>
  <si>
    <t>From This Worksheet</t>
  </si>
  <si>
    <t>From Rev Rec Input Worksheet</t>
  </si>
  <si>
    <t>Variance</t>
  </si>
  <si>
    <t>RECONCILIATION</t>
  </si>
  <si>
    <t>Difference</t>
  </si>
  <si>
    <t>Fully</t>
  </si>
  <si>
    <t>Loaded</t>
  </si>
  <si>
    <t>Earnings</t>
  </si>
  <si>
    <t>2018-2025</t>
  </si>
  <si>
    <t>Settlement Estimate</t>
  </si>
  <si>
    <t>Difference (less Earnigs then Filed</t>
  </si>
  <si>
    <t>Range</t>
  </si>
  <si>
    <t>$33 to $37</t>
  </si>
  <si>
    <t>Million</t>
  </si>
  <si>
    <t>1 service call for each installation spread over 5 years @ $200 each (utility portion)</t>
  </si>
  <si>
    <t xml:space="preserve"> - O&amp;M excludes routine Maintenance</t>
  </si>
  <si>
    <t>$125 Participation Payment</t>
  </si>
  <si>
    <t>Adjustment</t>
  </si>
  <si>
    <t>Before</t>
  </si>
  <si>
    <t>After</t>
  </si>
  <si>
    <t>EVSE Warranty</t>
  </si>
  <si>
    <t>Warranty on customer owned EVSE paid to EVSP</t>
  </si>
  <si>
    <t>$600,000 total</t>
  </si>
  <si>
    <t>$1,000,000 total</t>
  </si>
  <si>
    <t>Advertising</t>
  </si>
  <si>
    <t>Measuremet &amp; Evaluation</t>
  </si>
  <si>
    <t>CT Project Manager</t>
  </si>
  <si>
    <t>Service Call Maintenance</t>
  </si>
  <si>
    <t>Cust. Owns - Utility Contribution</t>
  </si>
  <si>
    <t>IT costs</t>
  </si>
  <si>
    <t>EVSE &amp; Circuit Modifications</t>
  </si>
  <si>
    <t>SDG&amp;E</t>
  </si>
  <si>
    <t>SDG&amp;E Owns</t>
  </si>
  <si>
    <t>Single Family</t>
  </si>
  <si>
    <t>Multi Family</t>
  </si>
  <si>
    <t>DAC</t>
  </si>
  <si>
    <t>Sep. MtR.</t>
  </si>
  <si>
    <t>Customer</t>
  </si>
  <si>
    <t>Customer Owns</t>
  </si>
  <si>
    <t>Total W/O SDG&amp;E MF</t>
  </si>
  <si>
    <t>SDG&amp;E MF</t>
  </si>
  <si>
    <t>Total With SDG&amp;E MF</t>
  </si>
  <si>
    <t xml:space="preserve">Total </t>
  </si>
  <si>
    <t>Level 2 EVSE Utility Contribution @ $500</t>
  </si>
  <si>
    <t>Check with Randy</t>
  </si>
  <si>
    <t>Level 2 EVSE Utility Contribution @ $600 for DAC</t>
  </si>
  <si>
    <t>EVSE Installation @ $1500 (including permit)</t>
  </si>
  <si>
    <t>Level 2 EVSE Utility Contribution @ $600</t>
  </si>
  <si>
    <t>90,000 EVSE</t>
  </si>
  <si>
    <t>Capital Costs</t>
  </si>
  <si>
    <t>Changes:</t>
  </si>
  <si>
    <t>Units</t>
  </si>
  <si>
    <t>CUSTOMER OWNS</t>
  </si>
  <si>
    <t>Whole</t>
  </si>
  <si>
    <t>Separate</t>
  </si>
  <si>
    <t>Sub</t>
  </si>
  <si>
    <t>Home</t>
  </si>
  <si>
    <t>Meter</t>
  </si>
  <si>
    <t>SF</t>
  </si>
  <si>
    <t>MF</t>
  </si>
  <si>
    <t>EVSE &amp; Installation</t>
  </si>
  <si>
    <t>Direct Capital Costs - Filed</t>
  </si>
  <si>
    <t xml:space="preserve">Increase-Infrastructure &amp; Billing </t>
  </si>
  <si>
    <t xml:space="preserve">Decrease-EVSE Cost SF </t>
  </si>
  <si>
    <t xml:space="preserve">Decrease-EVSE Cost MF </t>
  </si>
  <si>
    <t xml:space="preserve">Decrease-EVSE Cost DAC </t>
  </si>
  <si>
    <t xml:space="preserve">Increase-EVSE Installation SF </t>
  </si>
  <si>
    <t xml:space="preserve">Increase-EVSE Installation MF </t>
  </si>
  <si>
    <t xml:space="preserve">Increase-EVSEInstallation DAC </t>
  </si>
  <si>
    <t>Residential Charging</t>
  </si>
  <si>
    <t>Program</t>
  </si>
  <si>
    <t>Direct O&amp;M Costs  - Filed</t>
  </si>
  <si>
    <t>Increase-Customer Engagement</t>
  </si>
  <si>
    <t>Increase-Advertising</t>
  </si>
  <si>
    <t>Decrease-Service Call Maintenance</t>
  </si>
  <si>
    <t>Increase-EVSE Warrenty</t>
  </si>
  <si>
    <t>Increase-Utility Contribution/Allowance</t>
  </si>
  <si>
    <t xml:space="preserve">   Total</t>
  </si>
  <si>
    <t>Inc/(dec)</t>
  </si>
  <si>
    <t xml:space="preserve"> - Filed Installation costs of $1,500 ea Vs Settlement Cost of $1,500 ea. # of EVSE's Increased in Settlement</t>
  </si>
  <si>
    <t xml:space="preserve"> - Filed Cost of EVSE $525 ea vs Settlement Cost of $500 ea. # of EVSE's Decreased in Settlement</t>
  </si>
  <si>
    <t xml:space="preserve"> - Filed Cost of EVSE $525 ea vs Settlement Cost of $500 ea.</t>
  </si>
  <si>
    <t xml:space="preserve"> - Filed Cost of EVSE $525 ea vs Settlement Cost of $600 ea.  # of EVSE's Increased inSsettlement.</t>
  </si>
  <si>
    <t xml:space="preserve"> - Filed Installation costs of $1,000 ea Vs Settlement Cost of $1,425 ea. # of EVSE's Decreased in Settlement</t>
  </si>
  <si>
    <t xml:space="preserve"> - Filed Installation costs of $1,125 ea Vs Settlement Cost of $1,425 ea.</t>
  </si>
  <si>
    <t>Alternative Allocation</t>
  </si>
  <si>
    <t>Alternative Allocation 2</t>
  </si>
  <si>
    <t>Alternative Allocation 1</t>
  </si>
  <si>
    <t>Panel Upgrades @ $2,500 for 2% (1800) total DAC customers (300 each scenario)</t>
  </si>
  <si>
    <t>Single Family-Separate Meter</t>
  </si>
  <si>
    <t>Single Family-Sub Meter</t>
  </si>
  <si>
    <t>Multi Family-Separate Meter</t>
  </si>
  <si>
    <t>Multi Family-Sub Meter</t>
  </si>
  <si>
    <t>DAC-Separate Meter</t>
  </si>
  <si>
    <t>DAC-Sub Meter</t>
  </si>
  <si>
    <t>E-398</t>
  </si>
  <si>
    <t>DAC-Whole Home</t>
  </si>
  <si>
    <t>Single Family-Whole Home</t>
  </si>
  <si>
    <t>Multi Family-Whole Home</t>
  </si>
  <si>
    <t>EVSE-Chargers</t>
  </si>
  <si>
    <t>C-303</t>
  </si>
  <si>
    <t>Software</t>
  </si>
  <si>
    <t>Self-Developed</t>
  </si>
  <si>
    <t>Engagement</t>
  </si>
  <si>
    <t>Measurement &amp;</t>
  </si>
  <si>
    <t>Evaluation</t>
  </si>
  <si>
    <t>Utility</t>
  </si>
  <si>
    <t>Contribution</t>
  </si>
  <si>
    <t xml:space="preserve">Billing </t>
  </si>
  <si>
    <t>Support</t>
  </si>
  <si>
    <t>Project</t>
  </si>
  <si>
    <t>Management</t>
  </si>
  <si>
    <t>Maintenance</t>
  </si>
  <si>
    <t>Service Calls</t>
  </si>
  <si>
    <t>Direct Capital</t>
  </si>
  <si>
    <t>Out-Years</t>
  </si>
  <si>
    <t xml:space="preserve">   Total Capital Costs</t>
  </si>
  <si>
    <t xml:space="preserve">   Total O&amp;M Costs</t>
  </si>
  <si>
    <t>O&amp;M Cost - Out Years</t>
  </si>
  <si>
    <t>Total Project Costs</t>
  </si>
  <si>
    <t xml:space="preserve">   Total EVSE</t>
  </si>
  <si>
    <t>EVSE Installation Costs</t>
  </si>
  <si>
    <t xml:space="preserve">   Total EVSE Installation Costs</t>
  </si>
  <si>
    <t>Electric Permits $206 X 90,000 EVSE, and 15% Contingency.</t>
  </si>
  <si>
    <t>Total Capital Costs</t>
  </si>
  <si>
    <t>Direct O&amp;M Costs</t>
  </si>
  <si>
    <t xml:space="preserve">   Total IT Costs</t>
  </si>
  <si>
    <t>Project Manager</t>
  </si>
  <si>
    <t xml:space="preserve">   Total O&amp;M</t>
  </si>
  <si>
    <t>Single Family $1,425 X 62,438 EVSE, and 15% Contingency.</t>
  </si>
  <si>
    <t>Multi Family $1,425 X 5,063 EVSE, and 15% Contingency.</t>
  </si>
  <si>
    <t>Multi Family $1,500 X 22,500 EVSE, and 15% Contingency.</t>
  </si>
  <si>
    <t>SF-WH</t>
  </si>
  <si>
    <t>SF-SEPM</t>
  </si>
  <si>
    <t>SF-SubM</t>
  </si>
  <si>
    <t>MF-WH</t>
  </si>
  <si>
    <t>MF-SEPM</t>
  </si>
  <si>
    <t>MF-SubM</t>
  </si>
  <si>
    <t>DAC-WH</t>
  </si>
  <si>
    <t>DAC-SEPM</t>
  </si>
  <si>
    <t>DAC-SubM</t>
  </si>
  <si>
    <t>Panel Upgrades DAC Only - Not Applicable to original filing.</t>
  </si>
  <si>
    <t>Direct Capital Costs</t>
  </si>
  <si>
    <t>SDG&amp;E-100% Ownership</t>
  </si>
  <si>
    <t>DAC Family</t>
  </si>
  <si>
    <t>SDG&amp;E 100% Ownership</t>
  </si>
  <si>
    <t>SDG&amp;E 50% Ownership</t>
  </si>
  <si>
    <t>Increase Panel Upgrades DAC only</t>
  </si>
  <si>
    <t xml:space="preserve"> - Rebuttle cost increase $2,500 times 1,800 panels.</t>
  </si>
  <si>
    <t>Decrease-Electric Permits</t>
  </si>
  <si>
    <t>Direct Capital Costs - Rebuttal</t>
  </si>
  <si>
    <t>Direct O&amp;M Costs - Rebuttal</t>
  </si>
  <si>
    <t>Total Rebuttal Program Direct Costs</t>
  </si>
  <si>
    <t>CAPITAL</t>
  </si>
  <si>
    <t>Incr./(Decr.)</t>
  </si>
  <si>
    <t>Utility Contribution to EVSE - Single Family &amp; Multi Family 31,219 plus 2531 EVSE's X $500.  DAC Family 11,250 EVSE's X $600.</t>
  </si>
  <si>
    <t xml:space="preserve">EVSE Warrenty Paid to EVSP  </t>
  </si>
  <si>
    <t xml:space="preserve">      Total EVSE Costs</t>
  </si>
  <si>
    <t xml:space="preserve">      Total IT Costs</t>
  </si>
  <si>
    <t>2026-2050</t>
  </si>
  <si>
    <t>Per Unit</t>
  </si>
  <si>
    <t xml:space="preserve">Chargers-Single Family </t>
  </si>
  <si>
    <t>Chargers-Multi Family</t>
  </si>
  <si>
    <t>Chargers-DAC Family</t>
  </si>
  <si>
    <t>Electric Panel Upgrades (DAC Only)</t>
  </si>
  <si>
    <t xml:space="preserve">Installation-Single Family </t>
  </si>
  <si>
    <t>Installation-Multi Family</t>
  </si>
  <si>
    <t>Installation-DAC Family</t>
  </si>
  <si>
    <t>Single Family- Contribution/Rebate</t>
  </si>
  <si>
    <t>Multi Family- Contribution/Rebate</t>
  </si>
  <si>
    <t>DAC Family- Contribution/Rebate</t>
  </si>
  <si>
    <t>Total O&amp;M Costs</t>
  </si>
  <si>
    <t>Total Residential Charging Program Costs</t>
  </si>
  <si>
    <t>SB350 Programs - Residential Charging Program</t>
  </si>
  <si>
    <t>Capital &amp; O&amp;M Costs</t>
  </si>
  <si>
    <t>(Excludes escalation and loaders: Includes sales tax)</t>
  </si>
  <si>
    <t>$154,600 total - Integration with billing system</t>
  </si>
  <si>
    <t xml:space="preserve">$7,575,400 total - Integration with billing system </t>
  </si>
  <si>
    <t>$550,000 total</t>
  </si>
  <si>
    <t>Single Family $500 X 62,438 EVSE+ Sales Tax 8%, and 15% contingency.</t>
  </si>
  <si>
    <t>Multi Family $500 X 5,063 EVSE+ Sales Tax 8%, and 15% contingency.</t>
  </si>
  <si>
    <t>Multi Family $600 X 22,500 EVSE+ Sales Tax 8%, and 15% contingency.</t>
  </si>
  <si>
    <t>Rebuttle-Alternative Program</t>
  </si>
  <si>
    <t>($100K each for 6 outside contractors for 5 year project duration)</t>
  </si>
  <si>
    <t>-Panel Upgrades-Capital</t>
  </si>
  <si>
    <t>Project management 6 contractors @ $100,000 per year for 5 years.</t>
  </si>
  <si>
    <t>As Filed</t>
  </si>
  <si>
    <t>Single Family $525 X 66,600 EVSE+ Sales Tax 8%, and 15% contingency.</t>
  </si>
  <si>
    <t>Multi Family $525 X 5,400 EVSE+ Sales Tax 8%, and 15% contingency.</t>
  </si>
  <si>
    <t>Multi Family $525 X 18,000 EVSE+ Sales Tax 8%, and 15% contingency.</t>
  </si>
  <si>
    <t>Single Family $1,000 X 66,000 EVSE, and 15% Contingency.</t>
  </si>
  <si>
    <t>Multi Family $1,125 X 5,400 EVSE, and 15% Contingency.</t>
  </si>
  <si>
    <t>Multi Family $1,500 X 18,000 EVSE, and 15% Contingency.</t>
  </si>
  <si>
    <t>Utility Contribution to EVSE - Not part of original filing</t>
  </si>
  <si>
    <t>Warranty Paid to EVSP</t>
  </si>
  <si>
    <t>Direct O&amp;M - Non Labor</t>
  </si>
  <si>
    <t>Direct O&amp;M - Labor</t>
  </si>
  <si>
    <t xml:space="preserve"> - 90,000 EVSE times $250 (5 year total)</t>
  </si>
  <si>
    <t xml:space="preserve"> -18,000 EVSE per year times $250 per service call  </t>
  </si>
  <si>
    <t xml:space="preserve"> - 9,000 EVSE per year times $250 per service call (years 2026-2041)</t>
  </si>
  <si>
    <t xml:space="preserve">   10% of all EVSE's require service call either fix or replace EVSE.</t>
  </si>
  <si>
    <t>Level 2 EVSE Utility Contribution SF &amp; MF @ $500 plus DAC @ $600</t>
  </si>
  <si>
    <t>EVSE Installation SF &amp; MF @ $1425 plus DAC @ $1500 (including permit)</t>
  </si>
  <si>
    <t>Utility Contribution/Allowance</t>
  </si>
  <si>
    <t xml:space="preserve">DAC Panel Upgrades @ $2,500 for 2% (1800) total DAC customers </t>
  </si>
  <si>
    <t>SDG&amp;E Ownership - 100%</t>
  </si>
  <si>
    <t>SDG&amp;E Modified Residential Charging Program Cost Estimate</t>
  </si>
  <si>
    <t>n/a</t>
  </si>
  <si>
    <t xml:space="preserve">     Revised 9/1/17 - RLS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</si>
</sst>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\-yy;@"/>
    <numFmt numFmtId="165" formatCode="_(&quot;$&quot;* #,##0_);_(&quot;$&quot;* \(#,##0\);_(&quot;$&quot;* &quot;-&quot;??_);_(@_)"/>
    <numFmt numFmtId="166" formatCode="0.0%"/>
    <numFmt numFmtId="167" formatCode="0.0000%"/>
    <numFmt numFmtId="168" formatCode="_(&quot;$&quot;* #,##0.0_);_(&quot;$&quot;* \(#,##0.0\);_(&quot;$&quot;* &quot;-&quot;?_);_(@_)"/>
    <numFmt numFmtId="169" formatCode="_(* #,##0.00_);_(* \(#,##0.00\);_(* &quot;-&quot;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FF"/>
      <name val="Times New Roman"/>
      <family val="1"/>
    </font>
    <font>
      <u val="singleAccounting"/>
      <sz val="10"/>
      <color theme="1"/>
      <name val="Times New Roman"/>
      <family val="1"/>
    </font>
    <font>
      <u/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u/>
      <sz val="11"/>
      <color theme="10"/>
      <name val="Calibri"/>
      <family val="2"/>
      <scheme val="minor"/>
    </font>
    <font>
      <u/>
      <sz val="8"/>
      <color theme="10"/>
      <name val="Times New Roman"/>
      <family val="1"/>
    </font>
    <font>
      <sz val="16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FFFF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/>
    <xf numFmtId="164" fontId="15" fillId="0" borderId="0" applyNumberFormat="0" applyFill="0" applyBorder="0" applyAlignment="0" applyProtection="0"/>
  </cellStyleXfs>
  <cellXfs count="200">
    <xf numFmtId="0" fontId="0" fillId="0" borderId="0" xfId="0"/>
    <xf numFmtId="164" fontId="3" fillId="0" borderId="0" xfId="3" applyFont="1"/>
    <xf numFmtId="164" fontId="4" fillId="0" borderId="0" xfId="3" applyFont="1"/>
    <xf numFmtId="164" fontId="5" fillId="0" borderId="0" xfId="3" applyFont="1"/>
    <xf numFmtId="165" fontId="4" fillId="0" borderId="0" xfId="3" applyNumberFormat="1" applyFont="1"/>
    <xf numFmtId="165" fontId="4" fillId="0" borderId="1" xfId="3" applyNumberFormat="1" applyFont="1" applyBorder="1"/>
    <xf numFmtId="164" fontId="4" fillId="0" borderId="0" xfId="3" quotePrefix="1" applyFont="1" applyFill="1"/>
    <xf numFmtId="165" fontId="4" fillId="0" borderId="0" xfId="3" applyNumberFormat="1" applyFont="1" applyFill="1"/>
    <xf numFmtId="164" fontId="4" fillId="0" borderId="0" xfId="3" applyFont="1" applyAlignment="1">
      <alignment horizontal="center"/>
    </xf>
    <xf numFmtId="164" fontId="6" fillId="0" borderId="2" xfId="3" applyFont="1" applyBorder="1"/>
    <xf numFmtId="165" fontId="7" fillId="0" borderId="0" xfId="3" applyNumberFormat="1" applyFont="1" applyFill="1"/>
    <xf numFmtId="164" fontId="6" fillId="0" borderId="0" xfId="3" applyFont="1"/>
    <xf numFmtId="165" fontId="6" fillId="0" borderId="0" xfId="3" applyNumberFormat="1" applyFont="1"/>
    <xf numFmtId="164" fontId="4" fillId="0" borderId="2" xfId="3" applyFont="1" applyBorder="1"/>
    <xf numFmtId="165" fontId="4" fillId="0" borderId="2" xfId="3" applyNumberFormat="1" applyFont="1" applyBorder="1"/>
    <xf numFmtId="165" fontId="4" fillId="0" borderId="0" xfId="1" applyNumberFormat="1" applyFont="1"/>
    <xf numFmtId="164" fontId="3" fillId="2" borderId="0" xfId="3" applyFont="1" applyFill="1"/>
    <xf numFmtId="164" fontId="4" fillId="0" borderId="0" xfId="3" quotePrefix="1" applyFont="1"/>
    <xf numFmtId="165" fontId="4" fillId="0" borderId="0" xfId="1" applyNumberFormat="1" applyFont="1" applyFill="1"/>
    <xf numFmtId="164" fontId="3" fillId="0" borderId="0" xfId="3" applyFont="1" applyFill="1"/>
    <xf numFmtId="166" fontId="4" fillId="0" borderId="0" xfId="2" applyNumberFormat="1" applyFont="1" applyAlignment="1">
      <alignment horizontal="center"/>
    </xf>
    <xf numFmtId="165" fontId="8" fillId="0" borderId="0" xfId="3" applyNumberFormat="1" applyFont="1" applyAlignment="1">
      <alignment horizontal="center"/>
    </xf>
    <xf numFmtId="164" fontId="9" fillId="0" borderId="0" xfId="3" applyFont="1" applyAlignment="1">
      <alignment horizontal="center" vertical="top"/>
    </xf>
    <xf numFmtId="164" fontId="9" fillId="0" borderId="0" xfId="3" applyFont="1"/>
    <xf numFmtId="164" fontId="4" fillId="0" borderId="0" xfId="3" quotePrefix="1" applyFont="1" applyAlignment="1">
      <alignment horizontal="center"/>
    </xf>
    <xf numFmtId="165" fontId="4" fillId="0" borderId="0" xfId="3" applyNumberFormat="1" applyFont="1" applyAlignment="1">
      <alignment horizontal="center"/>
    </xf>
    <xf numFmtId="164" fontId="4" fillId="0" borderId="0" xfId="3" applyFont="1" applyAlignment="1">
      <alignment horizontal="center" vertical="top"/>
    </xf>
    <xf numFmtId="164" fontId="3" fillId="0" borderId="0" xfId="3" applyFont="1" applyAlignment="1">
      <alignment horizontal="center"/>
    </xf>
    <xf numFmtId="164" fontId="4" fillId="0" borderId="0" xfId="3" applyFont="1" applyAlignment="1">
      <alignment horizontal="right"/>
    </xf>
    <xf numFmtId="164" fontId="3" fillId="0" borderId="0" xfId="3" applyFont="1" applyBorder="1"/>
    <xf numFmtId="164" fontId="10" fillId="0" borderId="0" xfId="3" applyFont="1" applyBorder="1"/>
    <xf numFmtId="164" fontId="4" fillId="0" borderId="0" xfId="3" applyFont="1" applyFill="1"/>
    <xf numFmtId="164" fontId="6" fillId="0" borderId="0" xfId="3" applyFont="1" applyFill="1"/>
    <xf numFmtId="165" fontId="6" fillId="0" borderId="0" xfId="3" quotePrefix="1" applyNumberFormat="1" applyFont="1" applyFill="1" applyBorder="1"/>
    <xf numFmtId="165" fontId="4" fillId="0" borderId="0" xfId="1" applyNumberFormat="1" applyFont="1" applyFill="1" applyBorder="1"/>
    <xf numFmtId="9" fontId="4" fillId="0" borderId="0" xfId="2" applyFont="1" applyFill="1"/>
    <xf numFmtId="164" fontId="4" fillId="0" borderId="0" xfId="3" quotePrefix="1" applyFont="1" applyFill="1" applyBorder="1"/>
    <xf numFmtId="165" fontId="4" fillId="0" borderId="2" xfId="1" applyNumberFormat="1" applyFont="1" applyFill="1" applyBorder="1"/>
    <xf numFmtId="164" fontId="11" fillId="0" borderId="0" xfId="3" applyNumberFormat="1" applyFont="1" applyFill="1" applyBorder="1" applyAlignment="1"/>
    <xf numFmtId="164" fontId="4" fillId="0" borderId="0" xfId="3" applyFont="1" applyFill="1" applyBorder="1"/>
    <xf numFmtId="3" fontId="4" fillId="0" borderId="0" xfId="3" applyNumberFormat="1" applyFont="1" applyFill="1" applyAlignment="1">
      <alignment horizontal="center"/>
    </xf>
    <xf numFmtId="164" fontId="9" fillId="0" borderId="0" xfId="3" applyFont="1" applyAlignment="1">
      <alignment horizontal="center"/>
    </xf>
    <xf numFmtId="164" fontId="3" fillId="0" borderId="0" xfId="3" applyFont="1" applyFill="1" applyBorder="1"/>
    <xf numFmtId="164" fontId="10" fillId="0" borderId="0" xfId="3" applyFont="1" applyFill="1" applyBorder="1"/>
    <xf numFmtId="164" fontId="4" fillId="0" borderId="0" xfId="3" applyFont="1" applyFill="1" applyAlignment="1">
      <alignment horizontal="center"/>
    </xf>
    <xf numFmtId="164" fontId="12" fillId="0" borderId="0" xfId="3" applyFont="1" applyFill="1"/>
    <xf numFmtId="164" fontId="12" fillId="0" borderId="0" xfId="3" applyFont="1" applyFill="1" applyAlignment="1">
      <alignment horizontal="center"/>
    </xf>
    <xf numFmtId="164" fontId="13" fillId="0" borderId="0" xfId="3" applyFont="1" applyFill="1"/>
    <xf numFmtId="164" fontId="14" fillId="0" borderId="0" xfId="3" applyFont="1" applyFill="1"/>
    <xf numFmtId="164" fontId="12" fillId="0" borderId="1" xfId="3" applyFont="1" applyFill="1" applyBorder="1" applyAlignment="1">
      <alignment horizontal="center"/>
    </xf>
    <xf numFmtId="164" fontId="4" fillId="0" borderId="0" xfId="3" quotePrefix="1" applyFont="1" applyBorder="1"/>
    <xf numFmtId="164" fontId="16" fillId="0" borderId="0" xfId="4" applyFont="1"/>
    <xf numFmtId="164" fontId="3" fillId="0" borderId="0" xfId="3" applyFont="1" applyAlignment="1">
      <alignment horizontal="right"/>
    </xf>
    <xf numFmtId="164" fontId="3" fillId="0" borderId="0" xfId="3" quotePrefix="1" applyFont="1"/>
    <xf numFmtId="164" fontId="17" fillId="0" borderId="0" xfId="3" applyFont="1"/>
    <xf numFmtId="164" fontId="4" fillId="4" borderId="0" xfId="3" applyFont="1" applyFill="1"/>
    <xf numFmtId="164" fontId="4" fillId="0" borderId="2" xfId="3" applyFont="1" applyFill="1" applyBorder="1"/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horizontal="right"/>
    </xf>
    <xf numFmtId="0" fontId="0" fillId="0" borderId="0" xfId="0" quotePrefix="1"/>
    <xf numFmtId="42" fontId="0" fillId="0" borderId="0" xfId="0" applyNumberFormat="1" applyAlignment="1">
      <alignment horizontal="right"/>
    </xf>
    <xf numFmtId="42" fontId="0" fillId="0" borderId="1" xfId="0" applyNumberFormat="1" applyBorder="1" applyAlignment="1">
      <alignment horizontal="right"/>
    </xf>
    <xf numFmtId="41" fontId="3" fillId="0" borderId="0" xfId="3" applyNumberFormat="1" applyFont="1"/>
    <xf numFmtId="42" fontId="0" fillId="0" borderId="0" xfId="0" applyNumberFormat="1"/>
    <xf numFmtId="42" fontId="0" fillId="0" borderId="1" xfId="0" applyNumberFormat="1" applyBorder="1"/>
    <xf numFmtId="0" fontId="2" fillId="0" borderId="1" xfId="0" applyFont="1" applyBorder="1" applyAlignment="1"/>
    <xf numFmtId="41" fontId="0" fillId="0" borderId="0" xfId="0" applyNumberFormat="1" applyAlignment="1">
      <alignment horizontal="right"/>
    </xf>
    <xf numFmtId="41" fontId="0" fillId="0" borderId="0" xfId="0" applyNumberFormat="1"/>
    <xf numFmtId="41" fontId="0" fillId="0" borderId="0" xfId="0" applyNumberFormat="1" applyAlignment="1">
      <alignment vertical="top"/>
    </xf>
    <xf numFmtId="0" fontId="2" fillId="0" borderId="0" xfId="0" applyFont="1" applyAlignment="1"/>
    <xf numFmtId="0" fontId="19" fillId="0" borderId="0" xfId="0" applyFont="1"/>
    <xf numFmtId="0" fontId="18" fillId="0" borderId="0" xfId="0" applyFont="1"/>
    <xf numFmtId="167" fontId="4" fillId="0" borderId="0" xfId="2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42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Font="1"/>
    <xf numFmtId="42" fontId="0" fillId="0" borderId="0" xfId="0" applyNumberFormat="1" applyBorder="1" applyAlignment="1">
      <alignment horizontal="right"/>
    </xf>
    <xf numFmtId="0" fontId="20" fillId="0" borderId="0" xfId="0" applyFont="1" applyAlignment="1">
      <alignment horizontal="center"/>
    </xf>
    <xf numFmtId="42" fontId="0" fillId="0" borderId="0" xfId="0" applyNumberFormat="1" applyFont="1"/>
    <xf numFmtId="42" fontId="0" fillId="0" borderId="1" xfId="0" applyNumberFormat="1" applyFont="1" applyBorder="1"/>
    <xf numFmtId="0" fontId="2" fillId="3" borderId="0" xfId="0" applyFont="1" applyFill="1"/>
    <xf numFmtId="0" fontId="0" fillId="3" borderId="0" xfId="0" applyFont="1" applyFill="1"/>
    <xf numFmtId="0" fontId="2" fillId="3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0" fillId="3" borderId="0" xfId="0" applyFont="1" applyFill="1" applyAlignment="1">
      <alignment horizontal="center"/>
    </xf>
    <xf numFmtId="42" fontId="0" fillId="3" borderId="0" xfId="0" applyNumberFormat="1" applyFont="1" applyFill="1"/>
    <xf numFmtId="42" fontId="0" fillId="3" borderId="1" xfId="0" applyNumberFormat="1" applyFont="1" applyFill="1" applyBorder="1"/>
    <xf numFmtId="0" fontId="0" fillId="3" borderId="0" xfId="0" applyFill="1"/>
    <xf numFmtId="41" fontId="0" fillId="3" borderId="0" xfId="0" applyNumberFormat="1" applyFill="1"/>
    <xf numFmtId="0" fontId="0" fillId="5" borderId="0" xfId="0" applyFill="1"/>
    <xf numFmtId="0" fontId="0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0" fillId="0" borderId="0" xfId="0" applyFont="1" applyFill="1" applyAlignment="1">
      <alignment horizontal="center"/>
    </xf>
    <xf numFmtId="42" fontId="0" fillId="0" borderId="0" xfId="0" applyNumberFormat="1" applyFont="1" applyFill="1"/>
    <xf numFmtId="42" fontId="0" fillId="0" borderId="1" xfId="0" applyNumberFormat="1" applyFont="1" applyFill="1" applyBorder="1"/>
    <xf numFmtId="0" fontId="0" fillId="0" borderId="0" xfId="0" applyFont="1" applyBorder="1"/>
    <xf numFmtId="0" fontId="21" fillId="0" borderId="0" xfId="0" applyFont="1" applyFill="1"/>
    <xf numFmtId="168" fontId="0" fillId="0" borderId="0" xfId="0" applyNumberFormat="1"/>
    <xf numFmtId="168" fontId="0" fillId="0" borderId="1" xfId="0" applyNumberFormat="1" applyBorder="1"/>
    <xf numFmtId="0" fontId="0" fillId="3" borderId="0" xfId="0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3" borderId="0" xfId="3" applyFont="1" applyFill="1"/>
    <xf numFmtId="164" fontId="12" fillId="3" borderId="0" xfId="3" applyFont="1" applyFill="1"/>
    <xf numFmtId="164" fontId="22" fillId="3" borderId="0" xfId="3" applyFont="1" applyFill="1"/>
    <xf numFmtId="164" fontId="4" fillId="6" borderId="0" xfId="3" applyFont="1" applyFill="1"/>
    <xf numFmtId="167" fontId="4" fillId="3" borderId="0" xfId="2" applyNumberFormat="1" applyFont="1" applyFill="1" applyAlignment="1">
      <alignment horizontal="center"/>
    </xf>
    <xf numFmtId="3" fontId="4" fillId="0" borderId="0" xfId="2" applyNumberFormat="1" applyFont="1" applyFill="1" applyAlignment="1">
      <alignment horizontal="center"/>
    </xf>
    <xf numFmtId="166" fontId="4" fillId="3" borderId="0" xfId="2" applyNumberFormat="1" applyFont="1" applyFill="1" applyAlignment="1">
      <alignment horizontal="center"/>
    </xf>
    <xf numFmtId="164" fontId="3" fillId="6" borderId="0" xfId="3" applyFont="1" applyFill="1" applyBorder="1"/>
    <xf numFmtId="165" fontId="4" fillId="3" borderId="0" xfId="1" applyNumberFormat="1" applyFont="1" applyFill="1"/>
    <xf numFmtId="165" fontId="4" fillId="3" borderId="2" xfId="1" applyNumberFormat="1" applyFont="1" applyFill="1" applyBorder="1"/>
    <xf numFmtId="164" fontId="3" fillId="3" borderId="0" xfId="3" applyFont="1" applyFill="1"/>
    <xf numFmtId="164" fontId="4" fillId="3" borderId="0" xfId="3" quotePrefix="1" applyFont="1" applyFill="1"/>
    <xf numFmtId="42" fontId="4" fillId="3" borderId="0" xfId="3" applyNumberFormat="1" applyFont="1" applyFill="1"/>
    <xf numFmtId="42" fontId="0" fillId="0" borderId="0" xfId="0" applyNumberFormat="1" applyBorder="1"/>
    <xf numFmtId="0" fontId="0" fillId="0" borderId="0" xfId="0" applyAlignment="1">
      <alignment vertical="top" wrapText="1"/>
    </xf>
    <xf numFmtId="15" fontId="0" fillId="0" borderId="0" xfId="0" quotePrefix="1" applyNumberFormat="1"/>
    <xf numFmtId="9" fontId="0" fillId="0" borderId="0" xfId="0" applyNumberFormat="1" applyAlignment="1">
      <alignment horizontal="center"/>
    </xf>
    <xf numFmtId="10" fontId="0" fillId="0" borderId="0" xfId="0" applyNumberFormat="1" applyBorder="1" applyAlignment="1">
      <alignment horizontal="center"/>
    </xf>
    <xf numFmtId="10" fontId="0" fillId="0" borderId="0" xfId="0" applyNumberFormat="1" applyAlignment="1">
      <alignment horizontal="center"/>
    </xf>
    <xf numFmtId="41" fontId="0" fillId="0" borderId="1" xfId="0" applyNumberFormat="1" applyBorder="1" applyAlignment="1">
      <alignment horizontal="center"/>
    </xf>
    <xf numFmtId="10" fontId="0" fillId="0" borderId="0" xfId="0" applyNumberFormat="1" applyBorder="1"/>
    <xf numFmtId="10" fontId="0" fillId="0" borderId="0" xfId="0" applyNumberFormat="1"/>
    <xf numFmtId="41" fontId="0" fillId="0" borderId="1" xfId="0" applyNumberFormat="1" applyBorder="1"/>
    <xf numFmtId="10" fontId="0" fillId="0" borderId="1" xfId="0" applyNumberFormat="1" applyBorder="1"/>
    <xf numFmtId="43" fontId="0" fillId="0" borderId="0" xfId="0" applyNumberFormat="1"/>
    <xf numFmtId="0" fontId="2" fillId="0" borderId="0" xfId="0" applyFont="1"/>
    <xf numFmtId="42" fontId="2" fillId="0" borderId="0" xfId="0" applyNumberFormat="1" applyFont="1"/>
    <xf numFmtId="42" fontId="2" fillId="0" borderId="5" xfId="0" applyNumberFormat="1" applyFont="1" applyBorder="1"/>
    <xf numFmtId="42" fontId="2" fillId="0" borderId="0" xfId="0" applyNumberFormat="1" applyFont="1" applyBorder="1"/>
    <xf numFmtId="41" fontId="0" fillId="0" borderId="6" xfId="0" applyNumberFormat="1" applyBorder="1"/>
    <xf numFmtId="0" fontId="2" fillId="0" borderId="1" xfId="0" applyFont="1" applyBorder="1" applyAlignment="1">
      <alignment horizontal="center"/>
    </xf>
    <xf numFmtId="10" fontId="0" fillId="0" borderId="6" xfId="0" applyNumberForma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/>
    <xf numFmtId="0" fontId="0" fillId="0" borderId="3" xfId="0" applyBorder="1" applyAlignment="1">
      <alignment horizontal="center"/>
    </xf>
    <xf numFmtId="0" fontId="20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2" fontId="0" fillId="0" borderId="0" xfId="0" applyNumberFormat="1" applyAlignment="1">
      <alignment vertical="top"/>
    </xf>
    <xf numFmtId="42" fontId="0" fillId="0" borderId="1" xfId="0" applyNumberFormat="1" applyBorder="1" applyAlignment="1">
      <alignment vertical="top"/>
    </xf>
    <xf numFmtId="0" fontId="2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42" fontId="0" fillId="0" borderId="0" xfId="0" applyNumberFormat="1" applyAlignment="1">
      <alignment vertical="top" wrapText="1"/>
    </xf>
    <xf numFmtId="42" fontId="0" fillId="0" borderId="1" xfId="0" applyNumberFormat="1" applyBorder="1" applyAlignment="1">
      <alignment vertical="top" wrapText="1"/>
    </xf>
    <xf numFmtId="42" fontId="0" fillId="0" borderId="0" xfId="0" applyNumberFormat="1" applyBorder="1" applyAlignment="1">
      <alignment vertical="top" wrapText="1"/>
    </xf>
    <xf numFmtId="42" fontId="2" fillId="0" borderId="3" xfId="0" applyNumberFormat="1" applyFont="1" applyBorder="1"/>
    <xf numFmtId="0" fontId="2" fillId="0" borderId="0" xfId="0" applyFont="1" applyAlignment="1">
      <alignment horizontal="center"/>
    </xf>
    <xf numFmtId="42" fontId="0" fillId="0" borderId="0" xfId="0" applyNumberFormat="1" applyBorder="1" applyAlignment="1">
      <alignment vertical="top"/>
    </xf>
    <xf numFmtId="169" fontId="0" fillId="0" borderId="0" xfId="0" applyNumberFormat="1"/>
    <xf numFmtId="0" fontId="20" fillId="0" borderId="0" xfId="0" applyFont="1" applyBorder="1" applyAlignment="1">
      <alignment horizontal="center"/>
    </xf>
    <xf numFmtId="0" fontId="24" fillId="0" borderId="0" xfId="0" applyFont="1"/>
    <xf numFmtId="0" fontId="23" fillId="0" borderId="0" xfId="0" applyFont="1" applyAlignment="1">
      <alignment horizontal="center"/>
    </xf>
    <xf numFmtId="0" fontId="23" fillId="0" borderId="0" xfId="0" applyFont="1"/>
    <xf numFmtId="0" fontId="23" fillId="0" borderId="1" xfId="0" applyFont="1" applyBorder="1" applyAlignment="1">
      <alignment horizontal="center"/>
    </xf>
    <xf numFmtId="0" fontId="23" fillId="0" borderId="1" xfId="0" applyFont="1" applyBorder="1"/>
    <xf numFmtId="0" fontId="25" fillId="0" borderId="0" xfId="0" applyFont="1"/>
    <xf numFmtId="41" fontId="24" fillId="0" borderId="0" xfId="0" applyNumberFormat="1" applyFont="1"/>
    <xf numFmtId="42" fontId="24" fillId="0" borderId="0" xfId="0" applyNumberFormat="1" applyFont="1"/>
    <xf numFmtId="42" fontId="24" fillId="0" borderId="0" xfId="0" applyNumberFormat="1" applyFont="1" applyBorder="1"/>
    <xf numFmtId="42" fontId="24" fillId="0" borderId="1" xfId="0" applyNumberFormat="1" applyFont="1" applyBorder="1"/>
    <xf numFmtId="43" fontId="24" fillId="0" borderId="1" xfId="0" applyNumberFormat="1" applyFont="1" applyBorder="1"/>
    <xf numFmtId="42" fontId="23" fillId="0" borderId="0" xfId="0" applyNumberFormat="1" applyFont="1"/>
    <xf numFmtId="42" fontId="24" fillId="0" borderId="3" xfId="0" applyNumberFormat="1" applyFont="1" applyBorder="1"/>
    <xf numFmtId="42" fontId="23" fillId="0" borderId="5" xfId="0" applyNumberFormat="1" applyFont="1" applyBorder="1"/>
    <xf numFmtId="0" fontId="24" fillId="0" borderId="0" xfId="0" applyFont="1" applyAlignment="1">
      <alignment vertical="top" wrapText="1"/>
    </xf>
    <xf numFmtId="42" fontId="24" fillId="0" borderId="4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1" fontId="4" fillId="0" borderId="0" xfId="3" applyNumberFormat="1" applyFont="1"/>
    <xf numFmtId="165" fontId="4" fillId="3" borderId="0" xfId="3" applyNumberFormat="1" applyFont="1" applyFill="1"/>
    <xf numFmtId="0" fontId="4" fillId="3" borderId="0" xfId="3" quotePrefix="1" applyNumberFormat="1" applyFont="1" applyFill="1"/>
    <xf numFmtId="0" fontId="0" fillId="0" borderId="0" xfId="0" applyNumberFormat="1" applyAlignment="1">
      <alignment vertical="top" wrapText="1"/>
    </xf>
    <xf numFmtId="42" fontId="0" fillId="3" borderId="0" xfId="0" applyNumberFormat="1" applyFill="1"/>
    <xf numFmtId="165" fontId="4" fillId="2" borderId="0" xfId="1" applyNumberFormat="1" applyFont="1" applyFill="1"/>
    <xf numFmtId="164" fontId="4" fillId="2" borderId="0" xfId="3" applyFont="1" applyFill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167" fontId="4" fillId="0" borderId="0" xfId="2" applyNumberFormat="1" applyFont="1" applyFill="1" applyAlignment="1">
      <alignment horizontal="center"/>
    </xf>
  </cellXfs>
  <cellStyles count="5">
    <cellStyle name="Currency" xfId="1" builtinId="4"/>
    <cellStyle name="Hyperlink" xfId="4" builtinId="8"/>
    <cellStyle name="Normal" xfId="0" builtinId="0"/>
    <cellStyle name="Normal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36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theme" Target="theme/theme1.xml"/><Relationship Id="rId35" Type="http://schemas.openxmlformats.org/officeDocument/2006/relationships/customXml" Target="../customXml/item2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RP6/FA&amp;P/4_Regulatory%20Proceedings%20&amp;%20Filings/AB628%20-%20Port%20Filing/Battery%20Project%20PET%20Adv.%20Technology%2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corpdata\FinanceToolKit\Financial%20Data%20Repository%20-%20Upda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Gonza16/Downloads/1.+Forecast+Input201611032027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&gt;"/>
      <sheetName val="Engine"/>
      <sheetName val="Engine (2)"/>
      <sheetName val="Engine (3)"/>
      <sheetName val="&lt;"/>
      <sheetName val="Project Assumptions"/>
      <sheetName val="Direct Cost Inputs"/>
      <sheetName val="Analysis"/>
      <sheetName val="Adv Tech 2"/>
      <sheetName val="October 2016"/>
      <sheetName val="Validations"/>
    </sheetNames>
    <sheetDataSet>
      <sheetData sheetId="0"/>
      <sheetData sheetId="1"/>
      <sheetData sheetId="2">
        <row r="3">
          <cell r="H3" t="str">
            <v>Monthly</v>
          </cell>
        </row>
        <row r="10">
          <cell r="C10">
            <v>1</v>
          </cell>
        </row>
        <row r="199">
          <cell r="D199">
            <v>0</v>
          </cell>
        </row>
        <row r="200">
          <cell r="E200">
            <v>0</v>
          </cell>
        </row>
        <row r="201">
          <cell r="E201">
            <v>0</v>
          </cell>
        </row>
        <row r="224">
          <cell r="E224">
            <v>0.3</v>
          </cell>
        </row>
        <row r="225">
          <cell r="E225">
            <v>0.5</v>
          </cell>
        </row>
        <row r="242">
          <cell r="D242" t="b">
            <v>0</v>
          </cell>
        </row>
        <row r="243">
          <cell r="D243">
            <v>0</v>
          </cell>
        </row>
        <row r="250">
          <cell r="E250">
            <v>0.10299999999999999</v>
          </cell>
        </row>
        <row r="251">
          <cell r="E251">
            <v>0</v>
          </cell>
        </row>
        <row r="259">
          <cell r="E259">
            <v>7.7899999999999997E-2</v>
          </cell>
        </row>
      </sheetData>
      <sheetData sheetId="3"/>
      <sheetData sheetId="4"/>
      <sheetData sheetId="5"/>
      <sheetData sheetId="6">
        <row r="1">
          <cell r="J1">
            <v>0</v>
          </cell>
          <cell r="K1">
            <v>1</v>
          </cell>
          <cell r="L1">
            <v>2</v>
          </cell>
          <cell r="M1">
            <v>3</v>
          </cell>
          <cell r="N1">
            <v>4</v>
          </cell>
          <cell r="O1">
            <v>5</v>
          </cell>
          <cell r="P1">
            <v>6</v>
          </cell>
          <cell r="Q1">
            <v>7</v>
          </cell>
          <cell r="R1">
            <v>8</v>
          </cell>
          <cell r="S1">
            <v>9</v>
          </cell>
          <cell r="T1">
            <v>10</v>
          </cell>
          <cell r="U1">
            <v>11</v>
          </cell>
          <cell r="V1">
            <v>12</v>
          </cell>
          <cell r="W1">
            <v>13</v>
          </cell>
          <cell r="X1">
            <v>14</v>
          </cell>
          <cell r="Y1">
            <v>15</v>
          </cell>
          <cell r="Z1">
            <v>16</v>
          </cell>
          <cell r="AA1">
            <v>17</v>
          </cell>
          <cell r="AB1">
            <v>18</v>
          </cell>
          <cell r="AC1">
            <v>19</v>
          </cell>
          <cell r="AD1">
            <v>20</v>
          </cell>
          <cell r="AE1">
            <v>21</v>
          </cell>
          <cell r="AF1">
            <v>22</v>
          </cell>
          <cell r="AG1">
            <v>23</v>
          </cell>
          <cell r="AH1">
            <v>24</v>
          </cell>
          <cell r="AI1">
            <v>25</v>
          </cell>
          <cell r="AJ1">
            <v>26</v>
          </cell>
          <cell r="AK1">
            <v>27</v>
          </cell>
          <cell r="AL1">
            <v>28</v>
          </cell>
          <cell r="AM1">
            <v>29</v>
          </cell>
          <cell r="AN1">
            <v>30</v>
          </cell>
          <cell r="AO1">
            <v>31</v>
          </cell>
          <cell r="AP1">
            <v>32</v>
          </cell>
          <cell r="AQ1">
            <v>33</v>
          </cell>
          <cell r="AR1">
            <v>34</v>
          </cell>
          <cell r="AS1">
            <v>35</v>
          </cell>
          <cell r="AT1">
            <v>36</v>
          </cell>
          <cell r="AU1">
            <v>37</v>
          </cell>
          <cell r="AV1">
            <v>38</v>
          </cell>
          <cell r="AW1">
            <v>39</v>
          </cell>
          <cell r="AX1">
            <v>40</v>
          </cell>
          <cell r="AY1">
            <v>41</v>
          </cell>
          <cell r="AZ1">
            <v>42</v>
          </cell>
          <cell r="BA1">
            <v>43</v>
          </cell>
          <cell r="BB1">
            <v>44</v>
          </cell>
          <cell r="BC1">
            <v>45</v>
          </cell>
          <cell r="BD1">
            <v>46</v>
          </cell>
          <cell r="BE1">
            <v>47</v>
          </cell>
          <cell r="BF1">
            <v>48</v>
          </cell>
          <cell r="BG1">
            <v>49</v>
          </cell>
          <cell r="BH1">
            <v>50</v>
          </cell>
          <cell r="BI1">
            <v>51</v>
          </cell>
          <cell r="BJ1">
            <v>52</v>
          </cell>
          <cell r="BK1">
            <v>53</v>
          </cell>
          <cell r="BL1">
            <v>54</v>
          </cell>
          <cell r="BM1">
            <v>55</v>
          </cell>
          <cell r="BN1">
            <v>56</v>
          </cell>
          <cell r="BO1">
            <v>57</v>
          </cell>
          <cell r="BP1">
            <v>58</v>
          </cell>
          <cell r="BQ1">
            <v>59</v>
          </cell>
          <cell r="BR1">
            <v>60</v>
          </cell>
          <cell r="BS1">
            <v>61</v>
          </cell>
          <cell r="BT1">
            <v>62</v>
          </cell>
          <cell r="BU1">
            <v>63</v>
          </cell>
          <cell r="BV1">
            <v>64</v>
          </cell>
          <cell r="BW1">
            <v>65</v>
          </cell>
          <cell r="BX1">
            <v>66</v>
          </cell>
          <cell r="BY1">
            <v>67</v>
          </cell>
          <cell r="BZ1">
            <v>68</v>
          </cell>
          <cell r="CA1">
            <v>69</v>
          </cell>
          <cell r="CB1">
            <v>70</v>
          </cell>
          <cell r="CC1">
            <v>71</v>
          </cell>
          <cell r="CD1">
            <v>72</v>
          </cell>
          <cell r="CE1">
            <v>73</v>
          </cell>
          <cell r="CF1">
            <v>74</v>
          </cell>
          <cell r="CG1">
            <v>75</v>
          </cell>
          <cell r="CH1">
            <v>76</v>
          </cell>
          <cell r="CI1">
            <v>77</v>
          </cell>
          <cell r="CJ1">
            <v>78</v>
          </cell>
          <cell r="CK1">
            <v>79</v>
          </cell>
          <cell r="CL1">
            <v>80</v>
          </cell>
          <cell r="CM1">
            <v>81</v>
          </cell>
          <cell r="CN1">
            <v>82</v>
          </cell>
          <cell r="CO1">
            <v>83</v>
          </cell>
          <cell r="CP1">
            <v>84</v>
          </cell>
          <cell r="CQ1">
            <v>85</v>
          </cell>
          <cell r="CR1">
            <v>86</v>
          </cell>
          <cell r="CS1">
            <v>87</v>
          </cell>
          <cell r="CT1">
            <v>88</v>
          </cell>
          <cell r="CU1">
            <v>89</v>
          </cell>
          <cell r="CV1">
            <v>90</v>
          </cell>
          <cell r="CW1">
            <v>91</v>
          </cell>
          <cell r="CX1">
            <v>92</v>
          </cell>
          <cell r="CY1">
            <v>93</v>
          </cell>
          <cell r="CZ1">
            <v>94</v>
          </cell>
          <cell r="DA1">
            <v>95</v>
          </cell>
          <cell r="DB1">
            <v>96</v>
          </cell>
          <cell r="DC1">
            <v>97</v>
          </cell>
          <cell r="DD1">
            <v>98</v>
          </cell>
          <cell r="DE1">
            <v>99</v>
          </cell>
          <cell r="DF1">
            <v>100</v>
          </cell>
          <cell r="DG1">
            <v>101</v>
          </cell>
          <cell r="DH1">
            <v>102</v>
          </cell>
          <cell r="DI1">
            <v>103</v>
          </cell>
          <cell r="DJ1">
            <v>104</v>
          </cell>
          <cell r="DK1">
            <v>105</v>
          </cell>
          <cell r="DL1">
            <v>106</v>
          </cell>
          <cell r="DM1">
            <v>107</v>
          </cell>
          <cell r="DN1">
            <v>108</v>
          </cell>
          <cell r="DO1">
            <v>109</v>
          </cell>
          <cell r="DP1">
            <v>110</v>
          </cell>
          <cell r="DQ1">
            <v>111</v>
          </cell>
          <cell r="DR1">
            <v>112</v>
          </cell>
          <cell r="DS1">
            <v>113</v>
          </cell>
          <cell r="DT1">
            <v>114</v>
          </cell>
          <cell r="DU1">
            <v>115</v>
          </cell>
          <cell r="DV1">
            <v>116</v>
          </cell>
          <cell r="DW1">
            <v>117</v>
          </cell>
          <cell r="DX1">
            <v>118</v>
          </cell>
          <cell r="DY1">
            <v>119</v>
          </cell>
          <cell r="DZ1">
            <v>120</v>
          </cell>
          <cell r="EA1">
            <v>121</v>
          </cell>
          <cell r="EB1">
            <v>122</v>
          </cell>
          <cell r="EC1">
            <v>123</v>
          </cell>
          <cell r="ED1">
            <v>124</v>
          </cell>
          <cell r="EE1">
            <v>125</v>
          </cell>
          <cell r="EF1">
            <v>126</v>
          </cell>
          <cell r="EG1">
            <v>127</v>
          </cell>
          <cell r="EH1">
            <v>128</v>
          </cell>
          <cell r="EI1">
            <v>129</v>
          </cell>
          <cell r="EJ1">
            <v>130</v>
          </cell>
          <cell r="EK1">
            <v>131</v>
          </cell>
          <cell r="EL1">
            <v>132</v>
          </cell>
          <cell r="EM1">
            <v>133</v>
          </cell>
          <cell r="EN1">
            <v>134</v>
          </cell>
          <cell r="EO1">
            <v>135</v>
          </cell>
          <cell r="EP1">
            <v>136</v>
          </cell>
          <cell r="EQ1">
            <v>137</v>
          </cell>
          <cell r="ER1">
            <v>138</v>
          </cell>
          <cell r="ES1">
            <v>139</v>
          </cell>
          <cell r="ET1">
            <v>140</v>
          </cell>
          <cell r="EU1">
            <v>141</v>
          </cell>
          <cell r="EV1">
            <v>142</v>
          </cell>
          <cell r="EW1">
            <v>143</v>
          </cell>
          <cell r="EX1">
            <v>144</v>
          </cell>
          <cell r="EY1">
            <v>145</v>
          </cell>
          <cell r="EZ1">
            <v>146</v>
          </cell>
          <cell r="FA1">
            <v>147</v>
          </cell>
          <cell r="FB1">
            <v>148</v>
          </cell>
          <cell r="FC1">
            <v>149</v>
          </cell>
          <cell r="FD1">
            <v>150</v>
          </cell>
          <cell r="FE1">
            <v>151</v>
          </cell>
          <cell r="FF1">
            <v>152</v>
          </cell>
          <cell r="FG1">
            <v>153</v>
          </cell>
          <cell r="FH1">
            <v>154</v>
          </cell>
          <cell r="FI1">
            <v>155</v>
          </cell>
          <cell r="FJ1">
            <v>156</v>
          </cell>
          <cell r="FK1">
            <v>157</v>
          </cell>
          <cell r="FL1">
            <v>158</v>
          </cell>
          <cell r="FM1">
            <v>159</v>
          </cell>
          <cell r="FN1">
            <v>160</v>
          </cell>
          <cell r="FO1">
            <v>161</v>
          </cell>
          <cell r="FP1">
            <v>162</v>
          </cell>
          <cell r="FQ1">
            <v>163</v>
          </cell>
          <cell r="FR1">
            <v>164</v>
          </cell>
          <cell r="FS1">
            <v>165</v>
          </cell>
          <cell r="FT1">
            <v>166</v>
          </cell>
          <cell r="FU1">
            <v>167</v>
          </cell>
          <cell r="FV1">
            <v>168</v>
          </cell>
          <cell r="FW1">
            <v>169</v>
          </cell>
          <cell r="FX1">
            <v>170</v>
          </cell>
          <cell r="FY1">
            <v>171</v>
          </cell>
          <cell r="FZ1">
            <v>172</v>
          </cell>
          <cell r="GA1">
            <v>173</v>
          </cell>
          <cell r="GB1">
            <v>174</v>
          </cell>
          <cell r="GC1">
            <v>175</v>
          </cell>
          <cell r="GD1">
            <v>176</v>
          </cell>
          <cell r="GE1">
            <v>177</v>
          </cell>
          <cell r="GF1">
            <v>178</v>
          </cell>
          <cell r="GG1">
            <v>179</v>
          </cell>
          <cell r="GH1">
            <v>180</v>
          </cell>
          <cell r="GI1">
            <v>181</v>
          </cell>
          <cell r="GJ1">
            <v>182</v>
          </cell>
          <cell r="GK1">
            <v>183</v>
          </cell>
          <cell r="GL1">
            <v>184</v>
          </cell>
          <cell r="GM1">
            <v>185</v>
          </cell>
          <cell r="GN1">
            <v>186</v>
          </cell>
          <cell r="GO1">
            <v>187</v>
          </cell>
          <cell r="GP1">
            <v>188</v>
          </cell>
          <cell r="GQ1">
            <v>189</v>
          </cell>
          <cell r="GR1">
            <v>190</v>
          </cell>
          <cell r="GS1">
            <v>191</v>
          </cell>
          <cell r="GT1">
            <v>192</v>
          </cell>
          <cell r="GU1">
            <v>193</v>
          </cell>
          <cell r="GV1">
            <v>194</v>
          </cell>
          <cell r="GW1">
            <v>195</v>
          </cell>
          <cell r="GX1">
            <v>196</v>
          </cell>
          <cell r="GY1">
            <v>197</v>
          </cell>
          <cell r="GZ1">
            <v>198</v>
          </cell>
          <cell r="HA1">
            <v>199</v>
          </cell>
          <cell r="HB1">
            <v>200</v>
          </cell>
          <cell r="HC1">
            <v>201</v>
          </cell>
          <cell r="HD1">
            <v>202</v>
          </cell>
          <cell r="HE1">
            <v>203</v>
          </cell>
          <cell r="HF1">
            <v>204</v>
          </cell>
          <cell r="HG1">
            <v>205</v>
          </cell>
          <cell r="HH1">
            <v>206</v>
          </cell>
          <cell r="HI1">
            <v>207</v>
          </cell>
          <cell r="HJ1">
            <v>208</v>
          </cell>
          <cell r="HK1">
            <v>209</v>
          </cell>
          <cell r="HL1">
            <v>210</v>
          </cell>
          <cell r="HM1">
            <v>211</v>
          </cell>
          <cell r="HN1">
            <v>212</v>
          </cell>
          <cell r="HO1">
            <v>213</v>
          </cell>
          <cell r="HP1">
            <v>214</v>
          </cell>
          <cell r="HQ1">
            <v>215</v>
          </cell>
          <cell r="HR1">
            <v>216</v>
          </cell>
          <cell r="HS1">
            <v>217</v>
          </cell>
          <cell r="HT1">
            <v>218</v>
          </cell>
          <cell r="HU1">
            <v>219</v>
          </cell>
          <cell r="HV1">
            <v>220</v>
          </cell>
          <cell r="HW1">
            <v>221</v>
          </cell>
          <cell r="HX1">
            <v>222</v>
          </cell>
          <cell r="HY1">
            <v>223</v>
          </cell>
          <cell r="HZ1">
            <v>224</v>
          </cell>
          <cell r="IA1">
            <v>225</v>
          </cell>
          <cell r="IB1">
            <v>226</v>
          </cell>
          <cell r="IC1">
            <v>227</v>
          </cell>
          <cell r="ID1">
            <v>228</v>
          </cell>
          <cell r="IE1">
            <v>229</v>
          </cell>
          <cell r="IF1">
            <v>230</v>
          </cell>
          <cell r="IG1">
            <v>231</v>
          </cell>
          <cell r="IH1">
            <v>232</v>
          </cell>
          <cell r="II1">
            <v>233</v>
          </cell>
          <cell r="IJ1">
            <v>234</v>
          </cell>
          <cell r="IK1">
            <v>235</v>
          </cell>
          <cell r="IL1">
            <v>236</v>
          </cell>
          <cell r="IM1">
            <v>237</v>
          </cell>
          <cell r="IN1">
            <v>238</v>
          </cell>
          <cell r="IO1">
            <v>239</v>
          </cell>
          <cell r="IP1">
            <v>240</v>
          </cell>
          <cell r="IQ1">
            <v>241</v>
          </cell>
          <cell r="IR1">
            <v>242</v>
          </cell>
          <cell r="IS1">
            <v>243</v>
          </cell>
          <cell r="IT1">
            <v>244</v>
          </cell>
          <cell r="IU1">
            <v>245</v>
          </cell>
          <cell r="IV1">
            <v>246</v>
          </cell>
          <cell r="IW1">
            <v>247</v>
          </cell>
          <cell r="IX1">
            <v>248</v>
          </cell>
          <cell r="IY1">
            <v>249</v>
          </cell>
          <cell r="IZ1">
            <v>250</v>
          </cell>
          <cell r="JA1">
            <v>251</v>
          </cell>
          <cell r="JB1">
            <v>252</v>
          </cell>
          <cell r="JC1">
            <v>253</v>
          </cell>
          <cell r="JD1">
            <v>254</v>
          </cell>
          <cell r="JE1">
            <v>255</v>
          </cell>
          <cell r="JF1">
            <v>256</v>
          </cell>
          <cell r="JG1">
            <v>257</v>
          </cell>
          <cell r="JH1">
            <v>258</v>
          </cell>
          <cell r="JI1">
            <v>259</v>
          </cell>
          <cell r="JJ1">
            <v>260</v>
          </cell>
          <cell r="JK1">
            <v>261</v>
          </cell>
          <cell r="JL1">
            <v>262</v>
          </cell>
          <cell r="JM1">
            <v>263</v>
          </cell>
          <cell r="JN1">
            <v>264</v>
          </cell>
          <cell r="JO1">
            <v>265</v>
          </cell>
          <cell r="JP1">
            <v>266</v>
          </cell>
          <cell r="JQ1">
            <v>267</v>
          </cell>
          <cell r="JR1">
            <v>268</v>
          </cell>
          <cell r="JS1">
            <v>269</v>
          </cell>
          <cell r="JT1">
            <v>270</v>
          </cell>
          <cell r="JU1">
            <v>271</v>
          </cell>
          <cell r="JV1">
            <v>272</v>
          </cell>
          <cell r="JW1">
            <v>273</v>
          </cell>
          <cell r="JX1">
            <v>274</v>
          </cell>
          <cell r="JY1">
            <v>275</v>
          </cell>
          <cell r="JZ1">
            <v>276</v>
          </cell>
          <cell r="KA1">
            <v>277</v>
          </cell>
          <cell r="KB1">
            <v>278</v>
          </cell>
          <cell r="KC1">
            <v>279</v>
          </cell>
          <cell r="KD1">
            <v>280</v>
          </cell>
          <cell r="KE1">
            <v>281</v>
          </cell>
          <cell r="KF1">
            <v>282</v>
          </cell>
          <cell r="KG1">
            <v>283</v>
          </cell>
          <cell r="KH1">
            <v>284</v>
          </cell>
          <cell r="KI1">
            <v>285</v>
          </cell>
          <cell r="KJ1">
            <v>286</v>
          </cell>
          <cell r="KK1">
            <v>287</v>
          </cell>
          <cell r="KL1">
            <v>288</v>
          </cell>
          <cell r="KM1">
            <v>289</v>
          </cell>
          <cell r="KN1">
            <v>290</v>
          </cell>
          <cell r="KO1">
            <v>291</v>
          </cell>
          <cell r="KP1">
            <v>292</v>
          </cell>
          <cell r="KQ1">
            <v>293</v>
          </cell>
          <cell r="KR1">
            <v>294</v>
          </cell>
          <cell r="KS1">
            <v>295</v>
          </cell>
          <cell r="KT1">
            <v>296</v>
          </cell>
          <cell r="KU1">
            <v>297</v>
          </cell>
          <cell r="KV1">
            <v>298</v>
          </cell>
          <cell r="KW1">
            <v>299</v>
          </cell>
          <cell r="KX1">
            <v>300</v>
          </cell>
          <cell r="KY1">
            <v>301</v>
          </cell>
          <cell r="KZ1">
            <v>302</v>
          </cell>
          <cell r="LA1">
            <v>303</v>
          </cell>
          <cell r="LB1">
            <v>304</v>
          </cell>
          <cell r="LC1">
            <v>305</v>
          </cell>
          <cell r="LD1">
            <v>306</v>
          </cell>
          <cell r="LE1">
            <v>307</v>
          </cell>
          <cell r="LF1">
            <v>308</v>
          </cell>
          <cell r="LG1">
            <v>309</v>
          </cell>
          <cell r="LH1">
            <v>310</v>
          </cell>
          <cell r="LI1">
            <v>311</v>
          </cell>
          <cell r="LJ1">
            <v>312</v>
          </cell>
          <cell r="LK1">
            <v>313</v>
          </cell>
          <cell r="LL1">
            <v>314</v>
          </cell>
          <cell r="LM1">
            <v>315</v>
          </cell>
          <cell r="LN1">
            <v>316</v>
          </cell>
          <cell r="LO1">
            <v>317</v>
          </cell>
          <cell r="LP1">
            <v>318</v>
          </cell>
          <cell r="LQ1">
            <v>319</v>
          </cell>
          <cell r="LR1">
            <v>320</v>
          </cell>
          <cell r="LS1">
            <v>321</v>
          </cell>
          <cell r="LT1">
            <v>322</v>
          </cell>
          <cell r="LU1">
            <v>323</v>
          </cell>
          <cell r="LV1">
            <v>324</v>
          </cell>
          <cell r="LW1">
            <v>325</v>
          </cell>
          <cell r="LX1">
            <v>326</v>
          </cell>
          <cell r="LY1">
            <v>327</v>
          </cell>
          <cell r="LZ1">
            <v>328</v>
          </cell>
          <cell r="MA1">
            <v>329</v>
          </cell>
          <cell r="MB1">
            <v>330</v>
          </cell>
          <cell r="MC1">
            <v>331</v>
          </cell>
          <cell r="MD1">
            <v>332</v>
          </cell>
          <cell r="ME1">
            <v>333</v>
          </cell>
          <cell r="MF1">
            <v>334</v>
          </cell>
          <cell r="MG1">
            <v>335</v>
          </cell>
          <cell r="MH1">
            <v>336</v>
          </cell>
          <cell r="MI1">
            <v>337</v>
          </cell>
          <cell r="MJ1">
            <v>338</v>
          </cell>
          <cell r="MK1">
            <v>339</v>
          </cell>
          <cell r="ML1">
            <v>340</v>
          </cell>
          <cell r="MM1">
            <v>341</v>
          </cell>
          <cell r="MN1">
            <v>342</v>
          </cell>
          <cell r="MO1">
            <v>343</v>
          </cell>
          <cell r="MP1">
            <v>344</v>
          </cell>
          <cell r="MQ1">
            <v>345</v>
          </cell>
          <cell r="MR1">
            <v>346</v>
          </cell>
          <cell r="MS1">
            <v>347</v>
          </cell>
          <cell r="MT1">
            <v>348</v>
          </cell>
          <cell r="MU1">
            <v>349</v>
          </cell>
          <cell r="MV1">
            <v>350</v>
          </cell>
          <cell r="MW1">
            <v>351</v>
          </cell>
          <cell r="MX1">
            <v>352</v>
          </cell>
          <cell r="MY1">
            <v>353</v>
          </cell>
          <cell r="MZ1">
            <v>354</v>
          </cell>
          <cell r="NA1">
            <v>355</v>
          </cell>
          <cell r="NB1">
            <v>356</v>
          </cell>
          <cell r="NC1">
            <v>357</v>
          </cell>
          <cell r="ND1">
            <v>358</v>
          </cell>
          <cell r="NE1">
            <v>359</v>
          </cell>
          <cell r="NF1">
            <v>360</v>
          </cell>
          <cell r="NG1">
            <v>361</v>
          </cell>
          <cell r="NH1">
            <v>362</v>
          </cell>
          <cell r="NI1">
            <v>363</v>
          </cell>
          <cell r="NJ1">
            <v>364</v>
          </cell>
          <cell r="NK1">
            <v>365</v>
          </cell>
          <cell r="NL1">
            <v>366</v>
          </cell>
          <cell r="NM1">
            <v>367</v>
          </cell>
          <cell r="NN1">
            <v>368</v>
          </cell>
          <cell r="NO1">
            <v>369</v>
          </cell>
          <cell r="NP1">
            <v>370</v>
          </cell>
          <cell r="NQ1">
            <v>371</v>
          </cell>
          <cell r="NR1">
            <v>372</v>
          </cell>
          <cell r="NS1">
            <v>373</v>
          </cell>
          <cell r="NT1">
            <v>374</v>
          </cell>
          <cell r="NU1">
            <v>375</v>
          </cell>
          <cell r="NV1">
            <v>376</v>
          </cell>
          <cell r="NW1">
            <v>377</v>
          </cell>
          <cell r="NX1">
            <v>378</v>
          </cell>
          <cell r="NY1">
            <v>379</v>
          </cell>
          <cell r="NZ1">
            <v>380</v>
          </cell>
          <cell r="OA1">
            <v>381</v>
          </cell>
          <cell r="OB1">
            <v>382</v>
          </cell>
          <cell r="OC1">
            <v>383</v>
          </cell>
          <cell r="OD1">
            <v>384</v>
          </cell>
          <cell r="OE1">
            <v>385</v>
          </cell>
          <cell r="OF1">
            <v>386</v>
          </cell>
          <cell r="OG1">
            <v>387</v>
          </cell>
          <cell r="OH1">
            <v>388</v>
          </cell>
          <cell r="OI1">
            <v>389</v>
          </cell>
          <cell r="OJ1">
            <v>390</v>
          </cell>
          <cell r="OK1">
            <v>391</v>
          </cell>
          <cell r="OL1">
            <v>392</v>
          </cell>
          <cell r="OM1">
            <v>393</v>
          </cell>
          <cell r="ON1">
            <v>394</v>
          </cell>
          <cell r="OO1">
            <v>395</v>
          </cell>
          <cell r="OP1">
            <v>396</v>
          </cell>
          <cell r="OQ1">
            <v>397</v>
          </cell>
          <cell r="OR1">
            <v>398</v>
          </cell>
          <cell r="OS1">
            <v>399</v>
          </cell>
          <cell r="OT1">
            <v>400</v>
          </cell>
          <cell r="OU1">
            <v>401</v>
          </cell>
          <cell r="OV1">
            <v>402</v>
          </cell>
          <cell r="OW1">
            <v>403</v>
          </cell>
          <cell r="OX1">
            <v>404</v>
          </cell>
          <cell r="OY1">
            <v>405</v>
          </cell>
          <cell r="OZ1">
            <v>406</v>
          </cell>
          <cell r="PA1">
            <v>407</v>
          </cell>
          <cell r="PB1">
            <v>408</v>
          </cell>
          <cell r="PC1">
            <v>409</v>
          </cell>
          <cell r="PD1">
            <v>410</v>
          </cell>
          <cell r="PE1">
            <v>411</v>
          </cell>
          <cell r="PF1">
            <v>412</v>
          </cell>
          <cell r="PG1">
            <v>413</v>
          </cell>
          <cell r="PH1">
            <v>414</v>
          </cell>
          <cell r="PI1">
            <v>415</v>
          </cell>
          <cell r="PJ1">
            <v>416</v>
          </cell>
          <cell r="PK1">
            <v>417</v>
          </cell>
          <cell r="PL1">
            <v>418</v>
          </cell>
          <cell r="PM1">
            <v>419</v>
          </cell>
          <cell r="PN1">
            <v>420</v>
          </cell>
          <cell r="PO1">
            <v>421</v>
          </cell>
          <cell r="PP1">
            <v>422</v>
          </cell>
          <cell r="PQ1">
            <v>423</v>
          </cell>
          <cell r="PR1">
            <v>424</v>
          </cell>
          <cell r="PS1">
            <v>425</v>
          </cell>
          <cell r="PT1">
            <v>426</v>
          </cell>
          <cell r="PU1">
            <v>427</v>
          </cell>
          <cell r="PV1">
            <v>428</v>
          </cell>
          <cell r="PW1">
            <v>429</v>
          </cell>
          <cell r="PX1">
            <v>430</v>
          </cell>
          <cell r="PY1">
            <v>431</v>
          </cell>
          <cell r="PZ1">
            <v>432</v>
          </cell>
          <cell r="QA1">
            <v>433</v>
          </cell>
          <cell r="QB1">
            <v>434</v>
          </cell>
          <cell r="QC1">
            <v>435</v>
          </cell>
          <cell r="QD1">
            <v>436</v>
          </cell>
          <cell r="QE1">
            <v>437</v>
          </cell>
          <cell r="QF1">
            <v>438</v>
          </cell>
          <cell r="QG1">
            <v>439</v>
          </cell>
          <cell r="QH1">
            <v>440</v>
          </cell>
          <cell r="QI1">
            <v>441</v>
          </cell>
          <cell r="QJ1">
            <v>442</v>
          </cell>
          <cell r="QK1">
            <v>443</v>
          </cell>
          <cell r="QL1">
            <v>444</v>
          </cell>
          <cell r="QM1">
            <v>445</v>
          </cell>
          <cell r="QN1">
            <v>446</v>
          </cell>
          <cell r="QO1">
            <v>447</v>
          </cell>
          <cell r="QP1">
            <v>448</v>
          </cell>
          <cell r="QQ1">
            <v>449</v>
          </cell>
          <cell r="QR1">
            <v>450</v>
          </cell>
          <cell r="QS1">
            <v>451</v>
          </cell>
          <cell r="QT1">
            <v>452</v>
          </cell>
          <cell r="QU1">
            <v>453</v>
          </cell>
          <cell r="QV1">
            <v>454</v>
          </cell>
          <cell r="QW1">
            <v>455</v>
          </cell>
          <cell r="QX1">
            <v>456</v>
          </cell>
          <cell r="QY1">
            <v>457</v>
          </cell>
          <cell r="QZ1">
            <v>458</v>
          </cell>
          <cell r="RA1">
            <v>459</v>
          </cell>
          <cell r="RB1">
            <v>460</v>
          </cell>
          <cell r="RC1">
            <v>461</v>
          </cell>
          <cell r="RD1">
            <v>462</v>
          </cell>
          <cell r="RE1">
            <v>463</v>
          </cell>
          <cell r="RF1">
            <v>464</v>
          </cell>
          <cell r="RG1">
            <v>465</v>
          </cell>
          <cell r="RH1">
            <v>466</v>
          </cell>
          <cell r="RI1">
            <v>467</v>
          </cell>
          <cell r="RJ1">
            <v>468</v>
          </cell>
          <cell r="RK1">
            <v>469</v>
          </cell>
          <cell r="RL1">
            <v>470</v>
          </cell>
          <cell r="RM1">
            <v>471</v>
          </cell>
          <cell r="RN1">
            <v>472</v>
          </cell>
          <cell r="RO1">
            <v>473</v>
          </cell>
          <cell r="RP1">
            <v>474</v>
          </cell>
          <cell r="RQ1">
            <v>475</v>
          </cell>
          <cell r="RR1">
            <v>476</v>
          </cell>
          <cell r="RS1">
            <v>477</v>
          </cell>
          <cell r="RT1">
            <v>478</v>
          </cell>
          <cell r="RU1">
            <v>479</v>
          </cell>
          <cell r="RV1">
            <v>480</v>
          </cell>
          <cell r="RW1">
            <v>481</v>
          </cell>
          <cell r="RX1">
            <v>482</v>
          </cell>
          <cell r="RY1">
            <v>483</v>
          </cell>
          <cell r="RZ1">
            <v>484</v>
          </cell>
          <cell r="SA1">
            <v>485</v>
          </cell>
          <cell r="SB1">
            <v>486</v>
          </cell>
          <cell r="SC1">
            <v>487</v>
          </cell>
          <cell r="SD1">
            <v>488</v>
          </cell>
          <cell r="SE1">
            <v>489</v>
          </cell>
          <cell r="SF1">
            <v>490</v>
          </cell>
          <cell r="SG1">
            <v>491</v>
          </cell>
          <cell r="SH1">
            <v>492</v>
          </cell>
          <cell r="SI1">
            <v>493</v>
          </cell>
          <cell r="SJ1">
            <v>494</v>
          </cell>
          <cell r="SK1">
            <v>495</v>
          </cell>
          <cell r="SL1">
            <v>496</v>
          </cell>
          <cell r="SM1">
            <v>497</v>
          </cell>
          <cell r="SN1">
            <v>498</v>
          </cell>
          <cell r="SO1">
            <v>499</v>
          </cell>
          <cell r="SP1">
            <v>500</v>
          </cell>
          <cell r="SQ1">
            <v>501</v>
          </cell>
          <cell r="SR1">
            <v>502</v>
          </cell>
          <cell r="SS1">
            <v>503</v>
          </cell>
          <cell r="ST1">
            <v>504</v>
          </cell>
          <cell r="SU1">
            <v>505</v>
          </cell>
          <cell r="SV1">
            <v>506</v>
          </cell>
          <cell r="SW1">
            <v>507</v>
          </cell>
          <cell r="SX1">
            <v>508</v>
          </cell>
          <cell r="SY1">
            <v>509</v>
          </cell>
          <cell r="SZ1">
            <v>510</v>
          </cell>
          <cell r="TA1">
            <v>511</v>
          </cell>
          <cell r="TB1">
            <v>512</v>
          </cell>
          <cell r="TC1">
            <v>513</v>
          </cell>
          <cell r="TD1">
            <v>514</v>
          </cell>
          <cell r="TE1">
            <v>515</v>
          </cell>
          <cell r="TF1">
            <v>516</v>
          </cell>
          <cell r="TG1">
            <v>517</v>
          </cell>
          <cell r="TH1">
            <v>518</v>
          </cell>
          <cell r="TI1">
            <v>519</v>
          </cell>
          <cell r="TJ1">
            <v>520</v>
          </cell>
          <cell r="TK1">
            <v>521</v>
          </cell>
          <cell r="TL1">
            <v>522</v>
          </cell>
          <cell r="TM1">
            <v>523</v>
          </cell>
          <cell r="TN1">
            <v>524</v>
          </cell>
          <cell r="TO1">
            <v>525</v>
          </cell>
          <cell r="TP1">
            <v>526</v>
          </cell>
          <cell r="TQ1">
            <v>527</v>
          </cell>
          <cell r="TR1">
            <v>528</v>
          </cell>
          <cell r="TS1">
            <v>529</v>
          </cell>
          <cell r="TT1">
            <v>530</v>
          </cell>
          <cell r="TU1">
            <v>531</v>
          </cell>
          <cell r="TV1">
            <v>532</v>
          </cell>
          <cell r="TW1">
            <v>533</v>
          </cell>
          <cell r="TX1">
            <v>534</v>
          </cell>
          <cell r="TY1">
            <v>535</v>
          </cell>
          <cell r="TZ1">
            <v>536</v>
          </cell>
          <cell r="UA1">
            <v>537</v>
          </cell>
          <cell r="UB1">
            <v>538</v>
          </cell>
          <cell r="UC1">
            <v>539</v>
          </cell>
          <cell r="UD1">
            <v>540</v>
          </cell>
          <cell r="UE1">
            <v>541</v>
          </cell>
          <cell r="UF1">
            <v>542</v>
          </cell>
          <cell r="UG1">
            <v>543</v>
          </cell>
          <cell r="UH1">
            <v>544</v>
          </cell>
          <cell r="UI1">
            <v>545</v>
          </cell>
          <cell r="UJ1">
            <v>546</v>
          </cell>
          <cell r="UK1">
            <v>547</v>
          </cell>
          <cell r="UL1">
            <v>548</v>
          </cell>
          <cell r="UM1">
            <v>549</v>
          </cell>
          <cell r="UN1">
            <v>550</v>
          </cell>
          <cell r="UO1">
            <v>551</v>
          </cell>
          <cell r="UP1">
            <v>552</v>
          </cell>
          <cell r="UQ1">
            <v>553</v>
          </cell>
          <cell r="UR1">
            <v>554</v>
          </cell>
          <cell r="US1">
            <v>555</v>
          </cell>
          <cell r="UT1">
            <v>556</v>
          </cell>
          <cell r="UU1">
            <v>557</v>
          </cell>
          <cell r="UV1">
            <v>558</v>
          </cell>
          <cell r="UW1">
            <v>559</v>
          </cell>
          <cell r="UX1">
            <v>560</v>
          </cell>
          <cell r="UY1">
            <v>561</v>
          </cell>
          <cell r="UZ1">
            <v>562</v>
          </cell>
          <cell r="VA1">
            <v>563</v>
          </cell>
          <cell r="VB1">
            <v>564</v>
          </cell>
          <cell r="VC1">
            <v>565</v>
          </cell>
          <cell r="VD1">
            <v>566</v>
          </cell>
          <cell r="VE1">
            <v>567</v>
          </cell>
          <cell r="VF1">
            <v>568</v>
          </cell>
          <cell r="VG1">
            <v>569</v>
          </cell>
          <cell r="VH1">
            <v>570</v>
          </cell>
          <cell r="VI1">
            <v>571</v>
          </cell>
          <cell r="VJ1">
            <v>572</v>
          </cell>
          <cell r="VK1">
            <v>573</v>
          </cell>
          <cell r="VL1">
            <v>574</v>
          </cell>
          <cell r="VM1">
            <v>575</v>
          </cell>
          <cell r="VN1">
            <v>576</v>
          </cell>
          <cell r="VO1">
            <v>577</v>
          </cell>
          <cell r="VP1">
            <v>578</v>
          </cell>
          <cell r="VQ1">
            <v>579</v>
          </cell>
          <cell r="VR1">
            <v>580</v>
          </cell>
          <cell r="VS1">
            <v>581</v>
          </cell>
          <cell r="VT1">
            <v>582</v>
          </cell>
          <cell r="VU1">
            <v>583</v>
          </cell>
          <cell r="VV1">
            <v>584</v>
          </cell>
          <cell r="VW1">
            <v>585</v>
          </cell>
          <cell r="VX1">
            <v>586</v>
          </cell>
          <cell r="VY1">
            <v>587</v>
          </cell>
          <cell r="VZ1">
            <v>588</v>
          </cell>
          <cell r="WA1">
            <v>589</v>
          </cell>
          <cell r="WB1">
            <v>590</v>
          </cell>
          <cell r="WC1">
            <v>591</v>
          </cell>
          <cell r="WD1">
            <v>592</v>
          </cell>
          <cell r="WE1">
            <v>593</v>
          </cell>
          <cell r="WF1">
            <v>594</v>
          </cell>
          <cell r="WG1">
            <v>595</v>
          </cell>
          <cell r="WH1">
            <v>596</v>
          </cell>
          <cell r="WI1">
            <v>597</v>
          </cell>
          <cell r="WJ1">
            <v>598</v>
          </cell>
          <cell r="WK1">
            <v>599</v>
          </cell>
          <cell r="WL1">
            <v>600</v>
          </cell>
        </row>
        <row r="10">
          <cell r="J10">
            <v>2014</v>
          </cell>
        </row>
        <row r="11">
          <cell r="J11">
            <v>2014</v>
          </cell>
        </row>
        <row r="12">
          <cell r="J12">
            <v>15</v>
          </cell>
        </row>
        <row r="13">
          <cell r="J13">
            <v>41640</v>
          </cell>
        </row>
      </sheetData>
      <sheetData sheetId="7"/>
      <sheetData sheetId="8"/>
      <sheetData sheetId="9"/>
      <sheetData sheetId="10"/>
      <sheetData sheetId="11">
        <row r="1">
          <cell r="B1" t="str">
            <v>SDGEGas</v>
          </cell>
          <cell r="C1" t="str">
            <v>SDGEElectric</v>
          </cell>
          <cell r="D1" t="str">
            <v>SCGGas</v>
          </cell>
          <cell r="E1" t="str">
            <v>SDGECommon</v>
          </cell>
          <cell r="H1" t="str">
            <v>SDGECommonCommon Plant</v>
          </cell>
          <cell r="I1" t="str">
            <v>SDGEGasTransmission Plant</v>
          </cell>
          <cell r="J1" t="str">
            <v>SDGEGasDistribution Plant</v>
          </cell>
          <cell r="K1" t="str">
            <v>SDGEGasGeneral Plant</v>
          </cell>
          <cell r="L1" t="str">
            <v>SDGEElectricSteam Production Plant</v>
          </cell>
          <cell r="M1" t="str">
            <v>SDGEElectricNuclear Production Plant</v>
          </cell>
          <cell r="N1" t="str">
            <v>SDGEElectricOther Production Plant</v>
          </cell>
          <cell r="O1" t="str">
            <v>SDGEElectricTransmission Plant</v>
          </cell>
          <cell r="P1" t="str">
            <v>SDGEElectricDistribution Plant</v>
          </cell>
          <cell r="Q1" t="str">
            <v>SDGEElectricGeneral Plant</v>
          </cell>
          <cell r="R1" t="str">
            <v>SCGGasUnderground Storage</v>
          </cell>
          <cell r="S1" t="str">
            <v>SCGGasTransmission Plant</v>
          </cell>
          <cell r="T1" t="str">
            <v>SCGGasDistribution Plant</v>
          </cell>
          <cell r="U1" t="str">
            <v>SCGGasGeneral Plant</v>
          </cell>
          <cell r="V1" t="str">
            <v>SDGEGasUnderground Storage</v>
          </cell>
          <cell r="W1" t="str">
            <v>SCGGasProduction Plant (lpg Eq.)</v>
          </cell>
        </row>
        <row r="2">
          <cell r="G2">
            <v>0</v>
          </cell>
          <cell r="Z2" t="str">
            <v>SCG</v>
          </cell>
          <cell r="AA2" t="b">
            <v>1</v>
          </cell>
          <cell r="AB2" t="str">
            <v>Non-Valued Inventory</v>
          </cell>
        </row>
        <row r="3">
          <cell r="G3">
            <v>0</v>
          </cell>
          <cell r="Z3" t="str">
            <v>SDGE</v>
          </cell>
          <cell r="AA3" t="b">
            <v>0</v>
          </cell>
          <cell r="AB3" t="str">
            <v>Software Projects under SOP98</v>
          </cell>
        </row>
        <row r="4">
          <cell r="G4">
            <v>0</v>
          </cell>
          <cell r="AB4" t="str">
            <v>All other Capital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idations"/>
      <sheetName val="Tax Rate"/>
      <sheetName val="Return"/>
      <sheetName val="SDGE Fuel Splits"/>
      <sheetName val="FF&amp;U"/>
      <sheetName val="Depreciation&amp;Tax"/>
      <sheetName val="LoadersCapInstall"/>
      <sheetName val="LoadersOM"/>
      <sheetName val="Capital_Loaders_SDGE"/>
      <sheetName val="O&amp;M_Loaders_SDGE"/>
      <sheetName val="Cap. Escalators"/>
      <sheetName val="O&amp;M Escalators"/>
      <sheetName val="Calc-escalators"/>
    </sheetNames>
    <sheetDataSet>
      <sheetData sheetId="0"/>
      <sheetData sheetId="1"/>
      <sheetData sheetId="2"/>
      <sheetData sheetId="3"/>
      <sheetData sheetId="4"/>
      <sheetData sheetId="5">
        <row r="2">
          <cell r="O2" t="str">
            <v>SCGGASDistribution Plant</v>
          </cell>
        </row>
        <row r="3">
          <cell r="O3" t="str">
            <v>SCGGASDistribution Plant</v>
          </cell>
        </row>
        <row r="4">
          <cell r="O4" t="str">
            <v>SCGGASDistribution Plant</v>
          </cell>
        </row>
        <row r="5">
          <cell r="O5" t="str">
            <v>SCGGASDistribution Plant</v>
          </cell>
        </row>
        <row r="6">
          <cell r="O6" t="str">
            <v>SCGGASDistribution Plant</v>
          </cell>
        </row>
        <row r="7">
          <cell r="O7" t="str">
            <v>SCGGASDistribution Plant</v>
          </cell>
        </row>
        <row r="8">
          <cell r="O8" t="str">
            <v>SCGGASDistribution Plant</v>
          </cell>
        </row>
        <row r="9">
          <cell r="O9" t="str">
            <v>SCGGASDistribution Plant</v>
          </cell>
        </row>
        <row r="10">
          <cell r="O10" t="str">
            <v>SCGGASDistribution Plant</v>
          </cell>
        </row>
        <row r="11">
          <cell r="O11" t="str">
            <v>SCGGASDistribution Plant</v>
          </cell>
        </row>
        <row r="12">
          <cell r="O12" t="str">
            <v>SCGGASDistribution Plant</v>
          </cell>
        </row>
        <row r="13">
          <cell r="O13" t="str">
            <v>SCGGASDistribution Plant</v>
          </cell>
        </row>
        <row r="14">
          <cell r="O14" t="str">
            <v>SCGGASDistribution Plant</v>
          </cell>
        </row>
        <row r="15">
          <cell r="O15" t="str">
            <v>SCGGASDistribution Plant</v>
          </cell>
        </row>
        <row r="16">
          <cell r="O16" t="str">
            <v>SCGGASDistribution Plant</v>
          </cell>
        </row>
        <row r="17">
          <cell r="O17" t="str">
            <v>SCGGASDistribution Plant</v>
          </cell>
        </row>
        <row r="18">
          <cell r="O18" t="str">
            <v>SCGGASGas Production</v>
          </cell>
        </row>
        <row r="19">
          <cell r="O19" t="str">
            <v>SCGGASGas Production</v>
          </cell>
        </row>
        <row r="20">
          <cell r="O20" t="str">
            <v>SCGGASGas Production</v>
          </cell>
        </row>
        <row r="21">
          <cell r="O21" t="str">
            <v>SCGGASGas Production</v>
          </cell>
        </row>
        <row r="22">
          <cell r="O22" t="str">
            <v>SCGGASGas Production</v>
          </cell>
        </row>
        <row r="23">
          <cell r="O23" t="str">
            <v>SCGGASGas Production</v>
          </cell>
        </row>
        <row r="24">
          <cell r="O24" t="str">
            <v>SCGGASGeneral Plant</v>
          </cell>
        </row>
        <row r="25">
          <cell r="O25" t="str">
            <v>SCGGASGeneral Plant</v>
          </cell>
        </row>
        <row r="26">
          <cell r="O26" t="str">
            <v>SCGGASGeneral Plant</v>
          </cell>
        </row>
        <row r="27">
          <cell r="O27" t="str">
            <v>SCGGASGeneral Plant</v>
          </cell>
        </row>
        <row r="28">
          <cell r="O28" t="str">
            <v>SCGGASGeneral Plant</v>
          </cell>
        </row>
        <row r="29">
          <cell r="O29" t="str">
            <v>SCGGASGeneral Plant</v>
          </cell>
        </row>
        <row r="30">
          <cell r="O30" t="str">
            <v>SCGGASGeneral Plant</v>
          </cell>
        </row>
        <row r="31">
          <cell r="O31" t="str">
            <v>SCGGASGeneral Plant</v>
          </cell>
        </row>
        <row r="32">
          <cell r="O32" t="str">
            <v>SCGGASGeneral Plant</v>
          </cell>
        </row>
        <row r="33">
          <cell r="O33" t="str">
            <v>SCGGASGeneral Plant</v>
          </cell>
        </row>
        <row r="34">
          <cell r="O34" t="str">
            <v>SCGGASGeneral Plant</v>
          </cell>
        </row>
        <row r="35">
          <cell r="O35" t="str">
            <v>SCGGASGeneral Plant</v>
          </cell>
        </row>
        <row r="36">
          <cell r="O36" t="str">
            <v>SCGGASGeneral Plant</v>
          </cell>
        </row>
        <row r="37">
          <cell r="O37" t="str">
            <v>SCGGASGeneral Plant</v>
          </cell>
        </row>
        <row r="38">
          <cell r="O38" t="str">
            <v>SCGGASGeneral Plant</v>
          </cell>
        </row>
        <row r="39">
          <cell r="O39" t="str">
            <v>SCGGASGeneral Plant</v>
          </cell>
        </row>
        <row r="40">
          <cell r="O40" t="str">
            <v>SCGGASGeneral Plant</v>
          </cell>
        </row>
        <row r="41">
          <cell r="O41" t="str">
            <v>SCGGASGeneral Plant</v>
          </cell>
        </row>
        <row r="42">
          <cell r="O42" t="str">
            <v>SCGGASGeneral Plant</v>
          </cell>
        </row>
        <row r="43">
          <cell r="O43" t="str">
            <v>SCGGASGeneral Plant</v>
          </cell>
        </row>
        <row r="44">
          <cell r="O44" t="str">
            <v>SCGGASGeneral Plant</v>
          </cell>
        </row>
        <row r="45">
          <cell r="O45" t="str">
            <v>SCGGASGeneral Plant</v>
          </cell>
        </row>
        <row r="46">
          <cell r="O46" t="str">
            <v>SCGGASGeneral Plant</v>
          </cell>
        </row>
        <row r="47">
          <cell r="O47" t="str">
            <v>SCGGASGeneral Plant</v>
          </cell>
        </row>
        <row r="48">
          <cell r="O48" t="str">
            <v>SCGGASGeneral Plant</v>
          </cell>
        </row>
        <row r="49">
          <cell r="O49" t="str">
            <v>SCGGASTransmission Plant</v>
          </cell>
        </row>
        <row r="50">
          <cell r="O50" t="str">
            <v>SCGGASTransmission Plant</v>
          </cell>
        </row>
        <row r="51">
          <cell r="O51" t="str">
            <v>SCGGASTransmission Plant</v>
          </cell>
        </row>
        <row r="52">
          <cell r="O52" t="str">
            <v>SCGGASTransmission Plant</v>
          </cell>
        </row>
        <row r="53">
          <cell r="O53" t="str">
            <v>SCGGASTransmission Plant</v>
          </cell>
        </row>
        <row r="54">
          <cell r="O54" t="str">
            <v>SCGGASTransmission Plant</v>
          </cell>
        </row>
        <row r="55">
          <cell r="O55" t="str">
            <v>SCGGASTransmission Plant</v>
          </cell>
        </row>
        <row r="56">
          <cell r="O56" t="str">
            <v>SCGGASUnderground Storage</v>
          </cell>
        </row>
        <row r="57">
          <cell r="O57" t="str">
            <v>SCGGASUnderground Storage</v>
          </cell>
        </row>
        <row r="58">
          <cell r="O58" t="str">
            <v>SCGGASUnderground Storage</v>
          </cell>
        </row>
        <row r="59">
          <cell r="O59" t="str">
            <v>SCGGASUnderground Storage</v>
          </cell>
        </row>
        <row r="60">
          <cell r="O60" t="str">
            <v>SCGGASUnderground Storage</v>
          </cell>
        </row>
        <row r="61">
          <cell r="O61" t="str">
            <v>SCGGASUnderground Storage</v>
          </cell>
        </row>
        <row r="62">
          <cell r="O62" t="str">
            <v>SCGGASUnderground Storage</v>
          </cell>
        </row>
        <row r="63">
          <cell r="O63" t="str">
            <v>SCGGASUnderground Storage</v>
          </cell>
        </row>
        <row r="64">
          <cell r="O64" t="str">
            <v>SCGGASUnderground Storage</v>
          </cell>
        </row>
        <row r="65">
          <cell r="O65" t="str">
            <v>SCGGASUnderground Storage</v>
          </cell>
        </row>
        <row r="66">
          <cell r="O66" t="str">
            <v>SDGECOMMONCommon Plant</v>
          </cell>
        </row>
        <row r="67">
          <cell r="O67" t="str">
            <v>SDGECOMMONCommon Plant</v>
          </cell>
        </row>
        <row r="68">
          <cell r="O68" t="str">
            <v>SDGECOMMONCommon Plant</v>
          </cell>
        </row>
        <row r="69">
          <cell r="O69" t="str">
            <v>SDGECOMMONCommon Plant</v>
          </cell>
        </row>
        <row r="70">
          <cell r="O70" t="str">
            <v>SDGECOMMONCommon Plant</v>
          </cell>
        </row>
        <row r="71">
          <cell r="O71" t="str">
            <v>SDGECOMMONCommon Plant</v>
          </cell>
        </row>
        <row r="72">
          <cell r="O72" t="str">
            <v>SDGECOMMONCommon Plant</v>
          </cell>
        </row>
        <row r="73">
          <cell r="O73" t="str">
            <v>SDGECOMMONCommon Plant</v>
          </cell>
        </row>
        <row r="74">
          <cell r="O74" t="str">
            <v>SDGECOMMONCommon Plant</v>
          </cell>
        </row>
        <row r="75">
          <cell r="O75" t="str">
            <v>SDGECOMMONCommon Plant</v>
          </cell>
        </row>
        <row r="76">
          <cell r="O76" t="str">
            <v>SDGECOMMONCommon Plant</v>
          </cell>
        </row>
        <row r="77">
          <cell r="O77" t="str">
            <v>SDGECOMMONCommon Plant</v>
          </cell>
        </row>
        <row r="78">
          <cell r="O78" t="str">
            <v>SDGECOMMONCommon Plant</v>
          </cell>
        </row>
        <row r="79">
          <cell r="O79" t="str">
            <v>SDGECOMMONCommon Plant</v>
          </cell>
        </row>
        <row r="80">
          <cell r="O80" t="str">
            <v>SDGECOMMONCommon Plant</v>
          </cell>
        </row>
        <row r="81">
          <cell r="O81" t="str">
            <v>SDGECOMMONCommon Plant</v>
          </cell>
        </row>
        <row r="82">
          <cell r="O82" t="str">
            <v>SDGECOMMONCommon Plant</v>
          </cell>
        </row>
        <row r="83">
          <cell r="O83" t="str">
            <v>SDGEELECTRICGeneral Plant</v>
          </cell>
        </row>
        <row r="84">
          <cell r="O84" t="str">
            <v>SDGEELECTRICSteam Production Plant</v>
          </cell>
        </row>
        <row r="85">
          <cell r="O85" t="str">
            <v>SDGEELECTRICSteam Production Plant</v>
          </cell>
        </row>
        <row r="86">
          <cell r="O86" t="str">
            <v>SDGEELECTRICSteam Production Plant</v>
          </cell>
        </row>
        <row r="87">
          <cell r="O87" t="str">
            <v>SDGEELECTRICSteam Production Plant</v>
          </cell>
        </row>
        <row r="88">
          <cell r="O88" t="str">
            <v>SDGEELECTRICSteam Production Plant</v>
          </cell>
        </row>
        <row r="89">
          <cell r="O89" t="str">
            <v>SDGEELECTRICSteam Production Plant</v>
          </cell>
        </row>
        <row r="90">
          <cell r="O90" t="str">
            <v>SDGEELECTRICSteam Production Plant</v>
          </cell>
        </row>
        <row r="91">
          <cell r="O91" t="str">
            <v>SDGEELECTRICNuclear Production Plant</v>
          </cell>
        </row>
        <row r="92">
          <cell r="O92" t="str">
            <v>SDGEELECTRICNuclear Production Plant</v>
          </cell>
        </row>
        <row r="93">
          <cell r="O93" t="str">
            <v>SDGEELECTRICNuclear Production Plant</v>
          </cell>
        </row>
        <row r="94">
          <cell r="O94" t="str">
            <v>SDGEELECTRICNuclear Production Plant</v>
          </cell>
        </row>
        <row r="95">
          <cell r="O95" t="str">
            <v>SDGEELECTRICNuclear Production Plant</v>
          </cell>
        </row>
        <row r="96">
          <cell r="O96" t="str">
            <v>SDGEELECTRICOther Production Plant</v>
          </cell>
        </row>
        <row r="97">
          <cell r="O97" t="str">
            <v>SDGEELECTRICOther Production Plant</v>
          </cell>
        </row>
        <row r="98">
          <cell r="O98" t="str">
            <v>SDGEELECTRICOther Production Plant</v>
          </cell>
        </row>
        <row r="99">
          <cell r="O99" t="str">
            <v>SDGEELECTRICOther Production Plant</v>
          </cell>
        </row>
        <row r="100">
          <cell r="O100" t="str">
            <v>SDGEELECTRICOther Production Plant</v>
          </cell>
        </row>
        <row r="101">
          <cell r="O101" t="str">
            <v>SDGEELECTRICOther Production Plant</v>
          </cell>
        </row>
        <row r="102">
          <cell r="O102" t="str">
            <v>SDGEELECTRICOther Production Plant</v>
          </cell>
        </row>
        <row r="103">
          <cell r="O103" t="str">
            <v>SDGEELECTRICOther Production Plant</v>
          </cell>
        </row>
        <row r="104">
          <cell r="O104" t="str">
            <v>SDGEELECTRICOther Production Plant</v>
          </cell>
        </row>
        <row r="105">
          <cell r="O105" t="str">
            <v>SDGEELECTRICOther Production Plant</v>
          </cell>
        </row>
        <row r="106">
          <cell r="O106" t="str">
            <v>SDGEELECTRICOther Production Plant</v>
          </cell>
        </row>
        <row r="107">
          <cell r="O107" t="str">
            <v>SDGEELECTRICOther Production Plant</v>
          </cell>
        </row>
        <row r="108">
          <cell r="O108" t="str">
            <v>SDGEELECTRICOther Production Plant</v>
          </cell>
        </row>
        <row r="109">
          <cell r="O109" t="str">
            <v>SDGEELECTRICOther Production Plant</v>
          </cell>
        </row>
        <row r="110">
          <cell r="O110" t="str">
            <v>SDGEELECTRICOther Production Plant</v>
          </cell>
        </row>
        <row r="111">
          <cell r="O111" t="str">
            <v>SDGEELECTRICOther Production Plant</v>
          </cell>
        </row>
        <row r="112">
          <cell r="O112" t="str">
            <v>SDGEELECTRICOther Production Plant</v>
          </cell>
        </row>
        <row r="113">
          <cell r="O113" t="str">
            <v>SDGEELECTRICOther Production Plant</v>
          </cell>
        </row>
        <row r="114">
          <cell r="O114" t="str">
            <v>SDGEELECTRICOther Production Plant</v>
          </cell>
        </row>
        <row r="115">
          <cell r="O115" t="str">
            <v>SDGEELECTRICOther Production Plant</v>
          </cell>
        </row>
        <row r="116">
          <cell r="O116" t="str">
            <v>SDGEELECTRICOther Production Plant</v>
          </cell>
        </row>
        <row r="117">
          <cell r="O117" t="str">
            <v>SDGEELECTRICTransmission Plant</v>
          </cell>
        </row>
        <row r="118">
          <cell r="O118" t="str">
            <v>SDGEELECTRICTransmission Plant</v>
          </cell>
        </row>
        <row r="119">
          <cell r="O119" t="str">
            <v>SDGEELECTRICTransmission Plant</v>
          </cell>
        </row>
        <row r="120">
          <cell r="O120" t="str">
            <v>SDGEELECTRICTransmission Plant</v>
          </cell>
        </row>
        <row r="121">
          <cell r="O121" t="str">
            <v>SDGEELECTRICTransmission Plant</v>
          </cell>
        </row>
        <row r="122">
          <cell r="O122" t="str">
            <v>SDGEELECTRICTransmission Plant</v>
          </cell>
        </row>
        <row r="123">
          <cell r="O123" t="str">
            <v>SDGEELECTRICTransmission Plant</v>
          </cell>
        </row>
        <row r="124">
          <cell r="O124" t="str">
            <v>SDGEELECTRICTransmission Plant</v>
          </cell>
        </row>
        <row r="125">
          <cell r="O125" t="str">
            <v>SDGEELECTRICTransmission Plant</v>
          </cell>
        </row>
        <row r="126">
          <cell r="O126" t="str">
            <v>SDGEELECTRICTransmission Plant</v>
          </cell>
        </row>
        <row r="127">
          <cell r="O127" t="str">
            <v>SDGEELECTRICTransmission Plant</v>
          </cell>
        </row>
        <row r="128">
          <cell r="O128" t="str">
            <v>SDGEELECTRICTransmission Plant</v>
          </cell>
        </row>
        <row r="129">
          <cell r="O129" t="str">
            <v>SDGEELECTRICTransmission Plant</v>
          </cell>
        </row>
        <row r="130">
          <cell r="O130" t="str">
            <v>SDGEELECTRICTransmission Plant</v>
          </cell>
        </row>
        <row r="131">
          <cell r="O131" t="str">
            <v>SDGEELECTRICTransmission Plant</v>
          </cell>
        </row>
        <row r="132">
          <cell r="O132" t="str">
            <v>SDGEELECTRICTransmission Plant</v>
          </cell>
        </row>
        <row r="133">
          <cell r="O133" t="str">
            <v>SDGEELECTRICTransmission Plant</v>
          </cell>
        </row>
        <row r="134">
          <cell r="O134" t="str">
            <v>SDGEELECTRICTransmission Plant</v>
          </cell>
        </row>
        <row r="135">
          <cell r="O135" t="str">
            <v>SDGEELECTRICTransmission Plant</v>
          </cell>
        </row>
        <row r="136">
          <cell r="O136" t="str">
            <v>SDGEELECTRICTransmission Plant</v>
          </cell>
        </row>
        <row r="137">
          <cell r="O137" t="str">
            <v>SDGEELECTRICTransmission Plant</v>
          </cell>
        </row>
        <row r="138">
          <cell r="O138" t="str">
            <v>SDGEELECTRICTransmission Plant</v>
          </cell>
        </row>
        <row r="139">
          <cell r="O139" t="str">
            <v>SDGEELECTRICTransmission Plant</v>
          </cell>
        </row>
        <row r="140">
          <cell r="O140" t="str">
            <v>SDGEELECTRICTransmission Plant</v>
          </cell>
        </row>
        <row r="141">
          <cell r="O141" t="str">
            <v>SDGEELECTRICTransmission Plant</v>
          </cell>
        </row>
        <row r="142">
          <cell r="O142" t="str">
            <v>SDGEELECTRICTransmission Plant</v>
          </cell>
        </row>
        <row r="143">
          <cell r="O143" t="str">
            <v>SDGEELECTRICTransmission Plant</v>
          </cell>
        </row>
        <row r="144">
          <cell r="O144" t="str">
            <v>SDGEELECTRICTransmission Plant</v>
          </cell>
        </row>
        <row r="145">
          <cell r="O145" t="str">
            <v>SDGEELECTRICTransmission Plant</v>
          </cell>
        </row>
        <row r="146">
          <cell r="O146" t="str">
            <v>SDGEELECTRICTransmission Plant</v>
          </cell>
        </row>
        <row r="147">
          <cell r="O147" t="str">
            <v>SDGEELECTRICTransmission Plant</v>
          </cell>
        </row>
        <row r="148">
          <cell r="O148" t="str">
            <v>SDGEELECTRICTransmission Plant</v>
          </cell>
        </row>
        <row r="149">
          <cell r="O149" t="str">
            <v>SDGEELECTRICDistribution Plant</v>
          </cell>
        </row>
        <row r="150">
          <cell r="O150" t="str">
            <v>SDGEELECTRICDistribution Plant</v>
          </cell>
        </row>
        <row r="151">
          <cell r="O151" t="str">
            <v>SDGEELECTRICDistribution Plant</v>
          </cell>
        </row>
        <row r="152">
          <cell r="O152" t="str">
            <v>SDGEELECTRICDistribution Plant</v>
          </cell>
        </row>
        <row r="153">
          <cell r="O153" t="str">
            <v>SDGEELECTRICDistribution Plant</v>
          </cell>
        </row>
        <row r="154">
          <cell r="O154" t="str">
            <v>SDGEELECTRICDistribution Plant</v>
          </cell>
        </row>
        <row r="155">
          <cell r="O155" t="str">
            <v>SDGEELECTRICDistribution Plant</v>
          </cell>
        </row>
        <row r="156">
          <cell r="O156" t="str">
            <v>SDGEELECTRICDistribution Plant</v>
          </cell>
        </row>
        <row r="157">
          <cell r="O157" t="str">
            <v>SDGEELECTRICDistribution Plant</v>
          </cell>
        </row>
        <row r="158">
          <cell r="O158" t="str">
            <v>SDGEELECTRICDistribution Plant</v>
          </cell>
        </row>
        <row r="159">
          <cell r="O159" t="str">
            <v>SDGEELECTRICDistribution Plant</v>
          </cell>
        </row>
        <row r="160">
          <cell r="O160" t="str">
            <v>SDGEELECTRICDistribution Plant</v>
          </cell>
        </row>
        <row r="161">
          <cell r="O161" t="str">
            <v>SDGEELECTRICDistribution Plant</v>
          </cell>
        </row>
        <row r="162">
          <cell r="O162" t="str">
            <v>SDGEELECTRICDistribution Plant</v>
          </cell>
        </row>
        <row r="163">
          <cell r="O163" t="str">
            <v>SDGEELECTRICDistribution Plant</v>
          </cell>
        </row>
        <row r="164">
          <cell r="O164" t="str">
            <v>SDGEELECTRICDistribution Plant</v>
          </cell>
        </row>
        <row r="165">
          <cell r="O165" t="str">
            <v>SDGEELECTRICDistribution Plant</v>
          </cell>
        </row>
        <row r="166">
          <cell r="O166" t="str">
            <v>SDGEELECTRICDistribution Plant</v>
          </cell>
        </row>
        <row r="167">
          <cell r="O167" t="str">
            <v>SDGEELECTRICDistribution Plant</v>
          </cell>
        </row>
        <row r="168">
          <cell r="O168" t="str">
            <v>SDGEELECTRICGeneral Plant</v>
          </cell>
        </row>
        <row r="169">
          <cell r="O169" t="str">
            <v>SDGEELECTRICGeneral Plant</v>
          </cell>
        </row>
        <row r="170">
          <cell r="O170" t="str">
            <v>SDGEELECTRICGeneral Plant</v>
          </cell>
        </row>
        <row r="171">
          <cell r="O171" t="str">
            <v>SDGEELECTRICGeneral Plant</v>
          </cell>
        </row>
        <row r="172">
          <cell r="O172" t="str">
            <v>SDGEELECTRICGeneral Plant</v>
          </cell>
        </row>
        <row r="173">
          <cell r="O173" t="str">
            <v>SDGEELECTRICGeneral Plant</v>
          </cell>
        </row>
        <row r="174">
          <cell r="O174" t="str">
            <v>SDGEELECTRICGeneral Plant</v>
          </cell>
        </row>
        <row r="175">
          <cell r="O175" t="str">
            <v>SDGEELECTRICGeneral Plant</v>
          </cell>
        </row>
        <row r="176">
          <cell r="O176" t="str">
            <v>SDGEELECTRICGeneral Plant</v>
          </cell>
        </row>
        <row r="177">
          <cell r="O177" t="str">
            <v>SDGEELECTRICGeneral Plant</v>
          </cell>
        </row>
        <row r="178">
          <cell r="O178" t="str">
            <v>SDGEELECTRICGeneral Plant</v>
          </cell>
        </row>
        <row r="179">
          <cell r="O179" t="str">
            <v>SDGEELECTRICGeneral Plant</v>
          </cell>
        </row>
        <row r="180">
          <cell r="O180" t="str">
            <v>SDGEGASGeneral Plant</v>
          </cell>
        </row>
        <row r="181">
          <cell r="O181" t="str">
            <v>SDGEGASOther Storage</v>
          </cell>
        </row>
        <row r="182">
          <cell r="O182" t="str">
            <v>SDGEGASOther Storage</v>
          </cell>
        </row>
        <row r="183">
          <cell r="O183" t="str">
            <v>SDGEGASOther Storage</v>
          </cell>
        </row>
        <row r="184">
          <cell r="O184" t="str">
            <v>SDGEGASOther storage</v>
          </cell>
        </row>
        <row r="185">
          <cell r="O185" t="str">
            <v>SDGEGASTransmission Plant</v>
          </cell>
        </row>
        <row r="186">
          <cell r="O186" t="str">
            <v>SDGEGASTransmission Plant</v>
          </cell>
        </row>
        <row r="187">
          <cell r="O187" t="str">
            <v>SDGEGASTransmission Plant</v>
          </cell>
        </row>
        <row r="188">
          <cell r="O188" t="str">
            <v>SDGEGASTransmission Plant</v>
          </cell>
        </row>
        <row r="189">
          <cell r="O189" t="str">
            <v>SDGEGASTransmission Plant</v>
          </cell>
        </row>
        <row r="190">
          <cell r="O190" t="str">
            <v>SDGEGASTransmission Plant</v>
          </cell>
        </row>
        <row r="191">
          <cell r="O191" t="str">
            <v>SDGEGASTransmission Plant</v>
          </cell>
        </row>
        <row r="192">
          <cell r="O192" t="str">
            <v>SDGEGASDistribution Plant</v>
          </cell>
        </row>
        <row r="193">
          <cell r="O193" t="str">
            <v>SDGEGASDistribution Plant</v>
          </cell>
        </row>
        <row r="194">
          <cell r="O194" t="str">
            <v>SDGEGASDistribution Plant</v>
          </cell>
        </row>
        <row r="195">
          <cell r="O195" t="str">
            <v>SDGEGASDistribution Plant</v>
          </cell>
        </row>
        <row r="196">
          <cell r="O196" t="str">
            <v>SDGEGASDistribution Plant</v>
          </cell>
        </row>
        <row r="197">
          <cell r="O197" t="str">
            <v>SDGEGASDistribution Plant</v>
          </cell>
        </row>
        <row r="198">
          <cell r="O198" t="str">
            <v>SDGEGASDistribution Plant</v>
          </cell>
        </row>
        <row r="199">
          <cell r="O199" t="str">
            <v>SDGEGASDistribution Plant</v>
          </cell>
        </row>
        <row r="200">
          <cell r="O200" t="str">
            <v>SDGEGASDistribution Plant</v>
          </cell>
        </row>
        <row r="201">
          <cell r="O201" t="str">
            <v>SDGEGASDistribution Plant</v>
          </cell>
        </row>
        <row r="202">
          <cell r="O202" t="str">
            <v>SDGEGASDistribution Plant</v>
          </cell>
        </row>
        <row r="203">
          <cell r="O203" t="str">
            <v>SDGEGASDistribution Plant</v>
          </cell>
        </row>
        <row r="204">
          <cell r="O204" t="str">
            <v>SDGEGASGeneral Plant</v>
          </cell>
        </row>
        <row r="205">
          <cell r="O205" t="str">
            <v>SDGEGASGeneral Plant</v>
          </cell>
        </row>
        <row r="206">
          <cell r="O206" t="str">
            <v>SDGEGASGeneral Plant</v>
          </cell>
        </row>
        <row r="207">
          <cell r="O207" t="str">
            <v>SDGEGASGeneral Plant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ce Selection"/>
      <sheetName val="Data Lists"/>
      <sheetName val="Initialization"/>
      <sheetName val="Labor Input"/>
      <sheetName val="Non Labor Input"/>
      <sheetName val="Forecast Input Reporting"/>
      <sheetName val="Labor Input Advanced"/>
      <sheetName val="Non Labor Input Advanced"/>
      <sheetName val="{PL}PickLst"/>
    </sheetNames>
    <sheetDataSet>
      <sheetData sheetId="0">
        <row r="5">
          <cell r="B5" t="str">
            <v>Possible Servers</v>
          </cell>
          <cell r="D5">
            <v>13</v>
          </cell>
        </row>
        <row r="6">
          <cell r="D6">
            <v>0</v>
          </cell>
        </row>
        <row r="7">
          <cell r="D7">
            <v>0</v>
          </cell>
        </row>
        <row r="8">
          <cell r="D8">
            <v>1</v>
          </cell>
        </row>
        <row r="9">
          <cell r="D9">
            <v>1</v>
          </cell>
        </row>
        <row r="10">
          <cell r="D10">
            <v>1</v>
          </cell>
        </row>
        <row r="11">
          <cell r="D11">
            <v>1</v>
          </cell>
        </row>
        <row r="12">
          <cell r="D12">
            <v>1</v>
          </cell>
        </row>
        <row r="13">
          <cell r="D13">
            <v>1</v>
          </cell>
        </row>
        <row r="14">
          <cell r="D14">
            <v>1</v>
          </cell>
        </row>
        <row r="15">
          <cell r="D15">
            <v>1</v>
          </cell>
        </row>
        <row r="16">
          <cell r="D16">
            <v>1</v>
          </cell>
        </row>
        <row r="17">
          <cell r="D17">
            <v>1</v>
          </cell>
        </row>
        <row r="18">
          <cell r="D18">
            <v>1</v>
          </cell>
        </row>
        <row r="19">
          <cell r="D19">
            <v>1</v>
          </cell>
        </row>
        <row r="20">
          <cell r="D20">
            <v>1</v>
          </cell>
        </row>
      </sheetData>
      <sheetData sheetId="1">
        <row r="7">
          <cell r="B7">
            <v>18</v>
          </cell>
          <cell r="C7">
            <v>79</v>
          </cell>
          <cell r="D7">
            <v>2</v>
          </cell>
          <cell r="E7">
            <v>61</v>
          </cell>
          <cell r="F7">
            <v>11</v>
          </cell>
        </row>
        <row r="9">
          <cell r="B9" t="str">
            <v>2016</v>
          </cell>
          <cell r="D9" t="str">
            <v>Forecast</v>
          </cell>
          <cell r="F9" t="str">
            <v>April 2016 Outlook - Cloud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22"/>
  <sheetViews>
    <sheetView workbookViewId="0">
      <selection activeCell="B1" sqref="B1"/>
    </sheetView>
  </sheetViews>
  <sheetFormatPr defaultRowHeight="15" x14ac:dyDescent="0.25"/>
  <cols>
    <col min="1" max="1" width="32.7109375" customWidth="1"/>
    <col min="2" max="2" width="18.85546875" customWidth="1"/>
    <col min="3" max="3" width="1.7109375" customWidth="1"/>
    <col min="4" max="4" width="10.5703125" customWidth="1"/>
    <col min="5" max="5" width="11" customWidth="1"/>
    <col min="6" max="6" width="10.28515625" customWidth="1"/>
    <col min="9" max="10" width="9.85546875" customWidth="1"/>
    <col min="12" max="12" width="12" customWidth="1"/>
    <col min="13" max="13" width="10.28515625" customWidth="1"/>
    <col min="16" max="16" width="10.28515625" customWidth="1"/>
    <col min="17" max="17" width="10.140625" customWidth="1"/>
  </cols>
  <sheetData>
    <row r="2" spans="1:17" x14ac:dyDescent="0.25">
      <c r="B2" s="138" t="s">
        <v>169</v>
      </c>
    </row>
    <row r="3" spans="1:17" x14ac:dyDescent="0.25">
      <c r="B3" s="112" t="s">
        <v>170</v>
      </c>
    </row>
    <row r="4" spans="1:17" x14ac:dyDescent="0.25">
      <c r="B4" s="128"/>
    </row>
    <row r="5" spans="1:17" x14ac:dyDescent="0.25">
      <c r="A5" s="138" t="s">
        <v>161</v>
      </c>
      <c r="B5" s="139">
        <f>'Filed@90,000 vs Rebut@90,000'!E28/1000</f>
        <v>216723.125</v>
      </c>
    </row>
    <row r="6" spans="1:17" x14ac:dyDescent="0.25">
      <c r="A6" s="138"/>
      <c r="B6" s="139"/>
    </row>
    <row r="7" spans="1:17" x14ac:dyDescent="0.25">
      <c r="A7" s="138" t="s">
        <v>150</v>
      </c>
    </row>
    <row r="8" spans="1:17" x14ac:dyDescent="0.25">
      <c r="A8" s="85" t="s">
        <v>75</v>
      </c>
    </row>
    <row r="9" spans="1:17" x14ac:dyDescent="0.25">
      <c r="A9" t="s">
        <v>162</v>
      </c>
      <c r="B9" s="70">
        <f>'Filed@90,000 vs Rebut@90,000'!G26/1000</f>
        <v>129.99999999999906</v>
      </c>
    </row>
    <row r="10" spans="1:17" x14ac:dyDescent="0.25">
      <c r="B10" s="70"/>
    </row>
    <row r="11" spans="1:17" x14ac:dyDescent="0.25">
      <c r="A11" s="85" t="s">
        <v>160</v>
      </c>
    </row>
    <row r="12" spans="1:17" x14ac:dyDescent="0.25">
      <c r="A12" t="s">
        <v>163</v>
      </c>
      <c r="B12" s="74">
        <f>'Filed@90,000 vs Rebut@90,000'!G9/1000</f>
        <v>-9290.7000000000007</v>
      </c>
      <c r="D12" t="s">
        <v>180</v>
      </c>
      <c r="P12" s="70"/>
      <c r="Q12" s="70"/>
    </row>
    <row r="13" spans="1:17" x14ac:dyDescent="0.25">
      <c r="A13" t="s">
        <v>164</v>
      </c>
      <c r="B13" s="74">
        <f>'Filed@90,000 vs Rebut@90,000'!G10/1000</f>
        <v>-753.3</v>
      </c>
      <c r="D13" t="s">
        <v>181</v>
      </c>
      <c r="P13" s="70"/>
      <c r="Q13" s="70"/>
    </row>
    <row r="14" spans="1:17" x14ac:dyDescent="0.25">
      <c r="A14" t="s">
        <v>165</v>
      </c>
      <c r="B14" s="74">
        <f>'Filed@90,000 vs Rebut@90,000'!G11/1000</f>
        <v>2956.5000000000018</v>
      </c>
      <c r="D14" t="s">
        <v>182</v>
      </c>
      <c r="P14" s="70"/>
      <c r="Q14" s="70"/>
    </row>
    <row r="15" spans="1:17" x14ac:dyDescent="0.25">
      <c r="A15" t="s">
        <v>247</v>
      </c>
      <c r="B15" s="74">
        <f>'Filed@90,000 vs Rebut@90,000'!G12/1000</f>
        <v>5535</v>
      </c>
      <c r="D15" t="s">
        <v>248</v>
      </c>
      <c r="P15" s="70"/>
      <c r="Q15" s="70"/>
    </row>
    <row r="16" spans="1:17" x14ac:dyDescent="0.25">
      <c r="A16" t="s">
        <v>166</v>
      </c>
      <c r="B16" s="74">
        <f>'Filed@90,000 vs Rebut@90,000'!G16/1000</f>
        <v>26419.453124999985</v>
      </c>
      <c r="D16" t="s">
        <v>183</v>
      </c>
      <c r="P16" s="70"/>
      <c r="Q16" s="70"/>
    </row>
    <row r="17" spans="1:17" x14ac:dyDescent="0.25">
      <c r="A17" t="s">
        <v>167</v>
      </c>
      <c r="B17" s="74">
        <f>'Filed@90,000 vs Rebut@90,000'!G17/1000</f>
        <v>1309.921875</v>
      </c>
      <c r="D17" t="s">
        <v>184</v>
      </c>
      <c r="P17" s="70"/>
      <c r="Q17" s="70"/>
    </row>
    <row r="18" spans="1:17" x14ac:dyDescent="0.25">
      <c r="A18" t="s">
        <v>168</v>
      </c>
      <c r="B18" s="74">
        <f>'Filed@90,000 vs Rebut@90,000'!G18/1000</f>
        <v>7762.5000000000036</v>
      </c>
      <c r="D18" t="s">
        <v>179</v>
      </c>
      <c r="P18" s="70"/>
      <c r="Q18" s="70"/>
    </row>
    <row r="19" spans="1:17" x14ac:dyDescent="0.25">
      <c r="A19" t="s">
        <v>249</v>
      </c>
      <c r="B19" s="74">
        <f>'Filed@90,000 vs Rebut@90,000'!G20/1000</f>
        <v>-21321</v>
      </c>
      <c r="P19" s="70"/>
      <c r="Q19" s="70"/>
    </row>
    <row r="21" spans="1:17" ht="15.75" thickBot="1" x14ac:dyDescent="0.3">
      <c r="A21" s="138" t="s">
        <v>250</v>
      </c>
      <c r="B21" s="140">
        <f>SUM(B5:B19)</f>
        <v>229471.5</v>
      </c>
    </row>
    <row r="22" spans="1:17" ht="15.75" thickTop="1" x14ac:dyDescent="0.25"/>
    <row r="24" spans="1:17" x14ac:dyDescent="0.25">
      <c r="A24" s="138" t="s">
        <v>171</v>
      </c>
      <c r="B24" s="139">
        <f>'Filed@90,000 vs Rebut@90,000'!E40/1000</f>
        <v>25050</v>
      </c>
    </row>
    <row r="26" spans="1:17" x14ac:dyDescent="0.25">
      <c r="A26" t="s">
        <v>172</v>
      </c>
      <c r="B26" s="70">
        <f>'Filed@90,000 vs Rebut@90,000'!G33/1000</f>
        <v>300</v>
      </c>
    </row>
    <row r="27" spans="1:17" x14ac:dyDescent="0.25">
      <c r="A27" t="s">
        <v>173</v>
      </c>
      <c r="B27" s="70">
        <f>'Filed@90,000 vs Rebut@90,000'!G34/1000</f>
        <v>499.99999999999977</v>
      </c>
    </row>
    <row r="28" spans="1:17" x14ac:dyDescent="0.25">
      <c r="A28" t="s">
        <v>36</v>
      </c>
      <c r="B28" s="70">
        <f>'Filed@90,000 vs Rebut@90,000'!G35/1000</f>
        <v>299.99999999999989</v>
      </c>
    </row>
    <row r="29" spans="1:17" x14ac:dyDescent="0.25">
      <c r="A29" t="s">
        <v>175</v>
      </c>
      <c r="B29" s="70" t="e">
        <f>'Filed@90,000 vs Rebut@90,000'!#REF!/1000</f>
        <v>#REF!</v>
      </c>
    </row>
    <row r="30" spans="1:17" x14ac:dyDescent="0.25">
      <c r="A30" t="s">
        <v>176</v>
      </c>
      <c r="B30" s="70">
        <f>'Filed@90,000 vs Rebut@90,000'!G36/1000</f>
        <v>0</v>
      </c>
    </row>
    <row r="31" spans="1:17" x14ac:dyDescent="0.25">
      <c r="A31" t="s">
        <v>33</v>
      </c>
      <c r="B31" s="70">
        <f>'Filed@90,000 vs Rebut@90,000'!G37/1000</f>
        <v>0</v>
      </c>
    </row>
    <row r="32" spans="1:17" x14ac:dyDescent="0.25">
      <c r="A32" t="s">
        <v>126</v>
      </c>
      <c r="B32" s="70">
        <f>'Filed@90,000 vs Rebut@90,000'!G38/1000</f>
        <v>-1000</v>
      </c>
    </row>
    <row r="33" spans="1:2" x14ac:dyDescent="0.25">
      <c r="A33" t="s">
        <v>174</v>
      </c>
      <c r="B33" s="71">
        <f>'Filed@90,000 vs Rebut@90,000'!G39/1000</f>
        <v>0</v>
      </c>
    </row>
    <row r="35" spans="1:2" ht="15.75" thickBot="1" x14ac:dyDescent="0.3">
      <c r="A35" s="138" t="s">
        <v>251</v>
      </c>
      <c r="B35" s="140" t="e">
        <f>SUM(B24:B33)</f>
        <v>#REF!</v>
      </c>
    </row>
    <row r="36" spans="1:2" ht="15.75" thickTop="1" x14ac:dyDescent="0.25">
      <c r="A36" s="138"/>
    </row>
    <row r="37" spans="1:2" ht="15.75" thickBot="1" x14ac:dyDescent="0.3">
      <c r="A37" s="138" t="s">
        <v>252</v>
      </c>
      <c r="B37" s="140" t="e">
        <f>B21+B35</f>
        <v>#REF!</v>
      </c>
    </row>
    <row r="38" spans="1:2" ht="15.75" thickTop="1" x14ac:dyDescent="0.25"/>
    <row r="110" spans="2:10" x14ac:dyDescent="0.25">
      <c r="B110" s="141"/>
      <c r="H110" s="190" t="s">
        <v>185</v>
      </c>
      <c r="I110" s="190"/>
      <c r="J110" s="190"/>
    </row>
    <row r="111" spans="2:10" x14ac:dyDescent="0.25">
      <c r="D111" s="189" t="s">
        <v>84</v>
      </c>
      <c r="E111" s="189"/>
      <c r="F111" s="189"/>
      <c r="H111" s="189" t="s">
        <v>84</v>
      </c>
      <c r="I111" s="189"/>
      <c r="J111" s="189"/>
    </row>
    <row r="112" spans="2:10" x14ac:dyDescent="0.25">
      <c r="D112" s="112" t="s">
        <v>99</v>
      </c>
      <c r="E112" s="112" t="s">
        <v>95</v>
      </c>
      <c r="F112" s="112" t="s">
        <v>178</v>
      </c>
      <c r="H112" s="143" t="s">
        <v>99</v>
      </c>
      <c r="I112" s="143" t="s">
        <v>95</v>
      </c>
      <c r="J112" s="143" t="s">
        <v>178</v>
      </c>
    </row>
    <row r="113" spans="2:10" x14ac:dyDescent="0.25">
      <c r="B113" t="s">
        <v>133</v>
      </c>
      <c r="D113" s="74">
        <f>90000*0.74</f>
        <v>66600</v>
      </c>
      <c r="E113" s="74">
        <f>Percentages!C34+Percentages!O34</f>
        <v>93656.25</v>
      </c>
      <c r="F113" s="74">
        <f>E113-D113</f>
        <v>27056.25</v>
      </c>
      <c r="H113" s="74">
        <f>90000*0.74</f>
        <v>66600</v>
      </c>
      <c r="I113" s="74">
        <f>31218.75*2</f>
        <v>62437.5</v>
      </c>
      <c r="J113" s="74">
        <f>I113-H113</f>
        <v>-4162.5</v>
      </c>
    </row>
    <row r="114" spans="2:10" x14ac:dyDescent="0.25">
      <c r="B114" t="s">
        <v>134</v>
      </c>
      <c r="D114" s="74">
        <f>90000*0.06</f>
        <v>5400</v>
      </c>
      <c r="E114" s="74">
        <f>Percentages!G34+Percentages!S34</f>
        <v>7593.75</v>
      </c>
      <c r="F114" s="74">
        <f t="shared" ref="F114:F115" si="0">E114-D114</f>
        <v>2193.75</v>
      </c>
      <c r="H114" s="74">
        <f>90000*0.06</f>
        <v>5400</v>
      </c>
      <c r="I114" s="74">
        <f>2531.25*2</f>
        <v>5062.5</v>
      </c>
      <c r="J114" s="74">
        <f>I114-H114</f>
        <v>-337.5</v>
      </c>
    </row>
    <row r="115" spans="2:10" x14ac:dyDescent="0.25">
      <c r="B115" t="s">
        <v>135</v>
      </c>
      <c r="D115" s="135">
        <f>90000*0.2</f>
        <v>18000</v>
      </c>
      <c r="E115" s="135">
        <f>Percentages!K34+Percentages!W34</f>
        <v>33750</v>
      </c>
      <c r="F115" s="135">
        <f t="shared" si="0"/>
        <v>15750</v>
      </c>
      <c r="H115" s="135">
        <f>90000*0.2</f>
        <v>18000</v>
      </c>
      <c r="I115" s="135">
        <f>11250*2</f>
        <v>22500</v>
      </c>
      <c r="J115" s="74">
        <f>I115-H115</f>
        <v>4500</v>
      </c>
    </row>
    <row r="116" spans="2:10" ht="15.75" thickBot="1" x14ac:dyDescent="0.3">
      <c r="B116" t="s">
        <v>177</v>
      </c>
      <c r="D116" s="142">
        <f>SUM(D113:D115)</f>
        <v>90000</v>
      </c>
      <c r="E116" s="142">
        <f>SUM(E113:E115)</f>
        <v>135000</v>
      </c>
      <c r="F116" s="142">
        <f>SUM(F113:F115)</f>
        <v>45000</v>
      </c>
      <c r="H116" s="142">
        <f>SUM(H113:H115)</f>
        <v>90000</v>
      </c>
      <c r="I116" s="142">
        <f>SUM(I113:I115)</f>
        <v>90000</v>
      </c>
      <c r="J116" s="142">
        <f>SUM(J113:J115)</f>
        <v>0</v>
      </c>
    </row>
    <row r="117" spans="2:10" ht="15.75" thickTop="1" x14ac:dyDescent="0.25"/>
    <row r="118" spans="2:10" x14ac:dyDescent="0.25">
      <c r="B118" t="s">
        <v>133</v>
      </c>
      <c r="D118" s="134">
        <f>D113/$D$116</f>
        <v>0.74</v>
      </c>
      <c r="E118" s="134">
        <f>E113/$E$116</f>
        <v>0.69374999999999998</v>
      </c>
      <c r="F118" s="134">
        <f>E118-D118</f>
        <v>-4.6250000000000013E-2</v>
      </c>
      <c r="H118" s="134">
        <f>H113/$H$116</f>
        <v>0.74</v>
      </c>
      <c r="I118" s="134">
        <f>I113/$I$116</f>
        <v>0.69374999999999998</v>
      </c>
      <c r="J118" s="134">
        <f>I118-H118</f>
        <v>-4.6250000000000013E-2</v>
      </c>
    </row>
    <row r="119" spans="2:10" x14ac:dyDescent="0.25">
      <c r="B119" t="s">
        <v>134</v>
      </c>
      <c r="D119" s="134">
        <f>D114/$D$116</f>
        <v>0.06</v>
      </c>
      <c r="E119" s="134">
        <f>E114/$E$116</f>
        <v>5.6250000000000001E-2</v>
      </c>
      <c r="F119" s="133">
        <f t="shared" ref="F119:F120" si="1">E119-D119</f>
        <v>-3.7499999999999964E-3</v>
      </c>
      <c r="H119" s="134">
        <f>H114/$H$116</f>
        <v>0.06</v>
      </c>
      <c r="I119" s="134">
        <f>I114/$I$116</f>
        <v>5.6250000000000001E-2</v>
      </c>
      <c r="J119" s="134">
        <f t="shared" ref="J119:J120" si="2">I119-H119</f>
        <v>-3.7499999999999964E-3</v>
      </c>
    </row>
    <row r="120" spans="2:10" x14ac:dyDescent="0.25">
      <c r="B120" t="s">
        <v>135</v>
      </c>
      <c r="D120" s="136">
        <f>D115/$D$116</f>
        <v>0.2</v>
      </c>
      <c r="E120" s="136">
        <f>E115/$E$116</f>
        <v>0.25</v>
      </c>
      <c r="F120" s="136">
        <f t="shared" si="1"/>
        <v>4.9999999999999989E-2</v>
      </c>
      <c r="H120" s="136">
        <f>H115/$H$116</f>
        <v>0.2</v>
      </c>
      <c r="I120" s="136">
        <f>I115/$I$116</f>
        <v>0.25</v>
      </c>
      <c r="J120" s="136">
        <f t="shared" si="2"/>
        <v>4.9999999999999989E-2</v>
      </c>
    </row>
    <row r="121" spans="2:10" ht="15.75" thickBot="1" x14ac:dyDescent="0.3">
      <c r="B121" t="s">
        <v>177</v>
      </c>
      <c r="D121" s="144">
        <f>SUM(D118:D120)</f>
        <v>1</v>
      </c>
      <c r="E121" s="144">
        <f>SUM(E118:E120)</f>
        <v>1</v>
      </c>
      <c r="F121" s="144">
        <f>SUM(F118:F120)</f>
        <v>0</v>
      </c>
      <c r="H121" s="144">
        <f>SUM(H118:H120)</f>
        <v>1</v>
      </c>
      <c r="I121" s="144">
        <f>SUM(I118:I120)</f>
        <v>1</v>
      </c>
      <c r="J121" s="144">
        <f>SUM(J118:J120)</f>
        <v>0</v>
      </c>
    </row>
    <row r="122" spans="2:10" ht="15.75" thickTop="1" x14ac:dyDescent="0.25"/>
  </sheetData>
  <mergeCells count="3">
    <mergeCell ref="D111:F111"/>
    <mergeCell ref="H111:J111"/>
    <mergeCell ref="H110:J110"/>
  </mergeCells>
  <pageMargins left="0.2" right="0.2" top="0.25" bottom="0.25" header="0.3" footer="0.3"/>
  <pageSetup scale="8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8"/>
  <sheetViews>
    <sheetView showGridLines="0" topLeftCell="A2" zoomScale="130" zoomScaleNormal="130" workbookViewId="0">
      <selection activeCell="I19" sqref="I19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6" width="10.140625" style="1"/>
    <col min="7" max="7" width="11" style="1" bestFit="1" customWidth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20812.5</v>
      </c>
      <c r="F9" s="40">
        <v>90000</v>
      </c>
      <c r="G9" s="117">
        <f>23.125%</f>
        <v>0.23125000000000001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21">
        <f>500*$E$9</f>
        <v>10406250</v>
      </c>
      <c r="B10" s="18"/>
      <c r="C10" s="18"/>
      <c r="D10" s="18"/>
      <c r="E10" s="113" t="s">
        <v>143</v>
      </c>
      <c r="F10" s="113"/>
      <c r="G10" s="113"/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8">
        <f>$E$9*1425</f>
        <v>29657812.5</v>
      </c>
      <c r="C12" s="18"/>
      <c r="D12" s="18"/>
      <c r="E12" s="31" t="s">
        <v>44</v>
      </c>
      <c r="F12" s="31"/>
      <c r="G12" s="31"/>
      <c r="H12" s="31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18">
        <f>0*$E$9</f>
        <v>0</v>
      </c>
      <c r="B13" s="18">
        <f>0*$E$9</f>
        <v>0</v>
      </c>
      <c r="C13" s="18"/>
      <c r="D13" s="18"/>
      <c r="E13" s="31" t="s">
        <v>54</v>
      </c>
      <c r="F13" s="31"/>
      <c r="G13" s="31"/>
      <c r="H13" s="31"/>
      <c r="I13" s="31"/>
      <c r="J13" s="31"/>
      <c r="K13" s="31"/>
      <c r="L13" s="29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/>
      <c r="D14" s="18"/>
      <c r="E14" s="31"/>
      <c r="F14" s="31"/>
      <c r="G14" s="31"/>
      <c r="H14" s="31"/>
      <c r="I14" s="31"/>
      <c r="J14" s="31"/>
      <c r="K14" s="31"/>
      <c r="L14" s="29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10406250</v>
      </c>
      <c r="B16" s="34">
        <f>SUM(B10:B15)</f>
        <v>29657812.5</v>
      </c>
      <c r="C16" s="34">
        <f>SUM(C10:C15)</f>
        <v>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832500</v>
      </c>
      <c r="B17" s="34"/>
      <c r="C17" s="34">
        <f>+(C16)*0.08</f>
        <v>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+A13*0.15</f>
        <v>0</v>
      </c>
      <c r="B18" s="37">
        <f>+B16*0.15</f>
        <v>4448671.875</v>
      </c>
      <c r="C18" s="37">
        <f>+C16*0.15</f>
        <v>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11238750</v>
      </c>
      <c r="B19" s="34">
        <f>SUM(B16:B18)</f>
        <v>34106484.375</v>
      </c>
      <c r="C19" s="34">
        <f>SUM(C16:C18)</f>
        <v>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45345234.375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79">
        <f>G9</f>
        <v>0.23125000000000001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138750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231250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115625</v>
      </c>
      <c r="E29" s="182">
        <f>50000*$G$9</f>
        <v>11562.5</v>
      </c>
      <c r="F29" s="2" t="s">
        <v>278</v>
      </c>
    </row>
    <row r="30" spans="1:17" ht="12.75" x14ac:dyDescent="0.2">
      <c r="A30" s="2" t="s">
        <v>35</v>
      </c>
      <c r="B30" s="2"/>
      <c r="C30" s="15">
        <f>(7730000*0.98)*$G$9</f>
        <v>1751811.25</v>
      </c>
      <c r="F30" s="31" t="s">
        <v>277</v>
      </c>
    </row>
    <row r="31" spans="1:17" ht="12.75" x14ac:dyDescent="0.2">
      <c r="A31" s="2" t="s">
        <v>34</v>
      </c>
      <c r="B31" s="2"/>
      <c r="C31" s="15">
        <f>(7730000*0.02)*$G$9</f>
        <v>35751.25</v>
      </c>
      <c r="F31" s="31" t="s">
        <v>276</v>
      </c>
    </row>
    <row r="32" spans="1:17" ht="12.75" x14ac:dyDescent="0.2">
      <c r="A32" s="2" t="s">
        <v>33</v>
      </c>
      <c r="B32" s="2"/>
      <c r="C32" s="2"/>
      <c r="E32" s="15">
        <f>80000*5*$G$9</f>
        <v>92500</v>
      </c>
      <c r="F32" s="17" t="s">
        <v>32</v>
      </c>
    </row>
    <row r="33" spans="1:9" ht="12.75" x14ac:dyDescent="0.2">
      <c r="A33" s="2" t="s">
        <v>31</v>
      </c>
      <c r="B33" s="2"/>
      <c r="C33" s="15">
        <f>3000000*$G$9</f>
        <v>693750</v>
      </c>
      <c r="E33" s="15">
        <f>1000000*$G$9*0</f>
        <v>0</v>
      </c>
      <c r="F33" s="17" t="s">
        <v>283</v>
      </c>
    </row>
    <row r="34" spans="1:9" ht="12.75" x14ac:dyDescent="0.2">
      <c r="A34" s="2" t="s">
        <v>29</v>
      </c>
      <c r="B34" s="2"/>
      <c r="C34" s="2"/>
      <c r="D34" s="19"/>
      <c r="E34" s="18">
        <f>90000*1*250*$G$9</f>
        <v>5203125</v>
      </c>
      <c r="F34" s="17" t="s">
        <v>28</v>
      </c>
    </row>
    <row r="35" spans="1:9" ht="13.5" thickBot="1" x14ac:dyDescent="0.25">
      <c r="A35" s="31" t="s">
        <v>27</v>
      </c>
      <c r="B35" s="31"/>
      <c r="C35" s="56"/>
      <c r="D35" s="37">
        <f>-(125*$E$9)*0</f>
        <v>0</v>
      </c>
      <c r="E35" s="37"/>
      <c r="F35" s="31" t="s">
        <v>116</v>
      </c>
      <c r="G35" s="19"/>
      <c r="H35" s="19"/>
      <c r="I35" s="16"/>
    </row>
    <row r="36" spans="1:9" ht="12.75" x14ac:dyDescent="0.2">
      <c r="A36" s="2"/>
      <c r="B36" s="2"/>
      <c r="C36" s="15">
        <f>SUM(C27:C35)</f>
        <v>2481312.5</v>
      </c>
      <c r="D36" s="15">
        <f>SUM(D27:D35)</f>
        <v>485625</v>
      </c>
      <c r="E36" s="15">
        <f>SUM(E27:E35)</f>
        <v>5307187.5</v>
      </c>
      <c r="F36" s="2"/>
    </row>
    <row r="37" spans="1:9" ht="12.75" x14ac:dyDescent="0.2">
      <c r="A37" s="2"/>
      <c r="B37" s="2"/>
      <c r="C37" s="15"/>
      <c r="D37" s="15"/>
      <c r="E37" s="15"/>
      <c r="F37" s="2"/>
    </row>
    <row r="38" spans="1:9" ht="12.75" x14ac:dyDescent="0.2">
      <c r="A38" s="2"/>
      <c r="B38" s="2"/>
      <c r="C38" s="15"/>
      <c r="D38" s="15"/>
      <c r="E38" s="15">
        <f>E21+C36</f>
        <v>47826546.875</v>
      </c>
      <c r="F38" s="2" t="s">
        <v>26</v>
      </c>
    </row>
    <row r="39" spans="1:9" ht="13.5" thickBot="1" x14ac:dyDescent="0.25">
      <c r="A39" s="2"/>
      <c r="B39" s="2"/>
      <c r="C39" s="2"/>
      <c r="D39" s="2"/>
      <c r="E39" s="14">
        <f>D36+E36</f>
        <v>5792812.5</v>
      </c>
      <c r="F39" s="13" t="s">
        <v>25</v>
      </c>
    </row>
    <row r="40" spans="1:9" ht="12.75" x14ac:dyDescent="0.2">
      <c r="A40" s="2"/>
      <c r="B40" s="2"/>
      <c r="C40" s="2"/>
      <c r="D40" s="2"/>
      <c r="E40" s="12">
        <f>+E21+C36+D36+E36</f>
        <v>53619359.375</v>
      </c>
      <c r="F40" s="11" t="s">
        <v>24</v>
      </c>
    </row>
    <row r="41" spans="1:9" ht="12.75" x14ac:dyDescent="0.2">
      <c r="A41" s="2"/>
      <c r="B41" s="2"/>
      <c r="C41" s="2"/>
      <c r="D41" s="2"/>
      <c r="E41" s="4"/>
      <c r="F41" s="2"/>
    </row>
    <row r="42" spans="1:9" ht="12.75" x14ac:dyDescent="0.2">
      <c r="A42" s="2"/>
      <c r="B42" s="2"/>
      <c r="C42" s="2"/>
      <c r="D42" s="2"/>
      <c r="E42" s="2"/>
    </row>
    <row r="43" spans="1:9" ht="12.75" x14ac:dyDescent="0.2">
      <c r="A43" s="2" t="s">
        <v>23</v>
      </c>
      <c r="B43" s="2"/>
      <c r="C43" s="2"/>
      <c r="D43" s="2"/>
      <c r="E43" s="2"/>
    </row>
    <row r="44" spans="1:9" ht="12.75" x14ac:dyDescent="0.2">
      <c r="A44" s="2"/>
      <c r="B44" s="2"/>
      <c r="C44" s="2"/>
      <c r="D44" s="2"/>
      <c r="E44" s="2"/>
    </row>
    <row r="45" spans="1:9" ht="12.75" x14ac:dyDescent="0.2">
      <c r="A45" s="2"/>
      <c r="B45" s="2"/>
      <c r="C45" s="2"/>
      <c r="D45" s="2"/>
      <c r="E45" s="2"/>
    </row>
    <row r="46" spans="1:9" ht="12.75" x14ac:dyDescent="0.2">
      <c r="A46" s="3" t="s">
        <v>22</v>
      </c>
      <c r="B46" s="8" t="s">
        <v>12</v>
      </c>
      <c r="C46" s="8" t="s">
        <v>11</v>
      </c>
      <c r="D46" s="2"/>
      <c r="E46" s="2"/>
    </row>
    <row r="47" spans="1:9" ht="12.75" x14ac:dyDescent="0.2">
      <c r="A47" s="2" t="s">
        <v>10</v>
      </c>
      <c r="B47" s="4"/>
      <c r="C47" s="4"/>
      <c r="D47" s="2"/>
      <c r="E47" s="2"/>
    </row>
    <row r="48" spans="1:9" ht="12.75" x14ac:dyDescent="0.2">
      <c r="A48" s="2" t="s">
        <v>9</v>
      </c>
      <c r="B48" s="5"/>
      <c r="C48" s="5"/>
      <c r="D48" s="2"/>
      <c r="E48" s="2"/>
    </row>
    <row r="49" spans="1:5" ht="12.75" x14ac:dyDescent="0.2">
      <c r="A49" s="2" t="s">
        <v>17</v>
      </c>
      <c r="B49" s="4">
        <f>SUM(B47:B48)</f>
        <v>0</v>
      </c>
      <c r="C49" s="4">
        <f>SUM(C47:C48)</f>
        <v>0</v>
      </c>
      <c r="D49" s="2"/>
      <c r="E49" s="2"/>
    </row>
    <row r="50" spans="1:5" ht="12.75" x14ac:dyDescent="0.2">
      <c r="A50" s="2"/>
      <c r="B50" s="2"/>
      <c r="C50" s="2"/>
      <c r="D50" s="2"/>
      <c r="E50" s="2"/>
    </row>
    <row r="51" spans="1:5" ht="12.75" x14ac:dyDescent="0.2">
      <c r="A51" s="3" t="s">
        <v>21</v>
      </c>
      <c r="B51" s="2"/>
      <c r="C51" s="2"/>
      <c r="D51" s="2"/>
      <c r="E51" s="2"/>
    </row>
    <row r="52" spans="1:5" ht="12.75" x14ac:dyDescent="0.2">
      <c r="A52" s="2" t="s">
        <v>10</v>
      </c>
      <c r="B52" s="4">
        <f>A19+C33</f>
        <v>11932500</v>
      </c>
      <c r="C52" s="4">
        <f>C19</f>
        <v>0</v>
      </c>
      <c r="D52" s="2"/>
      <c r="E52" s="2"/>
    </row>
    <row r="53" spans="1:5" ht="12.75" x14ac:dyDescent="0.2">
      <c r="A53" s="2" t="s">
        <v>9</v>
      </c>
      <c r="B53" s="5">
        <f>B19</f>
        <v>34106484.375</v>
      </c>
      <c r="C53" s="5">
        <f>D19</f>
        <v>0</v>
      </c>
      <c r="D53" s="2"/>
      <c r="E53" s="2"/>
    </row>
    <row r="54" spans="1:5" ht="12.75" x14ac:dyDescent="0.2">
      <c r="A54" s="2" t="s">
        <v>17</v>
      </c>
      <c r="B54" s="4">
        <f>SUM(B52:B53)</f>
        <v>46038984.375</v>
      </c>
      <c r="C54" s="4">
        <f>SUM(C52:C53)</f>
        <v>0</v>
      </c>
      <c r="D54" s="2"/>
      <c r="E54" s="2"/>
    </row>
    <row r="55" spans="1:5" ht="12.75" x14ac:dyDescent="0.2">
      <c r="A55" s="2"/>
      <c r="B55" s="4"/>
      <c r="C55" s="4"/>
      <c r="D55" s="2"/>
      <c r="E55" s="2"/>
    </row>
    <row r="56" spans="1:5" ht="12.75" x14ac:dyDescent="0.2">
      <c r="A56" s="11" t="s">
        <v>20</v>
      </c>
      <c r="B56" s="4"/>
      <c r="C56" s="4"/>
      <c r="D56" s="2"/>
      <c r="E56" s="2"/>
    </row>
    <row r="57" spans="1:5" ht="12.75" x14ac:dyDescent="0.2">
      <c r="A57" s="2" t="s">
        <v>19</v>
      </c>
      <c r="B57" s="4">
        <f>C30</f>
        <v>1751811.25</v>
      </c>
      <c r="C57" s="4"/>
      <c r="D57" s="2"/>
      <c r="E57" s="2"/>
    </row>
    <row r="58" spans="1:5" ht="12.75" x14ac:dyDescent="0.2">
      <c r="A58" s="2" t="s">
        <v>18</v>
      </c>
      <c r="B58" s="5">
        <f>C31</f>
        <v>35751.25</v>
      </c>
      <c r="C58" s="4"/>
      <c r="D58" s="2"/>
      <c r="E58" s="2"/>
    </row>
    <row r="59" spans="1:5" ht="12.75" x14ac:dyDescent="0.2">
      <c r="A59" s="2" t="s">
        <v>17</v>
      </c>
      <c r="B59" s="4">
        <f>+B57+B58</f>
        <v>1787562.5</v>
      </c>
      <c r="C59" s="4"/>
      <c r="D59" s="2"/>
      <c r="E59" s="2"/>
    </row>
    <row r="60" spans="1:5" ht="12.75" x14ac:dyDescent="0.2">
      <c r="A60" s="2"/>
      <c r="B60" s="4"/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 t="s">
        <v>16</v>
      </c>
      <c r="B63" s="4"/>
      <c r="C63" s="4"/>
      <c r="D63" s="2"/>
      <c r="E63" s="11"/>
    </row>
    <row r="64" spans="1:5" ht="12.75" x14ac:dyDescent="0.2">
      <c r="A64" s="2" t="s">
        <v>10</v>
      </c>
      <c r="B64" s="4"/>
      <c r="C64" s="4">
        <f>D36</f>
        <v>485625</v>
      </c>
      <c r="D64" s="2"/>
      <c r="E64" s="10"/>
    </row>
    <row r="65" spans="1:4" ht="12.75" x14ac:dyDescent="0.2">
      <c r="A65" s="2" t="s">
        <v>9</v>
      </c>
      <c r="B65" s="5"/>
      <c r="C65" s="5">
        <f>E36</f>
        <v>5307187.5</v>
      </c>
      <c r="D65" s="2"/>
    </row>
    <row r="66" spans="1:4" ht="12.75" x14ac:dyDescent="0.2">
      <c r="A66" s="2" t="s">
        <v>15</v>
      </c>
      <c r="B66" s="4">
        <f>+B64+B65</f>
        <v>0</v>
      </c>
      <c r="C66" s="4">
        <f>+C64+C65</f>
        <v>5792812.5</v>
      </c>
      <c r="D66" s="2"/>
    </row>
    <row r="67" spans="1:4" ht="12.75" x14ac:dyDescent="0.2">
      <c r="A67" s="2"/>
      <c r="B67" s="4"/>
      <c r="C67" s="4"/>
      <c r="D67" s="2"/>
    </row>
    <row r="68" spans="1:4" ht="12.75" x14ac:dyDescent="0.2">
      <c r="A68" s="2" t="s">
        <v>7</v>
      </c>
      <c r="B68" s="4">
        <f>+B49+B54+B59+B66</f>
        <v>47826546.875</v>
      </c>
      <c r="C68" s="4">
        <f>+C49+C54+C59+C66</f>
        <v>5792812.5</v>
      </c>
      <c r="D68" s="2"/>
    </row>
    <row r="69" spans="1:4" ht="12.75" x14ac:dyDescent="0.2">
      <c r="A69" s="2"/>
      <c r="B69" s="4"/>
      <c r="C69" s="4"/>
      <c r="D69" s="2"/>
    </row>
    <row r="70" spans="1:4" ht="12.75" x14ac:dyDescent="0.2">
      <c r="A70" s="2" t="s">
        <v>14</v>
      </c>
      <c r="B70" s="4">
        <f>A19+B19+C36</f>
        <v>47826546.875</v>
      </c>
      <c r="C70" s="4">
        <f>C19+D19+D36+E36</f>
        <v>5792812.5</v>
      </c>
      <c r="D70" s="2"/>
    </row>
    <row r="71" spans="1:4" ht="12.75" x14ac:dyDescent="0.2">
      <c r="A71" s="2"/>
      <c r="B71" s="4"/>
      <c r="C71" s="4"/>
      <c r="D71" s="2"/>
    </row>
    <row r="72" spans="1:4" ht="12.75" x14ac:dyDescent="0.2">
      <c r="A72" s="2"/>
      <c r="B72" s="4"/>
      <c r="C72" s="4"/>
      <c r="D72" s="2"/>
    </row>
    <row r="73" spans="1:4" ht="12.75" x14ac:dyDescent="0.2">
      <c r="A73" s="2"/>
      <c r="B73" s="4"/>
      <c r="C73" s="4"/>
      <c r="D73" s="2"/>
    </row>
    <row r="74" spans="1:4" ht="13.5" thickBot="1" x14ac:dyDescent="0.25">
      <c r="A74" s="9" t="s">
        <v>13</v>
      </c>
      <c r="B74" s="8" t="s">
        <v>12</v>
      </c>
      <c r="C74" s="8" t="s">
        <v>11</v>
      </c>
      <c r="D74" s="2"/>
    </row>
    <row r="75" spans="1:4" ht="12.75" x14ac:dyDescent="0.2">
      <c r="A75" s="2" t="s">
        <v>10</v>
      </c>
      <c r="B75" s="4">
        <v>0</v>
      </c>
      <c r="C75" s="7">
        <f>((E34/5))*0.5</f>
        <v>520312.5</v>
      </c>
      <c r="D75" s="6"/>
    </row>
    <row r="76" spans="1:4" ht="12.75" x14ac:dyDescent="0.2">
      <c r="A76" s="2" t="s">
        <v>9</v>
      </c>
      <c r="B76" s="4">
        <v>0</v>
      </c>
      <c r="C76" s="4">
        <v>0</v>
      </c>
    </row>
    <row r="77" spans="1:4" ht="12.75" x14ac:dyDescent="0.2">
      <c r="A77" s="2" t="s">
        <v>8</v>
      </c>
      <c r="B77" s="5">
        <v>0</v>
      </c>
      <c r="C77" s="5">
        <v>0</v>
      </c>
      <c r="D77" s="2"/>
    </row>
    <row r="78" spans="1:4" ht="12.75" x14ac:dyDescent="0.2">
      <c r="A78" s="2" t="s">
        <v>7</v>
      </c>
      <c r="B78" s="4">
        <f>SUM(B75:B77)</f>
        <v>0</v>
      </c>
      <c r="C78" s="4">
        <f>SUM(C75:C77)</f>
        <v>520312.5</v>
      </c>
      <c r="D78" s="2"/>
    </row>
    <row r="79" spans="1:4" ht="12.75" x14ac:dyDescent="0.2">
      <c r="A79" s="2"/>
      <c r="B79" s="4"/>
      <c r="C79" s="4"/>
      <c r="D79" s="2"/>
    </row>
    <row r="80" spans="1:4" ht="12.75" x14ac:dyDescent="0.2">
      <c r="A80" s="2" t="s">
        <v>6</v>
      </c>
      <c r="B80" s="4"/>
      <c r="C80" s="4"/>
      <c r="D80" s="2"/>
    </row>
    <row r="81" spans="1:4" ht="12.75" x14ac:dyDescent="0.2">
      <c r="A81" s="2"/>
      <c r="B81" s="4"/>
      <c r="C81" s="4"/>
      <c r="D81" s="2"/>
    </row>
    <row r="82" spans="1:4" ht="12.75" x14ac:dyDescent="0.2">
      <c r="A82" s="2"/>
      <c r="B82" s="2"/>
      <c r="C82" s="2"/>
      <c r="D82" s="2"/>
    </row>
    <row r="83" spans="1:4" ht="12.75" x14ac:dyDescent="0.2">
      <c r="A83" s="3" t="s">
        <v>5</v>
      </c>
      <c r="B83" s="2"/>
      <c r="C83" s="2"/>
      <c r="D83" s="2"/>
    </row>
    <row r="84" spans="1:4" ht="12.75" x14ac:dyDescent="0.2">
      <c r="A84" s="2" t="s">
        <v>4</v>
      </c>
      <c r="B84" s="2"/>
      <c r="C84" s="2"/>
      <c r="D84" s="2"/>
    </row>
    <row r="85" spans="1:4" ht="12.75" x14ac:dyDescent="0.2">
      <c r="A85" s="2" t="s">
        <v>3</v>
      </c>
      <c r="B85" s="2"/>
      <c r="C85" s="2"/>
      <c r="D85" s="2"/>
    </row>
    <row r="86" spans="1:4" ht="12.75" x14ac:dyDescent="0.2">
      <c r="A86" s="2" t="s">
        <v>2</v>
      </c>
      <c r="B86" s="2"/>
      <c r="C86" s="2"/>
      <c r="D86" s="2"/>
    </row>
    <row r="87" spans="1:4" ht="12.75" x14ac:dyDescent="0.2">
      <c r="A87" s="2" t="s">
        <v>1</v>
      </c>
      <c r="B87" s="2"/>
      <c r="C87" s="2"/>
      <c r="D87" s="2"/>
    </row>
    <row r="88" spans="1:4" ht="12.75" x14ac:dyDescent="0.2">
      <c r="A88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8"/>
  <sheetViews>
    <sheetView showGridLines="0" zoomScale="130" zoomScaleNormal="130" workbookViewId="0">
      <selection activeCell="B53" sqref="B53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20812.5</v>
      </c>
      <c r="F9" s="40">
        <v>90000</v>
      </c>
      <c r="G9" s="117">
        <f>23.125%</f>
        <v>0.23125000000000001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21">
        <f>500*$E$9</f>
        <v>10406250</v>
      </c>
      <c r="B10" s="18"/>
      <c r="C10" s="18"/>
      <c r="D10" s="18"/>
      <c r="E10" s="114" t="s">
        <v>143</v>
      </c>
      <c r="F10" s="115"/>
      <c r="G10" s="115"/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8">
        <f>$E$9*1425</f>
        <v>29657812.5</v>
      </c>
      <c r="C12" s="18"/>
      <c r="D12" s="18"/>
      <c r="E12" s="31" t="s">
        <v>44</v>
      </c>
      <c r="F12" s="31"/>
      <c r="G12" s="31"/>
      <c r="H12" s="31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18"/>
      <c r="B13" s="18"/>
      <c r="C13" s="18"/>
      <c r="D13" s="18"/>
      <c r="E13" s="31"/>
      <c r="F13" s="31"/>
      <c r="G13" s="31"/>
      <c r="H13" s="31"/>
      <c r="I13" s="31"/>
      <c r="J13" s="31"/>
      <c r="K13" s="31"/>
      <c r="L13" s="29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/>
      <c r="D14" s="18"/>
      <c r="E14" s="31"/>
      <c r="F14" s="31"/>
      <c r="G14" s="31"/>
      <c r="H14" s="31"/>
      <c r="I14" s="31"/>
      <c r="J14" s="31"/>
      <c r="K14" s="31"/>
      <c r="L14" s="29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10406250</v>
      </c>
      <c r="B16" s="34">
        <f>SUM(B10:B15)</f>
        <v>29657812.5</v>
      </c>
      <c r="C16" s="34">
        <f>SUM(C10:C15)</f>
        <v>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832500</v>
      </c>
      <c r="B17" s="34"/>
      <c r="C17" s="34">
        <f>+(C16)*0.08</f>
        <v>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+A16*0.15*0</f>
        <v>0</v>
      </c>
      <c r="B18" s="37">
        <f>+B16*0.15</f>
        <v>4448671.875</v>
      </c>
      <c r="C18" s="37">
        <f>+C16*0.15</f>
        <v>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11238750</v>
      </c>
      <c r="B19" s="34">
        <f>SUM(B16:B18)</f>
        <v>34106484.375</v>
      </c>
      <c r="C19" s="34">
        <f>SUM(C16:C18)</f>
        <v>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45345234.375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79">
        <f>G9</f>
        <v>0.23125000000000001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138750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231250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115625</v>
      </c>
      <c r="E29" s="182">
        <f>50000*$G$9</f>
        <v>11562.5</v>
      </c>
      <c r="F29" s="2" t="s">
        <v>278</v>
      </c>
    </row>
    <row r="30" spans="1:17" ht="12.75" x14ac:dyDescent="0.2">
      <c r="A30" s="31" t="s">
        <v>35</v>
      </c>
      <c r="B30" s="31"/>
      <c r="C30" s="18">
        <f>(7730000*0.98)*$G$9</f>
        <v>1751811.25</v>
      </c>
      <c r="D30" s="19"/>
      <c r="E30" s="19"/>
      <c r="F30" s="31" t="s">
        <v>277</v>
      </c>
      <c r="J30" s="19"/>
      <c r="L30" s="69">
        <f>7730000*0.98</f>
        <v>7575400</v>
      </c>
    </row>
    <row r="31" spans="1:17" ht="12.75" x14ac:dyDescent="0.2">
      <c r="A31" s="31" t="s">
        <v>34</v>
      </c>
      <c r="B31" s="31"/>
      <c r="C31" s="18">
        <f>(7730000*0.02)*$G$9</f>
        <v>35751.25</v>
      </c>
      <c r="D31" s="19"/>
      <c r="E31" s="19"/>
      <c r="F31" s="31" t="s">
        <v>276</v>
      </c>
      <c r="J31" s="19"/>
      <c r="L31" s="69">
        <f>7730000*0.02</f>
        <v>154600</v>
      </c>
    </row>
    <row r="32" spans="1:17" ht="12.75" x14ac:dyDescent="0.2">
      <c r="A32" s="2" t="s">
        <v>33</v>
      </c>
      <c r="B32" s="2"/>
      <c r="C32" s="2"/>
      <c r="E32" s="15">
        <f>80000*5*$G$9</f>
        <v>92500</v>
      </c>
      <c r="F32" s="17" t="s">
        <v>32</v>
      </c>
    </row>
    <row r="33" spans="1:9" ht="12.75" x14ac:dyDescent="0.2">
      <c r="A33" s="2" t="s">
        <v>31</v>
      </c>
      <c r="B33" s="2"/>
      <c r="C33" s="15">
        <f>3000000*$G$9</f>
        <v>693750</v>
      </c>
      <c r="E33" s="15">
        <f>1000000*$G$9*0</f>
        <v>0</v>
      </c>
      <c r="F33" s="17" t="s">
        <v>283</v>
      </c>
    </row>
    <row r="34" spans="1:9" ht="12.75" x14ac:dyDescent="0.2">
      <c r="A34" s="2" t="s">
        <v>29</v>
      </c>
      <c r="B34" s="2"/>
      <c r="C34" s="2"/>
      <c r="D34" s="19"/>
      <c r="E34" s="18">
        <f>90000*1*250*$G$9</f>
        <v>5203125</v>
      </c>
      <c r="F34" s="17" t="s">
        <v>28</v>
      </c>
    </row>
    <row r="35" spans="1:9" ht="13.5" thickBot="1" x14ac:dyDescent="0.25">
      <c r="A35" s="31" t="s">
        <v>27</v>
      </c>
      <c r="B35" s="31"/>
      <c r="C35" s="56"/>
      <c r="D35" s="37">
        <f>-(125*$E$9)*0</f>
        <v>0</v>
      </c>
      <c r="E35" s="37"/>
      <c r="F35" s="31" t="s">
        <v>116</v>
      </c>
      <c r="G35" s="19"/>
      <c r="H35" s="19"/>
      <c r="I35" s="16"/>
    </row>
    <row r="36" spans="1:9" ht="12.75" x14ac:dyDescent="0.2">
      <c r="A36" s="2"/>
      <c r="B36" s="2"/>
      <c r="C36" s="15">
        <f>SUM(C27:C35)</f>
        <v>2481312.5</v>
      </c>
      <c r="D36" s="15">
        <f>SUM(D27:D35)</f>
        <v>485625</v>
      </c>
      <c r="E36" s="15">
        <f>SUM(E27:E35)</f>
        <v>5307187.5</v>
      </c>
      <c r="F36" s="2"/>
    </row>
    <row r="37" spans="1:9" ht="12.75" x14ac:dyDescent="0.2">
      <c r="A37" s="2"/>
      <c r="B37" s="2"/>
      <c r="C37" s="15"/>
      <c r="D37" s="15"/>
      <c r="E37" s="15"/>
      <c r="F37" s="2"/>
    </row>
    <row r="38" spans="1:9" ht="12.75" x14ac:dyDescent="0.2">
      <c r="A38" s="2"/>
      <c r="B38" s="2"/>
      <c r="C38" s="15"/>
      <c r="D38" s="15"/>
      <c r="E38" s="15">
        <f>E21+C36</f>
        <v>47826546.875</v>
      </c>
      <c r="F38" s="2" t="s">
        <v>26</v>
      </c>
    </row>
    <row r="39" spans="1:9" ht="13.5" thickBot="1" x14ac:dyDescent="0.25">
      <c r="A39" s="2"/>
      <c r="B39" s="2"/>
      <c r="C39" s="2"/>
      <c r="D39" s="2"/>
      <c r="E39" s="14">
        <f>D36+E36</f>
        <v>5792812.5</v>
      </c>
      <c r="F39" s="13" t="s">
        <v>25</v>
      </c>
    </row>
    <row r="40" spans="1:9" ht="12.75" x14ac:dyDescent="0.2">
      <c r="A40" s="2"/>
      <c r="B40" s="2"/>
      <c r="C40" s="2"/>
      <c r="D40" s="2"/>
      <c r="E40" s="12">
        <f>+E21+C36+D36+E36</f>
        <v>53619359.375</v>
      </c>
      <c r="F40" s="11" t="s">
        <v>24</v>
      </c>
    </row>
    <row r="41" spans="1:9" ht="12.75" x14ac:dyDescent="0.2">
      <c r="A41" s="2"/>
      <c r="B41" s="2"/>
      <c r="C41" s="2"/>
      <c r="D41" s="2"/>
      <c r="E41" s="4"/>
      <c r="F41" s="2"/>
    </row>
    <row r="42" spans="1:9" ht="12.75" x14ac:dyDescent="0.2">
      <c r="A42" s="2"/>
      <c r="B42" s="2"/>
      <c r="C42" s="2"/>
      <c r="D42" s="2"/>
      <c r="E42" s="2"/>
    </row>
    <row r="43" spans="1:9" ht="12.75" x14ac:dyDescent="0.2">
      <c r="A43" s="2" t="s">
        <v>23</v>
      </c>
      <c r="B43" s="2"/>
      <c r="C43" s="2"/>
      <c r="D43" s="2"/>
      <c r="E43" s="2"/>
    </row>
    <row r="44" spans="1:9" ht="12.75" x14ac:dyDescent="0.2">
      <c r="A44" s="2"/>
      <c r="B44" s="2"/>
      <c r="C44" s="2"/>
      <c r="D44" s="2"/>
      <c r="E44" s="2"/>
    </row>
    <row r="45" spans="1:9" ht="12.75" x14ac:dyDescent="0.2">
      <c r="A45" s="2"/>
      <c r="B45" s="2"/>
      <c r="C45" s="2"/>
      <c r="D45" s="2"/>
      <c r="E45" s="2"/>
    </row>
    <row r="46" spans="1:9" ht="12.75" x14ac:dyDescent="0.2">
      <c r="A46" s="3" t="s">
        <v>22</v>
      </c>
      <c r="B46" s="8" t="s">
        <v>12</v>
      </c>
      <c r="C46" s="8" t="s">
        <v>11</v>
      </c>
      <c r="D46" s="2"/>
      <c r="E46" s="2"/>
    </row>
    <row r="47" spans="1:9" ht="12.75" x14ac:dyDescent="0.2">
      <c r="A47" s="2" t="s">
        <v>10</v>
      </c>
      <c r="B47" s="4"/>
      <c r="C47" s="4"/>
      <c r="D47" s="2"/>
      <c r="E47" s="2"/>
    </row>
    <row r="48" spans="1:9" ht="12.75" x14ac:dyDescent="0.2">
      <c r="A48" s="2" t="s">
        <v>9</v>
      </c>
      <c r="B48" s="5"/>
      <c r="C48" s="5"/>
      <c r="D48" s="2"/>
      <c r="E48" s="2"/>
    </row>
    <row r="49" spans="1:5" ht="12.75" x14ac:dyDescent="0.2">
      <c r="A49" s="2" t="s">
        <v>17</v>
      </c>
      <c r="B49" s="4">
        <f>SUM(B47:B48)</f>
        <v>0</v>
      </c>
      <c r="C49" s="4">
        <f>SUM(C47:C48)</f>
        <v>0</v>
      </c>
      <c r="D49" s="2"/>
      <c r="E49" s="2"/>
    </row>
    <row r="50" spans="1:5" ht="12.75" x14ac:dyDescent="0.2">
      <c r="A50" s="2"/>
      <c r="B50" s="2"/>
      <c r="C50" s="2"/>
      <c r="D50" s="2"/>
      <c r="E50" s="2"/>
    </row>
    <row r="51" spans="1:5" ht="12.75" x14ac:dyDescent="0.2">
      <c r="A51" s="3" t="s">
        <v>21</v>
      </c>
      <c r="B51" s="2"/>
      <c r="C51" s="2"/>
      <c r="D51" s="2"/>
      <c r="E51" s="2"/>
    </row>
    <row r="52" spans="1:5" ht="12.75" x14ac:dyDescent="0.2">
      <c r="A52" s="2" t="s">
        <v>10</v>
      </c>
      <c r="B52" s="4">
        <f>A19+C33</f>
        <v>11932500</v>
      </c>
      <c r="C52" s="4">
        <f>C19</f>
        <v>0</v>
      </c>
      <c r="D52" s="2"/>
      <c r="E52" s="2"/>
    </row>
    <row r="53" spans="1:5" ht="12.75" x14ac:dyDescent="0.2">
      <c r="A53" s="2" t="s">
        <v>9</v>
      </c>
      <c r="B53" s="5">
        <f>B19</f>
        <v>34106484.375</v>
      </c>
      <c r="C53" s="5">
        <f>D19</f>
        <v>0</v>
      </c>
      <c r="D53" s="2"/>
      <c r="E53" s="2"/>
    </row>
    <row r="54" spans="1:5" ht="12.75" x14ac:dyDescent="0.2">
      <c r="A54" s="2" t="s">
        <v>17</v>
      </c>
      <c r="B54" s="4">
        <f>SUM(B52:B53)</f>
        <v>46038984.375</v>
      </c>
      <c r="C54" s="4">
        <f>SUM(C52:C53)</f>
        <v>0</v>
      </c>
      <c r="D54" s="2"/>
      <c r="E54" s="2"/>
    </row>
    <row r="55" spans="1:5" ht="12.75" x14ac:dyDescent="0.2">
      <c r="A55" s="2"/>
      <c r="B55" s="4"/>
      <c r="C55" s="4"/>
      <c r="D55" s="2"/>
      <c r="E55" s="2"/>
    </row>
    <row r="56" spans="1:5" ht="12.75" x14ac:dyDescent="0.2">
      <c r="A56" s="11" t="s">
        <v>20</v>
      </c>
      <c r="B56" s="4"/>
      <c r="C56" s="4"/>
      <c r="D56" s="2"/>
      <c r="E56" s="2"/>
    </row>
    <row r="57" spans="1:5" ht="12.75" x14ac:dyDescent="0.2">
      <c r="A57" s="2" t="s">
        <v>19</v>
      </c>
      <c r="B57" s="4">
        <f>C30</f>
        <v>1751811.25</v>
      </c>
      <c r="C57" s="4"/>
      <c r="D57" s="2"/>
      <c r="E57" s="2"/>
    </row>
    <row r="58" spans="1:5" ht="12.75" x14ac:dyDescent="0.2">
      <c r="A58" s="2" t="s">
        <v>18</v>
      </c>
      <c r="B58" s="5">
        <f>C31</f>
        <v>35751.25</v>
      </c>
      <c r="C58" s="4"/>
      <c r="D58" s="2"/>
      <c r="E58" s="2"/>
    </row>
    <row r="59" spans="1:5" ht="12.75" x14ac:dyDescent="0.2">
      <c r="A59" s="2" t="s">
        <v>17</v>
      </c>
      <c r="B59" s="4">
        <f>+B57+B58</f>
        <v>1787562.5</v>
      </c>
      <c r="C59" s="4"/>
      <c r="D59" s="2"/>
      <c r="E59" s="2"/>
    </row>
    <row r="60" spans="1:5" ht="12.75" x14ac:dyDescent="0.2">
      <c r="A60" s="2"/>
      <c r="B60" s="4"/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 t="s">
        <v>16</v>
      </c>
      <c r="B63" s="4"/>
      <c r="C63" s="4"/>
      <c r="D63" s="2"/>
      <c r="E63" s="11"/>
    </row>
    <row r="64" spans="1:5" ht="12.75" x14ac:dyDescent="0.2">
      <c r="A64" s="2" t="s">
        <v>10</v>
      </c>
      <c r="B64" s="4"/>
      <c r="C64" s="4">
        <f>D36</f>
        <v>485625</v>
      </c>
      <c r="D64" s="2"/>
      <c r="E64" s="10"/>
    </row>
    <row r="65" spans="1:4" ht="12.75" x14ac:dyDescent="0.2">
      <c r="A65" s="2" t="s">
        <v>9</v>
      </c>
      <c r="B65" s="5"/>
      <c r="C65" s="5">
        <f>E36</f>
        <v>5307187.5</v>
      </c>
      <c r="D65" s="2"/>
    </row>
    <row r="66" spans="1:4" ht="12.75" x14ac:dyDescent="0.2">
      <c r="A66" s="2" t="s">
        <v>15</v>
      </c>
      <c r="B66" s="4">
        <f>+B64+B65</f>
        <v>0</v>
      </c>
      <c r="C66" s="4">
        <f>+C64+C65</f>
        <v>5792812.5</v>
      </c>
      <c r="D66" s="2"/>
    </row>
    <row r="67" spans="1:4" ht="12.75" x14ac:dyDescent="0.2">
      <c r="A67" s="2"/>
      <c r="B67" s="4"/>
      <c r="C67" s="4"/>
      <c r="D67" s="2"/>
    </row>
    <row r="68" spans="1:4" ht="12.75" x14ac:dyDescent="0.2">
      <c r="A68" s="2" t="s">
        <v>7</v>
      </c>
      <c r="B68" s="4">
        <f>+B49+B54+B59+B66</f>
        <v>47826546.875</v>
      </c>
      <c r="C68" s="4">
        <f>+C49+C54+C59+C66</f>
        <v>5792812.5</v>
      </c>
      <c r="D68" s="2"/>
    </row>
    <row r="69" spans="1:4" ht="12.75" x14ac:dyDescent="0.2">
      <c r="A69" s="2"/>
      <c r="B69" s="4"/>
      <c r="C69" s="4"/>
      <c r="D69" s="2"/>
    </row>
    <row r="70" spans="1:4" ht="12.75" x14ac:dyDescent="0.2">
      <c r="A70" s="2" t="s">
        <v>14</v>
      </c>
      <c r="B70" s="4">
        <f>A19+B19+C36</f>
        <v>47826546.875</v>
      </c>
      <c r="C70" s="4">
        <f>C19+D19+D36+E36</f>
        <v>5792812.5</v>
      </c>
      <c r="D70" s="2"/>
    </row>
    <row r="71" spans="1:4" ht="12.75" x14ac:dyDescent="0.2">
      <c r="A71" s="2"/>
      <c r="B71" s="4"/>
      <c r="C71" s="4"/>
      <c r="D71" s="2"/>
    </row>
    <row r="72" spans="1:4" ht="12.75" x14ac:dyDescent="0.2">
      <c r="A72" s="2"/>
      <c r="B72" s="4"/>
      <c r="C72" s="4"/>
      <c r="D72" s="2"/>
    </row>
    <row r="73" spans="1:4" ht="12.75" x14ac:dyDescent="0.2">
      <c r="A73" s="2"/>
      <c r="B73" s="4"/>
      <c r="C73" s="4"/>
      <c r="D73" s="2"/>
    </row>
    <row r="74" spans="1:4" ht="13.5" thickBot="1" x14ac:dyDescent="0.25">
      <c r="A74" s="9" t="s">
        <v>13</v>
      </c>
      <c r="B74" s="8" t="s">
        <v>12</v>
      </c>
      <c r="C74" s="8" t="s">
        <v>11</v>
      </c>
      <c r="D74" s="2"/>
    </row>
    <row r="75" spans="1:4" ht="12.75" x14ac:dyDescent="0.2">
      <c r="A75" s="2" t="s">
        <v>10</v>
      </c>
      <c r="B75" s="4">
        <v>0</v>
      </c>
      <c r="C75" s="7">
        <f>((E34/5))*0.5</f>
        <v>520312.5</v>
      </c>
      <c r="D75" s="6"/>
    </row>
    <row r="76" spans="1:4" ht="12.75" x14ac:dyDescent="0.2">
      <c r="A76" s="2" t="s">
        <v>9</v>
      </c>
      <c r="B76" s="4">
        <v>0</v>
      </c>
      <c r="C76" s="4">
        <v>0</v>
      </c>
    </row>
    <row r="77" spans="1:4" ht="12.75" x14ac:dyDescent="0.2">
      <c r="A77" s="2" t="s">
        <v>8</v>
      </c>
      <c r="B77" s="5">
        <v>0</v>
      </c>
      <c r="C77" s="5">
        <v>0</v>
      </c>
      <c r="D77" s="2"/>
    </row>
    <row r="78" spans="1:4" ht="12.75" x14ac:dyDescent="0.2">
      <c r="A78" s="2" t="s">
        <v>7</v>
      </c>
      <c r="B78" s="4">
        <f>SUM(B75:B77)</f>
        <v>0</v>
      </c>
      <c r="C78" s="4">
        <f>SUM(C75:C77)</f>
        <v>520312.5</v>
      </c>
      <c r="D78" s="2"/>
    </row>
    <row r="79" spans="1:4" ht="12.75" x14ac:dyDescent="0.2">
      <c r="A79" s="2"/>
      <c r="B79" s="4"/>
      <c r="C79" s="4"/>
      <c r="D79" s="2"/>
    </row>
    <row r="80" spans="1:4" ht="12.75" x14ac:dyDescent="0.2">
      <c r="A80" s="2" t="s">
        <v>6</v>
      </c>
      <c r="B80" s="4"/>
      <c r="C80" s="4"/>
      <c r="D80" s="2"/>
    </row>
    <row r="81" spans="1:4" ht="12.75" x14ac:dyDescent="0.2">
      <c r="A81" s="2"/>
      <c r="B81" s="4"/>
      <c r="C81" s="4"/>
      <c r="D81" s="2"/>
    </row>
    <row r="82" spans="1:4" ht="12.75" x14ac:dyDescent="0.2">
      <c r="A82" s="2"/>
      <c r="B82" s="2"/>
      <c r="C82" s="2"/>
      <c r="D82" s="2"/>
    </row>
    <row r="83" spans="1:4" ht="12.75" x14ac:dyDescent="0.2">
      <c r="A83" s="3" t="s">
        <v>5</v>
      </c>
      <c r="B83" s="2"/>
      <c r="C83" s="2"/>
      <c r="D83" s="2"/>
    </row>
    <row r="84" spans="1:4" ht="12.75" x14ac:dyDescent="0.2">
      <c r="A84" s="2" t="s">
        <v>4</v>
      </c>
      <c r="B84" s="2"/>
      <c r="C84" s="2"/>
      <c r="D84" s="2"/>
    </row>
    <row r="85" spans="1:4" ht="12.75" x14ac:dyDescent="0.2">
      <c r="A85" s="2" t="s">
        <v>3</v>
      </c>
      <c r="B85" s="2"/>
      <c r="C85" s="2"/>
      <c r="D85" s="2"/>
    </row>
    <row r="86" spans="1:4" ht="12.75" x14ac:dyDescent="0.2">
      <c r="A86" s="2" t="s">
        <v>2</v>
      </c>
      <c r="B86" s="2"/>
      <c r="C86" s="2"/>
      <c r="D86" s="2"/>
    </row>
    <row r="87" spans="1:4" ht="12.75" x14ac:dyDescent="0.2">
      <c r="A87" s="2" t="s">
        <v>1</v>
      </c>
      <c r="B87" s="2"/>
      <c r="C87" s="2"/>
      <c r="D87" s="2"/>
    </row>
    <row r="88" spans="1:4" ht="12.75" x14ac:dyDescent="0.2">
      <c r="A88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8"/>
  <sheetViews>
    <sheetView showGridLines="0" zoomScale="130" zoomScaleNormal="130" workbookViewId="0">
      <selection activeCell="B6" sqref="B6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1687.5</v>
      </c>
      <c r="F9" s="40">
        <v>90000</v>
      </c>
      <c r="G9" s="119">
        <f>1.875%</f>
        <v>1.8749999999999999E-2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21">
        <f>500*$E$9</f>
        <v>843750</v>
      </c>
      <c r="B10" s="18"/>
      <c r="C10" s="18"/>
      <c r="D10" s="18"/>
      <c r="E10" s="113" t="s">
        <v>143</v>
      </c>
      <c r="F10" s="113"/>
      <c r="G10" s="113"/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8">
        <f>$E$9*1425</f>
        <v>2404687.5</v>
      </c>
      <c r="C12" s="18"/>
      <c r="D12" s="18"/>
      <c r="E12" s="31" t="s">
        <v>44</v>
      </c>
      <c r="F12" s="31"/>
      <c r="G12" s="31"/>
      <c r="H12" s="31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18"/>
      <c r="B13" s="18"/>
      <c r="C13" s="18"/>
      <c r="D13" s="18"/>
      <c r="E13" s="31"/>
      <c r="F13" s="31"/>
      <c r="G13" s="31"/>
      <c r="H13" s="31"/>
      <c r="I13" s="31"/>
      <c r="J13" s="31"/>
      <c r="K13" s="31"/>
      <c r="L13" s="29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/>
      <c r="D14" s="18"/>
      <c r="E14" s="31"/>
      <c r="F14" s="31"/>
      <c r="G14" s="31"/>
      <c r="H14" s="31"/>
      <c r="I14" s="31"/>
      <c r="J14" s="31"/>
      <c r="K14" s="31"/>
      <c r="L14" s="29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843750</v>
      </c>
      <c r="B16" s="34">
        <f>SUM(B10:B15)</f>
        <v>2404687.5</v>
      </c>
      <c r="C16" s="34">
        <f>SUM(C10:C15)</f>
        <v>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67500</v>
      </c>
      <c r="B17" s="34"/>
      <c r="C17" s="34">
        <f>+(C16)*0.08</f>
        <v>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+A16*0.15*0</f>
        <v>0</v>
      </c>
      <c r="B18" s="37">
        <f>+B16*0.15</f>
        <v>360703.125</v>
      </c>
      <c r="C18" s="37">
        <f>+C16*0.15</f>
        <v>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911250</v>
      </c>
      <c r="B19" s="34">
        <f>SUM(B16:B18)</f>
        <v>2765390.625</v>
      </c>
      <c r="C19" s="34">
        <f>SUM(C16:C18)</f>
        <v>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3676640.625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20">
        <f>G9</f>
        <v>1.8749999999999999E-2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11250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18750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9375</v>
      </c>
      <c r="E29" s="182">
        <f>50000*$G$9</f>
        <v>937.5</v>
      </c>
      <c r="F29" s="2" t="s">
        <v>278</v>
      </c>
    </row>
    <row r="30" spans="1:17" ht="12.75" x14ac:dyDescent="0.2">
      <c r="A30" s="2" t="s">
        <v>35</v>
      </c>
      <c r="B30" s="2"/>
      <c r="C30" s="15">
        <f>(7730000*0.98)*$G$9</f>
        <v>142038.75</v>
      </c>
      <c r="F30" s="31" t="s">
        <v>277</v>
      </c>
    </row>
    <row r="31" spans="1:17" ht="12.75" x14ac:dyDescent="0.2">
      <c r="A31" s="2" t="s">
        <v>34</v>
      </c>
      <c r="B31" s="2"/>
      <c r="C31" s="15">
        <f>(7730000*0.02)*$G$9</f>
        <v>2898.75</v>
      </c>
      <c r="F31" s="31" t="s">
        <v>276</v>
      </c>
    </row>
    <row r="32" spans="1:17" ht="12.75" x14ac:dyDescent="0.2">
      <c r="A32" s="2" t="s">
        <v>33</v>
      </c>
      <c r="B32" s="2"/>
      <c r="C32" s="2"/>
      <c r="E32" s="15">
        <f>80000*5*$G$9</f>
        <v>7500</v>
      </c>
      <c r="F32" s="17" t="s">
        <v>32</v>
      </c>
    </row>
    <row r="33" spans="1:9" ht="12.75" x14ac:dyDescent="0.2">
      <c r="A33" s="2" t="s">
        <v>31</v>
      </c>
      <c r="B33" s="2"/>
      <c r="C33" s="15">
        <f>3000000*$G$9</f>
        <v>56250</v>
      </c>
      <c r="E33" s="15">
        <f>1000000*$G$9*0</f>
        <v>0</v>
      </c>
      <c r="F33" s="17" t="s">
        <v>283</v>
      </c>
    </row>
    <row r="34" spans="1:9" ht="12.75" x14ac:dyDescent="0.2">
      <c r="A34" s="2" t="s">
        <v>29</v>
      </c>
      <c r="B34" s="2"/>
      <c r="C34" s="2"/>
      <c r="D34" s="19"/>
      <c r="E34" s="18">
        <f>90000*1*250*$G$9</f>
        <v>421875</v>
      </c>
      <c r="F34" s="17" t="s">
        <v>28</v>
      </c>
    </row>
    <row r="35" spans="1:9" ht="13.5" thickBot="1" x14ac:dyDescent="0.25">
      <c r="A35" s="31" t="s">
        <v>27</v>
      </c>
      <c r="B35" s="31"/>
      <c r="C35" s="56"/>
      <c r="D35" s="37">
        <f>-(125*$E$9)*0</f>
        <v>0</v>
      </c>
      <c r="E35" s="37"/>
      <c r="F35" s="31" t="s">
        <v>116</v>
      </c>
      <c r="G35" s="19"/>
      <c r="H35" s="19"/>
      <c r="I35" s="16"/>
    </row>
    <row r="36" spans="1:9" ht="12.75" x14ac:dyDescent="0.2">
      <c r="A36" s="2"/>
      <c r="B36" s="2"/>
      <c r="C36" s="15">
        <f>SUM(C27:C35)</f>
        <v>201187.5</v>
      </c>
      <c r="D36" s="15">
        <f>SUM(D27:D35)</f>
        <v>39375</v>
      </c>
      <c r="E36" s="15">
        <f>SUM(E27:E35)</f>
        <v>430312.5</v>
      </c>
      <c r="F36" s="2"/>
    </row>
    <row r="37" spans="1:9" ht="12.75" x14ac:dyDescent="0.2">
      <c r="A37" s="2"/>
      <c r="B37" s="2"/>
      <c r="C37" s="15"/>
      <c r="D37" s="15"/>
      <c r="E37" s="15"/>
      <c r="F37" s="2"/>
    </row>
    <row r="38" spans="1:9" ht="12.75" x14ac:dyDescent="0.2">
      <c r="A38" s="2"/>
      <c r="B38" s="2"/>
      <c r="C38" s="15"/>
      <c r="D38" s="15"/>
      <c r="E38" s="15">
        <f>E21+C36</f>
        <v>3877828.125</v>
      </c>
      <c r="F38" s="2" t="s">
        <v>26</v>
      </c>
    </row>
    <row r="39" spans="1:9" ht="13.5" thickBot="1" x14ac:dyDescent="0.25">
      <c r="A39" s="2"/>
      <c r="B39" s="2"/>
      <c r="C39" s="2"/>
      <c r="D39" s="2"/>
      <c r="E39" s="14">
        <f>D36+E36</f>
        <v>469687.5</v>
      </c>
      <c r="F39" s="13" t="s">
        <v>25</v>
      </c>
    </row>
    <row r="40" spans="1:9" ht="12.75" x14ac:dyDescent="0.2">
      <c r="A40" s="2"/>
      <c r="B40" s="2"/>
      <c r="C40" s="2"/>
      <c r="D40" s="2"/>
      <c r="E40" s="12">
        <f>+E21+C36+D36+E36</f>
        <v>4347515.625</v>
      </c>
      <c r="F40" s="11" t="s">
        <v>24</v>
      </c>
    </row>
    <row r="41" spans="1:9" ht="12.75" x14ac:dyDescent="0.2">
      <c r="A41" s="2"/>
      <c r="B41" s="2"/>
      <c r="C41" s="2"/>
      <c r="D41" s="2"/>
      <c r="E41" s="4"/>
      <c r="F41" s="2"/>
    </row>
    <row r="42" spans="1:9" ht="12.75" x14ac:dyDescent="0.2">
      <c r="A42" s="2"/>
      <c r="B42" s="2"/>
      <c r="C42" s="2"/>
      <c r="D42" s="2"/>
      <c r="E42" s="2"/>
    </row>
    <row r="43" spans="1:9" ht="12.75" x14ac:dyDescent="0.2">
      <c r="A43" s="2" t="s">
        <v>23</v>
      </c>
      <c r="B43" s="2"/>
      <c r="C43" s="2"/>
      <c r="D43" s="2"/>
      <c r="E43" s="2"/>
    </row>
    <row r="44" spans="1:9" ht="12.75" x14ac:dyDescent="0.2">
      <c r="A44" s="2"/>
      <c r="B44" s="2"/>
      <c r="C44" s="2"/>
      <c r="D44" s="2"/>
      <c r="E44" s="2"/>
    </row>
    <row r="45" spans="1:9" ht="12.75" x14ac:dyDescent="0.2">
      <c r="A45" s="2"/>
      <c r="B45" s="2"/>
      <c r="C45" s="2"/>
      <c r="D45" s="2"/>
      <c r="E45" s="2"/>
    </row>
    <row r="46" spans="1:9" ht="12.75" x14ac:dyDescent="0.2">
      <c r="A46" s="3" t="s">
        <v>22</v>
      </c>
      <c r="B46" s="8" t="s">
        <v>12</v>
      </c>
      <c r="C46" s="8" t="s">
        <v>11</v>
      </c>
      <c r="D46" s="2"/>
      <c r="E46" s="2"/>
    </row>
    <row r="47" spans="1:9" ht="12.75" x14ac:dyDescent="0.2">
      <c r="A47" s="2" t="s">
        <v>10</v>
      </c>
      <c r="B47" s="4"/>
      <c r="C47" s="4"/>
      <c r="D47" s="2"/>
      <c r="E47" s="2"/>
    </row>
    <row r="48" spans="1:9" ht="12.75" x14ac:dyDescent="0.2">
      <c r="A48" s="2" t="s">
        <v>9</v>
      </c>
      <c r="B48" s="5"/>
      <c r="C48" s="5"/>
      <c r="D48" s="2"/>
      <c r="E48" s="2"/>
    </row>
    <row r="49" spans="1:5" ht="12.75" x14ac:dyDescent="0.2">
      <c r="A49" s="2" t="s">
        <v>17</v>
      </c>
      <c r="B49" s="4">
        <f>SUM(B47:B48)</f>
        <v>0</v>
      </c>
      <c r="C49" s="4">
        <f>SUM(C47:C48)</f>
        <v>0</v>
      </c>
      <c r="D49" s="2"/>
      <c r="E49" s="2"/>
    </row>
    <row r="50" spans="1:5" ht="12.75" x14ac:dyDescent="0.2">
      <c r="A50" s="2"/>
      <c r="B50" s="2"/>
      <c r="C50" s="2"/>
      <c r="D50" s="2"/>
      <c r="E50" s="2"/>
    </row>
    <row r="51" spans="1:5" ht="12.75" x14ac:dyDescent="0.2">
      <c r="A51" s="3" t="s">
        <v>21</v>
      </c>
      <c r="B51" s="2"/>
      <c r="C51" s="2"/>
      <c r="D51" s="2"/>
      <c r="E51" s="2"/>
    </row>
    <row r="52" spans="1:5" ht="12.75" x14ac:dyDescent="0.2">
      <c r="A52" s="2" t="s">
        <v>10</v>
      </c>
      <c r="B52" s="4">
        <f>A19+C33</f>
        <v>967500</v>
      </c>
      <c r="C52" s="4">
        <f>C19</f>
        <v>0</v>
      </c>
      <c r="D52" s="2"/>
      <c r="E52" s="2"/>
    </row>
    <row r="53" spans="1:5" ht="12.75" x14ac:dyDescent="0.2">
      <c r="A53" s="2" t="s">
        <v>9</v>
      </c>
      <c r="B53" s="5">
        <f>B19</f>
        <v>2765390.625</v>
      </c>
      <c r="C53" s="5">
        <f>D19</f>
        <v>0</v>
      </c>
      <c r="D53" s="2"/>
      <c r="E53" s="2"/>
    </row>
    <row r="54" spans="1:5" ht="12.75" x14ac:dyDescent="0.2">
      <c r="A54" s="2" t="s">
        <v>17</v>
      </c>
      <c r="B54" s="4">
        <f>SUM(B52:B53)</f>
        <v>3732890.625</v>
      </c>
      <c r="C54" s="4">
        <f>SUM(C52:C53)</f>
        <v>0</v>
      </c>
      <c r="D54" s="2"/>
      <c r="E54" s="2"/>
    </row>
    <row r="55" spans="1:5" ht="12.75" x14ac:dyDescent="0.2">
      <c r="A55" s="2"/>
      <c r="B55" s="4"/>
      <c r="C55" s="4"/>
      <c r="D55" s="2"/>
      <c r="E55" s="2"/>
    </row>
    <row r="56" spans="1:5" ht="12.75" x14ac:dyDescent="0.2">
      <c r="A56" s="11" t="s">
        <v>20</v>
      </c>
      <c r="B56" s="4"/>
      <c r="C56" s="4"/>
      <c r="D56" s="2"/>
      <c r="E56" s="2"/>
    </row>
    <row r="57" spans="1:5" ht="12.75" x14ac:dyDescent="0.2">
      <c r="A57" s="2" t="s">
        <v>19</v>
      </c>
      <c r="B57" s="4">
        <f>C30</f>
        <v>142038.75</v>
      </c>
      <c r="C57" s="4"/>
      <c r="D57" s="2"/>
      <c r="E57" s="2"/>
    </row>
    <row r="58" spans="1:5" ht="12.75" x14ac:dyDescent="0.2">
      <c r="A58" s="2" t="s">
        <v>18</v>
      </c>
      <c r="B58" s="5">
        <f>C31</f>
        <v>2898.75</v>
      </c>
      <c r="C58" s="4"/>
      <c r="D58" s="2"/>
      <c r="E58" s="2"/>
    </row>
    <row r="59" spans="1:5" ht="12.75" x14ac:dyDescent="0.2">
      <c r="A59" s="2" t="s">
        <v>17</v>
      </c>
      <c r="B59" s="4">
        <f>+B57+B58</f>
        <v>144937.5</v>
      </c>
      <c r="C59" s="4"/>
      <c r="D59" s="2"/>
      <c r="E59" s="2"/>
    </row>
    <row r="60" spans="1:5" ht="12.75" x14ac:dyDescent="0.2">
      <c r="A60" s="2"/>
      <c r="B60" s="4"/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 t="s">
        <v>16</v>
      </c>
      <c r="B63" s="4"/>
      <c r="C63" s="4"/>
      <c r="D63" s="2"/>
      <c r="E63" s="11"/>
    </row>
    <row r="64" spans="1:5" ht="12.75" x14ac:dyDescent="0.2">
      <c r="A64" s="2" t="s">
        <v>10</v>
      </c>
      <c r="B64" s="4"/>
      <c r="C64" s="4">
        <f>D36</f>
        <v>39375</v>
      </c>
      <c r="D64" s="2"/>
      <c r="E64" s="10"/>
    </row>
    <row r="65" spans="1:4" ht="12.75" x14ac:dyDescent="0.2">
      <c r="A65" s="2" t="s">
        <v>9</v>
      </c>
      <c r="B65" s="5"/>
      <c r="C65" s="5">
        <f>E36</f>
        <v>430312.5</v>
      </c>
      <c r="D65" s="2"/>
    </row>
    <row r="66" spans="1:4" ht="12.75" x14ac:dyDescent="0.2">
      <c r="A66" s="2" t="s">
        <v>15</v>
      </c>
      <c r="B66" s="4">
        <f>+B64+B65</f>
        <v>0</v>
      </c>
      <c r="C66" s="4">
        <f>+C64+C65</f>
        <v>469687.5</v>
      </c>
      <c r="D66" s="2"/>
    </row>
    <row r="67" spans="1:4" ht="12.75" x14ac:dyDescent="0.2">
      <c r="A67" s="2"/>
      <c r="B67" s="4"/>
      <c r="C67" s="4"/>
      <c r="D67" s="2"/>
    </row>
    <row r="68" spans="1:4" ht="12.75" x14ac:dyDescent="0.2">
      <c r="A68" s="2" t="s">
        <v>7</v>
      </c>
      <c r="B68" s="4">
        <f>+B49+B54+B59+B66</f>
        <v>3877828.125</v>
      </c>
      <c r="C68" s="4">
        <f>+C49+C54+C59+C66</f>
        <v>469687.5</v>
      </c>
      <c r="D68" s="2"/>
    </row>
    <row r="69" spans="1:4" ht="12.75" x14ac:dyDescent="0.2">
      <c r="A69" s="2"/>
      <c r="B69" s="4"/>
      <c r="C69" s="4"/>
      <c r="D69" s="2"/>
    </row>
    <row r="70" spans="1:4" ht="12.75" x14ac:dyDescent="0.2">
      <c r="A70" s="2" t="s">
        <v>14</v>
      </c>
      <c r="B70" s="4">
        <f>A19+B19+C36</f>
        <v>3877828.125</v>
      </c>
      <c r="C70" s="4">
        <f>C19+D19+D36+E36</f>
        <v>469687.5</v>
      </c>
      <c r="D70" s="2"/>
    </row>
    <row r="71" spans="1:4" ht="12.75" x14ac:dyDescent="0.2">
      <c r="A71" s="2"/>
      <c r="B71" s="4"/>
      <c r="C71" s="4"/>
      <c r="D71" s="2"/>
    </row>
    <row r="72" spans="1:4" ht="12.75" x14ac:dyDescent="0.2">
      <c r="A72" s="2"/>
      <c r="B72" s="4"/>
      <c r="C72" s="4"/>
      <c r="D72" s="2"/>
    </row>
    <row r="73" spans="1:4" ht="12.75" x14ac:dyDescent="0.2">
      <c r="A73" s="2"/>
      <c r="B73" s="4"/>
      <c r="C73" s="4"/>
      <c r="D73" s="2"/>
    </row>
    <row r="74" spans="1:4" ht="13.5" thickBot="1" x14ac:dyDescent="0.25">
      <c r="A74" s="9" t="s">
        <v>13</v>
      </c>
      <c r="B74" s="8" t="s">
        <v>12</v>
      </c>
      <c r="C74" s="8" t="s">
        <v>11</v>
      </c>
      <c r="D74" s="2"/>
    </row>
    <row r="75" spans="1:4" ht="12.75" x14ac:dyDescent="0.2">
      <c r="A75" s="2" t="s">
        <v>10</v>
      </c>
      <c r="B75" s="4">
        <v>0</v>
      </c>
      <c r="C75" s="7">
        <f>((E34/5))*0.5</f>
        <v>42187.5</v>
      </c>
      <c r="D75" s="6"/>
    </row>
    <row r="76" spans="1:4" ht="12.75" x14ac:dyDescent="0.2">
      <c r="A76" s="2" t="s">
        <v>9</v>
      </c>
      <c r="B76" s="4">
        <v>0</v>
      </c>
      <c r="C76" s="4">
        <v>0</v>
      </c>
    </row>
    <row r="77" spans="1:4" ht="12.75" x14ac:dyDescent="0.2">
      <c r="A77" s="2" t="s">
        <v>8</v>
      </c>
      <c r="B77" s="5">
        <v>0</v>
      </c>
      <c r="C77" s="5"/>
      <c r="D77" s="2"/>
    </row>
    <row r="78" spans="1:4" ht="12.75" x14ac:dyDescent="0.2">
      <c r="A78" s="2" t="s">
        <v>7</v>
      </c>
      <c r="B78" s="4">
        <f>SUM(B75:B77)</f>
        <v>0</v>
      </c>
      <c r="C78" s="4">
        <f>SUM(C75:C77)</f>
        <v>42187.5</v>
      </c>
      <c r="D78" s="2"/>
    </row>
    <row r="79" spans="1:4" ht="12.75" x14ac:dyDescent="0.2">
      <c r="A79" s="2"/>
      <c r="B79" s="4"/>
      <c r="C79" s="4"/>
      <c r="D79" s="2"/>
    </row>
    <row r="80" spans="1:4" ht="12.75" x14ac:dyDescent="0.2">
      <c r="A80" s="2" t="s">
        <v>6</v>
      </c>
      <c r="B80" s="4"/>
      <c r="C80" s="4"/>
      <c r="D80" s="2"/>
    </row>
    <row r="81" spans="1:4" ht="12.75" x14ac:dyDescent="0.2">
      <c r="A81" s="2"/>
      <c r="B81" s="4"/>
      <c r="C81" s="4"/>
      <c r="D81" s="2"/>
    </row>
    <row r="82" spans="1:4" ht="12.75" x14ac:dyDescent="0.2">
      <c r="A82" s="2"/>
      <c r="B82" s="2"/>
      <c r="C82" s="2"/>
      <c r="D82" s="2"/>
    </row>
    <row r="83" spans="1:4" ht="12.75" x14ac:dyDescent="0.2">
      <c r="A83" s="3" t="s">
        <v>5</v>
      </c>
      <c r="B83" s="2"/>
      <c r="C83" s="2"/>
      <c r="D83" s="2"/>
    </row>
    <row r="84" spans="1:4" ht="12.75" x14ac:dyDescent="0.2">
      <c r="A84" s="2" t="s">
        <v>4</v>
      </c>
      <c r="B84" s="2"/>
      <c r="C84" s="2"/>
      <c r="D84" s="2"/>
    </row>
    <row r="85" spans="1:4" ht="12.75" x14ac:dyDescent="0.2">
      <c r="A85" s="2" t="s">
        <v>3</v>
      </c>
      <c r="B85" s="2"/>
      <c r="C85" s="2"/>
      <c r="D85" s="2"/>
    </row>
    <row r="86" spans="1:4" ht="12.75" x14ac:dyDescent="0.2">
      <c r="A86" s="2" t="s">
        <v>2</v>
      </c>
      <c r="B86" s="2"/>
      <c r="C86" s="2"/>
      <c r="D86" s="2"/>
    </row>
    <row r="87" spans="1:4" ht="12.75" x14ac:dyDescent="0.2">
      <c r="A87" s="2" t="s">
        <v>1</v>
      </c>
      <c r="B87" s="2"/>
      <c r="C87" s="2"/>
      <c r="D87" s="2"/>
    </row>
    <row r="88" spans="1:4" ht="12.75" x14ac:dyDescent="0.2">
      <c r="A88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8"/>
  <sheetViews>
    <sheetView showGridLines="0" zoomScale="130" zoomScaleNormal="130" workbookViewId="0">
      <selection activeCell="B52" sqref="B52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1687.5</v>
      </c>
      <c r="F9" s="40">
        <v>90000</v>
      </c>
      <c r="G9" s="119">
        <f>1.875%</f>
        <v>1.8749999999999999E-2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21">
        <f>500*$E$9</f>
        <v>843750</v>
      </c>
      <c r="B10" s="18"/>
      <c r="C10" s="18"/>
      <c r="D10" s="18"/>
      <c r="E10" s="113" t="s">
        <v>143</v>
      </c>
      <c r="F10" s="113"/>
      <c r="G10" s="113"/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8">
        <f>$E$9*1425</f>
        <v>2404687.5</v>
      </c>
      <c r="C12" s="18"/>
      <c r="D12" s="18"/>
      <c r="E12" s="31" t="s">
        <v>44</v>
      </c>
      <c r="F12" s="31"/>
      <c r="G12" s="31"/>
      <c r="H12" s="31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18"/>
      <c r="B13" s="18"/>
      <c r="C13" s="18"/>
      <c r="D13" s="18"/>
      <c r="E13" s="31"/>
      <c r="F13" s="31"/>
      <c r="G13" s="31"/>
      <c r="H13" s="31"/>
      <c r="I13" s="31"/>
      <c r="J13" s="31"/>
      <c r="K13" s="31"/>
      <c r="L13" s="29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/>
      <c r="D14" s="18"/>
      <c r="E14" s="31"/>
      <c r="F14" s="31"/>
      <c r="G14" s="31"/>
      <c r="H14" s="31"/>
      <c r="I14" s="31"/>
      <c r="J14" s="31"/>
      <c r="K14" s="31"/>
      <c r="L14" s="29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843750</v>
      </c>
      <c r="B16" s="34">
        <f>SUM(B10:B15)</f>
        <v>2404687.5</v>
      </c>
      <c r="C16" s="34">
        <f>SUM(C10:C15)</f>
        <v>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67500</v>
      </c>
      <c r="B17" s="34"/>
      <c r="C17" s="34">
        <f>+(C16)*0.08</f>
        <v>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+A16*0.15*0</f>
        <v>0</v>
      </c>
      <c r="B18" s="37">
        <f>+B16*0.15</f>
        <v>360703.125</v>
      </c>
      <c r="C18" s="37">
        <f>+C16*0.15</f>
        <v>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911250</v>
      </c>
      <c r="B19" s="34">
        <f>SUM(B16:B18)</f>
        <v>2765390.625</v>
      </c>
      <c r="C19" s="34">
        <f>SUM(C16:C18)</f>
        <v>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3676640.625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20">
        <f>G9</f>
        <v>1.8749999999999999E-2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11250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18750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9375</v>
      </c>
      <c r="E29" s="182">
        <f>50000*$G$9</f>
        <v>937.5</v>
      </c>
      <c r="F29" s="2" t="s">
        <v>278</v>
      </c>
    </row>
    <row r="30" spans="1:17" ht="12.75" x14ac:dyDescent="0.2">
      <c r="A30" s="2" t="s">
        <v>35</v>
      </c>
      <c r="B30" s="2"/>
      <c r="C30" s="15">
        <f>(7730000*0.98)*$G$9</f>
        <v>142038.75</v>
      </c>
      <c r="F30" s="31" t="s">
        <v>277</v>
      </c>
    </row>
    <row r="31" spans="1:17" ht="12.75" x14ac:dyDescent="0.2">
      <c r="A31" s="2" t="s">
        <v>34</v>
      </c>
      <c r="B31" s="2"/>
      <c r="C31" s="15">
        <f>(7730000*0.02)*$G$9</f>
        <v>2898.75</v>
      </c>
      <c r="F31" s="31" t="s">
        <v>276</v>
      </c>
    </row>
    <row r="32" spans="1:17" ht="12.75" x14ac:dyDescent="0.2">
      <c r="A32" s="2" t="s">
        <v>33</v>
      </c>
      <c r="B32" s="2"/>
      <c r="C32" s="2"/>
      <c r="E32" s="15">
        <f>80000*5*$G$9</f>
        <v>7500</v>
      </c>
      <c r="F32" s="17" t="s">
        <v>32</v>
      </c>
    </row>
    <row r="33" spans="1:9" ht="12.75" x14ac:dyDescent="0.2">
      <c r="A33" s="2" t="s">
        <v>31</v>
      </c>
      <c r="B33" s="2"/>
      <c r="C33" s="15">
        <f>3000000*$G$9</f>
        <v>56250</v>
      </c>
      <c r="E33" s="15">
        <f>1000000*$G$9*0</f>
        <v>0</v>
      </c>
      <c r="F33" s="17" t="s">
        <v>283</v>
      </c>
    </row>
    <row r="34" spans="1:9" ht="12.75" x14ac:dyDescent="0.2">
      <c r="A34" s="2" t="s">
        <v>29</v>
      </c>
      <c r="B34" s="2"/>
      <c r="C34" s="2"/>
      <c r="D34" s="19"/>
      <c r="E34" s="18">
        <f>90000*1*250*$G$9</f>
        <v>421875</v>
      </c>
      <c r="F34" s="17" t="s">
        <v>28</v>
      </c>
    </row>
    <row r="35" spans="1:9" ht="13.5" thickBot="1" x14ac:dyDescent="0.25">
      <c r="A35" s="31" t="s">
        <v>27</v>
      </c>
      <c r="B35" s="31"/>
      <c r="C35" s="56"/>
      <c r="D35" s="37">
        <f>-(125*$E$9)*0</f>
        <v>0</v>
      </c>
      <c r="E35" s="37"/>
      <c r="F35" s="31" t="s">
        <v>116</v>
      </c>
      <c r="G35" s="19"/>
      <c r="H35" s="19"/>
      <c r="I35" s="16"/>
    </row>
    <row r="36" spans="1:9" ht="12.75" x14ac:dyDescent="0.2">
      <c r="A36" s="2"/>
      <c r="B36" s="2"/>
      <c r="C36" s="15">
        <f>SUM(C27:C35)</f>
        <v>201187.5</v>
      </c>
      <c r="D36" s="15">
        <f>SUM(D27:D35)</f>
        <v>39375</v>
      </c>
      <c r="E36" s="15">
        <f>SUM(E27:E35)</f>
        <v>430312.5</v>
      </c>
      <c r="F36" s="2"/>
    </row>
    <row r="37" spans="1:9" ht="12.75" x14ac:dyDescent="0.2">
      <c r="A37" s="2"/>
      <c r="B37" s="2"/>
      <c r="C37" s="15"/>
      <c r="D37" s="15"/>
      <c r="E37" s="15"/>
      <c r="F37" s="2"/>
    </row>
    <row r="38" spans="1:9" ht="12.75" x14ac:dyDescent="0.2">
      <c r="A38" s="2"/>
      <c r="B38" s="2"/>
      <c r="C38" s="15"/>
      <c r="D38" s="15"/>
      <c r="E38" s="15">
        <f>E21+C36</f>
        <v>3877828.125</v>
      </c>
      <c r="F38" s="2" t="s">
        <v>26</v>
      </c>
    </row>
    <row r="39" spans="1:9" ht="13.5" thickBot="1" x14ac:dyDescent="0.25">
      <c r="A39" s="2"/>
      <c r="B39" s="2"/>
      <c r="C39" s="2"/>
      <c r="D39" s="2"/>
      <c r="E39" s="14">
        <f>D36+E36</f>
        <v>469687.5</v>
      </c>
      <c r="F39" s="13" t="s">
        <v>25</v>
      </c>
    </row>
    <row r="40" spans="1:9" ht="12.75" x14ac:dyDescent="0.2">
      <c r="A40" s="2"/>
      <c r="B40" s="2"/>
      <c r="C40" s="2"/>
      <c r="D40" s="2"/>
      <c r="E40" s="12">
        <f>+E21+C36+D36+E36</f>
        <v>4347515.625</v>
      </c>
      <c r="F40" s="11" t="s">
        <v>24</v>
      </c>
    </row>
    <row r="41" spans="1:9" ht="12.75" x14ac:dyDescent="0.2">
      <c r="A41" s="2"/>
      <c r="B41" s="2"/>
      <c r="C41" s="2"/>
      <c r="D41" s="2"/>
      <c r="E41" s="4"/>
      <c r="F41" s="2"/>
    </row>
    <row r="42" spans="1:9" ht="12.75" x14ac:dyDescent="0.2">
      <c r="A42" s="2"/>
      <c r="B42" s="2"/>
      <c r="C42" s="2"/>
      <c r="D42" s="2"/>
      <c r="E42" s="2"/>
    </row>
    <row r="43" spans="1:9" ht="12.75" x14ac:dyDescent="0.2">
      <c r="A43" s="2" t="s">
        <v>23</v>
      </c>
      <c r="B43" s="2"/>
      <c r="C43" s="2"/>
      <c r="D43" s="2"/>
      <c r="E43" s="2"/>
    </row>
    <row r="44" spans="1:9" ht="12.75" x14ac:dyDescent="0.2">
      <c r="A44" s="2"/>
      <c r="B44" s="2"/>
      <c r="C44" s="2"/>
      <c r="D44" s="2"/>
      <c r="E44" s="2"/>
    </row>
    <row r="45" spans="1:9" ht="12.75" x14ac:dyDescent="0.2">
      <c r="A45" s="2"/>
      <c r="B45" s="2"/>
      <c r="C45" s="2"/>
      <c r="D45" s="2"/>
      <c r="E45" s="2"/>
    </row>
    <row r="46" spans="1:9" ht="12.75" x14ac:dyDescent="0.2">
      <c r="A46" s="3" t="s">
        <v>22</v>
      </c>
      <c r="B46" s="8" t="s">
        <v>12</v>
      </c>
      <c r="C46" s="8" t="s">
        <v>11</v>
      </c>
      <c r="D46" s="2"/>
      <c r="E46" s="2"/>
    </row>
    <row r="47" spans="1:9" ht="12.75" x14ac:dyDescent="0.2">
      <c r="A47" s="2" t="s">
        <v>10</v>
      </c>
      <c r="B47" s="4"/>
      <c r="C47" s="4"/>
      <c r="D47" s="2"/>
      <c r="E47" s="2"/>
    </row>
    <row r="48" spans="1:9" ht="12.75" x14ac:dyDescent="0.2">
      <c r="A48" s="2" t="s">
        <v>9</v>
      </c>
      <c r="B48" s="5"/>
      <c r="C48" s="5"/>
      <c r="D48" s="2"/>
      <c r="E48" s="2"/>
    </row>
    <row r="49" spans="1:5" ht="12.75" x14ac:dyDescent="0.2">
      <c r="A49" s="2" t="s">
        <v>17</v>
      </c>
      <c r="B49" s="4">
        <f>SUM(B47:B48)</f>
        <v>0</v>
      </c>
      <c r="C49" s="4">
        <f>SUM(C47:C48)</f>
        <v>0</v>
      </c>
      <c r="D49" s="2"/>
      <c r="E49" s="2"/>
    </row>
    <row r="50" spans="1:5" ht="12.75" x14ac:dyDescent="0.2">
      <c r="A50" s="2"/>
      <c r="B50" s="2"/>
      <c r="C50" s="2"/>
      <c r="D50" s="2"/>
      <c r="E50" s="2"/>
    </row>
    <row r="51" spans="1:5" ht="12.75" x14ac:dyDescent="0.2">
      <c r="A51" s="3" t="s">
        <v>21</v>
      </c>
      <c r="B51" s="2"/>
      <c r="C51" s="2"/>
      <c r="D51" s="2"/>
      <c r="E51" s="2"/>
    </row>
    <row r="52" spans="1:5" ht="12.75" x14ac:dyDescent="0.2">
      <c r="A52" s="2" t="s">
        <v>10</v>
      </c>
      <c r="B52" s="4">
        <f>A19+C33</f>
        <v>967500</v>
      </c>
      <c r="C52" s="4">
        <f>C19</f>
        <v>0</v>
      </c>
      <c r="D52" s="2"/>
      <c r="E52" s="2"/>
    </row>
    <row r="53" spans="1:5" ht="12.75" x14ac:dyDescent="0.2">
      <c r="A53" s="2" t="s">
        <v>9</v>
      </c>
      <c r="B53" s="5">
        <f>B19</f>
        <v>2765390.625</v>
      </c>
      <c r="C53" s="5">
        <f>D19</f>
        <v>0</v>
      </c>
      <c r="D53" s="2"/>
      <c r="E53" s="2"/>
    </row>
    <row r="54" spans="1:5" ht="12.75" x14ac:dyDescent="0.2">
      <c r="A54" s="2" t="s">
        <v>17</v>
      </c>
      <c r="B54" s="4">
        <f>SUM(B52:B53)</f>
        <v>3732890.625</v>
      </c>
      <c r="C54" s="4">
        <f>SUM(C52:C53)</f>
        <v>0</v>
      </c>
      <c r="D54" s="2"/>
      <c r="E54" s="2"/>
    </row>
    <row r="55" spans="1:5" ht="12.75" x14ac:dyDescent="0.2">
      <c r="A55" s="2"/>
      <c r="B55" s="4"/>
      <c r="C55" s="4"/>
      <c r="D55" s="2"/>
      <c r="E55" s="2"/>
    </row>
    <row r="56" spans="1:5" ht="12.75" x14ac:dyDescent="0.2">
      <c r="A56" s="11" t="s">
        <v>20</v>
      </c>
      <c r="B56" s="4"/>
      <c r="C56" s="4"/>
      <c r="D56" s="2"/>
      <c r="E56" s="2"/>
    </row>
    <row r="57" spans="1:5" ht="12.75" x14ac:dyDescent="0.2">
      <c r="A57" s="2" t="s">
        <v>19</v>
      </c>
      <c r="B57" s="4">
        <f>C30</f>
        <v>142038.75</v>
      </c>
      <c r="C57" s="4"/>
      <c r="D57" s="2"/>
      <c r="E57" s="2"/>
    </row>
    <row r="58" spans="1:5" ht="12.75" x14ac:dyDescent="0.2">
      <c r="A58" s="2" t="s">
        <v>18</v>
      </c>
      <c r="B58" s="5">
        <f>C31</f>
        <v>2898.75</v>
      </c>
      <c r="C58" s="4"/>
      <c r="D58" s="2"/>
      <c r="E58" s="2"/>
    </row>
    <row r="59" spans="1:5" ht="12.75" x14ac:dyDescent="0.2">
      <c r="A59" s="2" t="s">
        <v>17</v>
      </c>
      <c r="B59" s="4">
        <f>+B57+B58</f>
        <v>144937.5</v>
      </c>
      <c r="C59" s="4"/>
      <c r="D59" s="2"/>
      <c r="E59" s="2"/>
    </row>
    <row r="60" spans="1:5" ht="12.75" x14ac:dyDescent="0.2">
      <c r="A60" s="2"/>
      <c r="B60" s="4"/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 t="s">
        <v>16</v>
      </c>
      <c r="B63" s="4"/>
      <c r="C63" s="4"/>
      <c r="D63" s="2"/>
      <c r="E63" s="11"/>
    </row>
    <row r="64" spans="1:5" ht="12.75" x14ac:dyDescent="0.2">
      <c r="A64" s="2" t="s">
        <v>10</v>
      </c>
      <c r="B64" s="4"/>
      <c r="C64" s="4">
        <f>D36</f>
        <v>39375</v>
      </c>
      <c r="D64" s="2"/>
      <c r="E64" s="10"/>
    </row>
    <row r="65" spans="1:4" ht="12.75" x14ac:dyDescent="0.2">
      <c r="A65" s="2" t="s">
        <v>9</v>
      </c>
      <c r="B65" s="5"/>
      <c r="C65" s="5">
        <f>E36</f>
        <v>430312.5</v>
      </c>
      <c r="D65" s="2"/>
    </row>
    <row r="66" spans="1:4" ht="12.75" x14ac:dyDescent="0.2">
      <c r="A66" s="2" t="s">
        <v>15</v>
      </c>
      <c r="B66" s="4">
        <f>+B64+B65</f>
        <v>0</v>
      </c>
      <c r="C66" s="4">
        <f>+C64+C65</f>
        <v>469687.5</v>
      </c>
      <c r="D66" s="2"/>
    </row>
    <row r="67" spans="1:4" ht="12.75" x14ac:dyDescent="0.2">
      <c r="A67" s="2"/>
      <c r="B67" s="4"/>
      <c r="C67" s="4"/>
      <c r="D67" s="2"/>
    </row>
    <row r="68" spans="1:4" ht="12.75" x14ac:dyDescent="0.2">
      <c r="A68" s="2" t="s">
        <v>7</v>
      </c>
      <c r="B68" s="4">
        <f>+B49+B54+B59+B66</f>
        <v>3877828.125</v>
      </c>
      <c r="C68" s="4">
        <f>+C49+C54+C59+C66</f>
        <v>469687.5</v>
      </c>
      <c r="D68" s="2"/>
    </row>
    <row r="69" spans="1:4" ht="12.75" x14ac:dyDescent="0.2">
      <c r="A69" s="2"/>
      <c r="B69" s="4"/>
      <c r="C69" s="4"/>
      <c r="D69" s="2"/>
    </row>
    <row r="70" spans="1:4" ht="12.75" x14ac:dyDescent="0.2">
      <c r="A70" s="2" t="s">
        <v>14</v>
      </c>
      <c r="B70" s="4">
        <f>A19+B19+C36</f>
        <v>3877828.125</v>
      </c>
      <c r="C70" s="4">
        <f>C19+D19+D36+E36</f>
        <v>469687.5</v>
      </c>
      <c r="D70" s="2"/>
    </row>
    <row r="71" spans="1:4" ht="12.75" x14ac:dyDescent="0.2">
      <c r="A71" s="2"/>
      <c r="B71" s="4"/>
      <c r="C71" s="4"/>
      <c r="D71" s="2"/>
    </row>
    <row r="72" spans="1:4" ht="12.75" x14ac:dyDescent="0.2">
      <c r="A72" s="2"/>
      <c r="B72" s="4"/>
      <c r="C72" s="4"/>
      <c r="D72" s="2"/>
    </row>
    <row r="73" spans="1:4" ht="12.75" x14ac:dyDescent="0.2">
      <c r="A73" s="2"/>
      <c r="B73" s="4"/>
      <c r="C73" s="4"/>
      <c r="D73" s="2"/>
    </row>
    <row r="74" spans="1:4" ht="13.5" thickBot="1" x14ac:dyDescent="0.25">
      <c r="A74" s="9" t="s">
        <v>13</v>
      </c>
      <c r="B74" s="8" t="s">
        <v>12</v>
      </c>
      <c r="C74" s="8" t="s">
        <v>11</v>
      </c>
      <c r="D74" s="2"/>
    </row>
    <row r="75" spans="1:4" ht="12.75" x14ac:dyDescent="0.2">
      <c r="A75" s="2" t="s">
        <v>10</v>
      </c>
      <c r="B75" s="4">
        <v>0</v>
      </c>
      <c r="C75" s="7">
        <f>((E34/5))*0.5</f>
        <v>42187.5</v>
      </c>
      <c r="D75" s="6"/>
    </row>
    <row r="76" spans="1:4" ht="12.75" x14ac:dyDescent="0.2">
      <c r="A76" s="2" t="s">
        <v>9</v>
      </c>
      <c r="B76" s="4">
        <v>0</v>
      </c>
      <c r="C76" s="4">
        <v>0</v>
      </c>
    </row>
    <row r="77" spans="1:4" ht="12.75" x14ac:dyDescent="0.2">
      <c r="A77" s="2" t="s">
        <v>8</v>
      </c>
      <c r="B77" s="5">
        <v>0</v>
      </c>
      <c r="C77" s="5"/>
      <c r="D77" s="2"/>
    </row>
    <row r="78" spans="1:4" ht="12.75" x14ac:dyDescent="0.2">
      <c r="A78" s="2" t="s">
        <v>7</v>
      </c>
      <c r="B78" s="4">
        <f>SUM(B75:B77)</f>
        <v>0</v>
      </c>
      <c r="C78" s="4">
        <f>SUM(C75:C77)</f>
        <v>42187.5</v>
      </c>
      <c r="D78" s="2"/>
    </row>
    <row r="79" spans="1:4" ht="12.75" x14ac:dyDescent="0.2">
      <c r="A79" s="2"/>
      <c r="B79" s="4"/>
      <c r="C79" s="4"/>
      <c r="D79" s="2"/>
    </row>
    <row r="80" spans="1:4" ht="12.75" x14ac:dyDescent="0.2">
      <c r="A80" s="2" t="s">
        <v>6</v>
      </c>
      <c r="B80" s="4"/>
      <c r="C80" s="4"/>
      <c r="D80" s="2"/>
    </row>
    <row r="81" spans="1:4" ht="12.75" x14ac:dyDescent="0.2">
      <c r="A81" s="2"/>
      <c r="B81" s="4"/>
      <c r="C81" s="4"/>
      <c r="D81" s="2"/>
    </row>
    <row r="82" spans="1:4" ht="12.75" x14ac:dyDescent="0.2">
      <c r="A82" s="2"/>
      <c r="B82" s="2"/>
      <c r="C82" s="2"/>
      <c r="D82" s="2"/>
    </row>
    <row r="83" spans="1:4" ht="12.75" x14ac:dyDescent="0.2">
      <c r="A83" s="3" t="s">
        <v>5</v>
      </c>
      <c r="B83" s="2"/>
      <c r="C83" s="2"/>
      <c r="D83" s="2"/>
    </row>
    <row r="84" spans="1:4" ht="12.75" x14ac:dyDescent="0.2">
      <c r="A84" s="2" t="s">
        <v>4</v>
      </c>
      <c r="B84" s="2"/>
      <c r="C84" s="2"/>
      <c r="D84" s="2"/>
    </row>
    <row r="85" spans="1:4" ht="12.75" x14ac:dyDescent="0.2">
      <c r="A85" s="2" t="s">
        <v>3</v>
      </c>
      <c r="B85" s="2"/>
      <c r="C85" s="2"/>
      <c r="D85" s="2"/>
    </row>
    <row r="86" spans="1:4" ht="12.75" x14ac:dyDescent="0.2">
      <c r="A86" s="2" t="s">
        <v>2</v>
      </c>
      <c r="B86" s="2"/>
      <c r="C86" s="2"/>
      <c r="D86" s="2"/>
    </row>
    <row r="87" spans="1:4" ht="12.75" x14ac:dyDescent="0.2">
      <c r="A87" s="2" t="s">
        <v>1</v>
      </c>
      <c r="B87" s="2"/>
      <c r="C87" s="2"/>
      <c r="D87" s="2"/>
    </row>
    <row r="88" spans="1:4" ht="12.75" x14ac:dyDescent="0.2">
      <c r="A88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8"/>
  <sheetViews>
    <sheetView showGridLines="0" topLeftCell="A4" zoomScale="130" zoomScaleNormal="130" workbookViewId="0">
      <selection activeCell="C1" sqref="C1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1687.5</v>
      </c>
      <c r="F9" s="40">
        <v>90000</v>
      </c>
      <c r="G9" s="119">
        <f>1.875%</f>
        <v>1.8749999999999999E-2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21">
        <f>500*$E$9</f>
        <v>843750</v>
      </c>
      <c r="B10" s="18"/>
      <c r="C10" s="18"/>
      <c r="D10" s="18"/>
      <c r="E10" s="113" t="s">
        <v>143</v>
      </c>
      <c r="F10" s="113"/>
      <c r="G10" s="113"/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8">
        <f>$E$9*1425</f>
        <v>2404687.5</v>
      </c>
      <c r="C12" s="18"/>
      <c r="D12" s="18"/>
      <c r="E12" s="31" t="s">
        <v>44</v>
      </c>
      <c r="F12" s="31"/>
      <c r="G12" s="31"/>
      <c r="H12" s="31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18"/>
      <c r="B13" s="18"/>
      <c r="C13" s="18"/>
      <c r="D13" s="18"/>
      <c r="E13" s="31"/>
      <c r="F13" s="31"/>
      <c r="G13" s="31"/>
      <c r="H13" s="31"/>
      <c r="I13" s="31"/>
      <c r="J13" s="31"/>
      <c r="K13" s="31"/>
      <c r="L13" s="29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/>
      <c r="D14" s="18"/>
      <c r="E14" s="31"/>
      <c r="F14" s="31"/>
      <c r="G14" s="31"/>
      <c r="H14" s="31"/>
      <c r="I14" s="31"/>
      <c r="J14" s="31"/>
      <c r="K14" s="31"/>
      <c r="L14" s="29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843750</v>
      </c>
      <c r="B16" s="34">
        <f>SUM(B10:B15)</f>
        <v>2404687.5</v>
      </c>
      <c r="C16" s="34">
        <f>SUM(C10:C15)</f>
        <v>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67500</v>
      </c>
      <c r="B17" s="34"/>
      <c r="C17" s="34">
        <f>+(C16)*0.08</f>
        <v>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+A16*0.15*0</f>
        <v>0</v>
      </c>
      <c r="B18" s="37">
        <f>+B16*0.15</f>
        <v>360703.125</v>
      </c>
      <c r="C18" s="37">
        <f>+C16*0.15</f>
        <v>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911250</v>
      </c>
      <c r="B19" s="34">
        <f>SUM(B16:B18)</f>
        <v>2765390.625</v>
      </c>
      <c r="C19" s="34">
        <f>SUM(C16:C18)</f>
        <v>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3676640.625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20">
        <f>G9</f>
        <v>1.8749999999999999E-2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11250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18750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9375</v>
      </c>
      <c r="E29" s="182">
        <f>50000*$G$9</f>
        <v>937.5</v>
      </c>
      <c r="F29" s="2" t="s">
        <v>278</v>
      </c>
    </row>
    <row r="30" spans="1:17" ht="12.75" x14ac:dyDescent="0.2">
      <c r="A30" s="31" t="s">
        <v>35</v>
      </c>
      <c r="B30" s="31"/>
      <c r="C30" s="18">
        <f>(7730000*0.98)*$G$9</f>
        <v>142038.75</v>
      </c>
      <c r="D30" s="19"/>
      <c r="E30" s="19"/>
      <c r="F30" s="31" t="s">
        <v>277</v>
      </c>
      <c r="G30" s="19"/>
      <c r="H30" s="19"/>
      <c r="I30" s="19"/>
      <c r="J30" s="19"/>
    </row>
    <row r="31" spans="1:17" ht="12.75" x14ac:dyDescent="0.2">
      <c r="A31" s="31" t="s">
        <v>34</v>
      </c>
      <c r="B31" s="31"/>
      <c r="C31" s="18">
        <f>(7730000*0.02)*$G$9</f>
        <v>2898.75</v>
      </c>
      <c r="D31" s="19"/>
      <c r="E31" s="19"/>
      <c r="F31" s="31" t="s">
        <v>276</v>
      </c>
      <c r="G31" s="19"/>
      <c r="H31" s="19"/>
      <c r="I31" s="19"/>
      <c r="J31" s="19"/>
    </row>
    <row r="32" spans="1:17" ht="12.75" x14ac:dyDescent="0.2">
      <c r="A32" s="2" t="s">
        <v>33</v>
      </c>
      <c r="B32" s="2"/>
      <c r="C32" s="2"/>
      <c r="E32" s="15">
        <f>80000*5*$G$9</f>
        <v>7500</v>
      </c>
      <c r="F32" s="17" t="s">
        <v>32</v>
      </c>
    </row>
    <row r="33" spans="1:9" ht="12.75" x14ac:dyDescent="0.2">
      <c r="A33" s="2" t="s">
        <v>31</v>
      </c>
      <c r="B33" s="2"/>
      <c r="C33" s="15">
        <f>3000000*$G$9</f>
        <v>56250</v>
      </c>
      <c r="E33" s="15">
        <f>1000000*$G$9*0</f>
        <v>0</v>
      </c>
      <c r="F33" s="17" t="s">
        <v>283</v>
      </c>
    </row>
    <row r="34" spans="1:9" ht="12.75" x14ac:dyDescent="0.2">
      <c r="A34" s="2" t="s">
        <v>29</v>
      </c>
      <c r="B34" s="2"/>
      <c r="C34" s="2"/>
      <c r="D34" s="19"/>
      <c r="E34" s="18">
        <f>90000*1*250*$G$9</f>
        <v>421875</v>
      </c>
      <c r="F34" s="17" t="s">
        <v>28</v>
      </c>
    </row>
    <row r="35" spans="1:9" ht="13.5" thickBot="1" x14ac:dyDescent="0.25">
      <c r="A35" s="31" t="s">
        <v>27</v>
      </c>
      <c r="B35" s="31"/>
      <c r="C35" s="56"/>
      <c r="D35" s="37">
        <f>-(125*$E$9)*0</f>
        <v>0</v>
      </c>
      <c r="E35" s="37"/>
      <c r="F35" s="31" t="s">
        <v>116</v>
      </c>
      <c r="G35" s="19"/>
      <c r="H35" s="19"/>
      <c r="I35" s="16"/>
    </row>
    <row r="36" spans="1:9" ht="12.75" x14ac:dyDescent="0.2">
      <c r="A36" s="2"/>
      <c r="B36" s="2"/>
      <c r="C36" s="15">
        <f>SUM(C27:C35)</f>
        <v>201187.5</v>
      </c>
      <c r="D36" s="15">
        <f>SUM(D27:D35)</f>
        <v>39375</v>
      </c>
      <c r="E36" s="15">
        <f>SUM(E27:E35)</f>
        <v>430312.5</v>
      </c>
      <c r="F36" s="2"/>
    </row>
    <row r="37" spans="1:9" ht="12.75" x14ac:dyDescent="0.2">
      <c r="A37" s="2"/>
      <c r="B37" s="2"/>
      <c r="C37" s="15"/>
      <c r="D37" s="15"/>
      <c r="E37" s="15"/>
      <c r="F37" s="2"/>
    </row>
    <row r="38" spans="1:9" ht="12.75" x14ac:dyDescent="0.2">
      <c r="A38" s="2"/>
      <c r="B38" s="2"/>
      <c r="C38" s="15"/>
      <c r="D38" s="15"/>
      <c r="E38" s="15">
        <f>E21+C36</f>
        <v>3877828.125</v>
      </c>
      <c r="F38" s="2" t="s">
        <v>26</v>
      </c>
    </row>
    <row r="39" spans="1:9" ht="13.5" thickBot="1" x14ac:dyDescent="0.25">
      <c r="A39" s="2"/>
      <c r="B39" s="2"/>
      <c r="C39" s="2"/>
      <c r="D39" s="2"/>
      <c r="E39" s="14">
        <f>D36+E36</f>
        <v>469687.5</v>
      </c>
      <c r="F39" s="13" t="s">
        <v>25</v>
      </c>
    </row>
    <row r="40" spans="1:9" ht="12.75" x14ac:dyDescent="0.2">
      <c r="A40" s="2"/>
      <c r="B40" s="2"/>
      <c r="C40" s="2"/>
      <c r="D40" s="2"/>
      <c r="E40" s="12">
        <f>+E21+C36+D36+E36</f>
        <v>4347515.625</v>
      </c>
      <c r="F40" s="11" t="s">
        <v>24</v>
      </c>
    </row>
    <row r="41" spans="1:9" ht="12.75" x14ac:dyDescent="0.2">
      <c r="A41" s="2"/>
      <c r="B41" s="2"/>
      <c r="C41" s="2"/>
      <c r="D41" s="2"/>
      <c r="E41" s="4"/>
      <c r="F41" s="2"/>
    </row>
    <row r="42" spans="1:9" ht="12.75" x14ac:dyDescent="0.2">
      <c r="A42" s="2"/>
      <c r="B42" s="2"/>
      <c r="C42" s="2"/>
      <c r="D42" s="2"/>
      <c r="E42" s="2"/>
    </row>
    <row r="43" spans="1:9" ht="12.75" x14ac:dyDescent="0.2">
      <c r="A43" s="2" t="s">
        <v>23</v>
      </c>
      <c r="B43" s="2"/>
      <c r="C43" s="2"/>
      <c r="D43" s="2"/>
      <c r="E43" s="2"/>
    </row>
    <row r="44" spans="1:9" ht="12.75" x14ac:dyDescent="0.2">
      <c r="A44" s="2"/>
      <c r="B44" s="2"/>
      <c r="C44" s="2"/>
      <c r="D44" s="2"/>
      <c r="E44" s="2"/>
    </row>
    <row r="45" spans="1:9" ht="12.75" x14ac:dyDescent="0.2">
      <c r="A45" s="2"/>
      <c r="B45" s="2"/>
      <c r="C45" s="2"/>
      <c r="D45" s="2"/>
      <c r="E45" s="2"/>
    </row>
    <row r="46" spans="1:9" ht="12.75" x14ac:dyDescent="0.2">
      <c r="A46" s="3" t="s">
        <v>22</v>
      </c>
      <c r="B46" s="8" t="s">
        <v>12</v>
      </c>
      <c r="C46" s="8" t="s">
        <v>11</v>
      </c>
      <c r="D46" s="2"/>
      <c r="E46" s="2"/>
    </row>
    <row r="47" spans="1:9" ht="12.75" x14ac:dyDescent="0.2">
      <c r="A47" s="2" t="s">
        <v>10</v>
      </c>
      <c r="B47" s="4"/>
      <c r="C47" s="4"/>
      <c r="D47" s="2"/>
      <c r="E47" s="2"/>
    </row>
    <row r="48" spans="1:9" ht="12.75" x14ac:dyDescent="0.2">
      <c r="A48" s="2" t="s">
        <v>9</v>
      </c>
      <c r="B48" s="5"/>
      <c r="C48" s="5"/>
      <c r="D48" s="2"/>
      <c r="E48" s="2"/>
    </row>
    <row r="49" spans="1:5" ht="12.75" x14ac:dyDescent="0.2">
      <c r="A49" s="2" t="s">
        <v>17</v>
      </c>
      <c r="B49" s="4">
        <f>SUM(B47:B48)</f>
        <v>0</v>
      </c>
      <c r="C49" s="4">
        <f>SUM(C47:C48)</f>
        <v>0</v>
      </c>
      <c r="D49" s="2"/>
      <c r="E49" s="2"/>
    </row>
    <row r="50" spans="1:5" ht="12.75" x14ac:dyDescent="0.2">
      <c r="A50" s="2"/>
      <c r="B50" s="2"/>
      <c r="C50" s="2"/>
      <c r="D50" s="2"/>
      <c r="E50" s="2"/>
    </row>
    <row r="51" spans="1:5" ht="12.75" x14ac:dyDescent="0.2">
      <c r="A51" s="3" t="s">
        <v>21</v>
      </c>
      <c r="B51" s="2"/>
      <c r="C51" s="2"/>
      <c r="D51" s="2"/>
      <c r="E51" s="2"/>
    </row>
    <row r="52" spans="1:5" ht="12.75" x14ac:dyDescent="0.2">
      <c r="A52" s="2" t="s">
        <v>10</v>
      </c>
      <c r="B52" s="4">
        <f>A19+C33</f>
        <v>967500</v>
      </c>
      <c r="C52" s="4">
        <f>C19</f>
        <v>0</v>
      </c>
      <c r="D52" s="2"/>
      <c r="E52" s="2"/>
    </row>
    <row r="53" spans="1:5" ht="12.75" x14ac:dyDescent="0.2">
      <c r="A53" s="2" t="s">
        <v>9</v>
      </c>
      <c r="B53" s="5">
        <f>B19</f>
        <v>2765390.625</v>
      </c>
      <c r="C53" s="5">
        <f>D19</f>
        <v>0</v>
      </c>
      <c r="D53" s="2"/>
      <c r="E53" s="2"/>
    </row>
    <row r="54" spans="1:5" ht="12.75" x14ac:dyDescent="0.2">
      <c r="A54" s="2" t="s">
        <v>17</v>
      </c>
      <c r="B54" s="4">
        <f>SUM(B52:B53)</f>
        <v>3732890.625</v>
      </c>
      <c r="C54" s="4">
        <f>SUM(C52:C53)</f>
        <v>0</v>
      </c>
      <c r="D54" s="2"/>
      <c r="E54" s="2"/>
    </row>
    <row r="55" spans="1:5" ht="12.75" x14ac:dyDescent="0.2">
      <c r="A55" s="2"/>
      <c r="B55" s="4"/>
      <c r="C55" s="4"/>
      <c r="D55" s="2"/>
      <c r="E55" s="2"/>
    </row>
    <row r="56" spans="1:5" ht="12.75" x14ac:dyDescent="0.2">
      <c r="A56" s="11" t="s">
        <v>20</v>
      </c>
      <c r="B56" s="4"/>
      <c r="C56" s="4"/>
      <c r="D56" s="2"/>
      <c r="E56" s="2"/>
    </row>
    <row r="57" spans="1:5" ht="12.75" x14ac:dyDescent="0.2">
      <c r="A57" s="2" t="s">
        <v>19</v>
      </c>
      <c r="B57" s="4">
        <f>C30</f>
        <v>142038.75</v>
      </c>
      <c r="C57" s="4"/>
      <c r="D57" s="2"/>
      <c r="E57" s="2"/>
    </row>
    <row r="58" spans="1:5" ht="12.75" x14ac:dyDescent="0.2">
      <c r="A58" s="2" t="s">
        <v>18</v>
      </c>
      <c r="B58" s="5">
        <f>C31</f>
        <v>2898.75</v>
      </c>
      <c r="C58" s="4"/>
      <c r="D58" s="2"/>
      <c r="E58" s="2"/>
    </row>
    <row r="59" spans="1:5" ht="12.75" x14ac:dyDescent="0.2">
      <c r="A59" s="2" t="s">
        <v>17</v>
      </c>
      <c r="B59" s="4">
        <f>+B57+B58</f>
        <v>144937.5</v>
      </c>
      <c r="C59" s="4"/>
      <c r="D59" s="2"/>
      <c r="E59" s="2"/>
    </row>
    <row r="60" spans="1:5" ht="12.75" x14ac:dyDescent="0.2">
      <c r="A60" s="2"/>
      <c r="B60" s="4"/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 t="s">
        <v>16</v>
      </c>
      <c r="B63" s="4"/>
      <c r="C63" s="4"/>
      <c r="D63" s="2"/>
      <c r="E63" s="11"/>
    </row>
    <row r="64" spans="1:5" ht="12.75" x14ac:dyDescent="0.2">
      <c r="A64" s="2" t="s">
        <v>10</v>
      </c>
      <c r="B64" s="4"/>
      <c r="C64" s="4">
        <f>D36</f>
        <v>39375</v>
      </c>
      <c r="D64" s="2"/>
      <c r="E64" s="10"/>
    </row>
    <row r="65" spans="1:4" ht="12.75" x14ac:dyDescent="0.2">
      <c r="A65" s="2" t="s">
        <v>9</v>
      </c>
      <c r="B65" s="5"/>
      <c r="C65" s="5">
        <f>E36</f>
        <v>430312.5</v>
      </c>
      <c r="D65" s="2"/>
    </row>
    <row r="66" spans="1:4" ht="12.75" x14ac:dyDescent="0.2">
      <c r="A66" s="2" t="s">
        <v>15</v>
      </c>
      <c r="B66" s="4">
        <f>+B64+B65</f>
        <v>0</v>
      </c>
      <c r="C66" s="4">
        <f>+C64+C65</f>
        <v>469687.5</v>
      </c>
      <c r="D66" s="2"/>
    </row>
    <row r="67" spans="1:4" ht="12.75" x14ac:dyDescent="0.2">
      <c r="A67" s="2"/>
      <c r="B67" s="4"/>
      <c r="C67" s="4"/>
      <c r="D67" s="2"/>
    </row>
    <row r="68" spans="1:4" ht="12.75" x14ac:dyDescent="0.2">
      <c r="A68" s="2" t="s">
        <v>7</v>
      </c>
      <c r="B68" s="4">
        <f>+B49+B54+B59+B66</f>
        <v>3877828.125</v>
      </c>
      <c r="C68" s="4">
        <f>+C49+C54+C59+C66</f>
        <v>469687.5</v>
      </c>
      <c r="D68" s="2"/>
    </row>
    <row r="69" spans="1:4" ht="12.75" x14ac:dyDescent="0.2">
      <c r="A69" s="2"/>
      <c r="B69" s="4"/>
      <c r="C69" s="4"/>
      <c r="D69" s="2"/>
    </row>
    <row r="70" spans="1:4" ht="12.75" x14ac:dyDescent="0.2">
      <c r="A70" s="2" t="s">
        <v>14</v>
      </c>
      <c r="B70" s="4">
        <f>A19+B19+C36</f>
        <v>3877828.125</v>
      </c>
      <c r="C70" s="4">
        <f>C19+D19+D36+E36</f>
        <v>469687.5</v>
      </c>
      <c r="D70" s="2"/>
    </row>
    <row r="71" spans="1:4" ht="12.75" x14ac:dyDescent="0.2">
      <c r="A71" s="2"/>
      <c r="B71" s="4"/>
      <c r="C71" s="4"/>
      <c r="D71" s="2"/>
    </row>
    <row r="72" spans="1:4" ht="12.75" x14ac:dyDescent="0.2">
      <c r="A72" s="2"/>
      <c r="B72" s="4"/>
      <c r="C72" s="4"/>
      <c r="D72" s="2"/>
    </row>
    <row r="73" spans="1:4" ht="12.75" x14ac:dyDescent="0.2">
      <c r="A73" s="2"/>
      <c r="B73" s="4"/>
      <c r="C73" s="4"/>
      <c r="D73" s="2"/>
    </row>
    <row r="74" spans="1:4" ht="13.5" thickBot="1" x14ac:dyDescent="0.25">
      <c r="A74" s="9" t="s">
        <v>13</v>
      </c>
      <c r="B74" s="8" t="s">
        <v>12</v>
      </c>
      <c r="C74" s="8" t="s">
        <v>11</v>
      </c>
      <c r="D74" s="2"/>
    </row>
    <row r="75" spans="1:4" ht="12.75" x14ac:dyDescent="0.2">
      <c r="A75" s="2" t="s">
        <v>10</v>
      </c>
      <c r="B75" s="4">
        <v>0</v>
      </c>
      <c r="C75" s="7">
        <f>((E34/5))*0.5</f>
        <v>42187.5</v>
      </c>
      <c r="D75" s="6"/>
    </row>
    <row r="76" spans="1:4" ht="12.75" x14ac:dyDescent="0.2">
      <c r="A76" s="2" t="s">
        <v>9</v>
      </c>
      <c r="B76" s="4">
        <v>0</v>
      </c>
      <c r="C76" s="4">
        <v>0</v>
      </c>
    </row>
    <row r="77" spans="1:4" ht="12.75" x14ac:dyDescent="0.2">
      <c r="A77" s="2" t="s">
        <v>8</v>
      </c>
      <c r="B77" s="5">
        <v>0</v>
      </c>
      <c r="C77" s="5">
        <v>0</v>
      </c>
      <c r="D77" s="2"/>
    </row>
    <row r="78" spans="1:4" ht="12.75" x14ac:dyDescent="0.2">
      <c r="A78" s="2" t="s">
        <v>7</v>
      </c>
      <c r="B78" s="4">
        <f>SUM(B75:B77)</f>
        <v>0</v>
      </c>
      <c r="C78" s="4">
        <f>SUM(C75:C77)</f>
        <v>42187.5</v>
      </c>
      <c r="D78" s="2"/>
    </row>
    <row r="79" spans="1:4" ht="12.75" x14ac:dyDescent="0.2">
      <c r="A79" s="2"/>
      <c r="B79" s="4"/>
      <c r="C79" s="4"/>
      <c r="D79" s="2"/>
    </row>
    <row r="80" spans="1:4" ht="12.75" x14ac:dyDescent="0.2">
      <c r="A80" s="2" t="s">
        <v>6</v>
      </c>
      <c r="B80" s="4"/>
      <c r="C80" s="4"/>
      <c r="D80" s="2"/>
    </row>
    <row r="81" spans="1:4" ht="12.75" x14ac:dyDescent="0.2">
      <c r="A81" s="2"/>
      <c r="B81" s="4"/>
      <c r="C81" s="4"/>
      <c r="D81" s="2"/>
    </row>
    <row r="82" spans="1:4" ht="12.75" x14ac:dyDescent="0.2">
      <c r="A82" s="2"/>
      <c r="B82" s="2"/>
      <c r="C82" s="2"/>
      <c r="D82" s="2"/>
    </row>
    <row r="83" spans="1:4" ht="12.75" x14ac:dyDescent="0.2">
      <c r="A83" s="3" t="s">
        <v>5</v>
      </c>
      <c r="B83" s="2"/>
      <c r="C83" s="2"/>
      <c r="D83" s="2"/>
    </row>
    <row r="84" spans="1:4" ht="12.75" x14ac:dyDescent="0.2">
      <c r="A84" s="2" t="s">
        <v>4</v>
      </c>
      <c r="B84" s="2"/>
      <c r="C84" s="2"/>
      <c r="D84" s="2"/>
    </row>
    <row r="85" spans="1:4" ht="12.75" x14ac:dyDescent="0.2">
      <c r="A85" s="2" t="s">
        <v>3</v>
      </c>
      <c r="B85" s="2"/>
      <c r="C85" s="2"/>
      <c r="D85" s="2"/>
    </row>
    <row r="86" spans="1:4" ht="12.75" x14ac:dyDescent="0.2">
      <c r="A86" s="2" t="s">
        <v>2</v>
      </c>
      <c r="B86" s="2"/>
      <c r="C86" s="2"/>
      <c r="D86" s="2"/>
    </row>
    <row r="87" spans="1:4" ht="12.75" x14ac:dyDescent="0.2">
      <c r="A87" s="2" t="s">
        <v>1</v>
      </c>
      <c r="B87" s="2"/>
      <c r="C87" s="2"/>
      <c r="D87" s="2"/>
    </row>
    <row r="88" spans="1:4" ht="12.75" x14ac:dyDescent="0.2">
      <c r="A88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8"/>
  <sheetViews>
    <sheetView showGridLines="0" zoomScale="130" zoomScaleNormal="130" workbookViewId="0">
      <selection activeCell="A34" sqref="A34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7499.9999999999973</v>
      </c>
      <c r="F9" s="40">
        <v>90000</v>
      </c>
      <c r="G9" s="117">
        <f>8.33333333333333%</f>
        <v>8.3333333333333301E-2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21">
        <f>600*$E$9</f>
        <v>4499999.9999999981</v>
      </c>
      <c r="B10" s="18"/>
      <c r="C10" s="18"/>
      <c r="D10" s="18"/>
      <c r="E10" s="113" t="s">
        <v>145</v>
      </c>
      <c r="F10" s="113"/>
      <c r="G10" s="113"/>
      <c r="H10" s="113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21">
        <f>$E$9*1500</f>
        <v>11249999.999999996</v>
      </c>
      <c r="C12" s="18"/>
      <c r="D12" s="18"/>
      <c r="E12" s="113" t="s">
        <v>146</v>
      </c>
      <c r="F12" s="113"/>
      <c r="G12" s="113"/>
      <c r="H12" s="113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34"/>
      <c r="B13" s="18"/>
      <c r="C13" s="121">
        <f>2500*600</f>
        <v>1500000</v>
      </c>
      <c r="D13" s="18"/>
      <c r="E13" s="113" t="s">
        <v>188</v>
      </c>
      <c r="F13" s="113"/>
      <c r="G13" s="113"/>
      <c r="H13" s="113"/>
      <c r="I13" s="113"/>
      <c r="J13" s="113"/>
      <c r="K13" s="116" t="s">
        <v>144</v>
      </c>
      <c r="L13" s="120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/>
      <c r="D14" s="18"/>
      <c r="E14" s="31"/>
      <c r="F14" s="31"/>
      <c r="G14" s="31"/>
      <c r="H14" s="31"/>
      <c r="I14" s="31"/>
      <c r="J14" s="31"/>
      <c r="K14" s="31"/>
      <c r="L14" s="29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4499999.9999999981</v>
      </c>
      <c r="B16" s="34">
        <f>SUM(B10:B15)</f>
        <v>11249999.999999996</v>
      </c>
      <c r="C16" s="34">
        <f>SUM(C10:C15)</f>
        <v>1500000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359999.99999999988</v>
      </c>
      <c r="B17" s="34"/>
      <c r="C17" s="34">
        <f>+(C16)*0.08</f>
        <v>120000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+A16*0.15*0</f>
        <v>0</v>
      </c>
      <c r="B18" s="37">
        <f>+B16*0.15</f>
        <v>1687499.9999999993</v>
      </c>
      <c r="C18" s="37">
        <f>+C16*0.15</f>
        <v>225000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4859999.9999999981</v>
      </c>
      <c r="B19" s="34">
        <f>SUM(B16:B18)</f>
        <v>12937499.999999996</v>
      </c>
      <c r="C19" s="34">
        <f>SUM(C16:C18)</f>
        <v>1845000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19642499.999999993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79">
        <f>G9</f>
        <v>8.3333333333333301E-2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49999.999999999978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83333.333333333299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41666.66666666665</v>
      </c>
      <c r="E29" s="182">
        <f>50000*$G$9</f>
        <v>4166.6666666666652</v>
      </c>
      <c r="F29" s="2" t="s">
        <v>278</v>
      </c>
    </row>
    <row r="30" spans="1:17" ht="12.75" x14ac:dyDescent="0.2">
      <c r="A30" s="2" t="s">
        <v>35</v>
      </c>
      <c r="B30" s="2"/>
      <c r="C30" s="18">
        <f>(7730000*0.98)*$G$9</f>
        <v>631283.33333333314</v>
      </c>
      <c r="F30" s="31" t="s">
        <v>277</v>
      </c>
      <c r="G30" s="19"/>
      <c r="H30" s="19"/>
      <c r="I30" s="19"/>
    </row>
    <row r="31" spans="1:17" ht="12.75" x14ac:dyDescent="0.2">
      <c r="A31" s="2" t="s">
        <v>34</v>
      </c>
      <c r="B31" s="2"/>
      <c r="C31" s="18">
        <f>(7730000*0.02)*$G$9</f>
        <v>12883.333333333328</v>
      </c>
      <c r="F31" s="31" t="s">
        <v>276</v>
      </c>
      <c r="G31" s="19"/>
      <c r="H31" s="19"/>
      <c r="I31" s="19"/>
    </row>
    <row r="32" spans="1:17" ht="12.75" x14ac:dyDescent="0.2">
      <c r="A32" s="2" t="s">
        <v>33</v>
      </c>
      <c r="B32" s="2"/>
      <c r="C32" s="2"/>
      <c r="E32" s="15">
        <f>80000*5*$G$9</f>
        <v>33333.333333333321</v>
      </c>
      <c r="F32" s="17" t="s">
        <v>32</v>
      </c>
    </row>
    <row r="33" spans="1:9" ht="12.75" x14ac:dyDescent="0.2">
      <c r="A33" s="2" t="s">
        <v>31</v>
      </c>
      <c r="B33" s="2"/>
      <c r="C33" s="15">
        <f>3000000*$G$9</f>
        <v>249999.99999999991</v>
      </c>
      <c r="E33" s="15">
        <f>1000000*$G$9*0</f>
        <v>0</v>
      </c>
      <c r="F33" s="17" t="s">
        <v>283</v>
      </c>
    </row>
    <row r="34" spans="1:9" ht="12.75" x14ac:dyDescent="0.2">
      <c r="A34" s="2" t="s">
        <v>29</v>
      </c>
      <c r="B34" s="2"/>
      <c r="C34" s="2"/>
      <c r="D34" s="19"/>
      <c r="E34" s="18">
        <f>90000*1*250*$G$9</f>
        <v>1874999.9999999993</v>
      </c>
      <c r="F34" s="17" t="s">
        <v>28</v>
      </c>
    </row>
    <row r="35" spans="1:9" ht="13.5" thickBot="1" x14ac:dyDescent="0.25">
      <c r="A35" s="31" t="s">
        <v>27</v>
      </c>
      <c r="B35" s="31"/>
      <c r="C35" s="56"/>
      <c r="D35" s="37">
        <f>-(225*$E$9)*0</f>
        <v>0</v>
      </c>
      <c r="E35" s="37"/>
      <c r="F35" s="31" t="s">
        <v>55</v>
      </c>
      <c r="G35" s="19"/>
      <c r="H35" s="19"/>
      <c r="I35" s="16"/>
    </row>
    <row r="36" spans="1:9" ht="12.75" x14ac:dyDescent="0.2">
      <c r="A36" s="2"/>
      <c r="B36" s="2"/>
      <c r="C36" s="15">
        <f>SUM(C27:C35)</f>
        <v>894166.6666666664</v>
      </c>
      <c r="D36" s="15">
        <f>SUM(D27:D35)</f>
        <v>174999.99999999994</v>
      </c>
      <c r="E36" s="15">
        <f>SUM(E27:E35)</f>
        <v>1912499.9999999993</v>
      </c>
      <c r="F36" s="2"/>
    </row>
    <row r="37" spans="1:9" ht="12.75" x14ac:dyDescent="0.2">
      <c r="A37" s="2"/>
      <c r="B37" s="2"/>
      <c r="C37" s="15"/>
      <c r="D37" s="15"/>
      <c r="E37" s="15"/>
      <c r="F37" s="2"/>
    </row>
    <row r="38" spans="1:9" ht="12.75" x14ac:dyDescent="0.2">
      <c r="A38" s="2"/>
      <c r="B38" s="2"/>
      <c r="C38" s="15"/>
      <c r="D38" s="15"/>
      <c r="E38" s="15">
        <f>E21+C36</f>
        <v>20536666.66666666</v>
      </c>
      <c r="F38" s="2" t="s">
        <v>26</v>
      </c>
    </row>
    <row r="39" spans="1:9" ht="13.5" thickBot="1" x14ac:dyDescent="0.25">
      <c r="A39" s="2"/>
      <c r="B39" s="2"/>
      <c r="C39" s="2"/>
      <c r="D39" s="2"/>
      <c r="E39" s="14">
        <f>D36+E36</f>
        <v>2087499.9999999993</v>
      </c>
      <c r="F39" s="13" t="s">
        <v>25</v>
      </c>
    </row>
    <row r="40" spans="1:9" ht="12.75" x14ac:dyDescent="0.2">
      <c r="A40" s="2"/>
      <c r="B40" s="2"/>
      <c r="C40" s="2"/>
      <c r="D40" s="2"/>
      <c r="E40" s="12">
        <f>+E21+C36+D36+E36</f>
        <v>22624166.66666666</v>
      </c>
      <c r="F40" s="11" t="s">
        <v>24</v>
      </c>
    </row>
    <row r="41" spans="1:9" ht="12.75" x14ac:dyDescent="0.2">
      <c r="A41" s="2"/>
      <c r="B41" s="2"/>
      <c r="C41" s="2"/>
      <c r="D41" s="2"/>
      <c r="E41" s="4"/>
      <c r="F41" s="2"/>
    </row>
    <row r="42" spans="1:9" ht="12.75" x14ac:dyDescent="0.2">
      <c r="A42" s="2"/>
      <c r="B42" s="2"/>
      <c r="C42" s="2"/>
      <c r="D42" s="2"/>
      <c r="E42" s="2"/>
    </row>
    <row r="43" spans="1:9" ht="12.75" x14ac:dyDescent="0.2">
      <c r="A43" s="2" t="s">
        <v>23</v>
      </c>
      <c r="B43" s="2"/>
      <c r="C43" s="2"/>
      <c r="D43" s="2"/>
      <c r="E43" s="2"/>
    </row>
    <row r="44" spans="1:9" ht="12.75" x14ac:dyDescent="0.2">
      <c r="A44" s="2"/>
      <c r="B44" s="2"/>
      <c r="C44" s="2"/>
      <c r="D44" s="2"/>
      <c r="E44" s="2"/>
    </row>
    <row r="45" spans="1:9" ht="12.75" x14ac:dyDescent="0.2">
      <c r="A45" s="2"/>
      <c r="B45" s="2"/>
      <c r="C45" s="2"/>
      <c r="D45" s="2"/>
      <c r="E45" s="2"/>
    </row>
    <row r="46" spans="1:9" ht="12.75" x14ac:dyDescent="0.2">
      <c r="A46" s="3" t="s">
        <v>22</v>
      </c>
      <c r="B46" s="8" t="s">
        <v>12</v>
      </c>
      <c r="C46" s="8" t="s">
        <v>11</v>
      </c>
      <c r="D46" s="2"/>
      <c r="E46" s="2"/>
    </row>
    <row r="47" spans="1:9" ht="12.75" x14ac:dyDescent="0.2">
      <c r="A47" s="2" t="s">
        <v>10</v>
      </c>
      <c r="B47" s="4"/>
      <c r="C47" s="4"/>
      <c r="D47" s="2"/>
      <c r="E47" s="2"/>
    </row>
    <row r="48" spans="1:9" ht="12.75" x14ac:dyDescent="0.2">
      <c r="A48" s="2" t="s">
        <v>9</v>
      </c>
      <c r="B48" s="5"/>
      <c r="C48" s="5"/>
      <c r="D48" s="2"/>
      <c r="E48" s="2"/>
    </row>
    <row r="49" spans="1:5" ht="12.75" x14ac:dyDescent="0.2">
      <c r="A49" s="2" t="s">
        <v>17</v>
      </c>
      <c r="B49" s="4">
        <f>SUM(B47:B48)</f>
        <v>0</v>
      </c>
      <c r="C49" s="4">
        <f>SUM(C47:C48)</f>
        <v>0</v>
      </c>
      <c r="D49" s="2"/>
      <c r="E49" s="2"/>
    </row>
    <row r="50" spans="1:5" ht="12.75" x14ac:dyDescent="0.2">
      <c r="A50" s="2"/>
      <c r="B50" s="2"/>
      <c r="C50" s="2"/>
      <c r="D50" s="2"/>
      <c r="E50" s="2"/>
    </row>
    <row r="51" spans="1:5" ht="12.75" x14ac:dyDescent="0.2">
      <c r="A51" s="3" t="s">
        <v>21</v>
      </c>
      <c r="B51" s="2"/>
      <c r="C51" s="2"/>
      <c r="D51" s="2"/>
      <c r="E51" s="2"/>
    </row>
    <row r="52" spans="1:5" ht="12.75" x14ac:dyDescent="0.2">
      <c r="A52" s="2" t="s">
        <v>10</v>
      </c>
      <c r="B52" s="4">
        <f>A19+C33</f>
        <v>5109999.9999999981</v>
      </c>
      <c r="C52" s="183">
        <f>C19</f>
        <v>1845000</v>
      </c>
      <c r="D52" s="184" t="s">
        <v>284</v>
      </c>
      <c r="E52" s="113"/>
    </row>
    <row r="53" spans="1:5" ht="12.75" x14ac:dyDescent="0.2">
      <c r="A53" s="2" t="s">
        <v>9</v>
      </c>
      <c r="B53" s="5">
        <f>B19</f>
        <v>12937499.999999996</v>
      </c>
      <c r="C53" s="5">
        <f>D19</f>
        <v>0</v>
      </c>
      <c r="D53" s="2"/>
      <c r="E53" s="2"/>
    </row>
    <row r="54" spans="1:5" ht="12.75" x14ac:dyDescent="0.2">
      <c r="A54" s="2" t="s">
        <v>17</v>
      </c>
      <c r="B54" s="4">
        <f>SUM(B52:B53)</f>
        <v>18047499.999999993</v>
      </c>
      <c r="C54" s="4">
        <f>SUM(C52:C53)</f>
        <v>1845000</v>
      </c>
      <c r="D54" s="2"/>
      <c r="E54" s="2"/>
    </row>
    <row r="55" spans="1:5" ht="12.75" x14ac:dyDescent="0.2">
      <c r="A55" s="2"/>
      <c r="B55" s="4"/>
      <c r="C55" s="4"/>
      <c r="D55" s="2"/>
      <c r="E55" s="2"/>
    </row>
    <row r="56" spans="1:5" ht="12.75" x14ac:dyDescent="0.2">
      <c r="A56" s="11" t="s">
        <v>20</v>
      </c>
      <c r="B56" s="4"/>
      <c r="C56" s="4"/>
      <c r="D56" s="2"/>
      <c r="E56" s="2"/>
    </row>
    <row r="57" spans="1:5" ht="12.75" x14ac:dyDescent="0.2">
      <c r="A57" s="2" t="s">
        <v>19</v>
      </c>
      <c r="B57" s="4">
        <f>C30</f>
        <v>631283.33333333314</v>
      </c>
      <c r="C57" s="4"/>
      <c r="D57" s="2"/>
      <c r="E57" s="2"/>
    </row>
    <row r="58" spans="1:5" ht="12.75" x14ac:dyDescent="0.2">
      <c r="A58" s="2" t="s">
        <v>18</v>
      </c>
      <c r="B58" s="5">
        <f>C31</f>
        <v>12883.333333333328</v>
      </c>
      <c r="C58" s="4"/>
      <c r="D58" s="2"/>
      <c r="E58" s="2"/>
    </row>
    <row r="59" spans="1:5" ht="12.75" x14ac:dyDescent="0.2">
      <c r="A59" s="2" t="s">
        <v>17</v>
      </c>
      <c r="B59" s="4">
        <f>+B57+B58</f>
        <v>644166.66666666651</v>
      </c>
      <c r="C59" s="4"/>
      <c r="D59" s="2"/>
      <c r="E59" s="2"/>
    </row>
    <row r="60" spans="1:5" ht="12.75" x14ac:dyDescent="0.2">
      <c r="A60" s="2"/>
      <c r="B60" s="4"/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 t="s">
        <v>16</v>
      </c>
      <c r="B63" s="4"/>
      <c r="C63" s="4"/>
      <c r="D63" s="2"/>
      <c r="E63" s="11"/>
    </row>
    <row r="64" spans="1:5" ht="12.75" x14ac:dyDescent="0.2">
      <c r="A64" s="2" t="s">
        <v>10</v>
      </c>
      <c r="B64" s="4"/>
      <c r="C64" s="4">
        <f>D36</f>
        <v>174999.99999999994</v>
      </c>
      <c r="D64" s="2"/>
      <c r="E64" s="10"/>
    </row>
    <row r="65" spans="1:4" ht="12.75" x14ac:dyDescent="0.2">
      <c r="A65" s="2" t="s">
        <v>9</v>
      </c>
      <c r="B65" s="5"/>
      <c r="C65" s="5">
        <f>E36</f>
        <v>1912499.9999999993</v>
      </c>
      <c r="D65" s="2"/>
    </row>
    <row r="66" spans="1:4" ht="12.75" x14ac:dyDescent="0.2">
      <c r="A66" s="2" t="s">
        <v>15</v>
      </c>
      <c r="B66" s="4">
        <f>+B64+B65</f>
        <v>0</v>
      </c>
      <c r="C66" s="4">
        <f>+C64+C65</f>
        <v>2087499.9999999993</v>
      </c>
      <c r="D66" s="2"/>
    </row>
    <row r="67" spans="1:4" ht="12.75" x14ac:dyDescent="0.2">
      <c r="A67" s="2"/>
      <c r="B67" s="4"/>
      <c r="C67" s="4"/>
      <c r="D67" s="2"/>
    </row>
    <row r="68" spans="1:4" ht="12.75" x14ac:dyDescent="0.2">
      <c r="A68" s="2" t="s">
        <v>7</v>
      </c>
      <c r="B68" s="4">
        <f>+B49+B54+B59+B66</f>
        <v>18691666.66666666</v>
      </c>
      <c r="C68" s="4">
        <f>+C49+C54+C59+C66</f>
        <v>3932499.9999999991</v>
      </c>
      <c r="D68" s="2"/>
    </row>
    <row r="69" spans="1:4" ht="12.75" x14ac:dyDescent="0.2">
      <c r="A69" s="2"/>
      <c r="B69" s="4"/>
      <c r="C69" s="4"/>
      <c r="D69" s="2"/>
    </row>
    <row r="70" spans="1:4" ht="12.75" x14ac:dyDescent="0.2">
      <c r="A70" s="2" t="s">
        <v>14</v>
      </c>
      <c r="B70" s="4">
        <f>A19+B19+C36</f>
        <v>18691666.66666666</v>
      </c>
      <c r="C70" s="4">
        <f>C19+D19+D36+E36</f>
        <v>3932499.9999999991</v>
      </c>
      <c r="D70" s="2"/>
    </row>
    <row r="71" spans="1:4" ht="12.75" x14ac:dyDescent="0.2">
      <c r="A71" s="2"/>
      <c r="B71" s="4"/>
      <c r="C71" s="4"/>
      <c r="D71" s="2"/>
    </row>
    <row r="72" spans="1:4" ht="12.75" x14ac:dyDescent="0.2">
      <c r="A72" s="2"/>
      <c r="B72" s="4"/>
      <c r="C72" s="4"/>
      <c r="D72" s="2"/>
    </row>
    <row r="73" spans="1:4" ht="12.75" x14ac:dyDescent="0.2">
      <c r="A73" s="2"/>
      <c r="B73" s="4"/>
      <c r="C73" s="4"/>
      <c r="D73" s="2"/>
    </row>
    <row r="74" spans="1:4" ht="13.5" thickBot="1" x14ac:dyDescent="0.25">
      <c r="A74" s="9" t="s">
        <v>13</v>
      </c>
      <c r="B74" s="8" t="s">
        <v>12</v>
      </c>
      <c r="C74" s="8" t="s">
        <v>11</v>
      </c>
      <c r="D74" s="2"/>
    </row>
    <row r="75" spans="1:4" ht="12.75" x14ac:dyDescent="0.2">
      <c r="A75" s="2" t="s">
        <v>10</v>
      </c>
      <c r="B75" s="4">
        <v>0</v>
      </c>
      <c r="C75" s="7">
        <f>((E34/5))*0.5</f>
        <v>187499.99999999994</v>
      </c>
      <c r="D75" s="6"/>
    </row>
    <row r="76" spans="1:4" ht="12.75" x14ac:dyDescent="0.2">
      <c r="A76" s="2" t="s">
        <v>9</v>
      </c>
      <c r="B76" s="4">
        <v>0</v>
      </c>
      <c r="C76" s="4">
        <v>0</v>
      </c>
    </row>
    <row r="77" spans="1:4" ht="12.75" x14ac:dyDescent="0.2">
      <c r="A77" s="2" t="s">
        <v>8</v>
      </c>
      <c r="B77" s="5">
        <v>0</v>
      </c>
      <c r="C77" s="5">
        <v>0</v>
      </c>
      <c r="D77" s="2"/>
    </row>
    <row r="78" spans="1:4" ht="12.75" x14ac:dyDescent="0.2">
      <c r="A78" s="2" t="s">
        <v>7</v>
      </c>
      <c r="B78" s="4">
        <f>SUM(B75:B77)</f>
        <v>0</v>
      </c>
      <c r="C78" s="4">
        <f>SUM(C75:C77)</f>
        <v>187499.99999999994</v>
      </c>
      <c r="D78" s="2"/>
    </row>
    <row r="79" spans="1:4" ht="12.75" x14ac:dyDescent="0.2">
      <c r="A79" s="2"/>
      <c r="B79" s="4"/>
      <c r="C79" s="4"/>
      <c r="D79" s="2"/>
    </row>
    <row r="80" spans="1:4" ht="12.75" x14ac:dyDescent="0.2">
      <c r="A80" s="2" t="s">
        <v>6</v>
      </c>
      <c r="B80" s="4"/>
      <c r="C80" s="4"/>
      <c r="D80" s="2"/>
    </row>
    <row r="81" spans="1:4" ht="12.75" x14ac:dyDescent="0.2">
      <c r="A81" s="2"/>
      <c r="B81" s="4"/>
      <c r="C81" s="4"/>
      <c r="D81" s="2"/>
    </row>
    <row r="82" spans="1:4" ht="12.75" x14ac:dyDescent="0.2">
      <c r="A82" s="2"/>
      <c r="B82" s="2"/>
      <c r="C82" s="2"/>
      <c r="D82" s="2"/>
    </row>
    <row r="83" spans="1:4" ht="12.75" x14ac:dyDescent="0.2">
      <c r="A83" s="3" t="s">
        <v>5</v>
      </c>
      <c r="B83" s="2"/>
      <c r="C83" s="2"/>
      <c r="D83" s="2"/>
    </row>
    <row r="84" spans="1:4" ht="12.75" x14ac:dyDescent="0.2">
      <c r="A84" s="2" t="s">
        <v>4</v>
      </c>
      <c r="B84" s="2"/>
      <c r="C84" s="2"/>
      <c r="D84" s="2"/>
    </row>
    <row r="85" spans="1:4" ht="12.75" x14ac:dyDescent="0.2">
      <c r="A85" s="2" t="s">
        <v>3</v>
      </c>
      <c r="B85" s="2"/>
      <c r="C85" s="2"/>
      <c r="D85" s="2"/>
    </row>
    <row r="86" spans="1:4" ht="12.75" x14ac:dyDescent="0.2">
      <c r="A86" s="2" t="s">
        <v>2</v>
      </c>
      <c r="B86" s="2"/>
      <c r="C86" s="2"/>
      <c r="D86" s="2"/>
    </row>
    <row r="87" spans="1:4" ht="12.75" x14ac:dyDescent="0.2">
      <c r="A87" s="2" t="s">
        <v>1</v>
      </c>
      <c r="B87" s="2"/>
      <c r="C87" s="2"/>
      <c r="D87" s="2"/>
    </row>
    <row r="88" spans="1:4" ht="12.75" x14ac:dyDescent="0.2">
      <c r="A88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8"/>
  <sheetViews>
    <sheetView showGridLines="0" zoomScale="130" zoomScaleNormal="130" workbookViewId="0">
      <selection activeCell="E14" sqref="E14:J14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7499.9999999999973</v>
      </c>
      <c r="F9" s="40">
        <v>90000</v>
      </c>
      <c r="G9" s="117">
        <f>8.33333333333333%</f>
        <v>8.3333333333333301E-2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21">
        <f>600*$E$9</f>
        <v>4499999.9999999981</v>
      </c>
      <c r="B10" s="18"/>
      <c r="C10" s="18"/>
      <c r="D10" s="18"/>
      <c r="E10" s="113" t="s">
        <v>145</v>
      </c>
      <c r="F10" s="113"/>
      <c r="G10" s="113"/>
      <c r="H10" s="113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21">
        <f>$E$9*1500</f>
        <v>11249999.999999996</v>
      </c>
      <c r="C12" s="18"/>
      <c r="D12" s="18"/>
      <c r="E12" s="113" t="s">
        <v>146</v>
      </c>
      <c r="F12" s="113"/>
      <c r="G12" s="113"/>
      <c r="H12" s="113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18">
        <f>0*$E$9</f>
        <v>0</v>
      </c>
      <c r="B13" s="18">
        <f>0*$E$9</f>
        <v>0</v>
      </c>
      <c r="C13" s="18"/>
      <c r="D13" s="18"/>
      <c r="E13" s="31" t="s">
        <v>54</v>
      </c>
      <c r="F13" s="31"/>
      <c r="G13" s="31"/>
      <c r="H13" s="31"/>
      <c r="I13" s="31"/>
      <c r="J13" s="31"/>
      <c r="K13" s="31"/>
      <c r="L13" s="29"/>
      <c r="M13" s="30"/>
      <c r="N13" s="29"/>
      <c r="O13" s="29"/>
      <c r="P13" s="29"/>
      <c r="Q13" s="29"/>
    </row>
    <row r="14" spans="1:34" ht="12.75" x14ac:dyDescent="0.2">
      <c r="A14" s="34"/>
      <c r="B14" s="18"/>
      <c r="C14" s="121">
        <f>2500*600</f>
        <v>1500000</v>
      </c>
      <c r="D14" s="18"/>
      <c r="E14" s="113" t="s">
        <v>188</v>
      </c>
      <c r="F14" s="113"/>
      <c r="G14" s="113"/>
      <c r="H14" s="113"/>
      <c r="I14" s="113"/>
      <c r="J14" s="113"/>
      <c r="K14" s="116" t="s">
        <v>144</v>
      </c>
      <c r="L14" s="120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4499999.9999999981</v>
      </c>
      <c r="B16" s="34">
        <f>SUM(B10:B15)</f>
        <v>11249999.999999996</v>
      </c>
      <c r="C16" s="34">
        <f>SUM(C10:C15)</f>
        <v>1500000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359999.99999999988</v>
      </c>
      <c r="B17" s="34"/>
      <c r="C17" s="34">
        <f>+(C16)*0.08</f>
        <v>120000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+(A13+A14)*0.15</f>
        <v>0</v>
      </c>
      <c r="B18" s="37">
        <f>+B16*0.15</f>
        <v>1687499.9999999993</v>
      </c>
      <c r="C18" s="37">
        <f>+C16*0.15</f>
        <v>225000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4859999.9999999981</v>
      </c>
      <c r="B19" s="34">
        <f>SUM(B16:B18)</f>
        <v>12937499.999999996</v>
      </c>
      <c r="C19" s="34">
        <f>SUM(C16:C18)</f>
        <v>1845000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19642499.999999993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79">
        <f>G9</f>
        <v>8.3333333333333301E-2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49999.999999999978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83333.333333333299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41666.66666666665</v>
      </c>
      <c r="E29" s="182">
        <f>50000*$G$9</f>
        <v>4166.6666666666652</v>
      </c>
      <c r="F29" s="2" t="s">
        <v>278</v>
      </c>
    </row>
    <row r="30" spans="1:17" ht="12.75" x14ac:dyDescent="0.2">
      <c r="A30" s="2" t="s">
        <v>35</v>
      </c>
      <c r="B30" s="2"/>
      <c r="C30" s="18">
        <f>(7730000*0.98)*$G$9</f>
        <v>631283.33333333314</v>
      </c>
      <c r="F30" s="31" t="s">
        <v>277</v>
      </c>
      <c r="G30" s="19"/>
      <c r="H30" s="19"/>
      <c r="I30" s="19"/>
    </row>
    <row r="31" spans="1:17" ht="12.75" x14ac:dyDescent="0.2">
      <c r="A31" s="2" t="s">
        <v>34</v>
      </c>
      <c r="B31" s="2"/>
      <c r="C31" s="18">
        <f>(7730000*0.02)*$G$9</f>
        <v>12883.333333333328</v>
      </c>
      <c r="F31" s="31" t="s">
        <v>276</v>
      </c>
      <c r="G31" s="19"/>
      <c r="H31" s="19"/>
      <c r="I31" s="19"/>
    </row>
    <row r="32" spans="1:17" ht="12.75" x14ac:dyDescent="0.2">
      <c r="A32" s="2" t="s">
        <v>33</v>
      </c>
      <c r="B32" s="2"/>
      <c r="C32" s="2"/>
      <c r="E32" s="15">
        <f>80000*5*$G$9</f>
        <v>33333.333333333321</v>
      </c>
      <c r="F32" s="17" t="s">
        <v>32</v>
      </c>
    </row>
    <row r="33" spans="1:9" ht="12.75" x14ac:dyDescent="0.2">
      <c r="A33" s="2" t="s">
        <v>31</v>
      </c>
      <c r="B33" s="2"/>
      <c r="C33" s="15">
        <f>3000000*$G$9</f>
        <v>249999.99999999991</v>
      </c>
      <c r="E33" s="15">
        <f>1000000*$G$9*0</f>
        <v>0</v>
      </c>
      <c r="F33" s="17" t="s">
        <v>283</v>
      </c>
    </row>
    <row r="34" spans="1:9" ht="12.75" x14ac:dyDescent="0.2">
      <c r="A34" s="2" t="s">
        <v>29</v>
      </c>
      <c r="B34" s="2"/>
      <c r="C34" s="2"/>
      <c r="D34" s="19"/>
      <c r="E34" s="18">
        <f>90000*1*250*$G$9</f>
        <v>1874999.9999999993</v>
      </c>
      <c r="F34" s="17" t="s">
        <v>28</v>
      </c>
    </row>
    <row r="35" spans="1:9" ht="13.5" thickBot="1" x14ac:dyDescent="0.25">
      <c r="A35" s="31" t="s">
        <v>27</v>
      </c>
      <c r="B35" s="31"/>
      <c r="C35" s="56"/>
      <c r="D35" s="37">
        <f>-(225*$E$9)*0</f>
        <v>0</v>
      </c>
      <c r="E35" s="37"/>
      <c r="F35" s="31" t="s">
        <v>55</v>
      </c>
      <c r="G35" s="19"/>
      <c r="H35" s="19"/>
      <c r="I35" s="16"/>
    </row>
    <row r="36" spans="1:9" ht="12.75" x14ac:dyDescent="0.2">
      <c r="A36" s="2"/>
      <c r="B36" s="2"/>
      <c r="C36" s="15">
        <f>SUM(C27:C35)</f>
        <v>894166.6666666664</v>
      </c>
      <c r="D36" s="15">
        <f>SUM(D27:D35)</f>
        <v>174999.99999999994</v>
      </c>
      <c r="E36" s="15">
        <f>SUM(E27:E35)</f>
        <v>1912499.9999999993</v>
      </c>
      <c r="F36" s="2"/>
    </row>
    <row r="37" spans="1:9" ht="12.75" x14ac:dyDescent="0.2">
      <c r="A37" s="2"/>
      <c r="B37" s="2"/>
      <c r="C37" s="15"/>
      <c r="D37" s="15"/>
      <c r="E37" s="15"/>
      <c r="F37" s="2"/>
    </row>
    <row r="38" spans="1:9" ht="12.75" x14ac:dyDescent="0.2">
      <c r="A38" s="2"/>
      <c r="B38" s="2"/>
      <c r="C38" s="15"/>
      <c r="D38" s="15"/>
      <c r="E38" s="15">
        <f>E21+C36</f>
        <v>20536666.66666666</v>
      </c>
      <c r="F38" s="2" t="s">
        <v>26</v>
      </c>
    </row>
    <row r="39" spans="1:9" ht="13.5" thickBot="1" x14ac:dyDescent="0.25">
      <c r="A39" s="2"/>
      <c r="B39" s="2"/>
      <c r="C39" s="2"/>
      <c r="D39" s="2"/>
      <c r="E39" s="14">
        <f>D36+E36</f>
        <v>2087499.9999999993</v>
      </c>
      <c r="F39" s="13" t="s">
        <v>25</v>
      </c>
    </row>
    <row r="40" spans="1:9" ht="12.75" x14ac:dyDescent="0.2">
      <c r="A40" s="2"/>
      <c r="B40" s="2"/>
      <c r="C40" s="2"/>
      <c r="D40" s="2"/>
      <c r="E40" s="12">
        <f>+E21+C36+D36+E36</f>
        <v>22624166.66666666</v>
      </c>
      <c r="F40" s="11" t="s">
        <v>24</v>
      </c>
    </row>
    <row r="41" spans="1:9" ht="12.75" x14ac:dyDescent="0.2">
      <c r="A41" s="2"/>
      <c r="B41" s="2"/>
      <c r="C41" s="2"/>
      <c r="D41" s="2"/>
      <c r="E41" s="4"/>
      <c r="F41" s="2"/>
    </row>
    <row r="42" spans="1:9" ht="12.75" x14ac:dyDescent="0.2">
      <c r="A42" s="2"/>
      <c r="B42" s="2"/>
      <c r="C42" s="2"/>
      <c r="D42" s="2"/>
      <c r="E42" s="2"/>
    </row>
    <row r="43" spans="1:9" ht="12.75" x14ac:dyDescent="0.2">
      <c r="A43" s="2" t="s">
        <v>23</v>
      </c>
      <c r="B43" s="2"/>
      <c r="C43" s="2"/>
      <c r="D43" s="2"/>
      <c r="E43" s="2"/>
    </row>
    <row r="44" spans="1:9" ht="12.75" x14ac:dyDescent="0.2">
      <c r="A44" s="2"/>
      <c r="B44" s="2"/>
      <c r="C44" s="2"/>
      <c r="D44" s="2"/>
      <c r="E44" s="2"/>
    </row>
    <row r="45" spans="1:9" ht="12.75" x14ac:dyDescent="0.2">
      <c r="A45" s="2"/>
      <c r="B45" s="2"/>
      <c r="C45" s="2"/>
      <c r="D45" s="2"/>
      <c r="E45" s="2"/>
    </row>
    <row r="46" spans="1:9" ht="12.75" x14ac:dyDescent="0.2">
      <c r="A46" s="3" t="s">
        <v>22</v>
      </c>
      <c r="B46" s="8" t="s">
        <v>12</v>
      </c>
      <c r="C46" s="8" t="s">
        <v>11</v>
      </c>
      <c r="D46" s="2"/>
      <c r="E46" s="2"/>
    </row>
    <row r="47" spans="1:9" ht="12.75" x14ac:dyDescent="0.2">
      <c r="A47" s="2" t="s">
        <v>10</v>
      </c>
      <c r="B47" s="4"/>
      <c r="C47" s="4"/>
      <c r="D47" s="2"/>
      <c r="E47" s="2"/>
    </row>
    <row r="48" spans="1:9" ht="12.75" x14ac:dyDescent="0.2">
      <c r="A48" s="2" t="s">
        <v>9</v>
      </c>
      <c r="B48" s="5"/>
      <c r="C48" s="5"/>
      <c r="D48" s="2"/>
      <c r="E48" s="2"/>
    </row>
    <row r="49" spans="1:5" ht="12.75" x14ac:dyDescent="0.2">
      <c r="A49" s="2" t="s">
        <v>17</v>
      </c>
      <c r="B49" s="4">
        <f>SUM(B47:B48)</f>
        <v>0</v>
      </c>
      <c r="C49" s="4">
        <f>SUM(C47:C48)</f>
        <v>0</v>
      </c>
      <c r="D49" s="2"/>
      <c r="E49" s="2"/>
    </row>
    <row r="50" spans="1:5" ht="12.75" x14ac:dyDescent="0.2">
      <c r="A50" s="2"/>
      <c r="B50" s="2"/>
      <c r="C50" s="2"/>
      <c r="D50" s="2"/>
      <c r="E50" s="2"/>
    </row>
    <row r="51" spans="1:5" ht="12.75" x14ac:dyDescent="0.2">
      <c r="A51" s="3" t="s">
        <v>21</v>
      </c>
      <c r="B51" s="2"/>
      <c r="C51" s="2"/>
      <c r="D51" s="2"/>
      <c r="E51" s="2"/>
    </row>
    <row r="52" spans="1:5" ht="12.75" x14ac:dyDescent="0.2">
      <c r="A52" s="2" t="s">
        <v>10</v>
      </c>
      <c r="B52" s="4">
        <f>A19+C33</f>
        <v>5109999.9999999981</v>
      </c>
      <c r="C52" s="183">
        <f>C19</f>
        <v>1845000</v>
      </c>
      <c r="D52" s="184" t="s">
        <v>284</v>
      </c>
      <c r="E52" s="113"/>
    </row>
    <row r="53" spans="1:5" ht="12.75" x14ac:dyDescent="0.2">
      <c r="A53" s="2" t="s">
        <v>9</v>
      </c>
      <c r="B53" s="5">
        <f>B19</f>
        <v>12937499.999999996</v>
      </c>
      <c r="C53" s="5">
        <f>D19</f>
        <v>0</v>
      </c>
      <c r="D53" s="2"/>
      <c r="E53" s="2"/>
    </row>
    <row r="54" spans="1:5" ht="12.75" x14ac:dyDescent="0.2">
      <c r="A54" s="2" t="s">
        <v>17</v>
      </c>
      <c r="B54" s="4">
        <f>SUM(B52:B53)</f>
        <v>18047499.999999993</v>
      </c>
      <c r="C54" s="4">
        <f>SUM(C52:C53)</f>
        <v>1845000</v>
      </c>
      <c r="D54" s="2"/>
      <c r="E54" s="2"/>
    </row>
    <row r="55" spans="1:5" ht="12.75" x14ac:dyDescent="0.2">
      <c r="A55" s="2"/>
      <c r="B55" s="4"/>
      <c r="C55" s="4"/>
      <c r="D55" s="2"/>
      <c r="E55" s="2"/>
    </row>
    <row r="56" spans="1:5" ht="12.75" x14ac:dyDescent="0.2">
      <c r="A56" s="11" t="s">
        <v>20</v>
      </c>
      <c r="B56" s="4"/>
      <c r="C56" s="4"/>
      <c r="D56" s="2"/>
      <c r="E56" s="2"/>
    </row>
    <row r="57" spans="1:5" ht="12.75" x14ac:dyDescent="0.2">
      <c r="A57" s="2" t="s">
        <v>19</v>
      </c>
      <c r="B57" s="4">
        <f>C30</f>
        <v>631283.33333333314</v>
      </c>
      <c r="C57" s="4"/>
      <c r="D57" s="2"/>
      <c r="E57" s="2"/>
    </row>
    <row r="58" spans="1:5" ht="12.75" x14ac:dyDescent="0.2">
      <c r="A58" s="2" t="s">
        <v>18</v>
      </c>
      <c r="B58" s="5">
        <f>C31</f>
        <v>12883.333333333328</v>
      </c>
      <c r="C58" s="4"/>
      <c r="D58" s="2"/>
      <c r="E58" s="2"/>
    </row>
    <row r="59" spans="1:5" ht="12.75" x14ac:dyDescent="0.2">
      <c r="A59" s="2" t="s">
        <v>17</v>
      </c>
      <c r="B59" s="4">
        <f>+B57+B58</f>
        <v>644166.66666666651</v>
      </c>
      <c r="C59" s="4"/>
      <c r="D59" s="2"/>
      <c r="E59" s="2"/>
    </row>
    <row r="60" spans="1:5" ht="12.75" x14ac:dyDescent="0.2">
      <c r="A60" s="2"/>
      <c r="B60" s="4"/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 t="s">
        <v>16</v>
      </c>
      <c r="B63" s="4"/>
      <c r="C63" s="4"/>
      <c r="D63" s="2"/>
      <c r="E63" s="11"/>
    </row>
    <row r="64" spans="1:5" ht="12.75" x14ac:dyDescent="0.2">
      <c r="A64" s="2" t="s">
        <v>10</v>
      </c>
      <c r="B64" s="4"/>
      <c r="C64" s="4">
        <f>D36</f>
        <v>174999.99999999994</v>
      </c>
      <c r="D64" s="2"/>
      <c r="E64" s="10"/>
    </row>
    <row r="65" spans="1:4" ht="12.75" x14ac:dyDescent="0.2">
      <c r="A65" s="2" t="s">
        <v>9</v>
      </c>
      <c r="B65" s="5"/>
      <c r="C65" s="5">
        <f>E36</f>
        <v>1912499.9999999993</v>
      </c>
      <c r="D65" s="2"/>
    </row>
    <row r="66" spans="1:4" ht="12.75" x14ac:dyDescent="0.2">
      <c r="A66" s="2" t="s">
        <v>15</v>
      </c>
      <c r="B66" s="4">
        <f>+B64+B65</f>
        <v>0</v>
      </c>
      <c r="C66" s="4">
        <f>+C64+C65</f>
        <v>2087499.9999999993</v>
      </c>
      <c r="D66" s="2"/>
    </row>
    <row r="67" spans="1:4" ht="12.75" x14ac:dyDescent="0.2">
      <c r="A67" s="2"/>
      <c r="B67" s="4"/>
      <c r="C67" s="4"/>
      <c r="D67" s="2"/>
    </row>
    <row r="68" spans="1:4" ht="12.75" x14ac:dyDescent="0.2">
      <c r="A68" s="2" t="s">
        <v>7</v>
      </c>
      <c r="B68" s="4">
        <f>+B49+B54+B59+B66</f>
        <v>18691666.66666666</v>
      </c>
      <c r="C68" s="4">
        <f>+C49+C54+C59+C66</f>
        <v>3932499.9999999991</v>
      </c>
      <c r="D68" s="2"/>
    </row>
    <row r="69" spans="1:4" ht="12.75" x14ac:dyDescent="0.2">
      <c r="A69" s="2"/>
      <c r="B69" s="4"/>
      <c r="C69" s="4"/>
      <c r="D69" s="2"/>
    </row>
    <row r="70" spans="1:4" ht="12.75" x14ac:dyDescent="0.2">
      <c r="A70" s="2" t="s">
        <v>14</v>
      </c>
      <c r="B70" s="4">
        <f>A19+B19+C36</f>
        <v>18691666.66666666</v>
      </c>
      <c r="C70" s="4">
        <f>C19+D19+D36+E36</f>
        <v>3932499.9999999991</v>
      </c>
      <c r="D70" s="2"/>
    </row>
    <row r="71" spans="1:4" ht="12.75" x14ac:dyDescent="0.2">
      <c r="A71" s="2"/>
      <c r="B71" s="4"/>
      <c r="C71" s="4"/>
      <c r="D71" s="2"/>
    </row>
    <row r="72" spans="1:4" ht="12.75" x14ac:dyDescent="0.2">
      <c r="A72" s="2"/>
      <c r="B72" s="4"/>
      <c r="C72" s="4"/>
      <c r="D72" s="2"/>
    </row>
    <row r="73" spans="1:4" ht="12.75" x14ac:dyDescent="0.2">
      <c r="A73" s="2"/>
      <c r="B73" s="4"/>
      <c r="C73" s="4"/>
      <c r="D73" s="2"/>
    </row>
    <row r="74" spans="1:4" ht="13.5" thickBot="1" x14ac:dyDescent="0.25">
      <c r="A74" s="9" t="s">
        <v>13</v>
      </c>
      <c r="B74" s="8" t="s">
        <v>12</v>
      </c>
      <c r="C74" s="8" t="s">
        <v>11</v>
      </c>
      <c r="D74" s="2"/>
    </row>
    <row r="75" spans="1:4" ht="12.75" x14ac:dyDescent="0.2">
      <c r="A75" s="2" t="s">
        <v>10</v>
      </c>
      <c r="B75" s="4">
        <v>0</v>
      </c>
      <c r="C75" s="7">
        <f>((E34/5))*0.5</f>
        <v>187499.99999999994</v>
      </c>
      <c r="D75" s="6"/>
    </row>
    <row r="76" spans="1:4" ht="12.75" x14ac:dyDescent="0.2">
      <c r="A76" s="2" t="s">
        <v>9</v>
      </c>
      <c r="B76" s="4">
        <v>0</v>
      </c>
      <c r="C76" s="4">
        <v>0</v>
      </c>
    </row>
    <row r="77" spans="1:4" ht="12.75" x14ac:dyDescent="0.2">
      <c r="A77" s="2" t="s">
        <v>8</v>
      </c>
      <c r="B77" s="5">
        <v>0</v>
      </c>
      <c r="C77" s="5">
        <v>0</v>
      </c>
      <c r="D77" s="2"/>
    </row>
    <row r="78" spans="1:4" ht="12.75" x14ac:dyDescent="0.2">
      <c r="A78" s="2" t="s">
        <v>7</v>
      </c>
      <c r="B78" s="4">
        <f>SUM(B75:B77)</f>
        <v>0</v>
      </c>
      <c r="C78" s="4">
        <f>SUM(C75:C77)</f>
        <v>187499.99999999994</v>
      </c>
      <c r="D78" s="2"/>
    </row>
    <row r="79" spans="1:4" ht="12.75" x14ac:dyDescent="0.2">
      <c r="A79" s="2"/>
      <c r="B79" s="4"/>
      <c r="C79" s="4"/>
      <c r="D79" s="2"/>
    </row>
    <row r="80" spans="1:4" ht="12.75" x14ac:dyDescent="0.2">
      <c r="A80" s="2" t="s">
        <v>6</v>
      </c>
      <c r="B80" s="4"/>
      <c r="C80" s="4"/>
      <c r="D80" s="2"/>
    </row>
    <row r="81" spans="1:4" ht="12.75" x14ac:dyDescent="0.2">
      <c r="A81" s="2"/>
      <c r="B81" s="4"/>
      <c r="C81" s="4"/>
      <c r="D81" s="2"/>
    </row>
    <row r="82" spans="1:4" ht="12.75" x14ac:dyDescent="0.2">
      <c r="A82" s="2"/>
      <c r="B82" s="2"/>
      <c r="C82" s="2"/>
      <c r="D82" s="2"/>
    </row>
    <row r="83" spans="1:4" ht="12.75" x14ac:dyDescent="0.2">
      <c r="A83" s="3" t="s">
        <v>5</v>
      </c>
      <c r="B83" s="2"/>
      <c r="C83" s="2"/>
      <c r="D83" s="2"/>
    </row>
    <row r="84" spans="1:4" ht="12.75" x14ac:dyDescent="0.2">
      <c r="A84" s="2" t="s">
        <v>4</v>
      </c>
      <c r="B84" s="2"/>
      <c r="C84" s="2"/>
      <c r="D84" s="2"/>
    </row>
    <row r="85" spans="1:4" ht="12.75" x14ac:dyDescent="0.2">
      <c r="A85" s="2" t="s">
        <v>3</v>
      </c>
      <c r="B85" s="2"/>
      <c r="C85" s="2"/>
      <c r="D85" s="2"/>
    </row>
    <row r="86" spans="1:4" ht="12.75" x14ac:dyDescent="0.2">
      <c r="A86" s="2" t="s">
        <v>2</v>
      </c>
      <c r="B86" s="2"/>
      <c r="C86" s="2"/>
      <c r="D86" s="2"/>
    </row>
    <row r="87" spans="1:4" ht="12.75" x14ac:dyDescent="0.2">
      <c r="A87" s="2" t="s">
        <v>1</v>
      </c>
      <c r="B87" s="2"/>
      <c r="C87" s="2"/>
      <c r="D87" s="2"/>
    </row>
    <row r="88" spans="1:4" ht="12.75" x14ac:dyDescent="0.2">
      <c r="A88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8"/>
  <sheetViews>
    <sheetView showGridLines="0" zoomScale="130" zoomScaleNormal="130" workbookViewId="0">
      <selection activeCell="C40" sqref="C40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7499.9999999999973</v>
      </c>
      <c r="F9" s="40">
        <v>90000</v>
      </c>
      <c r="G9" s="117">
        <f>8.33333333333333%</f>
        <v>8.3333333333333301E-2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21">
        <f>600*$E$9</f>
        <v>4499999.9999999981</v>
      </c>
      <c r="B10" s="18"/>
      <c r="C10" s="18"/>
      <c r="D10" s="18"/>
      <c r="E10" s="113" t="s">
        <v>145</v>
      </c>
      <c r="F10" s="113"/>
      <c r="G10" s="113"/>
      <c r="H10" s="113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21">
        <f>$E$9*1500</f>
        <v>11249999.999999996</v>
      </c>
      <c r="C12" s="18"/>
      <c r="D12" s="18"/>
      <c r="E12" s="113" t="s">
        <v>146</v>
      </c>
      <c r="F12" s="113"/>
      <c r="G12" s="113"/>
      <c r="H12" s="113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34"/>
      <c r="B13" s="18"/>
      <c r="C13" s="121">
        <f>2500*600</f>
        <v>1500000</v>
      </c>
      <c r="D13" s="18"/>
      <c r="E13" s="113" t="s">
        <v>188</v>
      </c>
      <c r="F13" s="113"/>
      <c r="G13" s="113"/>
      <c r="H13" s="113"/>
      <c r="I13" s="113"/>
      <c r="J13" s="113"/>
      <c r="K13" s="116" t="s">
        <v>144</v>
      </c>
      <c r="L13" s="120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/>
      <c r="D14" s="18"/>
      <c r="E14" s="31"/>
      <c r="F14" s="31"/>
      <c r="G14" s="31"/>
      <c r="H14" s="31"/>
      <c r="I14" s="31"/>
      <c r="J14" s="31"/>
      <c r="K14" s="31"/>
      <c r="L14" s="29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4499999.9999999981</v>
      </c>
      <c r="B16" s="34">
        <f>SUM(B10:B15)</f>
        <v>11249999.999999996</v>
      </c>
      <c r="C16" s="34">
        <f>SUM(C10:C15)</f>
        <v>1500000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359999.99999999988</v>
      </c>
      <c r="B17" s="34"/>
      <c r="C17" s="34">
        <f>+(C16)*0.08</f>
        <v>120000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+A16*0.15*0</f>
        <v>0</v>
      </c>
      <c r="B18" s="37">
        <f>+B16*0.15</f>
        <v>1687499.9999999993</v>
      </c>
      <c r="C18" s="37">
        <f>+C16*0.15</f>
        <v>225000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4859999.9999999981</v>
      </c>
      <c r="B19" s="34">
        <f>SUM(B16:B18)</f>
        <v>12937499.999999996</v>
      </c>
      <c r="C19" s="34">
        <f>SUM(C16:C18)</f>
        <v>1845000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19642499.999999993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79">
        <f>G9</f>
        <v>8.3333333333333301E-2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49999.999999999978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83333.333333333299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41666.66666666665</v>
      </c>
      <c r="E29" s="182">
        <f>50000*$G$9</f>
        <v>4166.6666666666652</v>
      </c>
      <c r="F29" s="2" t="s">
        <v>278</v>
      </c>
    </row>
    <row r="30" spans="1:17" ht="12.75" x14ac:dyDescent="0.2">
      <c r="A30" s="31" t="s">
        <v>35</v>
      </c>
      <c r="B30" s="31"/>
      <c r="C30" s="18">
        <f>(7730000*0.98)*$G$9</f>
        <v>631283.33333333314</v>
      </c>
      <c r="D30" s="19"/>
      <c r="E30" s="19"/>
      <c r="F30" s="31" t="s">
        <v>277</v>
      </c>
      <c r="G30" s="19"/>
      <c r="H30" s="19"/>
      <c r="I30" s="19"/>
      <c r="J30" s="19"/>
    </row>
    <row r="31" spans="1:17" ht="12.75" x14ac:dyDescent="0.2">
      <c r="A31" s="31" t="s">
        <v>34</v>
      </c>
      <c r="B31" s="31"/>
      <c r="C31" s="18">
        <f>(7730000*0.02)*$G$9</f>
        <v>12883.333333333328</v>
      </c>
      <c r="D31" s="19"/>
      <c r="E31" s="19"/>
      <c r="F31" s="31" t="s">
        <v>276</v>
      </c>
      <c r="G31" s="19"/>
      <c r="H31" s="19"/>
      <c r="I31" s="19"/>
      <c r="J31" s="19"/>
    </row>
    <row r="32" spans="1:17" ht="12.75" x14ac:dyDescent="0.2">
      <c r="A32" s="2" t="s">
        <v>33</v>
      </c>
      <c r="B32" s="2"/>
      <c r="C32" s="2"/>
      <c r="E32" s="15">
        <f>80000*5*$G$9</f>
        <v>33333.333333333321</v>
      </c>
      <c r="F32" s="17" t="s">
        <v>32</v>
      </c>
    </row>
    <row r="33" spans="1:9" ht="12.75" x14ac:dyDescent="0.2">
      <c r="A33" s="2" t="s">
        <v>31</v>
      </c>
      <c r="B33" s="2"/>
      <c r="C33" s="15">
        <f>3000000*$G$9</f>
        <v>249999.99999999991</v>
      </c>
      <c r="E33" s="15">
        <f>1000000*$G$9*0</f>
        <v>0</v>
      </c>
      <c r="F33" s="17" t="s">
        <v>283</v>
      </c>
    </row>
    <row r="34" spans="1:9" ht="12.75" x14ac:dyDescent="0.2">
      <c r="A34" s="2" t="s">
        <v>29</v>
      </c>
      <c r="B34" s="2"/>
      <c r="C34" s="2"/>
      <c r="D34" s="19"/>
      <c r="E34" s="18">
        <f>90000*1*250*$G$9</f>
        <v>1874999.9999999993</v>
      </c>
      <c r="F34" s="17" t="s">
        <v>28</v>
      </c>
    </row>
    <row r="35" spans="1:9" ht="13.5" thickBot="1" x14ac:dyDescent="0.25">
      <c r="A35" s="31" t="s">
        <v>27</v>
      </c>
      <c r="B35" s="31"/>
      <c r="C35" s="56"/>
      <c r="D35" s="37">
        <f>-(225*$E$9)*0</f>
        <v>0</v>
      </c>
      <c r="E35" s="37"/>
      <c r="F35" s="31" t="s">
        <v>55</v>
      </c>
      <c r="G35" s="19"/>
      <c r="H35" s="19"/>
      <c r="I35" s="16"/>
    </row>
    <row r="36" spans="1:9" ht="12.75" x14ac:dyDescent="0.2">
      <c r="A36" s="2"/>
      <c r="B36" s="2"/>
      <c r="C36" s="15">
        <f>SUM(C27:C35)</f>
        <v>894166.6666666664</v>
      </c>
      <c r="D36" s="15">
        <f>SUM(D27:D35)</f>
        <v>174999.99999999994</v>
      </c>
      <c r="E36" s="15">
        <f>SUM(E27:E35)</f>
        <v>1912499.9999999993</v>
      </c>
      <c r="F36" s="2"/>
    </row>
    <row r="37" spans="1:9" ht="12.75" x14ac:dyDescent="0.2">
      <c r="A37" s="2"/>
      <c r="B37" s="2"/>
      <c r="C37" s="15"/>
      <c r="D37" s="15"/>
      <c r="E37" s="15"/>
      <c r="F37" s="2"/>
    </row>
    <row r="38" spans="1:9" ht="12.75" x14ac:dyDescent="0.2">
      <c r="A38" s="2"/>
      <c r="B38" s="2"/>
      <c r="C38" s="15"/>
      <c r="D38" s="15"/>
      <c r="E38" s="15">
        <f>E21+C36</f>
        <v>20536666.66666666</v>
      </c>
      <c r="F38" s="2" t="s">
        <v>26</v>
      </c>
    </row>
    <row r="39" spans="1:9" ht="13.5" thickBot="1" x14ac:dyDescent="0.25">
      <c r="A39" s="2"/>
      <c r="B39" s="2"/>
      <c r="C39" s="2"/>
      <c r="D39" s="2"/>
      <c r="E39" s="14">
        <f>D36+E36</f>
        <v>2087499.9999999993</v>
      </c>
      <c r="F39" s="13" t="s">
        <v>25</v>
      </c>
    </row>
    <row r="40" spans="1:9" ht="12.75" x14ac:dyDescent="0.2">
      <c r="A40" s="2"/>
      <c r="B40" s="2"/>
      <c r="C40" s="2"/>
      <c r="D40" s="2"/>
      <c r="E40" s="12">
        <f>+E21+C36+D36+E36</f>
        <v>22624166.66666666</v>
      </c>
      <c r="F40" s="11" t="s">
        <v>24</v>
      </c>
    </row>
    <row r="41" spans="1:9" ht="12.75" x14ac:dyDescent="0.2">
      <c r="A41" s="2"/>
      <c r="B41" s="2"/>
      <c r="C41" s="2"/>
      <c r="D41" s="2"/>
      <c r="E41" s="4"/>
      <c r="F41" s="2"/>
    </row>
    <row r="42" spans="1:9" ht="12.75" x14ac:dyDescent="0.2">
      <c r="A42" s="2"/>
      <c r="B42" s="2"/>
      <c r="C42" s="2"/>
      <c r="D42" s="2"/>
      <c r="E42" s="2"/>
    </row>
    <row r="43" spans="1:9" ht="12.75" x14ac:dyDescent="0.2">
      <c r="A43" s="2" t="s">
        <v>23</v>
      </c>
      <c r="B43" s="2"/>
      <c r="C43" s="2"/>
      <c r="D43" s="2"/>
      <c r="E43" s="2"/>
    </row>
    <row r="44" spans="1:9" ht="12.75" x14ac:dyDescent="0.2">
      <c r="A44" s="2"/>
      <c r="B44" s="2"/>
      <c r="C44" s="2"/>
      <c r="D44" s="2"/>
      <c r="E44" s="2"/>
    </row>
    <row r="45" spans="1:9" ht="12.75" x14ac:dyDescent="0.2">
      <c r="A45" s="2"/>
      <c r="B45" s="2"/>
      <c r="C45" s="2"/>
      <c r="D45" s="2"/>
      <c r="E45" s="2"/>
    </row>
    <row r="46" spans="1:9" ht="12.75" x14ac:dyDescent="0.2">
      <c r="A46" s="3" t="s">
        <v>22</v>
      </c>
      <c r="B46" s="8" t="s">
        <v>12</v>
      </c>
      <c r="C46" s="8" t="s">
        <v>11</v>
      </c>
      <c r="D46" s="2"/>
      <c r="E46" s="2"/>
    </row>
    <row r="47" spans="1:9" ht="12.75" x14ac:dyDescent="0.2">
      <c r="A47" s="2" t="s">
        <v>10</v>
      </c>
      <c r="B47" s="4"/>
      <c r="C47" s="4"/>
      <c r="D47" s="2"/>
      <c r="E47" s="2"/>
    </row>
    <row r="48" spans="1:9" ht="12.75" x14ac:dyDescent="0.2">
      <c r="A48" s="2" t="s">
        <v>9</v>
      </c>
      <c r="B48" s="5"/>
      <c r="C48" s="5"/>
      <c r="D48" s="2"/>
      <c r="E48" s="2"/>
    </row>
    <row r="49" spans="1:5" ht="12.75" x14ac:dyDescent="0.2">
      <c r="A49" s="2" t="s">
        <v>17</v>
      </c>
      <c r="B49" s="4">
        <f>SUM(B47:B48)</f>
        <v>0</v>
      </c>
      <c r="C49" s="4">
        <f>SUM(C47:C48)</f>
        <v>0</v>
      </c>
      <c r="D49" s="2"/>
      <c r="E49" s="2"/>
    </row>
    <row r="50" spans="1:5" ht="12.75" x14ac:dyDescent="0.2">
      <c r="A50" s="2"/>
      <c r="B50" s="2"/>
      <c r="C50" s="2"/>
      <c r="D50" s="2"/>
      <c r="E50" s="2"/>
    </row>
    <row r="51" spans="1:5" ht="12.75" x14ac:dyDescent="0.2">
      <c r="A51" s="3" t="s">
        <v>21</v>
      </c>
      <c r="B51" s="2"/>
      <c r="C51" s="2"/>
      <c r="D51" s="2"/>
      <c r="E51" s="2"/>
    </row>
    <row r="52" spans="1:5" ht="12.75" x14ac:dyDescent="0.2">
      <c r="A52" s="2" t="s">
        <v>10</v>
      </c>
      <c r="B52" s="4">
        <f>A19+C33</f>
        <v>5109999.9999999981</v>
      </c>
      <c r="C52" s="183">
        <f>C19</f>
        <v>1845000</v>
      </c>
      <c r="D52" s="184" t="s">
        <v>284</v>
      </c>
      <c r="E52" s="113"/>
    </row>
    <row r="53" spans="1:5" ht="12.75" x14ac:dyDescent="0.2">
      <c r="A53" s="2" t="s">
        <v>9</v>
      </c>
      <c r="B53" s="5">
        <f>B19</f>
        <v>12937499.999999996</v>
      </c>
      <c r="C53" s="5">
        <f>D19</f>
        <v>0</v>
      </c>
      <c r="D53" s="2"/>
      <c r="E53" s="2"/>
    </row>
    <row r="54" spans="1:5" ht="12.75" x14ac:dyDescent="0.2">
      <c r="A54" s="2" t="s">
        <v>17</v>
      </c>
      <c r="B54" s="4">
        <f>SUM(B52:B53)</f>
        <v>18047499.999999993</v>
      </c>
      <c r="C54" s="4">
        <f>SUM(C52:C53)</f>
        <v>1845000</v>
      </c>
      <c r="D54" s="2"/>
      <c r="E54" s="2"/>
    </row>
    <row r="55" spans="1:5" ht="12.75" x14ac:dyDescent="0.2">
      <c r="A55" s="2"/>
      <c r="B55" s="4"/>
      <c r="C55" s="4"/>
      <c r="D55" s="2"/>
      <c r="E55" s="2"/>
    </row>
    <row r="56" spans="1:5" ht="12.75" x14ac:dyDescent="0.2">
      <c r="A56" s="11" t="s">
        <v>20</v>
      </c>
      <c r="B56" s="4"/>
      <c r="C56" s="4"/>
      <c r="D56" s="2"/>
      <c r="E56" s="2"/>
    </row>
    <row r="57" spans="1:5" ht="12.75" x14ac:dyDescent="0.2">
      <c r="A57" s="2" t="s">
        <v>19</v>
      </c>
      <c r="B57" s="4">
        <f>C30</f>
        <v>631283.33333333314</v>
      </c>
      <c r="C57" s="4"/>
      <c r="D57" s="2"/>
      <c r="E57" s="2"/>
    </row>
    <row r="58" spans="1:5" ht="12.75" x14ac:dyDescent="0.2">
      <c r="A58" s="2" t="s">
        <v>18</v>
      </c>
      <c r="B58" s="5">
        <f>C31</f>
        <v>12883.333333333328</v>
      </c>
      <c r="C58" s="4"/>
      <c r="D58" s="2"/>
      <c r="E58" s="2"/>
    </row>
    <row r="59" spans="1:5" ht="12.75" x14ac:dyDescent="0.2">
      <c r="A59" s="2" t="s">
        <v>17</v>
      </c>
      <c r="B59" s="4">
        <f>+B57+B58</f>
        <v>644166.66666666651</v>
      </c>
      <c r="C59" s="4"/>
      <c r="D59" s="2"/>
      <c r="E59" s="2"/>
    </row>
    <row r="60" spans="1:5" ht="12.75" x14ac:dyDescent="0.2">
      <c r="A60" s="2"/>
      <c r="B60" s="4"/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 t="s">
        <v>16</v>
      </c>
      <c r="B63" s="4"/>
      <c r="C63" s="8" t="s">
        <v>11</v>
      </c>
      <c r="D63" s="2"/>
      <c r="E63" s="11"/>
    </row>
    <row r="64" spans="1:5" ht="12.75" x14ac:dyDescent="0.2">
      <c r="A64" s="2" t="s">
        <v>10</v>
      </c>
      <c r="B64" s="4"/>
      <c r="C64" s="4">
        <f>D36</f>
        <v>174999.99999999994</v>
      </c>
      <c r="D64" s="2"/>
      <c r="E64" s="10"/>
    </row>
    <row r="65" spans="1:4" ht="12.75" x14ac:dyDescent="0.2">
      <c r="A65" s="2" t="s">
        <v>9</v>
      </c>
      <c r="B65" s="5"/>
      <c r="C65" s="5">
        <f>E36</f>
        <v>1912499.9999999993</v>
      </c>
      <c r="D65" s="2"/>
    </row>
    <row r="66" spans="1:4" ht="12.75" x14ac:dyDescent="0.2">
      <c r="A66" s="2" t="s">
        <v>15</v>
      </c>
      <c r="B66" s="4">
        <f>+B64+B65</f>
        <v>0</v>
      </c>
      <c r="C66" s="4">
        <f>+C64+C65</f>
        <v>2087499.9999999993</v>
      </c>
      <c r="D66" s="2"/>
    </row>
    <row r="67" spans="1:4" ht="12.75" x14ac:dyDescent="0.2">
      <c r="A67" s="2"/>
      <c r="B67" s="4"/>
      <c r="C67" s="4"/>
      <c r="D67" s="2"/>
    </row>
    <row r="68" spans="1:4" ht="12.75" x14ac:dyDescent="0.2">
      <c r="A68" s="2" t="s">
        <v>7</v>
      </c>
      <c r="B68" s="4">
        <f>+B49+B54+B59+B66</f>
        <v>18691666.66666666</v>
      </c>
      <c r="C68" s="4">
        <f>+C49+C54+C59+C66</f>
        <v>3932499.9999999991</v>
      </c>
      <c r="D68" s="2"/>
    </row>
    <row r="69" spans="1:4" ht="12.75" x14ac:dyDescent="0.2">
      <c r="A69" s="2"/>
      <c r="B69" s="4"/>
      <c r="C69" s="4"/>
      <c r="D69" s="2"/>
    </row>
    <row r="70" spans="1:4" ht="12.75" x14ac:dyDescent="0.2">
      <c r="A70" s="2" t="s">
        <v>14</v>
      </c>
      <c r="B70" s="4">
        <f>A19+B19+C36</f>
        <v>18691666.66666666</v>
      </c>
      <c r="C70" s="4">
        <f>C19+D19+D36+E36</f>
        <v>3932499.9999999991</v>
      </c>
      <c r="D70" s="2"/>
    </row>
    <row r="71" spans="1:4" ht="12.75" x14ac:dyDescent="0.2">
      <c r="A71" s="2"/>
      <c r="B71" s="4"/>
      <c r="C71" s="4"/>
      <c r="D71" s="2"/>
    </row>
    <row r="72" spans="1:4" ht="12.75" x14ac:dyDescent="0.2">
      <c r="A72" s="2"/>
      <c r="B72" s="4"/>
      <c r="C72" s="4"/>
      <c r="D72" s="2"/>
    </row>
    <row r="73" spans="1:4" ht="12.75" x14ac:dyDescent="0.2">
      <c r="A73" s="2"/>
      <c r="B73" s="4"/>
      <c r="C73" s="4"/>
      <c r="D73" s="2"/>
    </row>
    <row r="74" spans="1:4" ht="13.5" thickBot="1" x14ac:dyDescent="0.25">
      <c r="A74" s="9" t="s">
        <v>13</v>
      </c>
      <c r="B74" s="8" t="s">
        <v>12</v>
      </c>
      <c r="C74" s="8" t="s">
        <v>11</v>
      </c>
      <c r="D74" s="2"/>
    </row>
    <row r="75" spans="1:4" ht="12.75" x14ac:dyDescent="0.2">
      <c r="A75" s="2" t="s">
        <v>10</v>
      </c>
      <c r="B75" s="4">
        <v>0</v>
      </c>
      <c r="C75" s="7">
        <f>((E34/5))*0.5</f>
        <v>187499.99999999994</v>
      </c>
      <c r="D75" s="6"/>
    </row>
    <row r="76" spans="1:4" ht="12.75" x14ac:dyDescent="0.2">
      <c r="A76" s="2" t="s">
        <v>9</v>
      </c>
      <c r="B76" s="4">
        <v>0</v>
      </c>
      <c r="C76" s="4">
        <v>0</v>
      </c>
    </row>
    <row r="77" spans="1:4" ht="12.75" x14ac:dyDescent="0.2">
      <c r="A77" s="2" t="s">
        <v>8</v>
      </c>
      <c r="B77" s="5">
        <v>0</v>
      </c>
      <c r="C77" s="5">
        <v>0</v>
      </c>
      <c r="D77" s="2"/>
    </row>
    <row r="78" spans="1:4" ht="12.75" x14ac:dyDescent="0.2">
      <c r="A78" s="2" t="s">
        <v>7</v>
      </c>
      <c r="B78" s="4">
        <f>SUM(B75:B77)</f>
        <v>0</v>
      </c>
      <c r="C78" s="4">
        <f>SUM(C75:C77)</f>
        <v>187499.99999999994</v>
      </c>
      <c r="D78" s="2"/>
    </row>
    <row r="79" spans="1:4" ht="12.75" x14ac:dyDescent="0.2">
      <c r="A79" s="2"/>
      <c r="B79" s="4"/>
      <c r="C79" s="4"/>
      <c r="D79" s="2"/>
    </row>
    <row r="80" spans="1:4" ht="12.75" x14ac:dyDescent="0.2">
      <c r="A80" s="2" t="s">
        <v>6</v>
      </c>
      <c r="B80" s="4"/>
      <c r="C80" s="4"/>
      <c r="D80" s="2"/>
    </row>
    <row r="81" spans="1:4" ht="12.75" x14ac:dyDescent="0.2">
      <c r="A81" s="2"/>
      <c r="B81" s="4"/>
      <c r="C81" s="4"/>
      <c r="D81" s="2"/>
    </row>
    <row r="82" spans="1:4" ht="12.75" x14ac:dyDescent="0.2">
      <c r="A82" s="2"/>
      <c r="B82" s="2"/>
      <c r="C82" s="2"/>
      <c r="D82" s="2"/>
    </row>
    <row r="83" spans="1:4" ht="12.75" x14ac:dyDescent="0.2">
      <c r="A83" s="3" t="s">
        <v>5</v>
      </c>
      <c r="B83" s="2"/>
      <c r="C83" s="2"/>
      <c r="D83" s="2"/>
    </row>
    <row r="84" spans="1:4" ht="12.75" x14ac:dyDescent="0.2">
      <c r="A84" s="2" t="s">
        <v>4</v>
      </c>
      <c r="B84" s="2"/>
      <c r="C84" s="2"/>
      <c r="D84" s="2"/>
    </row>
    <row r="85" spans="1:4" ht="12.75" x14ac:dyDescent="0.2">
      <c r="A85" s="2" t="s">
        <v>3</v>
      </c>
      <c r="B85" s="2"/>
      <c r="C85" s="2"/>
      <c r="D85" s="2"/>
    </row>
    <row r="86" spans="1:4" ht="12.75" x14ac:dyDescent="0.2">
      <c r="A86" s="2" t="s">
        <v>2</v>
      </c>
      <c r="B86" s="2"/>
      <c r="C86" s="2"/>
      <c r="D86" s="2"/>
    </row>
    <row r="87" spans="1:4" ht="12.75" x14ac:dyDescent="0.2">
      <c r="A87" s="2" t="s">
        <v>1</v>
      </c>
      <c r="B87" s="2"/>
      <c r="C87" s="2"/>
      <c r="D87" s="2"/>
    </row>
    <row r="88" spans="1:4" ht="12.75" x14ac:dyDescent="0.2">
      <c r="A88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9"/>
  <sheetViews>
    <sheetView showGridLines="0" topLeftCell="A21" zoomScale="130" zoomScaleNormal="130" workbookViewId="0">
      <selection activeCell="F36" sqref="F36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0</v>
      </c>
      <c r="F9" s="40">
        <v>90000</v>
      </c>
      <c r="G9" s="117">
        <f>11.5625%*0</f>
        <v>0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8"/>
      <c r="B10" s="18"/>
      <c r="C10" s="18"/>
      <c r="D10" s="18"/>
      <c r="E10" s="31" t="s">
        <v>120</v>
      </c>
      <c r="F10" s="31"/>
      <c r="G10" s="31"/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8">
        <f>$E$9*1425</f>
        <v>0</v>
      </c>
      <c r="C12" s="18"/>
      <c r="D12" s="18"/>
      <c r="E12" s="31" t="s">
        <v>44</v>
      </c>
      <c r="F12" s="31"/>
      <c r="G12" s="31"/>
      <c r="H12" s="31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18"/>
      <c r="B13" s="18"/>
      <c r="C13" s="18"/>
      <c r="D13" s="18"/>
      <c r="E13" s="31"/>
      <c r="F13" s="31"/>
      <c r="G13" s="31"/>
      <c r="H13" s="31"/>
      <c r="I13" s="31"/>
      <c r="J13" s="31"/>
      <c r="K13" s="31"/>
      <c r="L13" s="29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/>
      <c r="D14" s="18"/>
      <c r="E14" s="31"/>
      <c r="F14" s="31"/>
      <c r="G14" s="31"/>
      <c r="H14" s="31"/>
      <c r="I14" s="31"/>
      <c r="J14" s="31"/>
      <c r="K14" s="31"/>
      <c r="L14" s="29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0</v>
      </c>
      <c r="B16" s="34">
        <f>SUM(B10:B15)</f>
        <v>0</v>
      </c>
      <c r="C16" s="34">
        <f>SUM(C10:C15)</f>
        <v>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0</v>
      </c>
      <c r="B17" s="34"/>
      <c r="C17" s="34">
        <f>+(C16)*0.08</f>
        <v>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+A16*0.15</f>
        <v>0</v>
      </c>
      <c r="B18" s="37">
        <f>+B16*0.15</f>
        <v>0</v>
      </c>
      <c r="C18" s="37">
        <f>+C16*0.15</f>
        <v>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0</v>
      </c>
      <c r="B19" s="34">
        <f>SUM(B16:B18)</f>
        <v>0</v>
      </c>
      <c r="C19" s="34">
        <f>SUM(C16:C18)</f>
        <v>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0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79">
        <f>G9</f>
        <v>0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0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0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0</v>
      </c>
      <c r="E29" s="182">
        <f>50000*$G$9</f>
        <v>0</v>
      </c>
      <c r="F29" s="2" t="s">
        <v>278</v>
      </c>
    </row>
    <row r="30" spans="1:17" ht="12.75" x14ac:dyDescent="0.2">
      <c r="A30" s="2" t="s">
        <v>35</v>
      </c>
      <c r="B30" s="2"/>
      <c r="C30" s="18">
        <f>(7730000*0.98)*$G$9</f>
        <v>0</v>
      </c>
      <c r="F30" s="31" t="s">
        <v>277</v>
      </c>
      <c r="G30" s="19"/>
      <c r="H30" s="19"/>
      <c r="I30" s="19"/>
    </row>
    <row r="31" spans="1:17" ht="12.75" x14ac:dyDescent="0.2">
      <c r="A31" s="2" t="s">
        <v>34</v>
      </c>
      <c r="B31" s="2"/>
      <c r="C31" s="18">
        <f>(7730000*0.02)*$G$9</f>
        <v>0</v>
      </c>
      <c r="F31" s="31" t="s">
        <v>276</v>
      </c>
      <c r="G31" s="19"/>
      <c r="H31" s="19"/>
      <c r="I31" s="19"/>
    </row>
    <row r="32" spans="1:17" ht="12.75" x14ac:dyDescent="0.2">
      <c r="A32" s="2" t="s">
        <v>33</v>
      </c>
      <c r="B32" s="2"/>
      <c r="C32" s="2"/>
      <c r="E32" s="15">
        <f>80000*5*$G$9</f>
        <v>0</v>
      </c>
      <c r="F32" s="17" t="s">
        <v>32</v>
      </c>
    </row>
    <row r="33" spans="1:14" ht="12.75" x14ac:dyDescent="0.2">
      <c r="A33" s="2" t="s">
        <v>31</v>
      </c>
      <c r="B33" s="2"/>
      <c r="C33" s="2"/>
      <c r="E33" s="15">
        <f>1000000*$G$9</f>
        <v>0</v>
      </c>
      <c r="F33" s="17" t="s">
        <v>30</v>
      </c>
    </row>
    <row r="34" spans="1:14" ht="12.75" x14ac:dyDescent="0.2">
      <c r="A34" s="31" t="s">
        <v>29</v>
      </c>
      <c r="B34" s="31"/>
      <c r="C34" s="31"/>
      <c r="D34" s="19"/>
      <c r="E34" s="121">
        <f>90000*1*200*$G$9</f>
        <v>0</v>
      </c>
      <c r="F34" s="124" t="s">
        <v>114</v>
      </c>
      <c r="G34" s="123"/>
      <c r="H34" s="123"/>
      <c r="I34" s="123"/>
      <c r="J34" s="123"/>
      <c r="K34" s="123"/>
      <c r="L34" s="123"/>
      <c r="M34" s="19"/>
      <c r="N34" s="19"/>
    </row>
    <row r="35" spans="1:14" ht="12.75" x14ac:dyDescent="0.2">
      <c r="A35" s="31"/>
      <c r="B35" s="31"/>
      <c r="C35" s="31"/>
      <c r="D35" s="125">
        <f>50*E9</f>
        <v>0</v>
      </c>
      <c r="E35" s="121"/>
      <c r="F35" s="124" t="s">
        <v>121</v>
      </c>
      <c r="G35" s="123"/>
      <c r="H35" s="123"/>
      <c r="I35" s="123"/>
      <c r="J35" s="19"/>
      <c r="K35" s="19"/>
    </row>
    <row r="36" spans="1:14" ht="13.5" thickBot="1" x14ac:dyDescent="0.25">
      <c r="A36" s="31"/>
      <c r="B36" s="31"/>
      <c r="C36" s="56"/>
      <c r="D36" s="122">
        <f>(500)*$E$9</f>
        <v>0</v>
      </c>
      <c r="E36" s="122"/>
      <c r="F36" s="113" t="s">
        <v>143</v>
      </c>
      <c r="G36" s="123"/>
      <c r="H36" s="123"/>
      <c r="I36" s="123"/>
      <c r="J36" s="123"/>
    </row>
    <row r="37" spans="1:14" ht="12.75" x14ac:dyDescent="0.2">
      <c r="A37" s="2"/>
      <c r="B37" s="2"/>
      <c r="C37" s="15">
        <f>SUM(C27:C36)</f>
        <v>0</v>
      </c>
      <c r="D37" s="15">
        <f>SUM(D27:D36)</f>
        <v>0</v>
      </c>
      <c r="E37" s="15">
        <f>SUM(E27:E36)</f>
        <v>0</v>
      </c>
      <c r="F37" s="2"/>
    </row>
    <row r="38" spans="1:14" ht="12.75" x14ac:dyDescent="0.2">
      <c r="A38" s="2"/>
      <c r="B38" s="2"/>
      <c r="C38" s="15"/>
      <c r="D38" s="15"/>
      <c r="E38" s="15"/>
      <c r="F38" s="2"/>
    </row>
    <row r="39" spans="1:14" ht="12.75" x14ac:dyDescent="0.2">
      <c r="A39" s="2"/>
      <c r="B39" s="2"/>
      <c r="C39" s="15"/>
      <c r="D39" s="15"/>
      <c r="E39" s="15">
        <f>E21+C37</f>
        <v>0</v>
      </c>
      <c r="F39" s="2" t="s">
        <v>26</v>
      </c>
    </row>
    <row r="40" spans="1:14" ht="13.5" thickBot="1" x14ac:dyDescent="0.25">
      <c r="A40" s="2"/>
      <c r="B40" s="2"/>
      <c r="C40" s="2"/>
      <c r="D40" s="2"/>
      <c r="E40" s="14">
        <f>D37+E37</f>
        <v>0</v>
      </c>
      <c r="F40" s="13" t="s">
        <v>25</v>
      </c>
    </row>
    <row r="41" spans="1:14" ht="12.75" x14ac:dyDescent="0.2">
      <c r="A41" s="2"/>
      <c r="B41" s="2"/>
      <c r="C41" s="2"/>
      <c r="D41" s="2"/>
      <c r="E41" s="12">
        <f>+E21+C37+D37+E37</f>
        <v>0</v>
      </c>
      <c r="F41" s="11" t="s">
        <v>24</v>
      </c>
    </row>
    <row r="42" spans="1:14" ht="12.75" x14ac:dyDescent="0.2">
      <c r="A42" s="2"/>
      <c r="B42" s="2"/>
      <c r="C42" s="2"/>
      <c r="D42" s="2"/>
      <c r="E42" s="4"/>
      <c r="F42" s="2"/>
    </row>
    <row r="43" spans="1:14" ht="12.75" x14ac:dyDescent="0.2">
      <c r="A43" s="2"/>
      <c r="B43" s="2"/>
      <c r="C43" s="2"/>
      <c r="D43" s="2"/>
      <c r="E43" s="2"/>
    </row>
    <row r="44" spans="1:14" ht="12.75" x14ac:dyDescent="0.2">
      <c r="A44" s="2" t="s">
        <v>23</v>
      </c>
      <c r="B44" s="2"/>
      <c r="C44" s="2"/>
      <c r="D44" s="2"/>
      <c r="E44" s="2"/>
    </row>
    <row r="45" spans="1:14" ht="12.75" x14ac:dyDescent="0.2">
      <c r="A45" s="2"/>
      <c r="B45" s="2"/>
      <c r="C45" s="2"/>
      <c r="D45" s="2"/>
      <c r="E45" s="2"/>
    </row>
    <row r="46" spans="1:14" ht="12.75" x14ac:dyDescent="0.2">
      <c r="A46" s="2"/>
      <c r="B46" s="2"/>
      <c r="C46" s="2"/>
      <c r="D46" s="2"/>
      <c r="E46" s="2"/>
    </row>
    <row r="47" spans="1:14" ht="12.75" x14ac:dyDescent="0.2">
      <c r="A47" s="3" t="s">
        <v>22</v>
      </c>
      <c r="B47" s="8" t="s">
        <v>12</v>
      </c>
      <c r="C47" s="8" t="s">
        <v>11</v>
      </c>
      <c r="D47" s="2"/>
      <c r="E47" s="2"/>
    </row>
    <row r="48" spans="1:14" ht="12.75" x14ac:dyDescent="0.2">
      <c r="A48" s="2" t="s">
        <v>10</v>
      </c>
      <c r="B48" s="4"/>
      <c r="C48" s="4"/>
      <c r="D48" s="2"/>
      <c r="E48" s="2"/>
    </row>
    <row r="49" spans="1:5" ht="12.75" x14ac:dyDescent="0.2">
      <c r="A49" s="2" t="s">
        <v>9</v>
      </c>
      <c r="B49" s="5"/>
      <c r="C49" s="5"/>
      <c r="D49" s="2"/>
      <c r="E49" s="2"/>
    </row>
    <row r="50" spans="1:5" ht="12.75" x14ac:dyDescent="0.2">
      <c r="A50" s="2" t="s">
        <v>17</v>
      </c>
      <c r="B50" s="4">
        <f>SUM(B48:B49)</f>
        <v>0</v>
      </c>
      <c r="C50" s="4">
        <f>SUM(C48:C49)</f>
        <v>0</v>
      </c>
      <c r="D50" s="2"/>
      <c r="E50" s="2"/>
    </row>
    <row r="51" spans="1:5" ht="12.75" x14ac:dyDescent="0.2">
      <c r="A51" s="2"/>
      <c r="B51" s="2"/>
      <c r="C51" s="2"/>
      <c r="D51" s="2"/>
      <c r="E51" s="2"/>
    </row>
    <row r="52" spans="1:5" ht="12.75" x14ac:dyDescent="0.2">
      <c r="A52" s="3" t="s">
        <v>21</v>
      </c>
      <c r="B52" s="2"/>
      <c r="C52" s="2"/>
      <c r="D52" s="2"/>
      <c r="E52" s="2"/>
    </row>
    <row r="53" spans="1:5" ht="12.75" x14ac:dyDescent="0.2">
      <c r="A53" s="2" t="s">
        <v>10</v>
      </c>
      <c r="B53" s="4">
        <f>A19</f>
        <v>0</v>
      </c>
      <c r="C53" s="4">
        <f>C19</f>
        <v>0</v>
      </c>
      <c r="D53" s="2"/>
      <c r="E53" s="2"/>
    </row>
    <row r="54" spans="1:5" ht="12.75" x14ac:dyDescent="0.2">
      <c r="A54" s="2" t="s">
        <v>9</v>
      </c>
      <c r="B54" s="5">
        <f>B19</f>
        <v>0</v>
      </c>
      <c r="C54" s="5">
        <f>D19</f>
        <v>0</v>
      </c>
      <c r="D54" s="2"/>
      <c r="E54" s="2"/>
    </row>
    <row r="55" spans="1:5" ht="12.75" x14ac:dyDescent="0.2">
      <c r="A55" s="2" t="s">
        <v>17</v>
      </c>
      <c r="B55" s="4">
        <f>SUM(B53:B54)</f>
        <v>0</v>
      </c>
      <c r="C55" s="4">
        <f>SUM(C53:C54)</f>
        <v>0</v>
      </c>
      <c r="D55" s="2"/>
      <c r="E55" s="2"/>
    </row>
    <row r="56" spans="1:5" ht="12.75" x14ac:dyDescent="0.2">
      <c r="A56" s="2"/>
      <c r="B56" s="4"/>
      <c r="C56" s="4"/>
      <c r="D56" s="2"/>
      <c r="E56" s="2"/>
    </row>
    <row r="57" spans="1:5" ht="12.75" x14ac:dyDescent="0.2">
      <c r="A57" s="11" t="s">
        <v>20</v>
      </c>
      <c r="B57" s="4"/>
      <c r="C57" s="4"/>
      <c r="D57" s="2"/>
      <c r="E57" s="2"/>
    </row>
    <row r="58" spans="1:5" ht="12.75" x14ac:dyDescent="0.2">
      <c r="A58" s="2" t="s">
        <v>19</v>
      </c>
      <c r="B58" s="4">
        <f>C30</f>
        <v>0</v>
      </c>
      <c r="C58" s="4"/>
      <c r="D58" s="2"/>
      <c r="E58" s="2"/>
    </row>
    <row r="59" spans="1:5" ht="12.75" x14ac:dyDescent="0.2">
      <c r="A59" s="2" t="s">
        <v>18</v>
      </c>
      <c r="B59" s="5">
        <f>C31</f>
        <v>0</v>
      </c>
      <c r="C59" s="4"/>
      <c r="D59" s="2"/>
      <c r="E59" s="2"/>
    </row>
    <row r="60" spans="1:5" ht="12.75" x14ac:dyDescent="0.2">
      <c r="A60" s="2" t="s">
        <v>17</v>
      </c>
      <c r="B60" s="4">
        <f>+B58+B59</f>
        <v>0</v>
      </c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/>
      <c r="B63" s="4"/>
      <c r="C63" s="4"/>
      <c r="D63" s="2"/>
      <c r="E63" s="2"/>
    </row>
    <row r="64" spans="1:5" ht="12.75" x14ac:dyDescent="0.2">
      <c r="A64" s="2" t="s">
        <v>16</v>
      </c>
      <c r="B64" s="4"/>
      <c r="C64" s="4"/>
      <c r="D64" s="2"/>
      <c r="E64" s="11"/>
    </row>
    <row r="65" spans="1:5" ht="12.75" x14ac:dyDescent="0.2">
      <c r="A65" s="2" t="s">
        <v>10</v>
      </c>
      <c r="B65" s="4"/>
      <c r="C65" s="4">
        <f>D37</f>
        <v>0</v>
      </c>
      <c r="D65" s="2"/>
      <c r="E65" s="10"/>
    </row>
    <row r="66" spans="1:5" ht="12.75" x14ac:dyDescent="0.2">
      <c r="A66" s="2" t="s">
        <v>9</v>
      </c>
      <c r="B66" s="5"/>
      <c r="C66" s="5">
        <f>E37</f>
        <v>0</v>
      </c>
      <c r="D66" s="2"/>
    </row>
    <row r="67" spans="1:5" ht="12.75" x14ac:dyDescent="0.2">
      <c r="A67" s="2" t="s">
        <v>15</v>
      </c>
      <c r="B67" s="4">
        <f>+B65+B66</f>
        <v>0</v>
      </c>
      <c r="C67" s="4">
        <f>+C65+C66</f>
        <v>0</v>
      </c>
      <c r="D67" s="2"/>
    </row>
    <row r="68" spans="1:5" ht="12.75" x14ac:dyDescent="0.2">
      <c r="A68" s="2"/>
      <c r="B68" s="4"/>
      <c r="C68" s="4"/>
      <c r="D68" s="2"/>
    </row>
    <row r="69" spans="1:5" ht="12.75" x14ac:dyDescent="0.2">
      <c r="A69" s="2" t="s">
        <v>7</v>
      </c>
      <c r="B69" s="4">
        <f>+B50+B55+B60+B67</f>
        <v>0</v>
      </c>
      <c r="C69" s="4">
        <f>+C50+C55+C60+C67</f>
        <v>0</v>
      </c>
      <c r="D69" s="2"/>
    </row>
    <row r="70" spans="1:5" ht="12.75" x14ac:dyDescent="0.2">
      <c r="A70" s="2"/>
      <c r="B70" s="4"/>
      <c r="C70" s="4"/>
      <c r="D70" s="2"/>
    </row>
    <row r="71" spans="1:5" ht="12.75" x14ac:dyDescent="0.2">
      <c r="A71" s="2" t="s">
        <v>14</v>
      </c>
      <c r="B71" s="4">
        <f>A19+B19+C37</f>
        <v>0</v>
      </c>
      <c r="C71" s="4">
        <f>C19+D19+D37+E37</f>
        <v>0</v>
      </c>
      <c r="D71" s="2"/>
    </row>
    <row r="72" spans="1:5" ht="12.75" x14ac:dyDescent="0.2">
      <c r="A72" s="2"/>
      <c r="B72" s="4"/>
      <c r="C72" s="4"/>
      <c r="D72" s="2"/>
    </row>
    <row r="73" spans="1:5" ht="12.75" x14ac:dyDescent="0.2">
      <c r="A73" s="2"/>
      <c r="B73" s="4"/>
      <c r="C73" s="4"/>
      <c r="D73" s="2"/>
    </row>
    <row r="74" spans="1:5" ht="12.75" x14ac:dyDescent="0.2">
      <c r="A74" s="2"/>
      <c r="B74" s="4"/>
      <c r="C74" s="4"/>
      <c r="D74" s="2"/>
    </row>
    <row r="75" spans="1:5" ht="13.5" thickBot="1" x14ac:dyDescent="0.25">
      <c r="A75" s="9" t="s">
        <v>13</v>
      </c>
      <c r="B75" s="8" t="s">
        <v>12</v>
      </c>
      <c r="C75" s="8" t="s">
        <v>11</v>
      </c>
      <c r="D75" s="2"/>
    </row>
    <row r="76" spans="1:5" ht="12.75" x14ac:dyDescent="0.2">
      <c r="A76" s="2" t="s">
        <v>10</v>
      </c>
      <c r="B76" s="4">
        <v>0</v>
      </c>
      <c r="C76" s="7">
        <f>((E34/5))*0.5</f>
        <v>0</v>
      </c>
      <c r="D76" s="6"/>
    </row>
    <row r="77" spans="1:5" ht="12.75" x14ac:dyDescent="0.2">
      <c r="A77" s="2" t="s">
        <v>9</v>
      </c>
      <c r="B77" s="4">
        <v>0</v>
      </c>
      <c r="C77" s="4">
        <v>0</v>
      </c>
    </row>
    <row r="78" spans="1:5" ht="12.75" x14ac:dyDescent="0.2">
      <c r="A78" s="2" t="s">
        <v>8</v>
      </c>
      <c r="B78" s="5">
        <v>0</v>
      </c>
      <c r="C78" s="5">
        <v>0</v>
      </c>
      <c r="D78" s="2"/>
    </row>
    <row r="79" spans="1:5" ht="12.75" x14ac:dyDescent="0.2">
      <c r="A79" s="2" t="s">
        <v>7</v>
      </c>
      <c r="B79" s="4">
        <f>SUM(B76:B78)</f>
        <v>0</v>
      </c>
      <c r="C79" s="4">
        <f>SUM(C76:C78)</f>
        <v>0</v>
      </c>
      <c r="D79" s="2"/>
    </row>
    <row r="80" spans="1:5" ht="12.75" x14ac:dyDescent="0.2">
      <c r="A80" s="2"/>
      <c r="B80" s="4"/>
      <c r="C80" s="4"/>
      <c r="D80" s="2"/>
    </row>
    <row r="81" spans="1:4" ht="12.75" x14ac:dyDescent="0.2">
      <c r="A81" s="2" t="s">
        <v>6</v>
      </c>
      <c r="B81" s="4"/>
      <c r="C81" s="4"/>
      <c r="D81" s="2"/>
    </row>
    <row r="82" spans="1:4" ht="12.75" x14ac:dyDescent="0.2">
      <c r="A82" s="2"/>
      <c r="B82" s="4"/>
      <c r="C82" s="4"/>
      <c r="D82" s="2"/>
    </row>
    <row r="83" spans="1:4" ht="12.75" x14ac:dyDescent="0.2">
      <c r="A83" s="2"/>
      <c r="B83" s="2"/>
      <c r="C83" s="2"/>
      <c r="D83" s="2"/>
    </row>
    <row r="84" spans="1:4" ht="12.75" x14ac:dyDescent="0.2">
      <c r="A84" s="3" t="s">
        <v>5</v>
      </c>
      <c r="B84" s="2"/>
      <c r="C84" s="2"/>
      <c r="D84" s="2"/>
    </row>
    <row r="85" spans="1:4" ht="12.75" x14ac:dyDescent="0.2">
      <c r="A85" s="2" t="s">
        <v>4</v>
      </c>
      <c r="B85" s="2"/>
      <c r="C85" s="2"/>
      <c r="D85" s="2"/>
    </row>
    <row r="86" spans="1:4" ht="12.75" x14ac:dyDescent="0.2">
      <c r="A86" s="2" t="s">
        <v>3</v>
      </c>
      <c r="B86" s="2"/>
      <c r="C86" s="2"/>
      <c r="D86" s="2"/>
    </row>
    <row r="87" spans="1:4" ht="12.75" x14ac:dyDescent="0.2">
      <c r="A87" s="2" t="s">
        <v>2</v>
      </c>
      <c r="B87" s="2"/>
      <c r="C87" s="2"/>
      <c r="D87" s="2"/>
    </row>
    <row r="88" spans="1:4" ht="12.75" x14ac:dyDescent="0.2">
      <c r="A88" s="2" t="s">
        <v>1</v>
      </c>
      <c r="B88" s="2"/>
      <c r="C88" s="2"/>
      <c r="D88" s="2"/>
    </row>
    <row r="89" spans="1:4" ht="12.75" x14ac:dyDescent="0.2">
      <c r="A89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9"/>
  <sheetViews>
    <sheetView showGridLines="0" zoomScale="130" zoomScaleNormal="130" workbookViewId="0">
      <selection activeCell="G24" sqref="G24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0</v>
      </c>
      <c r="F9" s="40">
        <v>90000</v>
      </c>
      <c r="G9" s="117">
        <f>11.5625%*0</f>
        <v>0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8"/>
      <c r="B10" s="18"/>
      <c r="C10" s="18"/>
      <c r="D10" s="18"/>
      <c r="E10" s="31"/>
      <c r="F10" s="31"/>
      <c r="G10" s="31"/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8">
        <f>$E$9*1425</f>
        <v>0</v>
      </c>
      <c r="C12" s="18"/>
      <c r="D12" s="18"/>
      <c r="E12" s="31" t="s">
        <v>44</v>
      </c>
      <c r="F12" s="31"/>
      <c r="G12" s="31"/>
      <c r="H12" s="31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18">
        <f>0*$E$9</f>
        <v>0</v>
      </c>
      <c r="B13" s="18">
        <f>0*$E$9</f>
        <v>0</v>
      </c>
      <c r="C13" s="18"/>
      <c r="D13" s="18"/>
      <c r="E13" s="31" t="s">
        <v>54</v>
      </c>
      <c r="F13" s="31"/>
      <c r="G13" s="31"/>
      <c r="H13" s="31"/>
      <c r="I13" s="31"/>
      <c r="J13" s="31"/>
      <c r="K13" s="31"/>
      <c r="L13" s="29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/>
      <c r="D14" s="18"/>
      <c r="E14" s="31"/>
      <c r="F14" s="31"/>
      <c r="G14" s="31"/>
      <c r="H14" s="31"/>
      <c r="I14" s="31"/>
      <c r="J14" s="31"/>
      <c r="K14" s="31"/>
      <c r="L14" s="29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0</v>
      </c>
      <c r="B16" s="34">
        <f>SUM(B10:B15)</f>
        <v>0</v>
      </c>
      <c r="C16" s="34">
        <f>SUM(C10:C15)</f>
        <v>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0</v>
      </c>
      <c r="B17" s="34"/>
      <c r="C17" s="34">
        <f>+(C16)*0.08</f>
        <v>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+A16*0.15</f>
        <v>0</v>
      </c>
      <c r="B18" s="37">
        <f>+B16*0.15</f>
        <v>0</v>
      </c>
      <c r="C18" s="37">
        <f>+C16*0.15</f>
        <v>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0</v>
      </c>
      <c r="B19" s="34">
        <f>SUM(B16:B18)</f>
        <v>0</v>
      </c>
      <c r="C19" s="34">
        <f>SUM(C16:C18)</f>
        <v>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0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79">
        <f>G9</f>
        <v>0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0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0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0</v>
      </c>
      <c r="E29" s="182">
        <f>50000*$G$9</f>
        <v>0</v>
      </c>
      <c r="F29" s="2" t="s">
        <v>278</v>
      </c>
    </row>
    <row r="30" spans="1:17" ht="12.75" x14ac:dyDescent="0.2">
      <c r="A30" s="2" t="s">
        <v>35</v>
      </c>
      <c r="B30" s="2"/>
      <c r="C30" s="18">
        <f>(7730000*0.98)*$G$9</f>
        <v>0</v>
      </c>
      <c r="F30" s="31" t="s">
        <v>277</v>
      </c>
      <c r="G30" s="19"/>
      <c r="H30" s="19"/>
      <c r="I30" s="19"/>
    </row>
    <row r="31" spans="1:17" ht="12.75" x14ac:dyDescent="0.2">
      <c r="A31" s="2" t="s">
        <v>34</v>
      </c>
      <c r="B31" s="2"/>
      <c r="C31" s="18">
        <f>(7730000*0.02)*$G$9</f>
        <v>0</v>
      </c>
      <c r="F31" s="31" t="s">
        <v>276</v>
      </c>
      <c r="G31" s="19"/>
      <c r="H31" s="19"/>
      <c r="I31" s="19"/>
    </row>
    <row r="32" spans="1:17" ht="12.75" x14ac:dyDescent="0.2">
      <c r="A32" s="2" t="s">
        <v>33</v>
      </c>
      <c r="B32" s="2"/>
      <c r="C32" s="2"/>
      <c r="E32" s="15">
        <f>80000*5*$G$9</f>
        <v>0</v>
      </c>
      <c r="F32" s="17" t="s">
        <v>32</v>
      </c>
    </row>
    <row r="33" spans="1:14" ht="12.75" x14ac:dyDescent="0.2">
      <c r="A33" s="2" t="s">
        <v>31</v>
      </c>
      <c r="B33" s="2"/>
      <c r="C33" s="2"/>
      <c r="E33" s="15">
        <f>1000000*$G$9</f>
        <v>0</v>
      </c>
      <c r="F33" s="17" t="s">
        <v>30</v>
      </c>
    </row>
    <row r="34" spans="1:14" ht="12.75" x14ac:dyDescent="0.2">
      <c r="A34" s="31" t="s">
        <v>29</v>
      </c>
      <c r="B34" s="31"/>
      <c r="C34" s="31"/>
      <c r="D34" s="19"/>
      <c r="E34" s="121">
        <f>90000*1*200*$G$9</f>
        <v>0</v>
      </c>
      <c r="F34" s="124" t="s">
        <v>114</v>
      </c>
      <c r="G34" s="123"/>
      <c r="H34" s="123"/>
      <c r="I34" s="123"/>
      <c r="J34" s="123"/>
      <c r="K34" s="123"/>
      <c r="L34" s="123"/>
      <c r="M34" s="19"/>
      <c r="N34" s="19"/>
    </row>
    <row r="35" spans="1:14" ht="12.75" x14ac:dyDescent="0.2">
      <c r="A35" s="31"/>
      <c r="B35" s="31"/>
      <c r="C35" s="31"/>
      <c r="D35" s="125">
        <f>50*E9</f>
        <v>0</v>
      </c>
      <c r="E35" s="121"/>
      <c r="F35" s="124" t="s">
        <v>121</v>
      </c>
      <c r="G35" s="123"/>
      <c r="H35" s="123"/>
      <c r="I35" s="123"/>
      <c r="J35" s="19"/>
      <c r="K35" s="19"/>
    </row>
    <row r="36" spans="1:14" ht="13.5" thickBot="1" x14ac:dyDescent="0.25">
      <c r="A36" s="31"/>
      <c r="B36" s="31"/>
      <c r="C36" s="56"/>
      <c r="D36" s="122">
        <f>(500)*$E$9</f>
        <v>0</v>
      </c>
      <c r="E36" s="122"/>
      <c r="F36" s="113" t="s">
        <v>143</v>
      </c>
      <c r="G36" s="123"/>
      <c r="H36" s="123"/>
      <c r="I36" s="123"/>
      <c r="J36" s="123"/>
    </row>
    <row r="37" spans="1:14" ht="12.75" x14ac:dyDescent="0.2">
      <c r="A37" s="2"/>
      <c r="B37" s="2"/>
      <c r="C37" s="15">
        <f>SUM(C27:C36)</f>
        <v>0</v>
      </c>
      <c r="D37" s="15">
        <f>SUM(D27:D36)</f>
        <v>0</v>
      </c>
      <c r="E37" s="15">
        <f>SUM(E27:E36)</f>
        <v>0</v>
      </c>
      <c r="F37" s="2"/>
    </row>
    <row r="38" spans="1:14" ht="12.75" x14ac:dyDescent="0.2">
      <c r="A38" s="2"/>
      <c r="B38" s="2"/>
      <c r="C38" s="15"/>
      <c r="D38" s="15"/>
      <c r="E38" s="15"/>
      <c r="F38" s="2"/>
    </row>
    <row r="39" spans="1:14" ht="12.75" x14ac:dyDescent="0.2">
      <c r="A39" s="2"/>
      <c r="B39" s="2"/>
      <c r="C39" s="15"/>
      <c r="D39" s="15"/>
      <c r="E39" s="15">
        <f>E21+C37</f>
        <v>0</v>
      </c>
      <c r="F39" s="2" t="s">
        <v>26</v>
      </c>
    </row>
    <row r="40" spans="1:14" ht="13.5" thickBot="1" x14ac:dyDescent="0.25">
      <c r="A40" s="2"/>
      <c r="B40" s="2"/>
      <c r="C40" s="2"/>
      <c r="D40" s="2"/>
      <c r="E40" s="14">
        <f>D37+E37</f>
        <v>0</v>
      </c>
      <c r="F40" s="13" t="s">
        <v>25</v>
      </c>
    </row>
    <row r="41" spans="1:14" ht="12.75" x14ac:dyDescent="0.2">
      <c r="A41" s="2"/>
      <c r="B41" s="2"/>
      <c r="C41" s="2"/>
      <c r="D41" s="2"/>
      <c r="E41" s="12">
        <f>+E21+C37+D37+E37</f>
        <v>0</v>
      </c>
      <c r="F41" s="11" t="s">
        <v>24</v>
      </c>
    </row>
    <row r="42" spans="1:14" ht="12.75" x14ac:dyDescent="0.2">
      <c r="A42" s="2"/>
      <c r="B42" s="2"/>
      <c r="C42" s="2"/>
      <c r="D42" s="2"/>
      <c r="E42" s="4"/>
      <c r="F42" s="2"/>
    </row>
    <row r="43" spans="1:14" ht="12.75" x14ac:dyDescent="0.2">
      <c r="A43" s="2"/>
      <c r="B43" s="2"/>
      <c r="C43" s="2"/>
      <c r="D43" s="2"/>
      <c r="E43" s="2"/>
    </row>
    <row r="44" spans="1:14" ht="12.75" x14ac:dyDescent="0.2">
      <c r="A44" s="2" t="s">
        <v>23</v>
      </c>
      <c r="B44" s="2"/>
      <c r="C44" s="2"/>
      <c r="D44" s="2"/>
      <c r="E44" s="2"/>
    </row>
    <row r="45" spans="1:14" ht="12.75" x14ac:dyDescent="0.2">
      <c r="A45" s="2"/>
      <c r="B45" s="2"/>
      <c r="C45" s="2"/>
      <c r="D45" s="2"/>
      <c r="E45" s="2"/>
    </row>
    <row r="46" spans="1:14" ht="12.75" x14ac:dyDescent="0.2">
      <c r="A46" s="2"/>
      <c r="B46" s="2"/>
      <c r="C46" s="2"/>
      <c r="D46" s="2"/>
      <c r="E46" s="2"/>
    </row>
    <row r="47" spans="1:14" ht="12.75" x14ac:dyDescent="0.2">
      <c r="A47" s="3" t="s">
        <v>22</v>
      </c>
      <c r="B47" s="8" t="s">
        <v>12</v>
      </c>
      <c r="C47" s="8" t="s">
        <v>11</v>
      </c>
      <c r="D47" s="2"/>
      <c r="E47" s="2"/>
    </row>
    <row r="48" spans="1:14" ht="12.75" x14ac:dyDescent="0.2">
      <c r="A48" s="2" t="s">
        <v>10</v>
      </c>
      <c r="B48" s="4"/>
      <c r="C48" s="4"/>
      <c r="D48" s="2"/>
      <c r="E48" s="2"/>
    </row>
    <row r="49" spans="1:5" ht="12.75" x14ac:dyDescent="0.2">
      <c r="A49" s="2" t="s">
        <v>9</v>
      </c>
      <c r="B49" s="5"/>
      <c r="C49" s="5"/>
      <c r="D49" s="2"/>
      <c r="E49" s="2"/>
    </row>
    <row r="50" spans="1:5" ht="12.75" x14ac:dyDescent="0.2">
      <c r="A50" s="2" t="s">
        <v>17</v>
      </c>
      <c r="B50" s="4">
        <f>SUM(B48:B49)</f>
        <v>0</v>
      </c>
      <c r="C50" s="4">
        <f>SUM(C48:C49)</f>
        <v>0</v>
      </c>
      <c r="D50" s="2"/>
      <c r="E50" s="2"/>
    </row>
    <row r="51" spans="1:5" ht="12.75" x14ac:dyDescent="0.2">
      <c r="A51" s="2"/>
      <c r="B51" s="2"/>
      <c r="C51" s="2"/>
      <c r="D51" s="2"/>
      <c r="E51" s="2"/>
    </row>
    <row r="52" spans="1:5" ht="12.75" x14ac:dyDescent="0.2">
      <c r="A52" s="3" t="s">
        <v>21</v>
      </c>
      <c r="B52" s="2"/>
      <c r="C52" s="2"/>
      <c r="D52" s="2"/>
      <c r="E52" s="2"/>
    </row>
    <row r="53" spans="1:5" ht="12.75" x14ac:dyDescent="0.2">
      <c r="A53" s="2" t="s">
        <v>10</v>
      </c>
      <c r="B53" s="4">
        <f>A19</f>
        <v>0</v>
      </c>
      <c r="C53" s="4">
        <f>C19</f>
        <v>0</v>
      </c>
      <c r="D53" s="2"/>
      <c r="E53" s="2"/>
    </row>
    <row r="54" spans="1:5" ht="12.75" x14ac:dyDescent="0.2">
      <c r="A54" s="2" t="s">
        <v>9</v>
      </c>
      <c r="B54" s="5">
        <f>B19</f>
        <v>0</v>
      </c>
      <c r="C54" s="5">
        <f>D19</f>
        <v>0</v>
      </c>
      <c r="D54" s="2"/>
      <c r="E54" s="2"/>
    </row>
    <row r="55" spans="1:5" ht="12.75" x14ac:dyDescent="0.2">
      <c r="A55" s="2" t="s">
        <v>17</v>
      </c>
      <c r="B55" s="4">
        <f>SUM(B53:B54)</f>
        <v>0</v>
      </c>
      <c r="C55" s="4">
        <f>SUM(C53:C54)</f>
        <v>0</v>
      </c>
      <c r="D55" s="2"/>
      <c r="E55" s="2"/>
    </row>
    <row r="56" spans="1:5" ht="12.75" x14ac:dyDescent="0.2">
      <c r="A56" s="2"/>
      <c r="B56" s="4"/>
      <c r="C56" s="4"/>
      <c r="D56" s="2"/>
      <c r="E56" s="2"/>
    </row>
    <row r="57" spans="1:5" ht="12.75" x14ac:dyDescent="0.2">
      <c r="A57" s="11" t="s">
        <v>20</v>
      </c>
      <c r="B57" s="4"/>
      <c r="C57" s="4"/>
      <c r="D57" s="2"/>
      <c r="E57" s="2"/>
    </row>
    <row r="58" spans="1:5" ht="12.75" x14ac:dyDescent="0.2">
      <c r="A58" s="2" t="s">
        <v>19</v>
      </c>
      <c r="B58" s="4">
        <f>C30</f>
        <v>0</v>
      </c>
      <c r="C58" s="4"/>
      <c r="D58" s="2"/>
      <c r="E58" s="2"/>
    </row>
    <row r="59" spans="1:5" ht="12.75" x14ac:dyDescent="0.2">
      <c r="A59" s="2" t="s">
        <v>18</v>
      </c>
      <c r="B59" s="5">
        <f>C31</f>
        <v>0</v>
      </c>
      <c r="C59" s="4"/>
      <c r="D59" s="2"/>
      <c r="E59" s="2"/>
    </row>
    <row r="60" spans="1:5" ht="12.75" x14ac:dyDescent="0.2">
      <c r="A60" s="2" t="s">
        <v>17</v>
      </c>
      <c r="B60" s="4">
        <f>+B58+B59</f>
        <v>0</v>
      </c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/>
      <c r="B63" s="4"/>
      <c r="C63" s="4"/>
      <c r="D63" s="2"/>
      <c r="E63" s="2"/>
    </row>
    <row r="64" spans="1:5" ht="12.75" x14ac:dyDescent="0.2">
      <c r="A64" s="2" t="s">
        <v>16</v>
      </c>
      <c r="B64" s="4"/>
      <c r="C64" s="4"/>
      <c r="D64" s="2"/>
      <c r="E64" s="11"/>
    </row>
    <row r="65" spans="1:5" ht="12.75" x14ac:dyDescent="0.2">
      <c r="A65" s="2" t="s">
        <v>10</v>
      </c>
      <c r="B65" s="4"/>
      <c r="C65" s="4">
        <f>D37</f>
        <v>0</v>
      </c>
      <c r="D65" s="2"/>
      <c r="E65" s="10"/>
    </row>
    <row r="66" spans="1:5" ht="12.75" x14ac:dyDescent="0.2">
      <c r="A66" s="2" t="s">
        <v>9</v>
      </c>
      <c r="B66" s="5"/>
      <c r="C66" s="5">
        <f>E37</f>
        <v>0</v>
      </c>
      <c r="D66" s="2"/>
    </row>
    <row r="67" spans="1:5" ht="12.75" x14ac:dyDescent="0.2">
      <c r="A67" s="2" t="s">
        <v>15</v>
      </c>
      <c r="B67" s="4">
        <f>+B65+B66</f>
        <v>0</v>
      </c>
      <c r="C67" s="4">
        <f>+C65+C66</f>
        <v>0</v>
      </c>
      <c r="D67" s="2"/>
    </row>
    <row r="68" spans="1:5" ht="12.75" x14ac:dyDescent="0.2">
      <c r="A68" s="2"/>
      <c r="B68" s="4"/>
      <c r="C68" s="4"/>
      <c r="D68" s="2"/>
    </row>
    <row r="69" spans="1:5" ht="12.75" x14ac:dyDescent="0.2">
      <c r="A69" s="2" t="s">
        <v>7</v>
      </c>
      <c r="B69" s="4">
        <f>+B50+B55+B60+B67</f>
        <v>0</v>
      </c>
      <c r="C69" s="4">
        <f>+C50+C55+C60+C67</f>
        <v>0</v>
      </c>
      <c r="D69" s="2"/>
    </row>
    <row r="70" spans="1:5" ht="12.75" x14ac:dyDescent="0.2">
      <c r="A70" s="2"/>
      <c r="B70" s="4"/>
      <c r="C70" s="4"/>
      <c r="D70" s="2"/>
    </row>
    <row r="71" spans="1:5" ht="12.75" x14ac:dyDescent="0.2">
      <c r="A71" s="2" t="s">
        <v>14</v>
      </c>
      <c r="B71" s="4">
        <f>A19+B19+C37</f>
        <v>0</v>
      </c>
      <c r="C71" s="4">
        <f>C19+D19+D37+E37</f>
        <v>0</v>
      </c>
      <c r="D71" s="2"/>
    </row>
    <row r="72" spans="1:5" ht="12.75" x14ac:dyDescent="0.2">
      <c r="A72" s="2"/>
      <c r="B72" s="4"/>
      <c r="C72" s="4"/>
      <c r="D72" s="2"/>
    </row>
    <row r="73" spans="1:5" ht="12.75" x14ac:dyDescent="0.2">
      <c r="A73" s="2"/>
      <c r="B73" s="4"/>
      <c r="C73" s="4"/>
      <c r="D73" s="2"/>
    </row>
    <row r="74" spans="1:5" ht="12.75" x14ac:dyDescent="0.2">
      <c r="A74" s="2"/>
      <c r="B74" s="4"/>
      <c r="C74" s="4"/>
      <c r="D74" s="2"/>
    </row>
    <row r="75" spans="1:5" ht="13.5" thickBot="1" x14ac:dyDescent="0.25">
      <c r="A75" s="9" t="s">
        <v>13</v>
      </c>
      <c r="B75" s="8" t="s">
        <v>12</v>
      </c>
      <c r="C75" s="8" t="s">
        <v>11</v>
      </c>
      <c r="D75" s="2"/>
    </row>
    <row r="76" spans="1:5" ht="12.75" x14ac:dyDescent="0.2">
      <c r="A76" s="2" t="s">
        <v>10</v>
      </c>
      <c r="B76" s="4">
        <v>0</v>
      </c>
      <c r="C76" s="7">
        <f>((E34/5))*0.5</f>
        <v>0</v>
      </c>
      <c r="D76" s="6"/>
    </row>
    <row r="77" spans="1:5" ht="12.75" x14ac:dyDescent="0.2">
      <c r="A77" s="2" t="s">
        <v>9</v>
      </c>
      <c r="B77" s="4">
        <v>0</v>
      </c>
      <c r="C77" s="4">
        <v>0</v>
      </c>
    </row>
    <row r="78" spans="1:5" ht="12.75" x14ac:dyDescent="0.2">
      <c r="A78" s="2" t="s">
        <v>8</v>
      </c>
      <c r="B78" s="5">
        <v>0</v>
      </c>
      <c r="C78" s="5">
        <v>0</v>
      </c>
      <c r="D78" s="2"/>
    </row>
    <row r="79" spans="1:5" ht="12.75" x14ac:dyDescent="0.2">
      <c r="A79" s="2" t="s">
        <v>7</v>
      </c>
      <c r="B79" s="4">
        <f>SUM(B76:B78)</f>
        <v>0</v>
      </c>
      <c r="C79" s="4">
        <f>SUM(C76:C78)</f>
        <v>0</v>
      </c>
      <c r="D79" s="2"/>
    </row>
    <row r="80" spans="1:5" ht="12.75" x14ac:dyDescent="0.2">
      <c r="A80" s="2"/>
      <c r="B80" s="4"/>
      <c r="C80" s="4"/>
      <c r="D80" s="2"/>
    </row>
    <row r="81" spans="1:4" ht="12.75" x14ac:dyDescent="0.2">
      <c r="A81" s="2" t="s">
        <v>6</v>
      </c>
      <c r="B81" s="4"/>
      <c r="C81" s="4"/>
      <c r="D81" s="2"/>
    </row>
    <row r="82" spans="1:4" ht="12.75" x14ac:dyDescent="0.2">
      <c r="A82" s="2"/>
      <c r="B82" s="4"/>
      <c r="C82" s="4"/>
      <c r="D82" s="2"/>
    </row>
    <row r="83" spans="1:4" ht="12.75" x14ac:dyDescent="0.2">
      <c r="A83" s="2"/>
      <c r="B83" s="2"/>
      <c r="C83" s="2"/>
      <c r="D83" s="2"/>
    </row>
    <row r="84" spans="1:4" ht="12.75" x14ac:dyDescent="0.2">
      <c r="A84" s="3" t="s">
        <v>5</v>
      </c>
      <c r="B84" s="2"/>
      <c r="C84" s="2"/>
      <c r="D84" s="2"/>
    </row>
    <row r="85" spans="1:4" ht="12.75" x14ac:dyDescent="0.2">
      <c r="A85" s="2" t="s">
        <v>4</v>
      </c>
      <c r="B85" s="2"/>
      <c r="C85" s="2"/>
      <c r="D85" s="2"/>
    </row>
    <row r="86" spans="1:4" ht="12.75" x14ac:dyDescent="0.2">
      <c r="A86" s="2" t="s">
        <v>3</v>
      </c>
      <c r="B86" s="2"/>
      <c r="C86" s="2"/>
      <c r="D86" s="2"/>
    </row>
    <row r="87" spans="1:4" ht="12.75" x14ac:dyDescent="0.2">
      <c r="A87" s="2" t="s">
        <v>2</v>
      </c>
      <c r="B87" s="2"/>
      <c r="C87" s="2"/>
      <c r="D87" s="2"/>
    </row>
    <row r="88" spans="1:4" ht="12.75" x14ac:dyDescent="0.2">
      <c r="A88" s="2" t="s">
        <v>1</v>
      </c>
      <c r="B88" s="2"/>
      <c r="C88" s="2"/>
      <c r="D88" s="2"/>
    </row>
    <row r="89" spans="1:4" ht="12.75" x14ac:dyDescent="0.2">
      <c r="A89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workbookViewId="0">
      <selection activeCell="A9" sqref="A9"/>
    </sheetView>
  </sheetViews>
  <sheetFormatPr defaultRowHeight="15" x14ac:dyDescent="0.25"/>
  <cols>
    <col min="1" max="1" width="35" customWidth="1"/>
    <col min="2" max="2" width="7.85546875" customWidth="1"/>
    <col min="3" max="3" width="8" customWidth="1"/>
    <col min="4" max="4" width="9.28515625" customWidth="1"/>
    <col min="5" max="5" width="11.28515625" bestFit="1" customWidth="1"/>
    <col min="6" max="10" width="9.42578125" bestFit="1" customWidth="1"/>
    <col min="11" max="11" width="9.85546875" customWidth="1"/>
    <col min="12" max="12" width="10.28515625" customWidth="1"/>
  </cols>
  <sheetData>
    <row r="1" spans="1:12" x14ac:dyDescent="0.25">
      <c r="A1" s="191" t="s">
        <v>273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2" x14ac:dyDescent="0.25">
      <c r="A2" s="191" t="s">
        <v>274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2" x14ac:dyDescent="0.25">
      <c r="A3" s="191" t="s">
        <v>275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2" x14ac:dyDescent="0.25">
      <c r="A4" s="164"/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</row>
    <row r="5" spans="1:12" x14ac:dyDescent="0.25">
      <c r="A5" s="164"/>
      <c r="B5" s="165" t="s">
        <v>71</v>
      </c>
      <c r="C5" s="165" t="s">
        <v>94</v>
      </c>
      <c r="D5" s="164"/>
      <c r="E5" s="164"/>
      <c r="F5" s="164"/>
      <c r="G5" s="164"/>
      <c r="H5" s="164"/>
      <c r="I5" s="164"/>
      <c r="J5" s="164"/>
      <c r="K5" s="166" t="s">
        <v>215</v>
      </c>
      <c r="L5" s="166"/>
    </row>
    <row r="6" spans="1:12" x14ac:dyDescent="0.25">
      <c r="A6" s="167" t="s">
        <v>149</v>
      </c>
      <c r="B6" s="167" t="s">
        <v>151</v>
      </c>
      <c r="C6" s="167" t="s">
        <v>260</v>
      </c>
      <c r="D6" s="167">
        <v>2019</v>
      </c>
      <c r="E6" s="167">
        <v>2020</v>
      </c>
      <c r="F6" s="167">
        <v>2021</v>
      </c>
      <c r="G6" s="167">
        <v>2022</v>
      </c>
      <c r="H6" s="167">
        <v>2023</v>
      </c>
      <c r="I6" s="167">
        <v>2024</v>
      </c>
      <c r="J6" s="167">
        <v>2025</v>
      </c>
      <c r="K6" s="168" t="s">
        <v>259</v>
      </c>
      <c r="L6" s="167" t="s">
        <v>7</v>
      </c>
    </row>
    <row r="7" spans="1:12" x14ac:dyDescent="0.25">
      <c r="A7" s="164"/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</row>
    <row r="8" spans="1:12" x14ac:dyDescent="0.25">
      <c r="A8" s="169" t="s">
        <v>96</v>
      </c>
      <c r="B8" s="169"/>
      <c r="C8" s="169"/>
      <c r="D8" s="164"/>
      <c r="E8" s="164"/>
      <c r="F8" s="164"/>
      <c r="G8" s="164"/>
      <c r="H8" s="164"/>
      <c r="I8" s="164"/>
      <c r="J8" s="164"/>
      <c r="K8" s="164"/>
      <c r="L8" s="164"/>
    </row>
    <row r="9" spans="1:12" x14ac:dyDescent="0.25">
      <c r="A9" s="164" t="s">
        <v>261</v>
      </c>
      <c r="B9" s="170">
        <f>31219</f>
        <v>31219</v>
      </c>
      <c r="C9" s="171">
        <f>500</f>
        <v>500</v>
      </c>
      <c r="D9" s="172">
        <f>0</f>
        <v>0</v>
      </c>
      <c r="E9" s="171">
        <f>((500*31219*1.08)/6)/1000</f>
        <v>2809.71</v>
      </c>
      <c r="F9" s="171">
        <f t="shared" ref="F9:J9" si="0">((500*31219*1.08)/6)/1000</f>
        <v>2809.71</v>
      </c>
      <c r="G9" s="171">
        <f t="shared" si="0"/>
        <v>2809.71</v>
      </c>
      <c r="H9" s="171">
        <f t="shared" si="0"/>
        <v>2809.71</v>
      </c>
      <c r="I9" s="171">
        <f t="shared" si="0"/>
        <v>2809.71</v>
      </c>
      <c r="J9" s="171">
        <f t="shared" si="0"/>
        <v>2809.71</v>
      </c>
      <c r="K9" s="171">
        <f>0</f>
        <v>0</v>
      </c>
      <c r="L9" s="171">
        <f>SUM(D9:K9)</f>
        <v>16858.259999999998</v>
      </c>
    </row>
    <row r="10" spans="1:12" x14ac:dyDescent="0.25">
      <c r="A10" s="164" t="s">
        <v>262</v>
      </c>
      <c r="B10" s="170">
        <f>2531</f>
        <v>2531</v>
      </c>
      <c r="C10" s="171">
        <f>500</f>
        <v>500</v>
      </c>
      <c r="D10" s="172">
        <f>0</f>
        <v>0</v>
      </c>
      <c r="E10" s="171">
        <f>((500*2531*1.08)/6)/1000</f>
        <v>227.79</v>
      </c>
      <c r="F10" s="171">
        <f t="shared" ref="F10:J10" si="1">((500*2531*1.08)/6)/1000</f>
        <v>227.79</v>
      </c>
      <c r="G10" s="171">
        <f t="shared" si="1"/>
        <v>227.79</v>
      </c>
      <c r="H10" s="171">
        <f t="shared" si="1"/>
        <v>227.79</v>
      </c>
      <c r="I10" s="171">
        <f t="shared" si="1"/>
        <v>227.79</v>
      </c>
      <c r="J10" s="171">
        <f t="shared" si="1"/>
        <v>227.79</v>
      </c>
      <c r="K10" s="172">
        <f>0</f>
        <v>0</v>
      </c>
      <c r="L10" s="172">
        <f t="shared" ref="L10:L15" si="2">SUM(D10:K10)</f>
        <v>1366.74</v>
      </c>
    </row>
    <row r="11" spans="1:12" x14ac:dyDescent="0.25">
      <c r="A11" s="164" t="s">
        <v>263</v>
      </c>
      <c r="B11" s="170">
        <f>11250</f>
        <v>11250</v>
      </c>
      <c r="C11" s="171">
        <f>600</f>
        <v>600</v>
      </c>
      <c r="D11" s="172">
        <f>0</f>
        <v>0</v>
      </c>
      <c r="E11" s="171">
        <f>((600*11250*1.08)/6)/1000</f>
        <v>1215.0000000000002</v>
      </c>
      <c r="F11" s="171">
        <f t="shared" ref="F11:J11" si="3">((600*11250*1.08)/6)/1000</f>
        <v>1215.0000000000002</v>
      </c>
      <c r="G11" s="171">
        <f t="shared" si="3"/>
        <v>1215.0000000000002</v>
      </c>
      <c r="H11" s="171">
        <f t="shared" si="3"/>
        <v>1215.0000000000002</v>
      </c>
      <c r="I11" s="171">
        <f t="shared" si="3"/>
        <v>1215.0000000000002</v>
      </c>
      <c r="J11" s="171">
        <f t="shared" si="3"/>
        <v>1215.0000000000002</v>
      </c>
      <c r="K11" s="172">
        <f>0</f>
        <v>0</v>
      </c>
      <c r="L11" s="172">
        <f t="shared" si="2"/>
        <v>7290.0000000000009</v>
      </c>
    </row>
    <row r="12" spans="1:12" x14ac:dyDescent="0.25">
      <c r="A12" s="164" t="s">
        <v>264</v>
      </c>
      <c r="B12" s="170">
        <f>1800</f>
        <v>1800</v>
      </c>
      <c r="C12" s="171">
        <f>2500</f>
        <v>2500</v>
      </c>
      <c r="D12" s="172">
        <f>0</f>
        <v>0</v>
      </c>
      <c r="E12" s="171">
        <f>(((1800*2500)+(1800*2500*0.08)+(1800*2500*0.15))/6)/1000</f>
        <v>922.5</v>
      </c>
      <c r="F12" s="171">
        <f t="shared" ref="F12:J12" si="4">(((1800*2500)+(1800*2500*0.08)+(1800*2500*0.15))/6)/1000</f>
        <v>922.5</v>
      </c>
      <c r="G12" s="171">
        <f t="shared" si="4"/>
        <v>922.5</v>
      </c>
      <c r="H12" s="171">
        <f t="shared" si="4"/>
        <v>922.5</v>
      </c>
      <c r="I12" s="171">
        <f t="shared" si="4"/>
        <v>922.5</v>
      </c>
      <c r="J12" s="171">
        <f t="shared" si="4"/>
        <v>922.5</v>
      </c>
      <c r="K12" s="172">
        <f>0</f>
        <v>0</v>
      </c>
      <c r="L12" s="172">
        <f t="shared" si="2"/>
        <v>5535</v>
      </c>
    </row>
    <row r="13" spans="1:12" x14ac:dyDescent="0.25">
      <c r="A13" s="164" t="s">
        <v>265</v>
      </c>
      <c r="B13" s="170">
        <f>62437.5</f>
        <v>62437.5</v>
      </c>
      <c r="C13" s="171">
        <f>1425</f>
        <v>1425</v>
      </c>
      <c r="D13" s="172">
        <f>0</f>
        <v>0</v>
      </c>
      <c r="E13" s="171">
        <f>((62437.5*1425*1.15)/6)/1000</f>
        <v>17053.242187499996</v>
      </c>
      <c r="F13" s="171">
        <f t="shared" ref="F13:J13" si="5">((62437.5*1425*1.15)/6)/1000</f>
        <v>17053.242187499996</v>
      </c>
      <c r="G13" s="171">
        <f t="shared" si="5"/>
        <v>17053.242187499996</v>
      </c>
      <c r="H13" s="171">
        <f t="shared" si="5"/>
        <v>17053.242187499996</v>
      </c>
      <c r="I13" s="171">
        <f t="shared" si="5"/>
        <v>17053.242187499996</v>
      </c>
      <c r="J13" s="171">
        <f t="shared" si="5"/>
        <v>17053.242187499996</v>
      </c>
      <c r="K13" s="172">
        <f>0</f>
        <v>0</v>
      </c>
      <c r="L13" s="172">
        <f t="shared" si="2"/>
        <v>102319.45312499999</v>
      </c>
    </row>
    <row r="14" spans="1:12" x14ac:dyDescent="0.25">
      <c r="A14" s="164" t="s">
        <v>266</v>
      </c>
      <c r="B14" s="170">
        <f>5062.5</f>
        <v>5062.5</v>
      </c>
      <c r="C14" s="171">
        <f>1425</f>
        <v>1425</v>
      </c>
      <c r="D14" s="172">
        <f>0</f>
        <v>0</v>
      </c>
      <c r="E14" s="171">
        <f>(((5062.5*1425*1.15)/6)/1000)</f>
        <v>1382.6953124999998</v>
      </c>
      <c r="F14" s="171">
        <f t="shared" ref="F14:J14" si="6">(((5062.5*1425*1.15)/6)/1000)</f>
        <v>1382.6953124999998</v>
      </c>
      <c r="G14" s="171">
        <f t="shared" si="6"/>
        <v>1382.6953124999998</v>
      </c>
      <c r="H14" s="171">
        <f t="shared" si="6"/>
        <v>1382.6953124999998</v>
      </c>
      <c r="I14" s="171">
        <f t="shared" si="6"/>
        <v>1382.6953124999998</v>
      </c>
      <c r="J14" s="171">
        <f t="shared" si="6"/>
        <v>1382.6953124999998</v>
      </c>
      <c r="K14" s="172">
        <f>0</f>
        <v>0</v>
      </c>
      <c r="L14" s="172">
        <f t="shared" si="2"/>
        <v>8296.1718749999982</v>
      </c>
    </row>
    <row r="15" spans="1:12" x14ac:dyDescent="0.25">
      <c r="A15" s="164" t="s">
        <v>267</v>
      </c>
      <c r="B15" s="170">
        <f>22500</f>
        <v>22500</v>
      </c>
      <c r="C15" s="171">
        <f>1500</f>
        <v>1500</v>
      </c>
      <c r="D15" s="173">
        <f>0</f>
        <v>0</v>
      </c>
      <c r="E15" s="174">
        <f>(((22500*1500*1.15)/6)/1000)</f>
        <v>6468.75</v>
      </c>
      <c r="F15" s="174">
        <f t="shared" ref="F15:J15" si="7">(((22500*1500*1.15)/6)/1000)</f>
        <v>6468.75</v>
      </c>
      <c r="G15" s="174">
        <f t="shared" si="7"/>
        <v>6468.75</v>
      </c>
      <c r="H15" s="174">
        <f t="shared" si="7"/>
        <v>6468.75</v>
      </c>
      <c r="I15" s="174">
        <f t="shared" si="7"/>
        <v>6468.75</v>
      </c>
      <c r="J15" s="174">
        <f t="shared" si="7"/>
        <v>6468.75</v>
      </c>
      <c r="K15" s="173">
        <f>0</f>
        <v>0</v>
      </c>
      <c r="L15" s="173">
        <f t="shared" si="2"/>
        <v>38812.5</v>
      </c>
    </row>
    <row r="16" spans="1:12" x14ac:dyDescent="0.25">
      <c r="A16" s="166" t="s">
        <v>257</v>
      </c>
      <c r="B16" s="164"/>
      <c r="C16" s="164"/>
      <c r="D16" s="175">
        <f>SUM(D9:D15)</f>
        <v>0</v>
      </c>
      <c r="E16" s="175">
        <f t="shared" ref="E16:L16" si="8">SUM(E9:E15)</f>
        <v>30079.687499999996</v>
      </c>
      <c r="F16" s="175">
        <f t="shared" si="8"/>
        <v>30079.687499999996</v>
      </c>
      <c r="G16" s="175">
        <f t="shared" si="8"/>
        <v>30079.687499999996</v>
      </c>
      <c r="H16" s="175">
        <f t="shared" si="8"/>
        <v>30079.687499999996</v>
      </c>
      <c r="I16" s="175">
        <f t="shared" si="8"/>
        <v>30079.687499999996</v>
      </c>
      <c r="J16" s="175">
        <f t="shared" si="8"/>
        <v>30079.687499999996</v>
      </c>
      <c r="K16" s="175">
        <f t="shared" si="8"/>
        <v>0</v>
      </c>
      <c r="L16" s="175">
        <f t="shared" si="8"/>
        <v>180478.125</v>
      </c>
    </row>
    <row r="17" spans="1:12" x14ac:dyDescent="0.25">
      <c r="A17" s="164"/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</row>
    <row r="18" spans="1:12" x14ac:dyDescent="0.25">
      <c r="A18" s="169" t="s">
        <v>75</v>
      </c>
      <c r="B18" s="169"/>
      <c r="C18" s="169"/>
      <c r="D18" s="164"/>
      <c r="E18" s="164"/>
      <c r="F18" s="164"/>
      <c r="G18" s="164"/>
      <c r="H18" s="164"/>
      <c r="I18" s="164"/>
      <c r="J18" s="164"/>
      <c r="K18" s="164"/>
      <c r="L18" s="164"/>
    </row>
    <row r="19" spans="1:12" x14ac:dyDescent="0.25">
      <c r="A19" s="164" t="s">
        <v>35</v>
      </c>
      <c r="B19" s="164"/>
      <c r="C19" s="164"/>
      <c r="D19" s="171">
        <f>(7730000*0.98)/1000</f>
        <v>7575.4</v>
      </c>
      <c r="E19" s="171">
        <f>0</f>
        <v>0</v>
      </c>
      <c r="F19" s="171">
        <f>0</f>
        <v>0</v>
      </c>
      <c r="G19" s="171">
        <f>0</f>
        <v>0</v>
      </c>
      <c r="H19" s="171">
        <f>0</f>
        <v>0</v>
      </c>
      <c r="I19" s="171">
        <f>0</f>
        <v>0</v>
      </c>
      <c r="J19" s="171">
        <f>0</f>
        <v>0</v>
      </c>
      <c r="K19" s="172">
        <f>0</f>
        <v>0</v>
      </c>
      <c r="L19" s="172">
        <f t="shared" ref="L19:L20" si="9">SUM(D19:K19)</f>
        <v>7575.4</v>
      </c>
    </row>
    <row r="20" spans="1:12" x14ac:dyDescent="0.25">
      <c r="A20" s="164" t="s">
        <v>34</v>
      </c>
      <c r="B20" s="164"/>
      <c r="C20" s="164"/>
      <c r="D20" s="173">
        <f>(7730000*0.02)/1000</f>
        <v>154.6</v>
      </c>
      <c r="E20" s="173">
        <f>0</f>
        <v>0</v>
      </c>
      <c r="F20" s="173">
        <f>0</f>
        <v>0</v>
      </c>
      <c r="G20" s="173">
        <f>0</f>
        <v>0</v>
      </c>
      <c r="H20" s="173">
        <f>0</f>
        <v>0</v>
      </c>
      <c r="I20" s="173">
        <f>0</f>
        <v>0</v>
      </c>
      <c r="J20" s="173">
        <f>0</f>
        <v>0</v>
      </c>
      <c r="K20" s="173">
        <f>0</f>
        <v>0</v>
      </c>
      <c r="L20" s="172">
        <f t="shared" si="9"/>
        <v>154.6</v>
      </c>
    </row>
    <row r="21" spans="1:12" x14ac:dyDescent="0.25">
      <c r="A21" s="166" t="s">
        <v>258</v>
      </c>
      <c r="B21" s="164"/>
      <c r="C21" s="164"/>
      <c r="D21" s="176">
        <f>SUM(D19:D20)</f>
        <v>7730</v>
      </c>
      <c r="E21" s="176">
        <f t="shared" ref="E21:L21" si="10">SUM(E19:E20)</f>
        <v>0</v>
      </c>
      <c r="F21" s="176">
        <f t="shared" si="10"/>
        <v>0</v>
      </c>
      <c r="G21" s="176">
        <f t="shared" si="10"/>
        <v>0</v>
      </c>
      <c r="H21" s="176">
        <f t="shared" si="10"/>
        <v>0</v>
      </c>
      <c r="I21" s="176">
        <f t="shared" si="10"/>
        <v>0</v>
      </c>
      <c r="J21" s="176">
        <f t="shared" si="10"/>
        <v>0</v>
      </c>
      <c r="K21" s="176">
        <f t="shared" si="10"/>
        <v>0</v>
      </c>
      <c r="L21" s="176">
        <f t="shared" si="10"/>
        <v>7730</v>
      </c>
    </row>
    <row r="22" spans="1:12" x14ac:dyDescent="0.25">
      <c r="A22" s="164"/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</row>
    <row r="23" spans="1:12" ht="15.75" thickBot="1" x14ac:dyDescent="0.3">
      <c r="A23" s="166" t="s">
        <v>224</v>
      </c>
      <c r="B23" s="164"/>
      <c r="C23" s="164"/>
      <c r="D23" s="177">
        <f>D16+D21</f>
        <v>7730</v>
      </c>
      <c r="E23" s="177">
        <f t="shared" ref="E23:J23" si="11">E16+E21</f>
        <v>30079.687499999996</v>
      </c>
      <c r="F23" s="177">
        <f t="shared" si="11"/>
        <v>30079.687499999996</v>
      </c>
      <c r="G23" s="177">
        <f t="shared" si="11"/>
        <v>30079.687499999996</v>
      </c>
      <c r="H23" s="177">
        <f t="shared" si="11"/>
        <v>30079.687499999996</v>
      </c>
      <c r="I23" s="177">
        <f t="shared" si="11"/>
        <v>30079.687499999996</v>
      </c>
      <c r="J23" s="177">
        <f t="shared" si="11"/>
        <v>30079.687499999996</v>
      </c>
      <c r="K23" s="177">
        <f t="shared" ref="K23:L23" si="12">K16+K21</f>
        <v>0</v>
      </c>
      <c r="L23" s="177">
        <f t="shared" si="12"/>
        <v>188208.125</v>
      </c>
    </row>
    <row r="24" spans="1:12" ht="15.75" thickTop="1" x14ac:dyDescent="0.25">
      <c r="A24" s="164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</row>
    <row r="25" spans="1:12" x14ac:dyDescent="0.25">
      <c r="A25" s="164"/>
      <c r="B25" s="165" t="s">
        <v>71</v>
      </c>
      <c r="C25" s="165" t="s">
        <v>94</v>
      </c>
      <c r="D25" s="164"/>
      <c r="E25" s="164"/>
      <c r="F25" s="164"/>
      <c r="G25" s="164"/>
      <c r="H25" s="164"/>
      <c r="I25" s="164"/>
      <c r="J25" s="164"/>
      <c r="K25" s="166" t="s">
        <v>215</v>
      </c>
      <c r="L25" s="166"/>
    </row>
    <row r="26" spans="1:12" x14ac:dyDescent="0.25">
      <c r="A26" s="167" t="s">
        <v>77</v>
      </c>
      <c r="B26" s="167" t="s">
        <v>151</v>
      </c>
      <c r="C26" s="167" t="s">
        <v>260</v>
      </c>
      <c r="D26" s="167">
        <v>2019</v>
      </c>
      <c r="E26" s="167">
        <v>2020</v>
      </c>
      <c r="F26" s="167">
        <v>2021</v>
      </c>
      <c r="G26" s="167">
        <v>2022</v>
      </c>
      <c r="H26" s="167">
        <v>2023</v>
      </c>
      <c r="I26" s="167">
        <v>2024</v>
      </c>
      <c r="J26" s="167">
        <v>2025</v>
      </c>
      <c r="K26" s="168" t="s">
        <v>259</v>
      </c>
      <c r="L26" s="167" t="s">
        <v>7</v>
      </c>
    </row>
    <row r="27" spans="1:12" x14ac:dyDescent="0.25">
      <c r="A27" s="164"/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</row>
    <row r="28" spans="1:12" x14ac:dyDescent="0.25">
      <c r="A28" s="164" t="s">
        <v>38</v>
      </c>
      <c r="B28" s="164"/>
      <c r="C28" s="164"/>
      <c r="D28" s="171">
        <f>0</f>
        <v>0</v>
      </c>
      <c r="E28" s="171">
        <f>(600000/6)/1000</f>
        <v>100</v>
      </c>
      <c r="F28" s="171">
        <f t="shared" ref="F28:J28" si="13">(600000/6)/1000</f>
        <v>100</v>
      </c>
      <c r="G28" s="171">
        <f t="shared" si="13"/>
        <v>100</v>
      </c>
      <c r="H28" s="171">
        <f t="shared" si="13"/>
        <v>100</v>
      </c>
      <c r="I28" s="171">
        <f t="shared" si="13"/>
        <v>100</v>
      </c>
      <c r="J28" s="171">
        <f t="shared" si="13"/>
        <v>100</v>
      </c>
      <c r="K28" s="171">
        <f>0</f>
        <v>0</v>
      </c>
      <c r="L28" s="172">
        <f t="shared" ref="L28:L37" si="14">SUM(D28:K28)</f>
        <v>600</v>
      </c>
    </row>
    <row r="29" spans="1:12" x14ac:dyDescent="0.25">
      <c r="A29" s="164" t="s">
        <v>124</v>
      </c>
      <c r="B29" s="164"/>
      <c r="C29" s="164"/>
      <c r="D29" s="171">
        <f>0</f>
        <v>0</v>
      </c>
      <c r="E29" s="171">
        <f>((1000000)/6)/1000</f>
        <v>166.66666666666666</v>
      </c>
      <c r="F29" s="171">
        <f t="shared" ref="F29:J29" si="15">((1000000)/6)/1000</f>
        <v>166.66666666666666</v>
      </c>
      <c r="G29" s="171">
        <f t="shared" si="15"/>
        <v>166.66666666666666</v>
      </c>
      <c r="H29" s="171">
        <f t="shared" si="15"/>
        <v>166.66666666666666</v>
      </c>
      <c r="I29" s="171">
        <f t="shared" si="15"/>
        <v>166.66666666666666</v>
      </c>
      <c r="J29" s="171">
        <f t="shared" si="15"/>
        <v>166.66666666666666</v>
      </c>
      <c r="K29" s="171">
        <f>0</f>
        <v>0</v>
      </c>
      <c r="L29" s="172">
        <f t="shared" si="14"/>
        <v>999.99999999999989</v>
      </c>
    </row>
    <row r="30" spans="1:12" x14ac:dyDescent="0.25">
      <c r="A30" s="164" t="s">
        <v>36</v>
      </c>
      <c r="B30" s="164"/>
      <c r="C30" s="164"/>
      <c r="D30" s="171">
        <f>0</f>
        <v>0</v>
      </c>
      <c r="E30" s="171">
        <f>(550000/6)/1000</f>
        <v>91.666666666666671</v>
      </c>
      <c r="F30" s="171">
        <f t="shared" ref="F30:J30" si="16">(550000/6)/1000</f>
        <v>91.666666666666671</v>
      </c>
      <c r="G30" s="171">
        <f t="shared" si="16"/>
        <v>91.666666666666671</v>
      </c>
      <c r="H30" s="171">
        <f t="shared" si="16"/>
        <v>91.666666666666671</v>
      </c>
      <c r="I30" s="171">
        <f t="shared" si="16"/>
        <v>91.666666666666671</v>
      </c>
      <c r="J30" s="171">
        <f t="shared" si="16"/>
        <v>91.666666666666671</v>
      </c>
      <c r="K30" s="171">
        <f>0</f>
        <v>0</v>
      </c>
      <c r="L30" s="172">
        <f t="shared" si="14"/>
        <v>550</v>
      </c>
    </row>
    <row r="31" spans="1:12" x14ac:dyDescent="0.25">
      <c r="A31" s="178" t="s">
        <v>256</v>
      </c>
      <c r="B31" s="164"/>
      <c r="C31" s="164"/>
      <c r="D31" s="171">
        <f>0</f>
        <v>0</v>
      </c>
      <c r="E31" s="171">
        <f>(2250000/6)/1000</f>
        <v>375</v>
      </c>
      <c r="F31" s="171">
        <f t="shared" ref="F31:J31" si="17">(2250000/6)/1000</f>
        <v>375</v>
      </c>
      <c r="G31" s="171">
        <f t="shared" si="17"/>
        <v>375</v>
      </c>
      <c r="H31" s="171">
        <f t="shared" si="17"/>
        <v>375</v>
      </c>
      <c r="I31" s="171">
        <f t="shared" si="17"/>
        <v>375</v>
      </c>
      <c r="J31" s="171">
        <f t="shared" si="17"/>
        <v>375</v>
      </c>
      <c r="K31" s="171">
        <f>0</f>
        <v>0</v>
      </c>
      <c r="L31" s="172">
        <f t="shared" si="14"/>
        <v>2250</v>
      </c>
    </row>
    <row r="32" spans="1:12" x14ac:dyDescent="0.25">
      <c r="A32" s="164" t="s">
        <v>268</v>
      </c>
      <c r="B32" s="170">
        <f>31219</f>
        <v>31219</v>
      </c>
      <c r="C32" s="171">
        <f>500</f>
        <v>500</v>
      </c>
      <c r="D32" s="171">
        <f>0</f>
        <v>0</v>
      </c>
      <c r="E32" s="171">
        <f>((31219*500)/6)/1000</f>
        <v>2601.5833333333335</v>
      </c>
      <c r="F32" s="171">
        <f t="shared" ref="F32:J32" si="18">((31219*500)/6)/1000</f>
        <v>2601.5833333333335</v>
      </c>
      <c r="G32" s="171">
        <f t="shared" si="18"/>
        <v>2601.5833333333335</v>
      </c>
      <c r="H32" s="171">
        <f t="shared" si="18"/>
        <v>2601.5833333333335</v>
      </c>
      <c r="I32" s="171">
        <f t="shared" si="18"/>
        <v>2601.5833333333335</v>
      </c>
      <c r="J32" s="171">
        <f t="shared" si="18"/>
        <v>2601.5833333333335</v>
      </c>
      <c r="K32" s="171">
        <f>0</f>
        <v>0</v>
      </c>
      <c r="L32" s="172">
        <f t="shared" si="14"/>
        <v>15609.500000000002</v>
      </c>
    </row>
    <row r="33" spans="1:12" x14ac:dyDescent="0.25">
      <c r="A33" s="164" t="s">
        <v>269</v>
      </c>
      <c r="B33" s="170">
        <f>2531</f>
        <v>2531</v>
      </c>
      <c r="C33" s="171">
        <f>500</f>
        <v>500</v>
      </c>
      <c r="D33" s="171">
        <f>0</f>
        <v>0</v>
      </c>
      <c r="E33" s="171">
        <f>((2531*500)/6)/1000</f>
        <v>210.91666666666666</v>
      </c>
      <c r="F33" s="171">
        <f t="shared" ref="F33:J33" si="19">((2531*500)/6)/1000</f>
        <v>210.91666666666666</v>
      </c>
      <c r="G33" s="171">
        <f t="shared" si="19"/>
        <v>210.91666666666666</v>
      </c>
      <c r="H33" s="171">
        <f t="shared" si="19"/>
        <v>210.91666666666666</v>
      </c>
      <c r="I33" s="171">
        <f t="shared" si="19"/>
        <v>210.91666666666666</v>
      </c>
      <c r="J33" s="171">
        <f t="shared" si="19"/>
        <v>210.91666666666666</v>
      </c>
      <c r="K33" s="171">
        <f>0</f>
        <v>0</v>
      </c>
      <c r="L33" s="172">
        <f t="shared" si="14"/>
        <v>1265.5</v>
      </c>
    </row>
    <row r="34" spans="1:12" x14ac:dyDescent="0.25">
      <c r="A34" s="164" t="s">
        <v>270</v>
      </c>
      <c r="B34" s="170">
        <f>11250</f>
        <v>11250</v>
      </c>
      <c r="C34" s="171">
        <f>600</f>
        <v>600</v>
      </c>
      <c r="D34" s="171">
        <f>0</f>
        <v>0</v>
      </c>
      <c r="E34" s="171">
        <f>((11250*600)/6)/1000</f>
        <v>1125</v>
      </c>
      <c r="F34" s="171">
        <f t="shared" ref="F34:J34" si="20">((11250*600)/6)/1000</f>
        <v>1125</v>
      </c>
      <c r="G34" s="171">
        <f t="shared" si="20"/>
        <v>1125</v>
      </c>
      <c r="H34" s="171">
        <f t="shared" si="20"/>
        <v>1125</v>
      </c>
      <c r="I34" s="171">
        <f t="shared" si="20"/>
        <v>1125</v>
      </c>
      <c r="J34" s="171">
        <f t="shared" si="20"/>
        <v>1125</v>
      </c>
      <c r="K34" s="171">
        <f>0</f>
        <v>0</v>
      </c>
      <c r="L34" s="172">
        <f t="shared" si="14"/>
        <v>6750</v>
      </c>
    </row>
    <row r="35" spans="1:12" x14ac:dyDescent="0.25">
      <c r="A35" s="164" t="s">
        <v>33</v>
      </c>
      <c r="B35" s="164"/>
      <c r="C35" s="164"/>
      <c r="D35" s="171">
        <f>0</f>
        <v>0</v>
      </c>
      <c r="E35" s="171">
        <f>(400000/6)/1000</f>
        <v>66.666666666666671</v>
      </c>
      <c r="F35" s="171">
        <f t="shared" ref="F35:J35" si="21">(400000/6)/1000</f>
        <v>66.666666666666671</v>
      </c>
      <c r="G35" s="171">
        <f t="shared" si="21"/>
        <v>66.666666666666671</v>
      </c>
      <c r="H35" s="171">
        <f t="shared" si="21"/>
        <v>66.666666666666671</v>
      </c>
      <c r="I35" s="171">
        <f t="shared" si="21"/>
        <v>66.666666666666671</v>
      </c>
      <c r="J35" s="171">
        <f t="shared" si="21"/>
        <v>66.666666666666671</v>
      </c>
      <c r="K35" s="171">
        <f>0</f>
        <v>0</v>
      </c>
      <c r="L35" s="172">
        <f t="shared" si="14"/>
        <v>400.00000000000006</v>
      </c>
    </row>
    <row r="36" spans="1:12" x14ac:dyDescent="0.25">
      <c r="A36" s="164" t="s">
        <v>227</v>
      </c>
      <c r="B36" s="164"/>
      <c r="C36" s="164"/>
      <c r="D36" s="171">
        <f>0</f>
        <v>0</v>
      </c>
      <c r="E36" s="171">
        <f>((1000000)/6)/1000</f>
        <v>166.66666666666666</v>
      </c>
      <c r="F36" s="171">
        <f t="shared" ref="F36:J36" si="22">((1000000)/6)/1000</f>
        <v>166.66666666666666</v>
      </c>
      <c r="G36" s="171">
        <f t="shared" si="22"/>
        <v>166.66666666666666</v>
      </c>
      <c r="H36" s="171">
        <f t="shared" si="22"/>
        <v>166.66666666666666</v>
      </c>
      <c r="I36" s="171">
        <f t="shared" si="22"/>
        <v>166.66666666666666</v>
      </c>
      <c r="J36" s="171">
        <f t="shared" si="22"/>
        <v>166.66666666666666</v>
      </c>
      <c r="K36" s="171">
        <f>0</f>
        <v>0</v>
      </c>
      <c r="L36" s="172">
        <f t="shared" si="14"/>
        <v>999.99999999999989</v>
      </c>
    </row>
    <row r="37" spans="1:12" x14ac:dyDescent="0.25">
      <c r="A37" s="164" t="s">
        <v>127</v>
      </c>
      <c r="B37" s="164"/>
      <c r="C37" s="164"/>
      <c r="D37" s="173">
        <f>0</f>
        <v>0</v>
      </c>
      <c r="E37" s="173">
        <f>((20250000/6)/1000)</f>
        <v>3375</v>
      </c>
      <c r="F37" s="173">
        <f t="shared" ref="F37:J37" si="23">((20250000/6)/1000)</f>
        <v>3375</v>
      </c>
      <c r="G37" s="173">
        <f t="shared" si="23"/>
        <v>3375</v>
      </c>
      <c r="H37" s="173">
        <f t="shared" si="23"/>
        <v>3375</v>
      </c>
      <c r="I37" s="173">
        <f t="shared" si="23"/>
        <v>3375</v>
      </c>
      <c r="J37" s="173">
        <f t="shared" si="23"/>
        <v>3375</v>
      </c>
      <c r="K37" s="173">
        <f>0</f>
        <v>0</v>
      </c>
      <c r="L37" s="173">
        <f t="shared" si="14"/>
        <v>20250</v>
      </c>
    </row>
    <row r="38" spans="1:12" x14ac:dyDescent="0.25">
      <c r="A38" s="164"/>
      <c r="B38" s="164"/>
      <c r="C38" s="164"/>
      <c r="D38" s="179"/>
      <c r="E38" s="179"/>
      <c r="F38" s="179"/>
      <c r="G38" s="179"/>
      <c r="H38" s="179"/>
      <c r="I38" s="179"/>
      <c r="J38" s="179"/>
      <c r="K38" s="179"/>
      <c r="L38" s="179"/>
    </row>
    <row r="39" spans="1:12" ht="15.75" thickBot="1" x14ac:dyDescent="0.3">
      <c r="A39" s="166" t="s">
        <v>271</v>
      </c>
      <c r="B39" s="164"/>
      <c r="C39" s="164"/>
      <c r="D39" s="177">
        <f>SUM(D28:D37)</f>
        <v>0</v>
      </c>
      <c r="E39" s="177">
        <f t="shared" ref="E39:L39" si="24">SUM(E28:E37)</f>
        <v>8279.1666666666679</v>
      </c>
      <c r="F39" s="177">
        <f t="shared" si="24"/>
        <v>8279.1666666666679</v>
      </c>
      <c r="G39" s="177">
        <f t="shared" si="24"/>
        <v>8279.1666666666679</v>
      </c>
      <c r="H39" s="177">
        <f t="shared" si="24"/>
        <v>8279.1666666666679</v>
      </c>
      <c r="I39" s="177">
        <f t="shared" si="24"/>
        <v>8279.1666666666679</v>
      </c>
      <c r="J39" s="177">
        <f t="shared" si="24"/>
        <v>8279.1666666666679</v>
      </c>
      <c r="K39" s="177">
        <f t="shared" si="24"/>
        <v>0</v>
      </c>
      <c r="L39" s="177">
        <f t="shared" si="24"/>
        <v>49675</v>
      </c>
    </row>
    <row r="40" spans="1:12" ht="15.75" thickTop="1" x14ac:dyDescent="0.25">
      <c r="A40" s="164"/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</row>
    <row r="41" spans="1:12" ht="15.75" thickBot="1" x14ac:dyDescent="0.3">
      <c r="A41" s="166" t="s">
        <v>272</v>
      </c>
      <c r="B41" s="164"/>
      <c r="C41" s="164"/>
      <c r="D41" s="177">
        <f>D23+D39</f>
        <v>7730</v>
      </c>
      <c r="E41" s="177">
        <f t="shared" ref="E41:L41" si="25">E23+E39</f>
        <v>38358.854166666664</v>
      </c>
      <c r="F41" s="177">
        <f t="shared" si="25"/>
        <v>38358.854166666664</v>
      </c>
      <c r="G41" s="177">
        <f t="shared" si="25"/>
        <v>38358.854166666664</v>
      </c>
      <c r="H41" s="177">
        <f t="shared" si="25"/>
        <v>38358.854166666664</v>
      </c>
      <c r="I41" s="177">
        <f t="shared" si="25"/>
        <v>38358.854166666664</v>
      </c>
      <c r="J41" s="177">
        <f t="shared" si="25"/>
        <v>38358.854166666664</v>
      </c>
      <c r="K41" s="177">
        <f t="shared" si="25"/>
        <v>0</v>
      </c>
      <c r="L41" s="177">
        <f t="shared" si="25"/>
        <v>237883.125</v>
      </c>
    </row>
    <row r="42" spans="1:12" ht="15.75" thickTop="1" x14ac:dyDescent="0.25"/>
  </sheetData>
  <mergeCells count="3">
    <mergeCell ref="A1:L1"/>
    <mergeCell ref="A2:L2"/>
    <mergeCell ref="A3:L3"/>
  </mergeCells>
  <pageMargins left="0.7" right="0.7" top="0.75" bottom="0.75" header="0.3" footer="0.3"/>
  <pageSetup scale="83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9"/>
  <sheetViews>
    <sheetView showGridLines="0" zoomScale="130" zoomScaleNormal="130" workbookViewId="0">
      <selection activeCell="G9" sqref="G9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0</v>
      </c>
      <c r="F9" s="40">
        <v>90000</v>
      </c>
      <c r="G9" s="117">
        <f>11.5625%*0</f>
        <v>0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8"/>
      <c r="B10" s="18"/>
      <c r="C10" s="18"/>
      <c r="D10" s="18"/>
      <c r="E10" s="31"/>
      <c r="F10" s="31"/>
      <c r="G10" s="31"/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8">
        <f>$E$9*1425</f>
        <v>0</v>
      </c>
      <c r="C12" s="18"/>
      <c r="D12" s="18"/>
      <c r="E12" s="31" t="s">
        <v>44</v>
      </c>
      <c r="F12" s="31"/>
      <c r="G12" s="31"/>
      <c r="H12" s="31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18"/>
      <c r="B13" s="18"/>
      <c r="C13" s="18"/>
      <c r="D13" s="18"/>
      <c r="E13" s="31"/>
      <c r="F13" s="31"/>
      <c r="G13" s="31"/>
      <c r="H13" s="31"/>
      <c r="I13" s="31"/>
      <c r="J13" s="31"/>
      <c r="K13" s="31"/>
      <c r="L13" s="29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/>
      <c r="D14" s="18"/>
      <c r="E14" s="31"/>
      <c r="F14" s="31"/>
      <c r="G14" s="31"/>
      <c r="H14" s="31"/>
      <c r="I14" s="31"/>
      <c r="J14" s="31"/>
      <c r="K14" s="31"/>
      <c r="L14" s="29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0</v>
      </c>
      <c r="B16" s="34">
        <f>SUM(B10:B15)</f>
        <v>0</v>
      </c>
      <c r="C16" s="34">
        <f>SUM(C10:C15)</f>
        <v>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0</v>
      </c>
      <c r="B17" s="34"/>
      <c r="C17" s="34">
        <f>+(C16)*0.08</f>
        <v>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+A16*0.15</f>
        <v>0</v>
      </c>
      <c r="B18" s="37">
        <f>+B16*0.15</f>
        <v>0</v>
      </c>
      <c r="C18" s="37">
        <f>+C16*0.15</f>
        <v>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0</v>
      </c>
      <c r="B19" s="34">
        <f>SUM(B16:B18)</f>
        <v>0</v>
      </c>
      <c r="C19" s="34">
        <f>SUM(C16:C18)</f>
        <v>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0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79">
        <f>G9</f>
        <v>0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0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0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0</v>
      </c>
      <c r="E29" s="182">
        <f>50000*$G$9</f>
        <v>0</v>
      </c>
      <c r="F29" s="2" t="s">
        <v>278</v>
      </c>
    </row>
    <row r="30" spans="1:17" ht="12.75" x14ac:dyDescent="0.2">
      <c r="A30" s="55" t="s">
        <v>35</v>
      </c>
      <c r="B30" s="31"/>
      <c r="C30" s="18">
        <f>(7730000*0.98)*$G$9</f>
        <v>0</v>
      </c>
      <c r="D30" s="19"/>
      <c r="E30" s="19"/>
      <c r="F30" s="31" t="s">
        <v>277</v>
      </c>
      <c r="G30" s="19"/>
      <c r="H30" s="19"/>
      <c r="I30" s="19"/>
      <c r="J30" s="19"/>
    </row>
    <row r="31" spans="1:17" ht="12.75" x14ac:dyDescent="0.2">
      <c r="A31" s="55" t="s">
        <v>34</v>
      </c>
      <c r="B31" s="31"/>
      <c r="C31" s="18">
        <f>(7730000*0.02)*$G$9</f>
        <v>0</v>
      </c>
      <c r="D31" s="19"/>
      <c r="E31" s="19"/>
      <c r="F31" s="31" t="s">
        <v>276</v>
      </c>
      <c r="G31" s="19"/>
      <c r="H31" s="19"/>
      <c r="I31" s="19"/>
      <c r="J31" s="19"/>
    </row>
    <row r="32" spans="1:17" ht="12.75" x14ac:dyDescent="0.2">
      <c r="A32" s="2" t="s">
        <v>33</v>
      </c>
      <c r="B32" s="2"/>
      <c r="C32" s="2"/>
      <c r="E32" s="15">
        <f>80000*5*$G$9</f>
        <v>0</v>
      </c>
      <c r="F32" s="17" t="s">
        <v>32</v>
      </c>
    </row>
    <row r="33" spans="1:14" ht="12.75" x14ac:dyDescent="0.2">
      <c r="A33" s="2" t="s">
        <v>31</v>
      </c>
      <c r="B33" s="2"/>
      <c r="C33" s="2"/>
      <c r="E33" s="15">
        <f>1000000*$G$9</f>
        <v>0</v>
      </c>
      <c r="F33" s="17" t="s">
        <v>30</v>
      </c>
    </row>
    <row r="34" spans="1:14" ht="12.75" x14ac:dyDescent="0.2">
      <c r="A34" s="31" t="s">
        <v>29</v>
      </c>
      <c r="B34" s="31"/>
      <c r="C34" s="31"/>
      <c r="D34" s="19"/>
      <c r="E34" s="121">
        <f>90000*1*200*$G$9</f>
        <v>0</v>
      </c>
      <c r="F34" s="124" t="s">
        <v>114</v>
      </c>
      <c r="G34" s="123"/>
      <c r="H34" s="123"/>
      <c r="I34" s="123"/>
      <c r="J34" s="123"/>
      <c r="K34" s="123"/>
      <c r="L34" s="123"/>
      <c r="M34" s="19"/>
      <c r="N34" s="19"/>
    </row>
    <row r="35" spans="1:14" ht="12.75" x14ac:dyDescent="0.2">
      <c r="A35" s="31"/>
      <c r="B35" s="31"/>
      <c r="C35" s="31"/>
      <c r="D35" s="125">
        <f>50*E9</f>
        <v>0</v>
      </c>
      <c r="E35" s="121"/>
      <c r="F35" s="124" t="s">
        <v>121</v>
      </c>
      <c r="G35" s="123"/>
      <c r="H35" s="123"/>
      <c r="I35" s="123"/>
      <c r="J35" s="19"/>
      <c r="K35" s="19"/>
      <c r="L35" s="19"/>
    </row>
    <row r="36" spans="1:14" ht="13.5" thickBot="1" x14ac:dyDescent="0.25">
      <c r="A36" s="31"/>
      <c r="B36" s="31"/>
      <c r="C36" s="56"/>
      <c r="D36" s="122">
        <f>(500)*$E$9</f>
        <v>0</v>
      </c>
      <c r="E36" s="122"/>
      <c r="F36" s="113" t="s">
        <v>143</v>
      </c>
      <c r="G36" s="123"/>
      <c r="H36" s="123"/>
      <c r="I36" s="123"/>
      <c r="J36" s="123"/>
    </row>
    <row r="37" spans="1:14" ht="12.75" x14ac:dyDescent="0.2">
      <c r="A37" s="2"/>
      <c r="B37" s="2"/>
      <c r="C37" s="15">
        <f>SUM(C27:C36)</f>
        <v>0</v>
      </c>
      <c r="D37" s="15">
        <f>SUM(D27:D36)</f>
        <v>0</v>
      </c>
      <c r="E37" s="15">
        <f>SUM(E27:E36)</f>
        <v>0</v>
      </c>
      <c r="F37" s="2"/>
    </row>
    <row r="38" spans="1:14" ht="12.75" x14ac:dyDescent="0.2">
      <c r="A38" s="2"/>
      <c r="B38" s="2"/>
      <c r="C38" s="15"/>
      <c r="D38" s="15"/>
      <c r="E38" s="15"/>
      <c r="F38" s="2"/>
    </row>
    <row r="39" spans="1:14" ht="12.75" x14ac:dyDescent="0.2">
      <c r="A39" s="2"/>
      <c r="B39" s="2"/>
      <c r="C39" s="15"/>
      <c r="D39" s="15"/>
      <c r="E39" s="15">
        <f>E21+C37</f>
        <v>0</v>
      </c>
      <c r="F39" s="2" t="s">
        <v>26</v>
      </c>
    </row>
    <row r="40" spans="1:14" ht="13.5" thickBot="1" x14ac:dyDescent="0.25">
      <c r="A40" s="2"/>
      <c r="B40" s="2"/>
      <c r="C40" s="2"/>
      <c r="D40" s="2"/>
      <c r="E40" s="14">
        <f>D37+E37</f>
        <v>0</v>
      </c>
      <c r="F40" s="13" t="s">
        <v>25</v>
      </c>
    </row>
    <row r="41" spans="1:14" ht="12.75" x14ac:dyDescent="0.2">
      <c r="A41" s="2"/>
      <c r="B41" s="2"/>
      <c r="C41" s="2"/>
      <c r="D41" s="2"/>
      <c r="E41" s="12">
        <f>+E21+C37+D37+E37</f>
        <v>0</v>
      </c>
      <c r="F41" s="11" t="s">
        <v>24</v>
      </c>
    </row>
    <row r="42" spans="1:14" ht="12.75" x14ac:dyDescent="0.2">
      <c r="A42" s="2"/>
      <c r="B42" s="2"/>
      <c r="C42" s="2"/>
      <c r="D42" s="2"/>
      <c r="E42" s="4"/>
      <c r="F42" s="2"/>
    </row>
    <row r="43" spans="1:14" ht="12.75" x14ac:dyDescent="0.2">
      <c r="A43" s="2"/>
      <c r="B43" s="2"/>
      <c r="C43" s="2"/>
      <c r="D43" s="2"/>
      <c r="E43" s="2"/>
    </row>
    <row r="44" spans="1:14" ht="12.75" x14ac:dyDescent="0.2">
      <c r="A44" s="2" t="s">
        <v>23</v>
      </c>
      <c r="B44" s="2"/>
      <c r="C44" s="2"/>
      <c r="D44" s="2"/>
      <c r="E44" s="2"/>
    </row>
    <row r="45" spans="1:14" ht="12.75" x14ac:dyDescent="0.2">
      <c r="A45" s="2"/>
      <c r="B45" s="2"/>
      <c r="C45" s="2"/>
      <c r="D45" s="2"/>
      <c r="E45" s="2"/>
    </row>
    <row r="46" spans="1:14" ht="12.75" x14ac:dyDescent="0.2">
      <c r="A46" s="2"/>
      <c r="B46" s="2"/>
      <c r="C46" s="2"/>
      <c r="D46" s="2"/>
      <c r="E46" s="2"/>
    </row>
    <row r="47" spans="1:14" ht="12.75" x14ac:dyDescent="0.2">
      <c r="A47" s="3" t="s">
        <v>22</v>
      </c>
      <c r="B47" s="8" t="s">
        <v>12</v>
      </c>
      <c r="C47" s="8" t="s">
        <v>11</v>
      </c>
      <c r="D47" s="2"/>
      <c r="E47" s="2"/>
    </row>
    <row r="48" spans="1:14" ht="12.75" x14ac:dyDescent="0.2">
      <c r="A48" s="2" t="s">
        <v>10</v>
      </c>
      <c r="B48" s="4"/>
      <c r="C48" s="4"/>
      <c r="D48" s="2"/>
      <c r="E48" s="2"/>
    </row>
    <row r="49" spans="1:5" ht="12.75" x14ac:dyDescent="0.2">
      <c r="A49" s="2" t="s">
        <v>9</v>
      </c>
      <c r="B49" s="5"/>
      <c r="C49" s="5"/>
      <c r="D49" s="2"/>
      <c r="E49" s="2"/>
    </row>
    <row r="50" spans="1:5" ht="12.75" x14ac:dyDescent="0.2">
      <c r="A50" s="2" t="s">
        <v>17</v>
      </c>
      <c r="B50" s="4">
        <f>SUM(B48:B49)</f>
        <v>0</v>
      </c>
      <c r="C50" s="4">
        <f>SUM(C48:C49)</f>
        <v>0</v>
      </c>
      <c r="D50" s="2"/>
      <c r="E50" s="2"/>
    </row>
    <row r="51" spans="1:5" ht="12.75" x14ac:dyDescent="0.2">
      <c r="A51" s="2"/>
      <c r="B51" s="2"/>
      <c r="C51" s="2"/>
      <c r="D51" s="2"/>
      <c r="E51" s="2"/>
    </row>
    <row r="52" spans="1:5" ht="12.75" x14ac:dyDescent="0.2">
      <c r="A52" s="3" t="s">
        <v>21</v>
      </c>
      <c r="B52" s="2"/>
      <c r="C52" s="2"/>
      <c r="D52" s="2"/>
      <c r="E52" s="2"/>
    </row>
    <row r="53" spans="1:5" ht="12.75" x14ac:dyDescent="0.2">
      <c r="A53" s="2" t="s">
        <v>10</v>
      </c>
      <c r="B53" s="4">
        <f>A19</f>
        <v>0</v>
      </c>
      <c r="C53" s="4">
        <f>C19</f>
        <v>0</v>
      </c>
      <c r="D53" s="2"/>
      <c r="E53" s="2"/>
    </row>
    <row r="54" spans="1:5" ht="12.75" x14ac:dyDescent="0.2">
      <c r="A54" s="2" t="s">
        <v>9</v>
      </c>
      <c r="B54" s="5">
        <f>B19</f>
        <v>0</v>
      </c>
      <c r="C54" s="5">
        <f>D19</f>
        <v>0</v>
      </c>
      <c r="D54" s="2"/>
      <c r="E54" s="2"/>
    </row>
    <row r="55" spans="1:5" ht="12.75" x14ac:dyDescent="0.2">
      <c r="A55" s="2" t="s">
        <v>17</v>
      </c>
      <c r="B55" s="4">
        <f>SUM(B53:B54)</f>
        <v>0</v>
      </c>
      <c r="C55" s="4">
        <f>SUM(C53:C54)</f>
        <v>0</v>
      </c>
      <c r="D55" s="2"/>
      <c r="E55" s="2"/>
    </row>
    <row r="56" spans="1:5" ht="12.75" x14ac:dyDescent="0.2">
      <c r="A56" s="2"/>
      <c r="B56" s="4"/>
      <c r="C56" s="4"/>
      <c r="D56" s="2"/>
      <c r="E56" s="2"/>
    </row>
    <row r="57" spans="1:5" ht="12.75" x14ac:dyDescent="0.2">
      <c r="A57" s="11" t="s">
        <v>20</v>
      </c>
      <c r="B57" s="4"/>
      <c r="C57" s="4"/>
      <c r="D57" s="2"/>
      <c r="E57" s="2"/>
    </row>
    <row r="58" spans="1:5" ht="12.75" x14ac:dyDescent="0.2">
      <c r="A58" s="2" t="s">
        <v>19</v>
      </c>
      <c r="B58" s="4">
        <f>C30</f>
        <v>0</v>
      </c>
      <c r="C58" s="4"/>
      <c r="D58" s="2"/>
      <c r="E58" s="2"/>
    </row>
    <row r="59" spans="1:5" ht="12.75" x14ac:dyDescent="0.2">
      <c r="A59" s="2" t="s">
        <v>18</v>
      </c>
      <c r="B59" s="5">
        <f>C31</f>
        <v>0</v>
      </c>
      <c r="C59" s="4"/>
      <c r="D59" s="2"/>
      <c r="E59" s="2"/>
    </row>
    <row r="60" spans="1:5" ht="12.75" x14ac:dyDescent="0.2">
      <c r="A60" s="2" t="s">
        <v>17</v>
      </c>
      <c r="B60" s="4">
        <f>+B58+B59</f>
        <v>0</v>
      </c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/>
      <c r="B63" s="4"/>
      <c r="C63" s="4"/>
      <c r="D63" s="2"/>
      <c r="E63" s="2"/>
    </row>
    <row r="64" spans="1:5" ht="12.75" x14ac:dyDescent="0.2">
      <c r="A64" s="2" t="s">
        <v>16</v>
      </c>
      <c r="B64" s="4"/>
      <c r="C64" s="4"/>
      <c r="D64" s="2"/>
      <c r="E64" s="11"/>
    </row>
    <row r="65" spans="1:5" ht="12.75" x14ac:dyDescent="0.2">
      <c r="A65" s="2" t="s">
        <v>10</v>
      </c>
      <c r="B65" s="4"/>
      <c r="C65" s="4">
        <f>D37</f>
        <v>0</v>
      </c>
      <c r="D65" s="2"/>
      <c r="E65" s="10"/>
    </row>
    <row r="66" spans="1:5" ht="12.75" x14ac:dyDescent="0.2">
      <c r="A66" s="2" t="s">
        <v>9</v>
      </c>
      <c r="B66" s="5"/>
      <c r="C66" s="5">
        <f>E37</f>
        <v>0</v>
      </c>
      <c r="D66" s="2"/>
    </row>
    <row r="67" spans="1:5" ht="12.75" x14ac:dyDescent="0.2">
      <c r="A67" s="2" t="s">
        <v>15</v>
      </c>
      <c r="B67" s="4">
        <f>+B65+B66</f>
        <v>0</v>
      </c>
      <c r="C67" s="4">
        <f>+C65+C66</f>
        <v>0</v>
      </c>
      <c r="D67" s="2"/>
    </row>
    <row r="68" spans="1:5" ht="12.75" x14ac:dyDescent="0.2">
      <c r="A68" s="2"/>
      <c r="B68" s="4"/>
      <c r="C68" s="4"/>
      <c r="D68" s="2"/>
    </row>
    <row r="69" spans="1:5" ht="12.75" x14ac:dyDescent="0.2">
      <c r="A69" s="2" t="s">
        <v>7</v>
      </c>
      <c r="B69" s="4">
        <f>+B50+B55+B60+B67</f>
        <v>0</v>
      </c>
      <c r="C69" s="4">
        <f>+C50+C55+C60+C67</f>
        <v>0</v>
      </c>
      <c r="D69" s="2"/>
    </row>
    <row r="70" spans="1:5" ht="12.75" x14ac:dyDescent="0.2">
      <c r="A70" s="2"/>
      <c r="B70" s="4"/>
      <c r="C70" s="4"/>
      <c r="D70" s="2"/>
    </row>
    <row r="71" spans="1:5" ht="12.75" x14ac:dyDescent="0.2">
      <c r="A71" s="2" t="s">
        <v>14</v>
      </c>
      <c r="B71" s="4">
        <f>A19+B19+C37</f>
        <v>0</v>
      </c>
      <c r="C71" s="4">
        <f>C19+D19+D37+E37</f>
        <v>0</v>
      </c>
      <c r="D71" s="2"/>
    </row>
    <row r="72" spans="1:5" ht="12.75" x14ac:dyDescent="0.2">
      <c r="A72" s="2"/>
      <c r="B72" s="4"/>
      <c r="C72" s="4"/>
      <c r="D72" s="2"/>
    </row>
    <row r="73" spans="1:5" ht="12.75" x14ac:dyDescent="0.2">
      <c r="A73" s="2"/>
      <c r="B73" s="4"/>
      <c r="C73" s="4"/>
      <c r="D73" s="2"/>
    </row>
    <row r="74" spans="1:5" ht="12.75" x14ac:dyDescent="0.2">
      <c r="A74" s="2"/>
      <c r="B74" s="4"/>
      <c r="C74" s="4"/>
      <c r="D74" s="2"/>
    </row>
    <row r="75" spans="1:5" ht="13.5" thickBot="1" x14ac:dyDescent="0.25">
      <c r="A75" s="9" t="s">
        <v>13</v>
      </c>
      <c r="B75" s="8" t="s">
        <v>12</v>
      </c>
      <c r="C75" s="8" t="s">
        <v>11</v>
      </c>
      <c r="D75" s="2"/>
    </row>
    <row r="76" spans="1:5" ht="12.75" x14ac:dyDescent="0.2">
      <c r="A76" s="2" t="s">
        <v>10</v>
      </c>
      <c r="B76" s="4">
        <v>0</v>
      </c>
      <c r="C76" s="7">
        <f>((E34/5))*0.5</f>
        <v>0</v>
      </c>
      <c r="D76" s="6"/>
    </row>
    <row r="77" spans="1:5" ht="12.75" x14ac:dyDescent="0.2">
      <c r="A77" s="2" t="s">
        <v>9</v>
      </c>
      <c r="B77" s="4">
        <v>0</v>
      </c>
      <c r="C77" s="4">
        <v>0</v>
      </c>
    </row>
    <row r="78" spans="1:5" ht="12.75" x14ac:dyDescent="0.2">
      <c r="A78" s="2" t="s">
        <v>8</v>
      </c>
      <c r="B78" s="5">
        <v>0</v>
      </c>
      <c r="C78" s="5">
        <v>0</v>
      </c>
      <c r="D78" s="2"/>
    </row>
    <row r="79" spans="1:5" ht="12.75" x14ac:dyDescent="0.2">
      <c r="A79" s="2" t="s">
        <v>7</v>
      </c>
      <c r="B79" s="4">
        <f>SUM(B76:B78)</f>
        <v>0</v>
      </c>
      <c r="C79" s="4">
        <f>SUM(C76:C78)</f>
        <v>0</v>
      </c>
      <c r="D79" s="2"/>
    </row>
    <row r="80" spans="1:5" ht="12.75" x14ac:dyDescent="0.2">
      <c r="A80" s="2"/>
      <c r="B80" s="4"/>
      <c r="C80" s="4"/>
      <c r="D80" s="2"/>
    </row>
    <row r="81" spans="1:4" ht="12.75" x14ac:dyDescent="0.2">
      <c r="A81" s="2" t="s">
        <v>6</v>
      </c>
      <c r="B81" s="4"/>
      <c r="C81" s="4"/>
      <c r="D81" s="2"/>
    </row>
    <row r="82" spans="1:4" ht="12.75" x14ac:dyDescent="0.2">
      <c r="A82" s="2"/>
      <c r="B82" s="4"/>
      <c r="C82" s="4"/>
      <c r="D82" s="2"/>
    </row>
    <row r="83" spans="1:4" ht="12.75" x14ac:dyDescent="0.2">
      <c r="A83" s="2"/>
      <c r="B83" s="2"/>
      <c r="C83" s="2"/>
      <c r="D83" s="2"/>
    </row>
    <row r="84" spans="1:4" ht="12.75" x14ac:dyDescent="0.2">
      <c r="A84" s="3" t="s">
        <v>5</v>
      </c>
      <c r="B84" s="2"/>
      <c r="C84" s="2"/>
      <c r="D84" s="2"/>
    </row>
    <row r="85" spans="1:4" ht="12.75" x14ac:dyDescent="0.2">
      <c r="A85" s="2" t="s">
        <v>4</v>
      </c>
      <c r="B85" s="2"/>
      <c r="C85" s="2"/>
      <c r="D85" s="2"/>
    </row>
    <row r="86" spans="1:4" ht="12.75" x14ac:dyDescent="0.2">
      <c r="A86" s="2" t="s">
        <v>3</v>
      </c>
      <c r="B86" s="2"/>
      <c r="C86" s="2"/>
      <c r="D86" s="2"/>
    </row>
    <row r="87" spans="1:4" ht="12.75" x14ac:dyDescent="0.2">
      <c r="A87" s="2" t="s">
        <v>2</v>
      </c>
      <c r="B87" s="2"/>
      <c r="C87" s="2"/>
      <c r="D87" s="2"/>
    </row>
    <row r="88" spans="1:4" ht="12.75" x14ac:dyDescent="0.2">
      <c r="A88" s="2" t="s">
        <v>1</v>
      </c>
      <c r="B88" s="2"/>
      <c r="C88" s="2"/>
      <c r="D88" s="2"/>
    </row>
    <row r="89" spans="1:4" ht="12.75" x14ac:dyDescent="0.2">
      <c r="A89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9"/>
  <sheetViews>
    <sheetView showGridLines="0" zoomScale="130" zoomScaleNormal="130" workbookViewId="0">
      <selection activeCell="G12" sqref="G12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0</v>
      </c>
      <c r="F9" s="40">
        <v>90000</v>
      </c>
      <c r="G9" s="119">
        <f>0.9375%*0</f>
        <v>0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8"/>
      <c r="B10" s="18"/>
      <c r="C10" s="18"/>
      <c r="D10" s="18"/>
      <c r="E10" s="31"/>
      <c r="F10" s="31"/>
      <c r="G10" s="31"/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8">
        <f>$E$9*1425</f>
        <v>0</v>
      </c>
      <c r="C12" s="18"/>
      <c r="D12" s="18"/>
      <c r="E12" s="31" t="s">
        <v>44</v>
      </c>
      <c r="F12" s="31"/>
      <c r="G12" s="31"/>
      <c r="H12" s="31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18"/>
      <c r="B13" s="18"/>
      <c r="C13" s="18"/>
      <c r="D13" s="18"/>
      <c r="E13" s="31"/>
      <c r="F13" s="31"/>
      <c r="G13" s="31"/>
      <c r="H13" s="31"/>
      <c r="I13" s="31"/>
      <c r="J13" s="31"/>
      <c r="K13" s="31"/>
      <c r="L13" s="29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/>
      <c r="D14" s="18"/>
      <c r="E14" s="31"/>
      <c r="F14" s="31"/>
      <c r="G14" s="31"/>
      <c r="H14" s="31"/>
      <c r="I14" s="31"/>
      <c r="J14" s="31"/>
      <c r="K14" s="31"/>
      <c r="L14" s="29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0</v>
      </c>
      <c r="B16" s="34">
        <f>SUM(B10:B15)</f>
        <v>0</v>
      </c>
      <c r="C16" s="34">
        <f>SUM(C10:C15)</f>
        <v>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0</v>
      </c>
      <c r="B17" s="34"/>
      <c r="C17" s="34">
        <f>+(C16)*0.08</f>
        <v>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+A16*0.15</f>
        <v>0</v>
      </c>
      <c r="B18" s="37">
        <f>+B16*0.15</f>
        <v>0</v>
      </c>
      <c r="C18" s="37">
        <f>+C16*0.15</f>
        <v>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0</v>
      </c>
      <c r="B19" s="34">
        <f>SUM(B16:B18)</f>
        <v>0</v>
      </c>
      <c r="C19" s="34">
        <f>SUM(C16:C18)</f>
        <v>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0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20">
        <f>G9</f>
        <v>0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0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0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0</v>
      </c>
      <c r="E29" s="182">
        <f>50000*$G$9</f>
        <v>0</v>
      </c>
      <c r="F29" s="2" t="s">
        <v>278</v>
      </c>
    </row>
    <row r="30" spans="1:17" ht="12.75" x14ac:dyDescent="0.2">
      <c r="A30" s="2" t="s">
        <v>35</v>
      </c>
      <c r="B30" s="2"/>
      <c r="C30" s="18">
        <f>(7730000*0.98)*$G$9</f>
        <v>0</v>
      </c>
      <c r="F30" s="31" t="s">
        <v>277</v>
      </c>
      <c r="G30" s="19"/>
      <c r="H30" s="19"/>
      <c r="I30" s="19"/>
    </row>
    <row r="31" spans="1:17" ht="12.75" x14ac:dyDescent="0.2">
      <c r="A31" s="2" t="s">
        <v>34</v>
      </c>
      <c r="B31" s="2"/>
      <c r="C31" s="18">
        <f>(7730000*0.02)*$G$9</f>
        <v>0</v>
      </c>
      <c r="F31" s="31" t="s">
        <v>276</v>
      </c>
      <c r="G31" s="19"/>
      <c r="H31" s="19"/>
      <c r="I31" s="19"/>
    </row>
    <row r="32" spans="1:17" ht="12.75" x14ac:dyDescent="0.2">
      <c r="A32" s="2" t="s">
        <v>33</v>
      </c>
      <c r="B32" s="2"/>
      <c r="C32" s="2"/>
      <c r="E32" s="15">
        <f>80000*5*$G$9</f>
        <v>0</v>
      </c>
      <c r="F32" s="17" t="s">
        <v>32</v>
      </c>
    </row>
    <row r="33" spans="1:14" ht="12.75" x14ac:dyDescent="0.2">
      <c r="A33" s="2" t="s">
        <v>31</v>
      </c>
      <c r="B33" s="2"/>
      <c r="C33" s="2"/>
      <c r="E33" s="15">
        <f>1000000*$G$9</f>
        <v>0</v>
      </c>
      <c r="F33" s="17" t="s">
        <v>30</v>
      </c>
    </row>
    <row r="34" spans="1:14" ht="12.75" x14ac:dyDescent="0.2">
      <c r="A34" s="31" t="s">
        <v>29</v>
      </c>
      <c r="B34" s="31"/>
      <c r="C34" s="31"/>
      <c r="D34" s="19"/>
      <c r="E34" s="121">
        <f>90000*1*200*$G$9</f>
        <v>0</v>
      </c>
      <c r="F34" s="124" t="s">
        <v>114</v>
      </c>
      <c r="G34" s="123"/>
      <c r="H34" s="123"/>
      <c r="I34" s="123"/>
      <c r="J34" s="123"/>
      <c r="K34" s="123"/>
      <c r="L34" s="123"/>
      <c r="M34" s="19"/>
      <c r="N34" s="19"/>
    </row>
    <row r="35" spans="1:14" ht="12.75" x14ac:dyDescent="0.2">
      <c r="A35" s="31"/>
      <c r="B35" s="31"/>
      <c r="C35" s="31"/>
      <c r="D35" s="125">
        <f>50*E9</f>
        <v>0</v>
      </c>
      <c r="E35" s="121"/>
      <c r="F35" s="124" t="s">
        <v>121</v>
      </c>
      <c r="G35" s="123"/>
      <c r="H35" s="123"/>
      <c r="I35" s="123"/>
      <c r="J35" s="19"/>
      <c r="K35" s="19"/>
      <c r="L35" s="19"/>
    </row>
    <row r="36" spans="1:14" ht="13.5" thickBot="1" x14ac:dyDescent="0.25">
      <c r="A36" s="31"/>
      <c r="B36" s="31"/>
      <c r="C36" s="56"/>
      <c r="D36" s="122">
        <f>(500)*$E$9</f>
        <v>0</v>
      </c>
      <c r="E36" s="122"/>
      <c r="F36" s="113" t="s">
        <v>143</v>
      </c>
      <c r="G36" s="123"/>
      <c r="H36" s="123"/>
      <c r="I36" s="123"/>
      <c r="J36" s="123"/>
    </row>
    <row r="37" spans="1:14" ht="12.75" x14ac:dyDescent="0.2">
      <c r="A37" s="2"/>
      <c r="B37" s="2"/>
      <c r="C37" s="15">
        <f>SUM(C27:C36)</f>
        <v>0</v>
      </c>
      <c r="D37" s="15">
        <f>SUM(D27:D36)</f>
        <v>0</v>
      </c>
      <c r="E37" s="15">
        <f>SUM(E27:E36)</f>
        <v>0</v>
      </c>
      <c r="F37" s="2"/>
    </row>
    <row r="38" spans="1:14" ht="12.75" x14ac:dyDescent="0.2">
      <c r="A38" s="2"/>
      <c r="B38" s="2"/>
      <c r="C38" s="15"/>
      <c r="D38" s="15"/>
      <c r="E38" s="15"/>
      <c r="F38" s="2"/>
    </row>
    <row r="39" spans="1:14" ht="12.75" x14ac:dyDescent="0.2">
      <c r="A39" s="2"/>
      <c r="B39" s="2"/>
      <c r="C39" s="15"/>
      <c r="D39" s="15"/>
      <c r="E39" s="15">
        <f>E21+C37</f>
        <v>0</v>
      </c>
      <c r="F39" s="2" t="s">
        <v>26</v>
      </c>
    </row>
    <row r="40" spans="1:14" ht="13.5" thickBot="1" x14ac:dyDescent="0.25">
      <c r="A40" s="2"/>
      <c r="B40" s="2"/>
      <c r="C40" s="2"/>
      <c r="D40" s="2"/>
      <c r="E40" s="14">
        <f>D37+E37</f>
        <v>0</v>
      </c>
      <c r="F40" s="13" t="s">
        <v>25</v>
      </c>
    </row>
    <row r="41" spans="1:14" ht="12.75" x14ac:dyDescent="0.2">
      <c r="A41" s="2"/>
      <c r="B41" s="2"/>
      <c r="C41" s="2"/>
      <c r="D41" s="2"/>
      <c r="E41" s="12">
        <f>+E21+C37+D37+E37</f>
        <v>0</v>
      </c>
      <c r="F41" s="11" t="s">
        <v>24</v>
      </c>
    </row>
    <row r="42" spans="1:14" ht="12.75" x14ac:dyDescent="0.2">
      <c r="A42" s="2"/>
      <c r="B42" s="2"/>
      <c r="C42" s="2"/>
      <c r="D42" s="2"/>
      <c r="E42" s="4"/>
      <c r="F42" s="2"/>
    </row>
    <row r="43" spans="1:14" ht="12.75" x14ac:dyDescent="0.2">
      <c r="A43" s="2"/>
      <c r="B43" s="2"/>
      <c r="C43" s="2"/>
      <c r="D43" s="2"/>
      <c r="E43" s="2"/>
    </row>
    <row r="44" spans="1:14" ht="12.75" x14ac:dyDescent="0.2">
      <c r="A44" s="2" t="s">
        <v>23</v>
      </c>
      <c r="B44" s="2"/>
      <c r="C44" s="2"/>
      <c r="D44" s="2"/>
      <c r="E44" s="2"/>
    </row>
    <row r="45" spans="1:14" ht="12.75" x14ac:dyDescent="0.2">
      <c r="A45" s="2"/>
      <c r="B45" s="2"/>
      <c r="C45" s="2"/>
      <c r="D45" s="2"/>
      <c r="E45" s="2"/>
    </row>
    <row r="46" spans="1:14" ht="12.75" x14ac:dyDescent="0.2">
      <c r="A46" s="2"/>
      <c r="B46" s="2"/>
      <c r="C46" s="2"/>
      <c r="D46" s="2"/>
      <c r="E46" s="2"/>
    </row>
    <row r="47" spans="1:14" ht="12.75" x14ac:dyDescent="0.2">
      <c r="A47" s="3" t="s">
        <v>22</v>
      </c>
      <c r="B47" s="8" t="s">
        <v>12</v>
      </c>
      <c r="C47" s="8" t="s">
        <v>11</v>
      </c>
      <c r="D47" s="2"/>
      <c r="E47" s="2"/>
    </row>
    <row r="48" spans="1:14" ht="12.75" x14ac:dyDescent="0.2">
      <c r="A48" s="2" t="s">
        <v>10</v>
      </c>
      <c r="B48" s="4"/>
      <c r="C48" s="4"/>
      <c r="D48" s="2"/>
      <c r="E48" s="2"/>
    </row>
    <row r="49" spans="1:5" ht="12.75" x14ac:dyDescent="0.2">
      <c r="A49" s="2" t="s">
        <v>9</v>
      </c>
      <c r="B49" s="5"/>
      <c r="C49" s="5"/>
      <c r="D49" s="2"/>
      <c r="E49" s="2"/>
    </row>
    <row r="50" spans="1:5" ht="12.75" x14ac:dyDescent="0.2">
      <c r="A50" s="2" t="s">
        <v>17</v>
      </c>
      <c r="B50" s="4">
        <f>SUM(B48:B49)</f>
        <v>0</v>
      </c>
      <c r="C50" s="4">
        <f>SUM(C48:C49)</f>
        <v>0</v>
      </c>
      <c r="D50" s="2"/>
      <c r="E50" s="2"/>
    </row>
    <row r="51" spans="1:5" ht="12.75" x14ac:dyDescent="0.2">
      <c r="A51" s="2"/>
      <c r="B51" s="2"/>
      <c r="C51" s="2"/>
      <c r="D51" s="2"/>
      <c r="E51" s="2"/>
    </row>
    <row r="52" spans="1:5" ht="12.75" x14ac:dyDescent="0.2">
      <c r="A52" s="3" t="s">
        <v>21</v>
      </c>
      <c r="B52" s="2"/>
      <c r="C52" s="2"/>
      <c r="D52" s="2"/>
      <c r="E52" s="2"/>
    </row>
    <row r="53" spans="1:5" ht="12.75" x14ac:dyDescent="0.2">
      <c r="A53" s="2" t="s">
        <v>10</v>
      </c>
      <c r="B53" s="4">
        <f>A19</f>
        <v>0</v>
      </c>
      <c r="C53" s="4">
        <f>C19</f>
        <v>0</v>
      </c>
      <c r="D53" s="2"/>
      <c r="E53" s="2"/>
    </row>
    <row r="54" spans="1:5" ht="12.75" x14ac:dyDescent="0.2">
      <c r="A54" s="2" t="s">
        <v>9</v>
      </c>
      <c r="B54" s="5">
        <f>B19</f>
        <v>0</v>
      </c>
      <c r="C54" s="5">
        <f>D19</f>
        <v>0</v>
      </c>
      <c r="D54" s="2"/>
      <c r="E54" s="2"/>
    </row>
    <row r="55" spans="1:5" ht="12.75" x14ac:dyDescent="0.2">
      <c r="A55" s="2" t="s">
        <v>17</v>
      </c>
      <c r="B55" s="4">
        <f>SUM(B53:B54)</f>
        <v>0</v>
      </c>
      <c r="C55" s="4">
        <f>SUM(C53:C54)</f>
        <v>0</v>
      </c>
      <c r="D55" s="2"/>
      <c r="E55" s="2"/>
    </row>
    <row r="56" spans="1:5" ht="12.75" x14ac:dyDescent="0.2">
      <c r="A56" s="2"/>
      <c r="B56" s="4"/>
      <c r="C56" s="4"/>
      <c r="D56" s="2"/>
      <c r="E56" s="2"/>
    </row>
    <row r="57" spans="1:5" ht="12.75" x14ac:dyDescent="0.2">
      <c r="A57" s="11" t="s">
        <v>20</v>
      </c>
      <c r="B57" s="4"/>
      <c r="C57" s="4"/>
      <c r="D57" s="2"/>
      <c r="E57" s="2"/>
    </row>
    <row r="58" spans="1:5" ht="12.75" x14ac:dyDescent="0.2">
      <c r="A58" s="2" t="s">
        <v>19</v>
      </c>
      <c r="B58" s="4">
        <f>C30</f>
        <v>0</v>
      </c>
      <c r="C58" s="4"/>
      <c r="D58" s="2"/>
      <c r="E58" s="2"/>
    </row>
    <row r="59" spans="1:5" ht="12.75" x14ac:dyDescent="0.2">
      <c r="A59" s="2" t="s">
        <v>18</v>
      </c>
      <c r="B59" s="5">
        <f>C31</f>
        <v>0</v>
      </c>
      <c r="C59" s="4"/>
      <c r="D59" s="2"/>
      <c r="E59" s="2"/>
    </row>
    <row r="60" spans="1:5" ht="12.75" x14ac:dyDescent="0.2">
      <c r="A60" s="2" t="s">
        <v>17</v>
      </c>
      <c r="B60" s="4">
        <f>+B58+B59</f>
        <v>0</v>
      </c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/>
      <c r="B63" s="4"/>
      <c r="C63" s="4"/>
      <c r="D63" s="2"/>
      <c r="E63" s="2"/>
    </row>
    <row r="64" spans="1:5" ht="12.75" x14ac:dyDescent="0.2">
      <c r="A64" s="2" t="s">
        <v>16</v>
      </c>
      <c r="B64" s="4"/>
      <c r="C64" s="4"/>
      <c r="D64" s="2"/>
      <c r="E64" s="11"/>
    </row>
    <row r="65" spans="1:5" ht="12.75" x14ac:dyDescent="0.2">
      <c r="A65" s="2" t="s">
        <v>10</v>
      </c>
      <c r="B65" s="4"/>
      <c r="C65" s="4">
        <f>D37</f>
        <v>0</v>
      </c>
      <c r="D65" s="2"/>
      <c r="E65" s="10"/>
    </row>
    <row r="66" spans="1:5" ht="12.75" x14ac:dyDescent="0.2">
      <c r="A66" s="2" t="s">
        <v>9</v>
      </c>
      <c r="B66" s="5"/>
      <c r="C66" s="5">
        <f>E37</f>
        <v>0</v>
      </c>
      <c r="D66" s="2"/>
    </row>
    <row r="67" spans="1:5" ht="12.75" x14ac:dyDescent="0.2">
      <c r="A67" s="2" t="s">
        <v>15</v>
      </c>
      <c r="B67" s="4">
        <f>+B65+B66</f>
        <v>0</v>
      </c>
      <c r="C67" s="4">
        <f>+C65+C66</f>
        <v>0</v>
      </c>
      <c r="D67" s="2"/>
    </row>
    <row r="68" spans="1:5" ht="12.75" x14ac:dyDescent="0.2">
      <c r="A68" s="2"/>
      <c r="B68" s="4"/>
      <c r="C68" s="4"/>
      <c r="D68" s="2"/>
    </row>
    <row r="69" spans="1:5" ht="12.75" x14ac:dyDescent="0.2">
      <c r="A69" s="2" t="s">
        <v>7</v>
      </c>
      <c r="B69" s="4">
        <f>+B50+B55+B60+B67</f>
        <v>0</v>
      </c>
      <c r="C69" s="4">
        <f>+C50+C55+C60+C67</f>
        <v>0</v>
      </c>
      <c r="D69" s="2"/>
    </row>
    <row r="70" spans="1:5" ht="12.75" x14ac:dyDescent="0.2">
      <c r="A70" s="2"/>
      <c r="B70" s="4"/>
      <c r="C70" s="4"/>
      <c r="D70" s="2"/>
    </row>
    <row r="71" spans="1:5" ht="12.75" x14ac:dyDescent="0.2">
      <c r="A71" s="2" t="s">
        <v>14</v>
      </c>
      <c r="B71" s="4">
        <f>A19+B19+C37</f>
        <v>0</v>
      </c>
      <c r="C71" s="4">
        <f>C19+D19+D37+E37</f>
        <v>0</v>
      </c>
      <c r="D71" s="2"/>
    </row>
    <row r="72" spans="1:5" ht="12.75" x14ac:dyDescent="0.2">
      <c r="A72" s="2"/>
      <c r="B72" s="4"/>
      <c r="C72" s="4"/>
      <c r="D72" s="2"/>
    </row>
    <row r="73" spans="1:5" ht="12.75" x14ac:dyDescent="0.2">
      <c r="A73" s="2"/>
      <c r="B73" s="4"/>
      <c r="C73" s="4"/>
      <c r="D73" s="2"/>
    </row>
    <row r="74" spans="1:5" ht="12.75" x14ac:dyDescent="0.2">
      <c r="A74" s="2"/>
      <c r="B74" s="4"/>
      <c r="C74" s="4"/>
      <c r="D74" s="2"/>
    </row>
    <row r="75" spans="1:5" ht="13.5" thickBot="1" x14ac:dyDescent="0.25">
      <c r="A75" s="9" t="s">
        <v>13</v>
      </c>
      <c r="B75" s="8" t="s">
        <v>12</v>
      </c>
      <c r="C75" s="8" t="s">
        <v>11</v>
      </c>
      <c r="D75" s="2"/>
    </row>
    <row r="76" spans="1:5" ht="12.75" x14ac:dyDescent="0.2">
      <c r="A76" s="2" t="s">
        <v>10</v>
      </c>
      <c r="B76" s="4">
        <v>0</v>
      </c>
      <c r="C76" s="7">
        <f>((E34/5))*0.5</f>
        <v>0</v>
      </c>
      <c r="D76" s="6"/>
    </row>
    <row r="77" spans="1:5" ht="12.75" x14ac:dyDescent="0.2">
      <c r="A77" s="2" t="s">
        <v>9</v>
      </c>
      <c r="B77" s="4">
        <v>0</v>
      </c>
      <c r="C77" s="4">
        <v>0</v>
      </c>
    </row>
    <row r="78" spans="1:5" ht="12.75" x14ac:dyDescent="0.2">
      <c r="A78" s="2" t="s">
        <v>8</v>
      </c>
      <c r="B78" s="5">
        <v>0</v>
      </c>
      <c r="C78" s="5"/>
      <c r="D78" s="2"/>
    </row>
    <row r="79" spans="1:5" ht="12.75" x14ac:dyDescent="0.2">
      <c r="A79" s="2" t="s">
        <v>7</v>
      </c>
      <c r="B79" s="4">
        <f>SUM(B76:B78)</f>
        <v>0</v>
      </c>
      <c r="C79" s="4">
        <f>SUM(C76:C78)</f>
        <v>0</v>
      </c>
      <c r="D79" s="2"/>
    </row>
    <row r="80" spans="1:5" ht="12.75" x14ac:dyDescent="0.2">
      <c r="A80" s="2"/>
      <c r="B80" s="4"/>
      <c r="C80" s="4"/>
      <c r="D80" s="2"/>
    </row>
    <row r="81" spans="1:4" ht="12.75" x14ac:dyDescent="0.2">
      <c r="A81" s="2" t="s">
        <v>6</v>
      </c>
      <c r="B81" s="4"/>
      <c r="C81" s="4"/>
      <c r="D81" s="2"/>
    </row>
    <row r="82" spans="1:4" ht="12.75" x14ac:dyDescent="0.2">
      <c r="A82" s="2"/>
      <c r="B82" s="4"/>
      <c r="C82" s="4"/>
      <c r="D82" s="2"/>
    </row>
    <row r="83" spans="1:4" ht="12.75" x14ac:dyDescent="0.2">
      <c r="A83" s="2"/>
      <c r="B83" s="2"/>
      <c r="C83" s="2"/>
      <c r="D83" s="2"/>
    </row>
    <row r="84" spans="1:4" ht="12.75" x14ac:dyDescent="0.2">
      <c r="A84" s="3" t="s">
        <v>5</v>
      </c>
      <c r="B84" s="2"/>
      <c r="C84" s="2"/>
      <c r="D84" s="2"/>
    </row>
    <row r="85" spans="1:4" ht="12.75" x14ac:dyDescent="0.2">
      <c r="A85" s="2" t="s">
        <v>4</v>
      </c>
      <c r="B85" s="2"/>
      <c r="C85" s="2"/>
      <c r="D85" s="2"/>
    </row>
    <row r="86" spans="1:4" ht="12.75" x14ac:dyDescent="0.2">
      <c r="A86" s="2" t="s">
        <v>3</v>
      </c>
      <c r="B86" s="2"/>
      <c r="C86" s="2"/>
      <c r="D86" s="2"/>
    </row>
    <row r="87" spans="1:4" ht="12.75" x14ac:dyDescent="0.2">
      <c r="A87" s="2" t="s">
        <v>2</v>
      </c>
      <c r="B87" s="2"/>
      <c r="C87" s="2"/>
      <c r="D87" s="2"/>
    </row>
    <row r="88" spans="1:4" ht="12.75" x14ac:dyDescent="0.2">
      <c r="A88" s="2" t="s">
        <v>1</v>
      </c>
      <c r="B88" s="2"/>
      <c r="C88" s="2"/>
      <c r="D88" s="2"/>
    </row>
    <row r="89" spans="1:4" ht="12.75" x14ac:dyDescent="0.2">
      <c r="A89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9"/>
  <sheetViews>
    <sheetView showGridLines="0" zoomScale="130" zoomScaleNormal="130" workbookViewId="0">
      <selection activeCell="A3" sqref="A3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0</v>
      </c>
      <c r="F9" s="40">
        <v>90000</v>
      </c>
      <c r="G9" s="119">
        <f>0.9375%*0</f>
        <v>0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8"/>
      <c r="B10" s="18"/>
      <c r="C10" s="18"/>
      <c r="D10" s="18"/>
      <c r="E10" s="31"/>
      <c r="F10" s="31"/>
      <c r="G10" s="31"/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8">
        <f>$E$9*1425</f>
        <v>0</v>
      </c>
      <c r="C12" s="18"/>
      <c r="D12" s="18"/>
      <c r="E12" s="31" t="s">
        <v>44</v>
      </c>
      <c r="F12" s="31"/>
      <c r="G12" s="31"/>
      <c r="H12" s="31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18">
        <f>0*$E$9</f>
        <v>0</v>
      </c>
      <c r="B13" s="18">
        <f>0*$E$9</f>
        <v>0</v>
      </c>
      <c r="C13" s="18"/>
      <c r="D13" s="18"/>
      <c r="E13" s="31" t="s">
        <v>54</v>
      </c>
      <c r="F13" s="31"/>
      <c r="G13" s="31"/>
      <c r="H13" s="31"/>
      <c r="I13" s="31"/>
      <c r="J13" s="31"/>
      <c r="K13" s="31"/>
      <c r="L13" s="29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/>
      <c r="D14" s="18"/>
      <c r="E14" s="31"/>
      <c r="F14" s="31"/>
      <c r="G14" s="31"/>
      <c r="H14" s="31"/>
      <c r="I14" s="31"/>
      <c r="J14" s="31"/>
      <c r="K14" s="31"/>
      <c r="L14" s="29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0</v>
      </c>
      <c r="B16" s="34">
        <f>SUM(B10:B15)</f>
        <v>0</v>
      </c>
      <c r="C16" s="34">
        <f>SUM(C10:C15)</f>
        <v>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0</v>
      </c>
      <c r="B17" s="34"/>
      <c r="C17" s="34">
        <f>+(C16)*0.08</f>
        <v>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+A16*0.15</f>
        <v>0</v>
      </c>
      <c r="B18" s="37">
        <f>+B16*0.15</f>
        <v>0</v>
      </c>
      <c r="C18" s="37">
        <f>+C16*0.15</f>
        <v>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0</v>
      </c>
      <c r="B19" s="34">
        <f>SUM(B16:B18)</f>
        <v>0</v>
      </c>
      <c r="C19" s="34">
        <f>SUM(C16:C18)</f>
        <v>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0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20">
        <f>G9</f>
        <v>0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0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0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0</v>
      </c>
      <c r="E29" s="182">
        <f>50000*$G$9</f>
        <v>0</v>
      </c>
      <c r="F29" s="2" t="s">
        <v>278</v>
      </c>
    </row>
    <row r="30" spans="1:17" ht="12.75" x14ac:dyDescent="0.2">
      <c r="A30" s="2" t="s">
        <v>35</v>
      </c>
      <c r="B30" s="2"/>
      <c r="C30" s="18">
        <f>(7730000*0.98)*$G$9</f>
        <v>0</v>
      </c>
      <c r="F30" s="31" t="s">
        <v>277</v>
      </c>
      <c r="G30" s="19"/>
      <c r="H30" s="19"/>
      <c r="I30" s="19"/>
    </row>
    <row r="31" spans="1:17" ht="12.75" x14ac:dyDescent="0.2">
      <c r="A31" s="2" t="s">
        <v>34</v>
      </c>
      <c r="B31" s="2"/>
      <c r="C31" s="18">
        <f>(7730000*0.02)*$G$9</f>
        <v>0</v>
      </c>
      <c r="F31" s="31" t="s">
        <v>276</v>
      </c>
      <c r="G31" s="19"/>
      <c r="H31" s="19"/>
      <c r="I31" s="19"/>
    </row>
    <row r="32" spans="1:17" ht="12.75" x14ac:dyDescent="0.2">
      <c r="A32" s="2" t="s">
        <v>33</v>
      </c>
      <c r="B32" s="2"/>
      <c r="C32" s="2"/>
      <c r="E32" s="15">
        <f>80000*5*$G$9</f>
        <v>0</v>
      </c>
      <c r="F32" s="17" t="s">
        <v>32</v>
      </c>
    </row>
    <row r="33" spans="1:12" ht="12.75" x14ac:dyDescent="0.2">
      <c r="A33" s="2" t="s">
        <v>31</v>
      </c>
      <c r="B33" s="2"/>
      <c r="C33" s="2"/>
      <c r="E33" s="15">
        <f>1000000*$G$9</f>
        <v>0</v>
      </c>
      <c r="F33" s="17" t="s">
        <v>30</v>
      </c>
    </row>
    <row r="34" spans="1:12" ht="12.75" x14ac:dyDescent="0.2">
      <c r="A34" s="31" t="s">
        <v>29</v>
      </c>
      <c r="B34" s="31"/>
      <c r="C34" s="31"/>
      <c r="D34" s="123"/>
      <c r="E34" s="121">
        <f>90000*1*200*$G$9</f>
        <v>0</v>
      </c>
      <c r="F34" s="124" t="s">
        <v>114</v>
      </c>
      <c r="G34" s="123"/>
      <c r="H34" s="123"/>
      <c r="I34" s="123"/>
      <c r="J34" s="123"/>
      <c r="K34" s="123"/>
      <c r="L34" s="123"/>
    </row>
    <row r="35" spans="1:12" ht="12.75" x14ac:dyDescent="0.2">
      <c r="A35" s="31"/>
      <c r="B35" s="31"/>
      <c r="C35" s="31"/>
      <c r="D35" s="125">
        <f>50*E9</f>
        <v>0</v>
      </c>
      <c r="E35" s="121"/>
      <c r="F35" s="124" t="s">
        <v>121</v>
      </c>
      <c r="G35" s="123"/>
      <c r="H35" s="123"/>
      <c r="I35" s="123"/>
      <c r="J35" s="123"/>
      <c r="K35" s="123"/>
      <c r="L35" s="123"/>
    </row>
    <row r="36" spans="1:12" ht="13.5" thickBot="1" x14ac:dyDescent="0.25">
      <c r="A36" s="31"/>
      <c r="B36" s="31"/>
      <c r="C36" s="56"/>
      <c r="D36" s="122">
        <f>(500)*$E$9</f>
        <v>0</v>
      </c>
      <c r="E36" s="122"/>
      <c r="F36" s="113" t="s">
        <v>143</v>
      </c>
      <c r="G36" s="123"/>
      <c r="H36" s="123"/>
      <c r="I36" s="123"/>
      <c r="J36" s="123"/>
    </row>
    <row r="37" spans="1:12" ht="12.75" x14ac:dyDescent="0.2">
      <c r="A37" s="2"/>
      <c r="B37" s="2"/>
      <c r="C37" s="15">
        <f>SUM(C27:C36)</f>
        <v>0</v>
      </c>
      <c r="D37" s="15">
        <f>SUM(D27:D36)</f>
        <v>0</v>
      </c>
      <c r="E37" s="15">
        <f>SUM(E27:E36)</f>
        <v>0</v>
      </c>
      <c r="F37" s="2"/>
    </row>
    <row r="38" spans="1:12" ht="12.75" x14ac:dyDescent="0.2">
      <c r="A38" s="2"/>
      <c r="B38" s="2"/>
      <c r="C38" s="15"/>
      <c r="D38" s="15"/>
      <c r="E38" s="15"/>
      <c r="F38" s="2"/>
    </row>
    <row r="39" spans="1:12" ht="12.75" x14ac:dyDescent="0.2">
      <c r="A39" s="2"/>
      <c r="B39" s="2"/>
      <c r="C39" s="15"/>
      <c r="D39" s="15"/>
      <c r="E39" s="15">
        <f>E21+C37</f>
        <v>0</v>
      </c>
      <c r="F39" s="2" t="s">
        <v>26</v>
      </c>
    </row>
    <row r="40" spans="1:12" ht="13.5" thickBot="1" x14ac:dyDescent="0.25">
      <c r="A40" s="2"/>
      <c r="B40" s="2"/>
      <c r="C40" s="2"/>
      <c r="D40" s="2"/>
      <c r="E40" s="14">
        <f>D37+E37</f>
        <v>0</v>
      </c>
      <c r="F40" s="13" t="s">
        <v>25</v>
      </c>
    </row>
    <row r="41" spans="1:12" ht="12.75" x14ac:dyDescent="0.2">
      <c r="A41" s="2"/>
      <c r="B41" s="2"/>
      <c r="C41" s="2"/>
      <c r="D41" s="2"/>
      <c r="E41" s="12">
        <f>+E21+C37+D37+E37</f>
        <v>0</v>
      </c>
      <c r="F41" s="11" t="s">
        <v>24</v>
      </c>
    </row>
    <row r="42" spans="1:12" ht="12.75" x14ac:dyDescent="0.2">
      <c r="A42" s="2"/>
      <c r="B42" s="2"/>
      <c r="C42" s="2"/>
      <c r="D42" s="2"/>
      <c r="E42" s="4"/>
      <c r="F42" s="2"/>
    </row>
    <row r="43" spans="1:12" ht="12.75" x14ac:dyDescent="0.2">
      <c r="A43" s="2"/>
      <c r="B43" s="2"/>
      <c r="C43" s="2"/>
      <c r="D43" s="2"/>
      <c r="E43" s="2"/>
    </row>
    <row r="44" spans="1:12" ht="12.75" x14ac:dyDescent="0.2">
      <c r="A44" s="2" t="s">
        <v>23</v>
      </c>
      <c r="B44" s="2"/>
      <c r="C44" s="2"/>
      <c r="D44" s="2"/>
      <c r="E44" s="2"/>
    </row>
    <row r="45" spans="1:12" ht="12.75" x14ac:dyDescent="0.2">
      <c r="A45" s="2"/>
      <c r="B45" s="2"/>
      <c r="C45" s="2"/>
      <c r="D45" s="2"/>
      <c r="E45" s="2"/>
    </row>
    <row r="46" spans="1:12" ht="12.75" x14ac:dyDescent="0.2">
      <c r="A46" s="2"/>
      <c r="B46" s="2"/>
      <c r="C46" s="2"/>
      <c r="D46" s="2"/>
      <c r="E46" s="2"/>
    </row>
    <row r="47" spans="1:12" ht="12.75" x14ac:dyDescent="0.2">
      <c r="A47" s="3" t="s">
        <v>22</v>
      </c>
      <c r="B47" s="8" t="s">
        <v>12</v>
      </c>
      <c r="C47" s="8" t="s">
        <v>11</v>
      </c>
      <c r="D47" s="2"/>
      <c r="E47" s="2"/>
    </row>
    <row r="48" spans="1:12" ht="12.75" x14ac:dyDescent="0.2">
      <c r="A48" s="2" t="s">
        <v>10</v>
      </c>
      <c r="B48" s="4"/>
      <c r="C48" s="4"/>
      <c r="D48" s="2"/>
      <c r="E48" s="2"/>
    </row>
    <row r="49" spans="1:5" ht="12.75" x14ac:dyDescent="0.2">
      <c r="A49" s="2" t="s">
        <v>9</v>
      </c>
      <c r="B49" s="5"/>
      <c r="C49" s="5"/>
      <c r="D49" s="2"/>
      <c r="E49" s="2"/>
    </row>
    <row r="50" spans="1:5" ht="12.75" x14ac:dyDescent="0.2">
      <c r="A50" s="2" t="s">
        <v>17</v>
      </c>
      <c r="B50" s="4">
        <f>SUM(B48:B49)</f>
        <v>0</v>
      </c>
      <c r="C50" s="4">
        <f>SUM(C48:C49)</f>
        <v>0</v>
      </c>
      <c r="D50" s="2"/>
      <c r="E50" s="2"/>
    </row>
    <row r="51" spans="1:5" ht="12.75" x14ac:dyDescent="0.2">
      <c r="A51" s="2"/>
      <c r="B51" s="2"/>
      <c r="C51" s="2"/>
      <c r="D51" s="2"/>
      <c r="E51" s="2"/>
    </row>
    <row r="52" spans="1:5" ht="12.75" x14ac:dyDescent="0.2">
      <c r="A52" s="3" t="s">
        <v>21</v>
      </c>
      <c r="B52" s="2"/>
      <c r="C52" s="2"/>
      <c r="D52" s="2"/>
      <c r="E52" s="2"/>
    </row>
    <row r="53" spans="1:5" ht="12.75" x14ac:dyDescent="0.2">
      <c r="A53" s="2" t="s">
        <v>10</v>
      </c>
      <c r="B53" s="4">
        <f>A19</f>
        <v>0</v>
      </c>
      <c r="C53" s="4">
        <f>C19</f>
        <v>0</v>
      </c>
      <c r="D53" s="2"/>
      <c r="E53" s="2"/>
    </row>
    <row r="54" spans="1:5" ht="12.75" x14ac:dyDescent="0.2">
      <c r="A54" s="2" t="s">
        <v>9</v>
      </c>
      <c r="B54" s="5">
        <f>B19</f>
        <v>0</v>
      </c>
      <c r="C54" s="5">
        <f>D19</f>
        <v>0</v>
      </c>
      <c r="D54" s="2"/>
      <c r="E54" s="2"/>
    </row>
    <row r="55" spans="1:5" ht="12.75" x14ac:dyDescent="0.2">
      <c r="A55" s="2" t="s">
        <v>17</v>
      </c>
      <c r="B55" s="4">
        <f>SUM(B53:B54)</f>
        <v>0</v>
      </c>
      <c r="C55" s="4">
        <f>SUM(C53:C54)</f>
        <v>0</v>
      </c>
      <c r="D55" s="2"/>
      <c r="E55" s="2"/>
    </row>
    <row r="56" spans="1:5" ht="12.75" x14ac:dyDescent="0.2">
      <c r="A56" s="2"/>
      <c r="B56" s="4"/>
      <c r="C56" s="4"/>
      <c r="D56" s="2"/>
      <c r="E56" s="2"/>
    </row>
    <row r="57" spans="1:5" ht="12.75" x14ac:dyDescent="0.2">
      <c r="A57" s="11" t="s">
        <v>20</v>
      </c>
      <c r="B57" s="4"/>
      <c r="C57" s="4"/>
      <c r="D57" s="2"/>
      <c r="E57" s="2"/>
    </row>
    <row r="58" spans="1:5" ht="12.75" x14ac:dyDescent="0.2">
      <c r="A58" s="2" t="s">
        <v>19</v>
      </c>
      <c r="B58" s="4">
        <f>C30</f>
        <v>0</v>
      </c>
      <c r="C58" s="4"/>
      <c r="D58" s="2"/>
      <c r="E58" s="2"/>
    </row>
    <row r="59" spans="1:5" ht="12.75" x14ac:dyDescent="0.2">
      <c r="A59" s="2" t="s">
        <v>18</v>
      </c>
      <c r="B59" s="5">
        <f>C31</f>
        <v>0</v>
      </c>
      <c r="C59" s="4"/>
      <c r="D59" s="2"/>
      <c r="E59" s="2"/>
    </row>
    <row r="60" spans="1:5" ht="12.75" x14ac:dyDescent="0.2">
      <c r="A60" s="2" t="s">
        <v>17</v>
      </c>
      <c r="B60" s="4">
        <f>+B58+B59</f>
        <v>0</v>
      </c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/>
      <c r="B63" s="4"/>
      <c r="C63" s="4"/>
      <c r="D63" s="2"/>
      <c r="E63" s="2"/>
    </row>
    <row r="64" spans="1:5" ht="12.75" x14ac:dyDescent="0.2">
      <c r="A64" s="2" t="s">
        <v>16</v>
      </c>
      <c r="B64" s="4"/>
      <c r="C64" s="4"/>
      <c r="D64" s="2"/>
      <c r="E64" s="11"/>
    </row>
    <row r="65" spans="1:5" ht="12.75" x14ac:dyDescent="0.2">
      <c r="A65" s="2" t="s">
        <v>10</v>
      </c>
      <c r="B65" s="4"/>
      <c r="C65" s="4">
        <f>D37</f>
        <v>0</v>
      </c>
      <c r="D65" s="2"/>
      <c r="E65" s="10"/>
    </row>
    <row r="66" spans="1:5" ht="12.75" x14ac:dyDescent="0.2">
      <c r="A66" s="2" t="s">
        <v>9</v>
      </c>
      <c r="B66" s="5"/>
      <c r="C66" s="5">
        <f>E37</f>
        <v>0</v>
      </c>
      <c r="D66" s="2"/>
    </row>
    <row r="67" spans="1:5" ht="12.75" x14ac:dyDescent="0.2">
      <c r="A67" s="2" t="s">
        <v>15</v>
      </c>
      <c r="B67" s="4">
        <f>+B65+B66</f>
        <v>0</v>
      </c>
      <c r="C67" s="4">
        <f>+C65+C66</f>
        <v>0</v>
      </c>
      <c r="D67" s="2"/>
    </row>
    <row r="68" spans="1:5" ht="12.75" x14ac:dyDescent="0.2">
      <c r="A68" s="2"/>
      <c r="B68" s="4"/>
      <c r="C68" s="4"/>
      <c r="D68" s="2"/>
    </row>
    <row r="69" spans="1:5" ht="12.75" x14ac:dyDescent="0.2">
      <c r="A69" s="2" t="s">
        <v>7</v>
      </c>
      <c r="B69" s="4">
        <f>+B50+B55+B60+B67</f>
        <v>0</v>
      </c>
      <c r="C69" s="4">
        <f>+C50+C55+C60+C67</f>
        <v>0</v>
      </c>
      <c r="D69" s="2"/>
    </row>
    <row r="70" spans="1:5" ht="12.75" x14ac:dyDescent="0.2">
      <c r="A70" s="2"/>
      <c r="B70" s="4"/>
      <c r="C70" s="4"/>
      <c r="D70" s="2"/>
    </row>
    <row r="71" spans="1:5" ht="12.75" x14ac:dyDescent="0.2">
      <c r="A71" s="2" t="s">
        <v>14</v>
      </c>
      <c r="B71" s="4">
        <f>A19+B19+C37</f>
        <v>0</v>
      </c>
      <c r="C71" s="4">
        <f>C19+D19+D37+E37</f>
        <v>0</v>
      </c>
      <c r="D71" s="2"/>
    </row>
    <row r="72" spans="1:5" ht="12.75" x14ac:dyDescent="0.2">
      <c r="A72" s="2"/>
      <c r="B72" s="4"/>
      <c r="C72" s="4"/>
      <c r="D72" s="2"/>
    </row>
    <row r="73" spans="1:5" ht="12.75" x14ac:dyDescent="0.2">
      <c r="A73" s="2"/>
      <c r="B73" s="4"/>
      <c r="C73" s="4"/>
      <c r="D73" s="2"/>
    </row>
    <row r="74" spans="1:5" ht="12.75" x14ac:dyDescent="0.2">
      <c r="A74" s="2"/>
      <c r="B74" s="4"/>
      <c r="C74" s="4"/>
      <c r="D74" s="2"/>
    </row>
    <row r="75" spans="1:5" ht="13.5" thickBot="1" x14ac:dyDescent="0.25">
      <c r="A75" s="9" t="s">
        <v>13</v>
      </c>
      <c r="B75" s="8" t="s">
        <v>12</v>
      </c>
      <c r="C75" s="8" t="s">
        <v>11</v>
      </c>
      <c r="D75" s="2"/>
    </row>
    <row r="76" spans="1:5" ht="12.75" x14ac:dyDescent="0.2">
      <c r="A76" s="2" t="s">
        <v>10</v>
      </c>
      <c r="B76" s="4">
        <v>0</v>
      </c>
      <c r="C76" s="7">
        <f>((E34/5))*0.5</f>
        <v>0</v>
      </c>
      <c r="D76" s="6"/>
    </row>
    <row r="77" spans="1:5" ht="12.75" x14ac:dyDescent="0.2">
      <c r="A77" s="2" t="s">
        <v>9</v>
      </c>
      <c r="B77" s="4">
        <v>0</v>
      </c>
      <c r="C77" s="4">
        <v>0</v>
      </c>
    </row>
    <row r="78" spans="1:5" ht="12.75" x14ac:dyDescent="0.2">
      <c r="A78" s="2" t="s">
        <v>8</v>
      </c>
      <c r="B78" s="5">
        <v>0</v>
      </c>
      <c r="C78" s="5">
        <v>0</v>
      </c>
      <c r="D78" s="2"/>
    </row>
    <row r="79" spans="1:5" ht="12.75" x14ac:dyDescent="0.2">
      <c r="A79" s="2" t="s">
        <v>7</v>
      </c>
      <c r="B79" s="4">
        <f>SUM(B76:B78)</f>
        <v>0</v>
      </c>
      <c r="C79" s="4">
        <f>SUM(C76:C78)</f>
        <v>0</v>
      </c>
      <c r="D79" s="2"/>
    </row>
    <row r="80" spans="1:5" ht="12.75" x14ac:dyDescent="0.2">
      <c r="A80" s="2"/>
      <c r="B80" s="4"/>
      <c r="C80" s="4"/>
      <c r="D80" s="2"/>
    </row>
    <row r="81" spans="1:4" ht="12.75" x14ac:dyDescent="0.2">
      <c r="A81" s="2" t="s">
        <v>6</v>
      </c>
      <c r="B81" s="4"/>
      <c r="C81" s="4"/>
      <c r="D81" s="2"/>
    </row>
    <row r="82" spans="1:4" ht="12.75" x14ac:dyDescent="0.2">
      <c r="A82" s="2"/>
      <c r="B82" s="4"/>
      <c r="C82" s="4"/>
      <c r="D82" s="2"/>
    </row>
    <row r="83" spans="1:4" ht="12.75" x14ac:dyDescent="0.2">
      <c r="A83" s="2"/>
      <c r="B83" s="2"/>
      <c r="C83" s="2"/>
      <c r="D83" s="2"/>
    </row>
    <row r="84" spans="1:4" ht="12.75" x14ac:dyDescent="0.2">
      <c r="A84" s="3" t="s">
        <v>5</v>
      </c>
      <c r="B84" s="2"/>
      <c r="C84" s="2"/>
      <c r="D84" s="2"/>
    </row>
    <row r="85" spans="1:4" ht="12.75" x14ac:dyDescent="0.2">
      <c r="A85" s="2" t="s">
        <v>4</v>
      </c>
      <c r="B85" s="2"/>
      <c r="C85" s="2"/>
      <c r="D85" s="2"/>
    </row>
    <row r="86" spans="1:4" ht="12.75" x14ac:dyDescent="0.2">
      <c r="A86" s="2" t="s">
        <v>3</v>
      </c>
      <c r="B86" s="2"/>
      <c r="C86" s="2"/>
      <c r="D86" s="2"/>
    </row>
    <row r="87" spans="1:4" ht="12.75" x14ac:dyDescent="0.2">
      <c r="A87" s="2" t="s">
        <v>2</v>
      </c>
      <c r="B87" s="2"/>
      <c r="C87" s="2"/>
      <c r="D87" s="2"/>
    </row>
    <row r="88" spans="1:4" ht="12.75" x14ac:dyDescent="0.2">
      <c r="A88" s="2" t="s">
        <v>1</v>
      </c>
      <c r="B88" s="2"/>
      <c r="C88" s="2"/>
      <c r="D88" s="2"/>
    </row>
    <row r="89" spans="1:4" ht="12.75" x14ac:dyDescent="0.2">
      <c r="A89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9"/>
  <sheetViews>
    <sheetView showGridLines="0" zoomScale="130" zoomScaleNormal="130" workbookViewId="0">
      <selection activeCell="G10" sqref="G10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0</v>
      </c>
      <c r="F9" s="40">
        <v>90000</v>
      </c>
      <c r="G9" s="119">
        <f>0.9375%*0</f>
        <v>0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8"/>
      <c r="B10" s="18"/>
      <c r="C10" s="18"/>
      <c r="D10" s="18"/>
      <c r="E10" s="31"/>
      <c r="F10" s="31"/>
      <c r="G10" s="31"/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8">
        <f>$E$9*1425</f>
        <v>0</v>
      </c>
      <c r="C12" s="18"/>
      <c r="D12" s="18"/>
      <c r="E12" s="31" t="s">
        <v>44</v>
      </c>
      <c r="F12" s="31"/>
      <c r="G12" s="31"/>
      <c r="H12" s="31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18"/>
      <c r="B13" s="18"/>
      <c r="C13" s="18"/>
      <c r="D13" s="18"/>
      <c r="E13" s="31"/>
      <c r="F13" s="31"/>
      <c r="G13" s="31"/>
      <c r="H13" s="31"/>
      <c r="I13" s="31"/>
      <c r="J13" s="31"/>
      <c r="K13" s="31"/>
      <c r="L13" s="29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/>
      <c r="D14" s="18"/>
      <c r="E14" s="31"/>
      <c r="F14" s="31"/>
      <c r="G14" s="31"/>
      <c r="H14" s="31"/>
      <c r="I14" s="31"/>
      <c r="J14" s="31"/>
      <c r="K14" s="31"/>
      <c r="L14" s="29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0</v>
      </c>
      <c r="B16" s="34">
        <f>SUM(B10:B15)</f>
        <v>0</v>
      </c>
      <c r="C16" s="34">
        <f>SUM(C10:C15)</f>
        <v>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0</v>
      </c>
      <c r="B17" s="34"/>
      <c r="C17" s="34">
        <f>+(C16)*0.08</f>
        <v>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+A16*0.15</f>
        <v>0</v>
      </c>
      <c r="B18" s="37">
        <f>+B16*0.15</f>
        <v>0</v>
      </c>
      <c r="C18" s="37">
        <f>+C16*0.15</f>
        <v>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0</v>
      </c>
      <c r="B19" s="34">
        <f>SUM(B16:B18)</f>
        <v>0</v>
      </c>
      <c r="C19" s="34">
        <f>SUM(C16:C18)</f>
        <v>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0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20">
        <f>G9</f>
        <v>0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0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0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0</v>
      </c>
      <c r="E29" s="182">
        <f>50000*$G$9</f>
        <v>0</v>
      </c>
      <c r="F29" s="2" t="s">
        <v>278</v>
      </c>
    </row>
    <row r="30" spans="1:17" ht="12.75" x14ac:dyDescent="0.2">
      <c r="A30" s="31" t="s">
        <v>35</v>
      </c>
      <c r="B30" s="31"/>
      <c r="C30" s="18">
        <f>(7730000*0.98)*$G$9</f>
        <v>0</v>
      </c>
      <c r="D30" s="19"/>
      <c r="E30" s="19"/>
      <c r="F30" s="31" t="s">
        <v>277</v>
      </c>
      <c r="G30" s="19"/>
      <c r="H30" s="19"/>
      <c r="I30" s="19"/>
      <c r="J30" s="19"/>
    </row>
    <row r="31" spans="1:17" ht="12.75" x14ac:dyDescent="0.2">
      <c r="A31" s="31" t="s">
        <v>34</v>
      </c>
      <c r="B31" s="31"/>
      <c r="C31" s="18">
        <f>(7730000*0.02)*$G$9</f>
        <v>0</v>
      </c>
      <c r="D31" s="19"/>
      <c r="E31" s="19"/>
      <c r="F31" s="31" t="s">
        <v>276</v>
      </c>
      <c r="G31" s="19"/>
      <c r="H31" s="19"/>
      <c r="I31" s="19"/>
      <c r="J31" s="19"/>
    </row>
    <row r="32" spans="1:17" ht="12.75" x14ac:dyDescent="0.2">
      <c r="A32" s="2" t="s">
        <v>33</v>
      </c>
      <c r="B32" s="2"/>
      <c r="C32" s="2"/>
      <c r="E32" s="15">
        <f>80000*5*$G$9</f>
        <v>0</v>
      </c>
      <c r="F32" s="17" t="s">
        <v>32</v>
      </c>
    </row>
    <row r="33" spans="1:12" ht="12.75" x14ac:dyDescent="0.2">
      <c r="A33" s="2" t="s">
        <v>31</v>
      </c>
      <c r="B33" s="2"/>
      <c r="C33" s="2"/>
      <c r="E33" s="15">
        <f>1000000*$G$9</f>
        <v>0</v>
      </c>
      <c r="F33" s="17" t="s">
        <v>30</v>
      </c>
    </row>
    <row r="34" spans="1:12" ht="12.75" x14ac:dyDescent="0.2">
      <c r="A34" s="31" t="s">
        <v>29</v>
      </c>
      <c r="B34" s="31"/>
      <c r="C34" s="31"/>
      <c r="D34" s="123"/>
      <c r="E34" s="121">
        <f>90000*1*200*$G$9</f>
        <v>0</v>
      </c>
      <c r="F34" s="124" t="s">
        <v>114</v>
      </c>
      <c r="G34" s="123"/>
      <c r="H34" s="123"/>
      <c r="I34" s="123"/>
      <c r="J34" s="123"/>
      <c r="K34" s="123"/>
      <c r="L34" s="123"/>
    </row>
    <row r="35" spans="1:12" ht="12.75" x14ac:dyDescent="0.2">
      <c r="A35" s="31"/>
      <c r="B35" s="31"/>
      <c r="C35" s="31"/>
      <c r="D35" s="125">
        <f>50*E9</f>
        <v>0</v>
      </c>
      <c r="E35" s="121"/>
      <c r="F35" s="124" t="s">
        <v>121</v>
      </c>
      <c r="G35" s="123"/>
      <c r="H35" s="123"/>
      <c r="I35" s="123"/>
      <c r="J35" s="123"/>
      <c r="K35" s="123"/>
      <c r="L35" s="123"/>
    </row>
    <row r="36" spans="1:12" ht="13.5" thickBot="1" x14ac:dyDescent="0.25">
      <c r="A36" s="31"/>
      <c r="B36" s="31"/>
      <c r="C36" s="56"/>
      <c r="D36" s="122">
        <f>(500)*$E$9</f>
        <v>0</v>
      </c>
      <c r="E36" s="122"/>
      <c r="F36" s="113" t="s">
        <v>143</v>
      </c>
      <c r="G36" s="123"/>
      <c r="H36" s="123"/>
      <c r="I36" s="123"/>
      <c r="J36" s="123"/>
    </row>
    <row r="37" spans="1:12" ht="12.75" x14ac:dyDescent="0.2">
      <c r="A37" s="2"/>
      <c r="B37" s="2"/>
      <c r="C37" s="15">
        <f>SUM(C27:C36)</f>
        <v>0</v>
      </c>
      <c r="D37" s="15">
        <f>SUM(D27:D36)</f>
        <v>0</v>
      </c>
      <c r="E37" s="15">
        <f>SUM(E27:E36)</f>
        <v>0</v>
      </c>
      <c r="F37" s="2"/>
    </row>
    <row r="38" spans="1:12" ht="12.75" x14ac:dyDescent="0.2">
      <c r="A38" s="2"/>
      <c r="B38" s="2"/>
      <c r="C38" s="15"/>
      <c r="D38" s="15"/>
      <c r="E38" s="15"/>
      <c r="F38" s="2"/>
    </row>
    <row r="39" spans="1:12" ht="12.75" x14ac:dyDescent="0.2">
      <c r="A39" s="2"/>
      <c r="B39" s="2"/>
      <c r="C39" s="15"/>
      <c r="D39" s="15"/>
      <c r="E39" s="15">
        <f>E21+C37</f>
        <v>0</v>
      </c>
      <c r="F39" s="2" t="s">
        <v>26</v>
      </c>
    </row>
    <row r="40" spans="1:12" ht="13.5" thickBot="1" x14ac:dyDescent="0.25">
      <c r="A40" s="2"/>
      <c r="B40" s="2"/>
      <c r="C40" s="2"/>
      <c r="D40" s="2"/>
      <c r="E40" s="14">
        <f>D37+E37</f>
        <v>0</v>
      </c>
      <c r="F40" s="13" t="s">
        <v>25</v>
      </c>
    </row>
    <row r="41" spans="1:12" ht="12.75" x14ac:dyDescent="0.2">
      <c r="A41" s="2"/>
      <c r="B41" s="2"/>
      <c r="C41" s="2"/>
      <c r="D41" s="2"/>
      <c r="E41" s="12">
        <f>+E21+C37+D37+E37</f>
        <v>0</v>
      </c>
      <c r="F41" s="11" t="s">
        <v>24</v>
      </c>
    </row>
    <row r="42" spans="1:12" ht="12.75" x14ac:dyDescent="0.2">
      <c r="A42" s="2"/>
      <c r="B42" s="2"/>
      <c r="C42" s="2"/>
      <c r="D42" s="2"/>
      <c r="E42" s="4"/>
      <c r="F42" s="2"/>
    </row>
    <row r="43" spans="1:12" ht="12.75" x14ac:dyDescent="0.2">
      <c r="A43" s="2"/>
      <c r="B43" s="2"/>
      <c r="C43" s="2"/>
      <c r="D43" s="2"/>
      <c r="E43" s="2"/>
    </row>
    <row r="44" spans="1:12" ht="12.75" x14ac:dyDescent="0.2">
      <c r="A44" s="2" t="s">
        <v>23</v>
      </c>
      <c r="B44" s="2"/>
      <c r="C44" s="2"/>
      <c r="D44" s="2"/>
      <c r="E44" s="2"/>
    </row>
    <row r="45" spans="1:12" ht="12.75" x14ac:dyDescent="0.2">
      <c r="A45" s="2"/>
      <c r="B45" s="2"/>
      <c r="C45" s="2"/>
      <c r="D45" s="2"/>
      <c r="E45" s="2"/>
    </row>
    <row r="46" spans="1:12" ht="12.75" x14ac:dyDescent="0.2">
      <c r="A46" s="2"/>
      <c r="B46" s="2"/>
      <c r="C46" s="2"/>
      <c r="D46" s="2"/>
      <c r="E46" s="2"/>
    </row>
    <row r="47" spans="1:12" ht="12.75" x14ac:dyDescent="0.2">
      <c r="A47" s="3" t="s">
        <v>22</v>
      </c>
      <c r="B47" s="8" t="s">
        <v>12</v>
      </c>
      <c r="C47" s="8" t="s">
        <v>11</v>
      </c>
      <c r="D47" s="2"/>
      <c r="E47" s="2"/>
    </row>
    <row r="48" spans="1:12" ht="12.75" x14ac:dyDescent="0.2">
      <c r="A48" s="2" t="s">
        <v>10</v>
      </c>
      <c r="B48" s="4"/>
      <c r="C48" s="4"/>
      <c r="D48" s="2"/>
      <c r="E48" s="2"/>
    </row>
    <row r="49" spans="1:5" ht="12.75" x14ac:dyDescent="0.2">
      <c r="A49" s="2" t="s">
        <v>9</v>
      </c>
      <c r="B49" s="5"/>
      <c r="C49" s="5"/>
      <c r="D49" s="2"/>
      <c r="E49" s="2"/>
    </row>
    <row r="50" spans="1:5" ht="12.75" x14ac:dyDescent="0.2">
      <c r="A50" s="2" t="s">
        <v>17</v>
      </c>
      <c r="B50" s="4">
        <f>SUM(B48:B49)</f>
        <v>0</v>
      </c>
      <c r="C50" s="4">
        <f>SUM(C48:C49)</f>
        <v>0</v>
      </c>
      <c r="D50" s="2"/>
      <c r="E50" s="2"/>
    </row>
    <row r="51" spans="1:5" ht="12.75" x14ac:dyDescent="0.2">
      <c r="A51" s="2"/>
      <c r="B51" s="2"/>
      <c r="C51" s="2"/>
      <c r="D51" s="2"/>
      <c r="E51" s="2"/>
    </row>
    <row r="52" spans="1:5" ht="12.75" x14ac:dyDescent="0.2">
      <c r="A52" s="3" t="s">
        <v>21</v>
      </c>
      <c r="B52" s="2"/>
      <c r="C52" s="2"/>
      <c r="D52" s="2"/>
      <c r="E52" s="2"/>
    </row>
    <row r="53" spans="1:5" ht="12.75" x14ac:dyDescent="0.2">
      <c r="A53" s="2" t="s">
        <v>10</v>
      </c>
      <c r="B53" s="4">
        <f>A19</f>
        <v>0</v>
      </c>
      <c r="C53" s="4">
        <f>C19</f>
        <v>0</v>
      </c>
      <c r="D53" s="2"/>
      <c r="E53" s="2"/>
    </row>
    <row r="54" spans="1:5" ht="12.75" x14ac:dyDescent="0.2">
      <c r="A54" s="2" t="s">
        <v>9</v>
      </c>
      <c r="B54" s="5">
        <f>B19</f>
        <v>0</v>
      </c>
      <c r="C54" s="5">
        <f>D19</f>
        <v>0</v>
      </c>
      <c r="D54" s="2"/>
      <c r="E54" s="2"/>
    </row>
    <row r="55" spans="1:5" ht="12.75" x14ac:dyDescent="0.2">
      <c r="A55" s="2" t="s">
        <v>17</v>
      </c>
      <c r="B55" s="4">
        <f>SUM(B53:B54)</f>
        <v>0</v>
      </c>
      <c r="C55" s="4">
        <f>SUM(C53:C54)</f>
        <v>0</v>
      </c>
      <c r="D55" s="2"/>
      <c r="E55" s="2"/>
    </row>
    <row r="56" spans="1:5" ht="12.75" x14ac:dyDescent="0.2">
      <c r="A56" s="2"/>
      <c r="B56" s="4"/>
      <c r="C56" s="4"/>
      <c r="D56" s="2"/>
      <c r="E56" s="2"/>
    </row>
    <row r="57" spans="1:5" ht="12.75" x14ac:dyDescent="0.2">
      <c r="A57" s="11" t="s">
        <v>20</v>
      </c>
      <c r="B57" s="4"/>
      <c r="C57" s="4"/>
      <c r="D57" s="2"/>
      <c r="E57" s="2"/>
    </row>
    <row r="58" spans="1:5" ht="12.75" x14ac:dyDescent="0.2">
      <c r="A58" s="2" t="s">
        <v>19</v>
      </c>
      <c r="B58" s="4">
        <f>C30</f>
        <v>0</v>
      </c>
      <c r="C58" s="4"/>
      <c r="D58" s="2"/>
      <c r="E58" s="2"/>
    </row>
    <row r="59" spans="1:5" ht="12.75" x14ac:dyDescent="0.2">
      <c r="A59" s="2" t="s">
        <v>18</v>
      </c>
      <c r="B59" s="5">
        <f>C31</f>
        <v>0</v>
      </c>
      <c r="C59" s="4"/>
      <c r="D59" s="2"/>
      <c r="E59" s="2"/>
    </row>
    <row r="60" spans="1:5" ht="12.75" x14ac:dyDescent="0.2">
      <c r="A60" s="2" t="s">
        <v>17</v>
      </c>
      <c r="B60" s="4">
        <f>+B58+B59</f>
        <v>0</v>
      </c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/>
      <c r="B63" s="4"/>
      <c r="C63" s="4"/>
      <c r="D63" s="2"/>
      <c r="E63" s="2"/>
    </row>
    <row r="64" spans="1:5" ht="12.75" x14ac:dyDescent="0.2">
      <c r="A64" s="2" t="s">
        <v>16</v>
      </c>
      <c r="B64" s="4"/>
      <c r="C64" s="4"/>
      <c r="D64" s="2"/>
      <c r="E64" s="11"/>
    </row>
    <row r="65" spans="1:5" ht="12.75" x14ac:dyDescent="0.2">
      <c r="A65" s="2" t="s">
        <v>10</v>
      </c>
      <c r="B65" s="4"/>
      <c r="C65" s="4">
        <f>D37</f>
        <v>0</v>
      </c>
      <c r="D65" s="2"/>
      <c r="E65" s="10"/>
    </row>
    <row r="66" spans="1:5" ht="12.75" x14ac:dyDescent="0.2">
      <c r="A66" s="2" t="s">
        <v>9</v>
      </c>
      <c r="B66" s="5"/>
      <c r="C66" s="5">
        <f>E37</f>
        <v>0</v>
      </c>
      <c r="D66" s="2"/>
    </row>
    <row r="67" spans="1:5" ht="12.75" x14ac:dyDescent="0.2">
      <c r="A67" s="2" t="s">
        <v>15</v>
      </c>
      <c r="B67" s="4">
        <f>+B65+B66</f>
        <v>0</v>
      </c>
      <c r="C67" s="4">
        <f>+C65+C66</f>
        <v>0</v>
      </c>
      <c r="D67" s="2"/>
    </row>
    <row r="68" spans="1:5" ht="12.75" x14ac:dyDescent="0.2">
      <c r="A68" s="2"/>
      <c r="B68" s="4"/>
      <c r="C68" s="4"/>
      <c r="D68" s="2"/>
    </row>
    <row r="69" spans="1:5" ht="12.75" x14ac:dyDescent="0.2">
      <c r="A69" s="2" t="s">
        <v>7</v>
      </c>
      <c r="B69" s="4">
        <f>+B50+B55+B60+B67</f>
        <v>0</v>
      </c>
      <c r="C69" s="4">
        <f>+C50+C55+C60+C67</f>
        <v>0</v>
      </c>
      <c r="D69" s="2"/>
    </row>
    <row r="70" spans="1:5" ht="12.75" x14ac:dyDescent="0.2">
      <c r="A70" s="2"/>
      <c r="B70" s="4"/>
      <c r="C70" s="4"/>
      <c r="D70" s="2"/>
    </row>
    <row r="71" spans="1:5" ht="12.75" x14ac:dyDescent="0.2">
      <c r="A71" s="2" t="s">
        <v>14</v>
      </c>
      <c r="B71" s="4">
        <f>A19+B19+C37</f>
        <v>0</v>
      </c>
      <c r="C71" s="4">
        <f>C19+D19+D37+E37</f>
        <v>0</v>
      </c>
      <c r="D71" s="2"/>
    </row>
    <row r="72" spans="1:5" ht="12.75" x14ac:dyDescent="0.2">
      <c r="A72" s="2"/>
      <c r="B72" s="4"/>
      <c r="C72" s="4"/>
      <c r="D72" s="2"/>
    </row>
    <row r="73" spans="1:5" ht="12.75" x14ac:dyDescent="0.2">
      <c r="A73" s="2"/>
      <c r="B73" s="4"/>
      <c r="C73" s="4"/>
      <c r="D73" s="2"/>
    </row>
    <row r="74" spans="1:5" ht="12.75" x14ac:dyDescent="0.2">
      <c r="A74" s="2"/>
      <c r="B74" s="4"/>
      <c r="C74" s="4"/>
      <c r="D74" s="2"/>
    </row>
    <row r="75" spans="1:5" ht="13.5" thickBot="1" x14ac:dyDescent="0.25">
      <c r="A75" s="9" t="s">
        <v>13</v>
      </c>
      <c r="B75" s="8" t="s">
        <v>12</v>
      </c>
      <c r="C75" s="8" t="s">
        <v>11</v>
      </c>
      <c r="D75" s="2"/>
    </row>
    <row r="76" spans="1:5" ht="12.75" x14ac:dyDescent="0.2">
      <c r="A76" s="2" t="s">
        <v>10</v>
      </c>
      <c r="B76" s="4">
        <v>0</v>
      </c>
      <c r="C76" s="7">
        <f>((E34/5))*0.5</f>
        <v>0</v>
      </c>
      <c r="D76" s="6"/>
    </row>
    <row r="77" spans="1:5" ht="12.75" x14ac:dyDescent="0.2">
      <c r="A77" s="2" t="s">
        <v>9</v>
      </c>
      <c r="B77" s="4">
        <v>0</v>
      </c>
      <c r="C77" s="4">
        <v>0</v>
      </c>
    </row>
    <row r="78" spans="1:5" ht="12.75" x14ac:dyDescent="0.2">
      <c r="A78" s="2" t="s">
        <v>8</v>
      </c>
      <c r="B78" s="5">
        <v>0</v>
      </c>
      <c r="C78" s="5">
        <v>0</v>
      </c>
      <c r="D78" s="2"/>
    </row>
    <row r="79" spans="1:5" ht="12.75" x14ac:dyDescent="0.2">
      <c r="A79" s="2" t="s">
        <v>7</v>
      </c>
      <c r="B79" s="4">
        <f>SUM(B76:B78)</f>
        <v>0</v>
      </c>
      <c r="C79" s="4">
        <f>SUM(C76:C78)</f>
        <v>0</v>
      </c>
      <c r="D79" s="2"/>
    </row>
    <row r="80" spans="1:5" ht="12.75" x14ac:dyDescent="0.2">
      <c r="A80" s="2"/>
      <c r="B80" s="4"/>
      <c r="C80" s="4"/>
      <c r="D80" s="2"/>
    </row>
    <row r="81" spans="1:4" ht="12.75" x14ac:dyDescent="0.2">
      <c r="A81" s="2" t="s">
        <v>6</v>
      </c>
      <c r="B81" s="4"/>
      <c r="C81" s="4"/>
      <c r="D81" s="2"/>
    </row>
    <row r="82" spans="1:4" ht="12.75" x14ac:dyDescent="0.2">
      <c r="A82" s="2"/>
      <c r="B82" s="4"/>
      <c r="C82" s="4"/>
      <c r="D82" s="2"/>
    </row>
    <row r="83" spans="1:4" ht="12.75" x14ac:dyDescent="0.2">
      <c r="A83" s="2"/>
      <c r="B83" s="2"/>
      <c r="C83" s="2"/>
      <c r="D83" s="2"/>
    </row>
    <row r="84" spans="1:4" ht="12.75" x14ac:dyDescent="0.2">
      <c r="A84" s="3" t="s">
        <v>5</v>
      </c>
      <c r="B84" s="2"/>
      <c r="C84" s="2"/>
      <c r="D84" s="2"/>
    </row>
    <row r="85" spans="1:4" ht="12.75" x14ac:dyDescent="0.2">
      <c r="A85" s="2" t="s">
        <v>4</v>
      </c>
      <c r="B85" s="2"/>
      <c r="C85" s="2"/>
      <c r="D85" s="2"/>
    </row>
    <row r="86" spans="1:4" ht="12.75" x14ac:dyDescent="0.2">
      <c r="A86" s="2" t="s">
        <v>3</v>
      </c>
      <c r="B86" s="2"/>
      <c r="C86" s="2"/>
      <c r="D86" s="2"/>
    </row>
    <row r="87" spans="1:4" ht="12.75" x14ac:dyDescent="0.2">
      <c r="A87" s="2" t="s">
        <v>2</v>
      </c>
      <c r="B87" s="2"/>
      <c r="C87" s="2"/>
      <c r="D87" s="2"/>
    </row>
    <row r="88" spans="1:4" ht="12.75" x14ac:dyDescent="0.2">
      <c r="A88" s="2" t="s">
        <v>1</v>
      </c>
      <c r="B88" s="2"/>
      <c r="C88" s="2"/>
      <c r="D88" s="2"/>
    </row>
    <row r="89" spans="1:4" ht="12.75" x14ac:dyDescent="0.2">
      <c r="A89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9"/>
  <sheetViews>
    <sheetView showGridLines="0" zoomScale="130" zoomScaleNormal="130" workbookViewId="0">
      <selection activeCell="C14" sqref="C14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0</v>
      </c>
      <c r="F9" s="40">
        <v>90000</v>
      </c>
      <c r="G9" s="117">
        <f>4.16666666666667%*0</f>
        <v>0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8"/>
      <c r="B10" s="18"/>
      <c r="C10" s="18"/>
      <c r="D10" s="18"/>
      <c r="E10" s="31"/>
      <c r="F10" s="31"/>
      <c r="G10" s="31"/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21">
        <f>$E$9*1500</f>
        <v>0</v>
      </c>
      <c r="C12" s="121"/>
      <c r="D12" s="121"/>
      <c r="E12" s="113" t="s">
        <v>146</v>
      </c>
      <c r="F12" s="113"/>
      <c r="G12" s="113"/>
      <c r="H12" s="113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34"/>
      <c r="B13" s="18"/>
      <c r="C13" s="121">
        <f>(2500*300)*0</f>
        <v>0</v>
      </c>
      <c r="D13" s="121"/>
      <c r="E13" s="113" t="s">
        <v>188</v>
      </c>
      <c r="F13" s="113"/>
      <c r="G13" s="113"/>
      <c r="H13" s="113"/>
      <c r="I13" s="113"/>
      <c r="J13" s="113"/>
      <c r="K13" s="116" t="s">
        <v>144</v>
      </c>
      <c r="L13" s="120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/>
      <c r="D14" s="18"/>
      <c r="E14" s="31"/>
      <c r="F14" s="31"/>
      <c r="G14" s="31"/>
      <c r="H14" s="31"/>
      <c r="I14" s="31"/>
      <c r="J14" s="31"/>
      <c r="K14" s="31"/>
      <c r="L14" s="29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0</v>
      </c>
      <c r="B16" s="34">
        <f>SUM(B10:B15)</f>
        <v>0</v>
      </c>
      <c r="C16" s="34">
        <f>SUM(C10:C15)</f>
        <v>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0</v>
      </c>
      <c r="B17" s="34"/>
      <c r="C17" s="34">
        <f>+(C16)*0.08</f>
        <v>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+A16*0.15</f>
        <v>0</v>
      </c>
      <c r="B18" s="37">
        <f>+B16*0.15</f>
        <v>0</v>
      </c>
      <c r="C18" s="37">
        <f>+C16*0.15</f>
        <v>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0</v>
      </c>
      <c r="B19" s="34">
        <f>SUM(B16:B18)</f>
        <v>0</v>
      </c>
      <c r="C19" s="34">
        <f>SUM(C16:C18)</f>
        <v>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0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79">
        <f>G9</f>
        <v>0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0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0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0</v>
      </c>
      <c r="E29" s="182">
        <f>50000*$G$9</f>
        <v>0</v>
      </c>
      <c r="F29" s="2" t="s">
        <v>278</v>
      </c>
    </row>
    <row r="30" spans="1:17" ht="12.75" x14ac:dyDescent="0.2">
      <c r="A30" s="2" t="s">
        <v>35</v>
      </c>
      <c r="B30" s="2"/>
      <c r="C30" s="18">
        <f>(7730000*0.98)*$G$9</f>
        <v>0</v>
      </c>
      <c r="F30" s="31" t="s">
        <v>277</v>
      </c>
      <c r="G30" s="19"/>
      <c r="H30" s="19"/>
      <c r="I30" s="19"/>
    </row>
    <row r="31" spans="1:17" ht="12.75" x14ac:dyDescent="0.2">
      <c r="A31" s="2" t="s">
        <v>34</v>
      </c>
      <c r="B31" s="2"/>
      <c r="C31" s="18">
        <f>(7730000*0.02)*$G$9</f>
        <v>0</v>
      </c>
      <c r="F31" s="31" t="s">
        <v>276</v>
      </c>
      <c r="G31" s="19"/>
      <c r="H31" s="19"/>
      <c r="I31" s="19"/>
    </row>
    <row r="32" spans="1:17" ht="12.75" x14ac:dyDescent="0.2">
      <c r="A32" s="2" t="s">
        <v>33</v>
      </c>
      <c r="B32" s="2"/>
      <c r="C32" s="2"/>
      <c r="E32" s="15">
        <f>80000*5*$G$9</f>
        <v>0</v>
      </c>
      <c r="F32" s="17" t="s">
        <v>32</v>
      </c>
    </row>
    <row r="33" spans="1:12" ht="12.75" x14ac:dyDescent="0.2">
      <c r="A33" s="2" t="s">
        <v>31</v>
      </c>
      <c r="B33" s="2"/>
      <c r="C33" s="2"/>
      <c r="E33" s="15">
        <f>1000000*$G$9</f>
        <v>0</v>
      </c>
      <c r="F33" s="17" t="s">
        <v>30</v>
      </c>
    </row>
    <row r="34" spans="1:12" ht="12.75" x14ac:dyDescent="0.2">
      <c r="A34" s="31" t="s">
        <v>29</v>
      </c>
      <c r="B34" s="31"/>
      <c r="C34" s="31"/>
      <c r="D34" s="123"/>
      <c r="E34" s="121">
        <f>90000*1*200*$G$9</f>
        <v>0</v>
      </c>
      <c r="F34" s="124" t="s">
        <v>114</v>
      </c>
      <c r="G34" s="123"/>
      <c r="H34" s="123"/>
      <c r="I34" s="123"/>
      <c r="J34" s="123"/>
      <c r="K34" s="123"/>
      <c r="L34" s="123"/>
    </row>
    <row r="35" spans="1:12" ht="12.75" x14ac:dyDescent="0.2">
      <c r="A35" s="31"/>
      <c r="B35" s="31"/>
      <c r="C35" s="31"/>
      <c r="D35" s="125">
        <f>50*E9</f>
        <v>0</v>
      </c>
      <c r="E35" s="121"/>
      <c r="F35" s="124" t="s">
        <v>121</v>
      </c>
      <c r="G35" s="123"/>
      <c r="H35" s="123"/>
      <c r="I35" s="123"/>
      <c r="J35" s="123"/>
      <c r="K35" s="123"/>
      <c r="L35" s="123"/>
    </row>
    <row r="36" spans="1:12" ht="13.5" thickBot="1" x14ac:dyDescent="0.25">
      <c r="A36" s="31"/>
      <c r="B36" s="31"/>
      <c r="C36" s="56"/>
      <c r="D36" s="122">
        <f>(600)*$E$9</f>
        <v>0</v>
      </c>
      <c r="E36" s="122"/>
      <c r="F36" s="113" t="s">
        <v>147</v>
      </c>
      <c r="G36" s="123"/>
      <c r="H36" s="123"/>
      <c r="I36" s="123"/>
      <c r="J36" s="123"/>
      <c r="K36" s="123"/>
    </row>
    <row r="37" spans="1:12" ht="12.75" x14ac:dyDescent="0.2">
      <c r="A37" s="2"/>
      <c r="B37" s="2"/>
      <c r="C37" s="15">
        <f>SUM(C27:C36)</f>
        <v>0</v>
      </c>
      <c r="D37" s="15">
        <f>SUM(D27:D36)</f>
        <v>0</v>
      </c>
      <c r="E37" s="15">
        <f>SUM(E27:E36)</f>
        <v>0</v>
      </c>
      <c r="F37" s="2"/>
    </row>
    <row r="38" spans="1:12" ht="12.75" x14ac:dyDescent="0.2">
      <c r="A38" s="2"/>
      <c r="B38" s="2"/>
      <c r="C38" s="15"/>
      <c r="D38" s="15"/>
      <c r="E38" s="15"/>
      <c r="F38" s="2"/>
    </row>
    <row r="39" spans="1:12" ht="12.75" x14ac:dyDescent="0.2">
      <c r="A39" s="2"/>
      <c r="B39" s="2"/>
      <c r="C39" s="15"/>
      <c r="D39" s="15"/>
      <c r="E39" s="15">
        <f>E21+C37</f>
        <v>0</v>
      </c>
      <c r="F39" s="2" t="s">
        <v>26</v>
      </c>
    </row>
    <row r="40" spans="1:12" ht="13.5" thickBot="1" x14ac:dyDescent="0.25">
      <c r="A40" s="2"/>
      <c r="B40" s="2"/>
      <c r="C40" s="2"/>
      <c r="D40" s="2"/>
      <c r="E40" s="14">
        <f>D37+E37</f>
        <v>0</v>
      </c>
      <c r="F40" s="13" t="s">
        <v>25</v>
      </c>
    </row>
    <row r="41" spans="1:12" ht="12.75" x14ac:dyDescent="0.2">
      <c r="A41" s="2"/>
      <c r="B41" s="2"/>
      <c r="C41" s="2"/>
      <c r="D41" s="2"/>
      <c r="E41" s="12">
        <f>+E21+C37+D37+E37</f>
        <v>0</v>
      </c>
      <c r="F41" s="11" t="s">
        <v>24</v>
      </c>
    </row>
    <row r="42" spans="1:12" ht="12.75" x14ac:dyDescent="0.2">
      <c r="A42" s="2"/>
      <c r="B42" s="2"/>
      <c r="C42" s="2"/>
      <c r="D42" s="2"/>
      <c r="E42" s="4"/>
      <c r="F42" s="2"/>
    </row>
    <row r="43" spans="1:12" ht="12.75" x14ac:dyDescent="0.2">
      <c r="A43" s="2"/>
      <c r="B43" s="2"/>
      <c r="C43" s="2"/>
      <c r="D43" s="2"/>
      <c r="E43" s="2"/>
    </row>
    <row r="44" spans="1:12" ht="12.75" x14ac:dyDescent="0.2">
      <c r="A44" s="2" t="s">
        <v>23</v>
      </c>
      <c r="B44" s="2"/>
      <c r="C44" s="2"/>
      <c r="D44" s="2"/>
      <c r="E44" s="2"/>
    </row>
    <row r="45" spans="1:12" ht="12.75" x14ac:dyDescent="0.2">
      <c r="A45" s="2"/>
      <c r="B45" s="2"/>
      <c r="C45" s="2"/>
      <c r="D45" s="2"/>
      <c r="E45" s="2"/>
    </row>
    <row r="46" spans="1:12" ht="12.75" x14ac:dyDescent="0.2">
      <c r="A46" s="2"/>
      <c r="B46" s="2"/>
      <c r="C46" s="2"/>
      <c r="D46" s="2"/>
      <c r="E46" s="2"/>
    </row>
    <row r="47" spans="1:12" ht="12.75" x14ac:dyDescent="0.2">
      <c r="A47" s="3" t="s">
        <v>22</v>
      </c>
      <c r="B47" s="8" t="s">
        <v>12</v>
      </c>
      <c r="C47" s="8" t="s">
        <v>11</v>
      </c>
      <c r="D47" s="2"/>
      <c r="E47" s="2"/>
    </row>
    <row r="48" spans="1:12" ht="12.75" x14ac:dyDescent="0.2">
      <c r="A48" s="2" t="s">
        <v>10</v>
      </c>
      <c r="B48" s="4"/>
      <c r="C48" s="4"/>
      <c r="D48" s="2"/>
      <c r="E48" s="2"/>
    </row>
    <row r="49" spans="1:5" ht="12.75" x14ac:dyDescent="0.2">
      <c r="A49" s="2" t="s">
        <v>9</v>
      </c>
      <c r="B49" s="5"/>
      <c r="C49" s="5"/>
      <c r="D49" s="2"/>
      <c r="E49" s="2"/>
    </row>
    <row r="50" spans="1:5" ht="12.75" x14ac:dyDescent="0.2">
      <c r="A50" s="2" t="s">
        <v>17</v>
      </c>
      <c r="B50" s="4">
        <f>SUM(B48:B49)</f>
        <v>0</v>
      </c>
      <c r="C50" s="4">
        <f>SUM(C48:C49)</f>
        <v>0</v>
      </c>
      <c r="D50" s="2"/>
      <c r="E50" s="2"/>
    </row>
    <row r="51" spans="1:5" ht="12.75" x14ac:dyDescent="0.2">
      <c r="A51" s="2"/>
      <c r="B51" s="2"/>
      <c r="C51" s="2"/>
      <c r="D51" s="2"/>
      <c r="E51" s="2"/>
    </row>
    <row r="52" spans="1:5" ht="12.75" x14ac:dyDescent="0.2">
      <c r="A52" s="3" t="s">
        <v>21</v>
      </c>
      <c r="B52" s="2"/>
      <c r="C52" s="2"/>
      <c r="D52" s="2"/>
      <c r="E52" s="2"/>
    </row>
    <row r="53" spans="1:5" ht="12.75" x14ac:dyDescent="0.2">
      <c r="A53" s="2" t="s">
        <v>10</v>
      </c>
      <c r="B53" s="4">
        <f>A19</f>
        <v>0</v>
      </c>
      <c r="C53" s="4">
        <f>C19</f>
        <v>0</v>
      </c>
      <c r="D53" s="2"/>
      <c r="E53" s="2"/>
    </row>
    <row r="54" spans="1:5" ht="12.75" x14ac:dyDescent="0.2">
      <c r="A54" s="2" t="s">
        <v>9</v>
      </c>
      <c r="B54" s="5">
        <f>B19</f>
        <v>0</v>
      </c>
      <c r="C54" s="5">
        <f>D19</f>
        <v>0</v>
      </c>
      <c r="D54" s="2"/>
      <c r="E54" s="2"/>
    </row>
    <row r="55" spans="1:5" ht="12.75" x14ac:dyDescent="0.2">
      <c r="A55" s="2" t="s">
        <v>17</v>
      </c>
      <c r="B55" s="4">
        <f>SUM(B53:B54)</f>
        <v>0</v>
      </c>
      <c r="C55" s="4">
        <f>SUM(C53:C54)</f>
        <v>0</v>
      </c>
      <c r="D55" s="2"/>
      <c r="E55" s="2"/>
    </row>
    <row r="56" spans="1:5" ht="12.75" x14ac:dyDescent="0.2">
      <c r="A56" s="2"/>
      <c r="B56" s="4"/>
      <c r="C56" s="4"/>
      <c r="D56" s="2"/>
      <c r="E56" s="2"/>
    </row>
    <row r="57" spans="1:5" ht="12.75" x14ac:dyDescent="0.2">
      <c r="A57" s="11" t="s">
        <v>20</v>
      </c>
      <c r="B57" s="4"/>
      <c r="C57" s="4"/>
      <c r="D57" s="2"/>
      <c r="E57" s="2"/>
    </row>
    <row r="58" spans="1:5" ht="12.75" x14ac:dyDescent="0.2">
      <c r="A58" s="2" t="s">
        <v>19</v>
      </c>
      <c r="B58" s="4">
        <f>C30</f>
        <v>0</v>
      </c>
      <c r="C58" s="4"/>
      <c r="D58" s="2"/>
      <c r="E58" s="2"/>
    </row>
    <row r="59" spans="1:5" ht="12.75" x14ac:dyDescent="0.2">
      <c r="A59" s="2" t="s">
        <v>18</v>
      </c>
      <c r="B59" s="5">
        <f>C31</f>
        <v>0</v>
      </c>
      <c r="C59" s="4"/>
      <c r="D59" s="2"/>
      <c r="E59" s="2"/>
    </row>
    <row r="60" spans="1:5" ht="12.75" x14ac:dyDescent="0.2">
      <c r="A60" s="2" t="s">
        <v>17</v>
      </c>
      <c r="B60" s="4">
        <f>+B58+B59</f>
        <v>0</v>
      </c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/>
      <c r="B63" s="4"/>
      <c r="C63" s="4"/>
      <c r="D63" s="2"/>
      <c r="E63" s="2"/>
    </row>
    <row r="64" spans="1:5" ht="12.75" x14ac:dyDescent="0.2">
      <c r="A64" s="2" t="s">
        <v>16</v>
      </c>
      <c r="B64" s="4"/>
      <c r="C64" s="4"/>
      <c r="D64" s="2"/>
      <c r="E64" s="11"/>
    </row>
    <row r="65" spans="1:5" ht="12.75" x14ac:dyDescent="0.2">
      <c r="A65" s="2" t="s">
        <v>10</v>
      </c>
      <c r="B65" s="4"/>
      <c r="C65" s="4">
        <f>D37</f>
        <v>0</v>
      </c>
      <c r="D65" s="2"/>
      <c r="E65" s="10"/>
    </row>
    <row r="66" spans="1:5" ht="12.75" x14ac:dyDescent="0.2">
      <c r="A66" s="2" t="s">
        <v>9</v>
      </c>
      <c r="B66" s="5"/>
      <c r="C66" s="5">
        <f>E37</f>
        <v>0</v>
      </c>
      <c r="D66" s="2"/>
    </row>
    <row r="67" spans="1:5" ht="12.75" x14ac:dyDescent="0.2">
      <c r="A67" s="2" t="s">
        <v>15</v>
      </c>
      <c r="B67" s="4">
        <f>+B65+B66</f>
        <v>0</v>
      </c>
      <c r="C67" s="4">
        <f>+C65+C66</f>
        <v>0</v>
      </c>
      <c r="D67" s="2"/>
    </row>
    <row r="68" spans="1:5" ht="12.75" x14ac:dyDescent="0.2">
      <c r="A68" s="2"/>
      <c r="B68" s="4"/>
      <c r="C68" s="4"/>
      <c r="D68" s="2"/>
    </row>
    <row r="69" spans="1:5" ht="12.75" x14ac:dyDescent="0.2">
      <c r="A69" s="2" t="s">
        <v>7</v>
      </c>
      <c r="B69" s="4">
        <f>+B50+B55+B60+B67</f>
        <v>0</v>
      </c>
      <c r="C69" s="4">
        <f>+C50+C55+C60+C67</f>
        <v>0</v>
      </c>
      <c r="D69" s="2"/>
    </row>
    <row r="70" spans="1:5" ht="12.75" x14ac:dyDescent="0.2">
      <c r="A70" s="2"/>
      <c r="B70" s="4"/>
      <c r="C70" s="4"/>
      <c r="D70" s="2"/>
    </row>
    <row r="71" spans="1:5" ht="12.75" x14ac:dyDescent="0.2">
      <c r="A71" s="2" t="s">
        <v>14</v>
      </c>
      <c r="B71" s="4">
        <f>A19+B19+C37</f>
        <v>0</v>
      </c>
      <c r="C71" s="4">
        <f>C19+D19+D37+E37</f>
        <v>0</v>
      </c>
      <c r="D71" s="2"/>
    </row>
    <row r="72" spans="1:5" ht="12.75" x14ac:dyDescent="0.2">
      <c r="A72" s="2"/>
      <c r="B72" s="4"/>
      <c r="C72" s="4"/>
      <c r="D72" s="2"/>
    </row>
    <row r="73" spans="1:5" ht="12.75" x14ac:dyDescent="0.2">
      <c r="A73" s="2"/>
      <c r="B73" s="4"/>
      <c r="C73" s="4"/>
      <c r="D73" s="2"/>
    </row>
    <row r="74" spans="1:5" ht="12.75" x14ac:dyDescent="0.2">
      <c r="A74" s="2"/>
      <c r="B74" s="4"/>
      <c r="C74" s="4"/>
      <c r="D74" s="2"/>
    </row>
    <row r="75" spans="1:5" ht="13.5" thickBot="1" x14ac:dyDescent="0.25">
      <c r="A75" s="9" t="s">
        <v>13</v>
      </c>
      <c r="B75" s="8" t="s">
        <v>12</v>
      </c>
      <c r="C75" s="8" t="s">
        <v>11</v>
      </c>
      <c r="D75" s="2"/>
    </row>
    <row r="76" spans="1:5" ht="12.75" x14ac:dyDescent="0.2">
      <c r="A76" s="2" t="s">
        <v>10</v>
      </c>
      <c r="B76" s="4">
        <v>0</v>
      </c>
      <c r="C76" s="7">
        <f>((E34/5))*0.5</f>
        <v>0</v>
      </c>
      <c r="D76" s="6"/>
    </row>
    <row r="77" spans="1:5" ht="12.75" x14ac:dyDescent="0.2">
      <c r="A77" s="2" t="s">
        <v>9</v>
      </c>
      <c r="B77" s="4">
        <v>0</v>
      </c>
      <c r="C77" s="4">
        <v>0</v>
      </c>
    </row>
    <row r="78" spans="1:5" ht="12.75" x14ac:dyDescent="0.2">
      <c r="A78" s="2" t="s">
        <v>8</v>
      </c>
      <c r="B78" s="5">
        <v>0</v>
      </c>
      <c r="C78" s="5">
        <v>0</v>
      </c>
      <c r="D78" s="2"/>
    </row>
    <row r="79" spans="1:5" ht="12.75" x14ac:dyDescent="0.2">
      <c r="A79" s="2" t="s">
        <v>7</v>
      </c>
      <c r="B79" s="4">
        <f>SUM(B76:B78)</f>
        <v>0</v>
      </c>
      <c r="C79" s="4">
        <f>SUM(C76:C78)</f>
        <v>0</v>
      </c>
      <c r="D79" s="2"/>
    </row>
    <row r="80" spans="1:5" ht="12.75" x14ac:dyDescent="0.2">
      <c r="A80" s="2"/>
      <c r="B80" s="4"/>
      <c r="C80" s="4"/>
      <c r="D80" s="2"/>
    </row>
    <row r="81" spans="1:4" ht="12.75" x14ac:dyDescent="0.2">
      <c r="A81" s="2" t="s">
        <v>6</v>
      </c>
      <c r="B81" s="4"/>
      <c r="C81" s="4"/>
      <c r="D81" s="2"/>
    </row>
    <row r="82" spans="1:4" ht="12.75" x14ac:dyDescent="0.2">
      <c r="A82" s="2"/>
      <c r="B82" s="4"/>
      <c r="C82" s="4"/>
      <c r="D82" s="2"/>
    </row>
    <row r="83" spans="1:4" ht="12.75" x14ac:dyDescent="0.2">
      <c r="A83" s="2"/>
      <c r="B83" s="2"/>
      <c r="C83" s="2"/>
      <c r="D83" s="2"/>
    </row>
    <row r="84" spans="1:4" ht="12.75" x14ac:dyDescent="0.2">
      <c r="A84" s="3" t="s">
        <v>5</v>
      </c>
      <c r="B84" s="2"/>
      <c r="C84" s="2"/>
      <c r="D84" s="2"/>
    </row>
    <row r="85" spans="1:4" ht="12.75" x14ac:dyDescent="0.2">
      <c r="A85" s="2" t="s">
        <v>4</v>
      </c>
      <c r="B85" s="2"/>
      <c r="C85" s="2"/>
      <c r="D85" s="2"/>
    </row>
    <row r="86" spans="1:4" ht="12.75" x14ac:dyDescent="0.2">
      <c r="A86" s="2" t="s">
        <v>3</v>
      </c>
      <c r="B86" s="2"/>
      <c r="C86" s="2"/>
      <c r="D86" s="2"/>
    </row>
    <row r="87" spans="1:4" ht="12.75" x14ac:dyDescent="0.2">
      <c r="A87" s="2" t="s">
        <v>2</v>
      </c>
      <c r="B87" s="2"/>
      <c r="C87" s="2"/>
      <c r="D87" s="2"/>
    </row>
    <row r="88" spans="1:4" ht="12.75" x14ac:dyDescent="0.2">
      <c r="A88" s="2" t="s">
        <v>1</v>
      </c>
      <c r="B88" s="2"/>
      <c r="C88" s="2"/>
      <c r="D88" s="2"/>
    </row>
    <row r="89" spans="1:4" ht="12.75" x14ac:dyDescent="0.2">
      <c r="A89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9"/>
  <sheetViews>
    <sheetView showGridLines="0" zoomScale="130" zoomScaleNormal="130" workbookViewId="0">
      <selection activeCell="G10" sqref="G10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0</v>
      </c>
      <c r="F9" s="40">
        <v>90000</v>
      </c>
      <c r="G9" s="117">
        <f>4.16666666666667%*0</f>
        <v>0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8"/>
      <c r="B10" s="18"/>
      <c r="C10" s="18"/>
      <c r="D10" s="18"/>
      <c r="E10" s="31"/>
      <c r="F10" s="31"/>
      <c r="G10" s="31"/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21">
        <f>$E$9*1500</f>
        <v>0</v>
      </c>
      <c r="C12" s="121"/>
      <c r="D12" s="121"/>
      <c r="E12" s="113" t="s">
        <v>146</v>
      </c>
      <c r="F12" s="113"/>
      <c r="G12" s="113"/>
      <c r="H12" s="113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18">
        <f>0*$E$9</f>
        <v>0</v>
      </c>
      <c r="B13" s="18">
        <f>0*$E$9</f>
        <v>0</v>
      </c>
      <c r="C13" s="18"/>
      <c r="D13" s="18"/>
      <c r="E13" s="31" t="s">
        <v>54</v>
      </c>
      <c r="F13" s="31"/>
      <c r="G13" s="31"/>
      <c r="H13" s="31"/>
      <c r="I13" s="31"/>
      <c r="J13" s="31"/>
      <c r="K13" s="31"/>
      <c r="L13" s="29"/>
      <c r="M13" s="30"/>
      <c r="N13" s="29"/>
      <c r="O13" s="29"/>
      <c r="P13" s="29"/>
      <c r="Q13" s="29"/>
    </row>
    <row r="14" spans="1:34" ht="12.75" x14ac:dyDescent="0.2">
      <c r="A14" s="34"/>
      <c r="B14" s="18"/>
      <c r="C14" s="121">
        <f>(2500*300)*0</f>
        <v>0</v>
      </c>
      <c r="D14" s="121"/>
      <c r="E14" s="113" t="s">
        <v>188</v>
      </c>
      <c r="F14" s="113"/>
      <c r="G14" s="113"/>
      <c r="H14" s="113"/>
      <c r="I14" s="113"/>
      <c r="J14" s="113"/>
      <c r="K14" s="116" t="s">
        <v>144</v>
      </c>
      <c r="L14" s="120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0</v>
      </c>
      <c r="B16" s="34">
        <f>SUM(B10:B15)</f>
        <v>0</v>
      </c>
      <c r="C16" s="34">
        <f>SUM(C10:C15)</f>
        <v>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0</v>
      </c>
      <c r="B17" s="34"/>
      <c r="C17" s="34">
        <f>+(C16)*0.08</f>
        <v>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+A16*0.15</f>
        <v>0</v>
      </c>
      <c r="B18" s="37">
        <f>+B16*0.15</f>
        <v>0</v>
      </c>
      <c r="C18" s="37">
        <f>+C16*0.15</f>
        <v>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0</v>
      </c>
      <c r="B19" s="34">
        <f>SUM(B16:B18)</f>
        <v>0</v>
      </c>
      <c r="C19" s="34">
        <f>SUM(C16:C18)</f>
        <v>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0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79">
        <f>G9</f>
        <v>0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0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0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0</v>
      </c>
      <c r="E29" s="182">
        <f>50000*$G$9</f>
        <v>0</v>
      </c>
      <c r="F29" s="2" t="s">
        <v>278</v>
      </c>
    </row>
    <row r="30" spans="1:17" ht="12.75" x14ac:dyDescent="0.2">
      <c r="A30" s="2" t="s">
        <v>35</v>
      </c>
      <c r="B30" s="2"/>
      <c r="C30" s="18">
        <f>(7730000*0.98)*$G$9</f>
        <v>0</v>
      </c>
      <c r="F30" s="31" t="s">
        <v>277</v>
      </c>
      <c r="G30" s="19"/>
      <c r="H30" s="19"/>
      <c r="I30" s="19"/>
    </row>
    <row r="31" spans="1:17" ht="12.75" x14ac:dyDescent="0.2">
      <c r="A31" s="2" t="s">
        <v>34</v>
      </c>
      <c r="B31" s="2"/>
      <c r="C31" s="18">
        <f>(7730000*0.02)*$G$9</f>
        <v>0</v>
      </c>
      <c r="F31" s="31" t="s">
        <v>276</v>
      </c>
      <c r="G31" s="19"/>
      <c r="H31" s="19"/>
      <c r="I31" s="19"/>
    </row>
    <row r="32" spans="1:17" ht="12.75" x14ac:dyDescent="0.2">
      <c r="A32" s="2" t="s">
        <v>33</v>
      </c>
      <c r="B32" s="2"/>
      <c r="C32" s="2"/>
      <c r="E32" s="15">
        <f>80000*5*$G$9</f>
        <v>0</v>
      </c>
      <c r="F32" s="17" t="s">
        <v>32</v>
      </c>
    </row>
    <row r="33" spans="1:12" ht="12.75" x14ac:dyDescent="0.2">
      <c r="A33" s="2" t="s">
        <v>31</v>
      </c>
      <c r="B33" s="2"/>
      <c r="C33" s="2"/>
      <c r="E33" s="15">
        <f>1000000*$G$9</f>
        <v>0</v>
      </c>
      <c r="F33" s="17" t="s">
        <v>30</v>
      </c>
    </row>
    <row r="34" spans="1:12" ht="12.75" x14ac:dyDescent="0.2">
      <c r="A34" s="31" t="s">
        <v>29</v>
      </c>
      <c r="B34" s="31"/>
      <c r="C34" s="2"/>
      <c r="D34" s="123"/>
      <c r="E34" s="121">
        <f>90000*1*200*$G$9</f>
        <v>0</v>
      </c>
      <c r="F34" s="124" t="s">
        <v>114</v>
      </c>
      <c r="G34" s="123"/>
      <c r="H34" s="123"/>
      <c r="I34" s="123"/>
      <c r="J34" s="123"/>
      <c r="K34" s="123"/>
      <c r="L34" s="123"/>
    </row>
    <row r="35" spans="1:12" ht="12.75" x14ac:dyDescent="0.2">
      <c r="A35" s="31"/>
      <c r="B35" s="31"/>
      <c r="C35" s="2"/>
      <c r="D35" s="125">
        <f>50*E9</f>
        <v>0</v>
      </c>
      <c r="E35" s="121"/>
      <c r="F35" s="124" t="s">
        <v>121</v>
      </c>
      <c r="G35" s="123"/>
      <c r="H35" s="123"/>
      <c r="I35" s="123"/>
      <c r="J35" s="123"/>
      <c r="K35" s="123"/>
      <c r="L35" s="123"/>
    </row>
    <row r="36" spans="1:12" ht="13.5" thickBot="1" x14ac:dyDescent="0.25">
      <c r="A36" s="31"/>
      <c r="B36" s="31"/>
      <c r="C36" s="56"/>
      <c r="D36" s="122">
        <f>(600)*$E$9</f>
        <v>0</v>
      </c>
      <c r="E36" s="122"/>
      <c r="F36" s="113" t="s">
        <v>147</v>
      </c>
      <c r="G36" s="123"/>
      <c r="H36" s="123"/>
      <c r="I36" s="123"/>
      <c r="J36" s="123"/>
      <c r="K36" s="123"/>
    </row>
    <row r="37" spans="1:12" ht="12.75" x14ac:dyDescent="0.2">
      <c r="A37" s="2"/>
      <c r="B37" s="2"/>
      <c r="C37" s="15">
        <f>SUM(C27:C36)</f>
        <v>0</v>
      </c>
      <c r="D37" s="15">
        <f>SUM(D27:D36)</f>
        <v>0</v>
      </c>
      <c r="E37" s="15">
        <f>SUM(E27:E36)</f>
        <v>0</v>
      </c>
      <c r="F37" s="2"/>
    </row>
    <row r="38" spans="1:12" ht="12.75" x14ac:dyDescent="0.2">
      <c r="A38" s="2"/>
      <c r="B38" s="2"/>
      <c r="C38" s="15"/>
      <c r="D38" s="15"/>
      <c r="E38" s="15"/>
      <c r="F38" s="2"/>
    </row>
    <row r="39" spans="1:12" ht="12.75" x14ac:dyDescent="0.2">
      <c r="A39" s="2"/>
      <c r="B39" s="2"/>
      <c r="C39" s="15"/>
      <c r="D39" s="15"/>
      <c r="E39" s="15">
        <f>E21+C37</f>
        <v>0</v>
      </c>
      <c r="F39" s="2" t="s">
        <v>26</v>
      </c>
    </row>
    <row r="40" spans="1:12" ht="13.5" thickBot="1" x14ac:dyDescent="0.25">
      <c r="A40" s="2"/>
      <c r="B40" s="2"/>
      <c r="C40" s="2"/>
      <c r="D40" s="2"/>
      <c r="E40" s="14">
        <f>D37+E37</f>
        <v>0</v>
      </c>
      <c r="F40" s="13" t="s">
        <v>25</v>
      </c>
    </row>
    <row r="41" spans="1:12" ht="12.75" x14ac:dyDescent="0.2">
      <c r="A41" s="2"/>
      <c r="B41" s="2"/>
      <c r="C41" s="2"/>
      <c r="D41" s="2"/>
      <c r="E41" s="12">
        <f>+E21+C37+D37+E37</f>
        <v>0</v>
      </c>
      <c r="F41" s="11" t="s">
        <v>24</v>
      </c>
    </row>
    <row r="42" spans="1:12" ht="12.75" x14ac:dyDescent="0.2">
      <c r="A42" s="2"/>
      <c r="B42" s="2"/>
      <c r="C42" s="2"/>
      <c r="D42" s="2"/>
      <c r="E42" s="4"/>
      <c r="F42" s="2"/>
    </row>
    <row r="43" spans="1:12" ht="12.75" x14ac:dyDescent="0.2">
      <c r="A43" s="2"/>
      <c r="B43" s="2"/>
      <c r="C43" s="2"/>
      <c r="D43" s="2"/>
      <c r="E43" s="2"/>
    </row>
    <row r="44" spans="1:12" ht="12.75" x14ac:dyDescent="0.2">
      <c r="A44" s="2" t="s">
        <v>23</v>
      </c>
      <c r="B44" s="2"/>
      <c r="C44" s="2"/>
      <c r="D44" s="2"/>
      <c r="E44" s="2"/>
    </row>
    <row r="45" spans="1:12" ht="12.75" x14ac:dyDescent="0.2">
      <c r="A45" s="2"/>
      <c r="B45" s="2"/>
      <c r="C45" s="2"/>
      <c r="D45" s="2"/>
      <c r="E45" s="2"/>
    </row>
    <row r="46" spans="1:12" ht="12.75" x14ac:dyDescent="0.2">
      <c r="A46" s="2"/>
      <c r="B46" s="2"/>
      <c r="C46" s="2"/>
      <c r="D46" s="2"/>
      <c r="E46" s="2"/>
    </row>
    <row r="47" spans="1:12" ht="12.75" x14ac:dyDescent="0.2">
      <c r="A47" s="3" t="s">
        <v>22</v>
      </c>
      <c r="B47" s="8" t="s">
        <v>12</v>
      </c>
      <c r="C47" s="8" t="s">
        <v>11</v>
      </c>
      <c r="D47" s="2"/>
      <c r="E47" s="2"/>
    </row>
    <row r="48" spans="1:12" ht="12.75" x14ac:dyDescent="0.2">
      <c r="A48" s="2" t="s">
        <v>10</v>
      </c>
      <c r="B48" s="4"/>
      <c r="C48" s="4"/>
      <c r="D48" s="2"/>
      <c r="E48" s="2"/>
    </row>
    <row r="49" spans="1:5" ht="12.75" x14ac:dyDescent="0.2">
      <c r="A49" s="2" t="s">
        <v>9</v>
      </c>
      <c r="B49" s="5"/>
      <c r="C49" s="5"/>
      <c r="D49" s="2"/>
      <c r="E49" s="2"/>
    </row>
    <row r="50" spans="1:5" ht="12.75" x14ac:dyDescent="0.2">
      <c r="A50" s="2" t="s">
        <v>17</v>
      </c>
      <c r="B50" s="4">
        <f>SUM(B48:B49)</f>
        <v>0</v>
      </c>
      <c r="C50" s="4">
        <f>SUM(C48:C49)</f>
        <v>0</v>
      </c>
      <c r="D50" s="2"/>
      <c r="E50" s="2"/>
    </row>
    <row r="51" spans="1:5" ht="12.75" x14ac:dyDescent="0.2">
      <c r="A51" s="2"/>
      <c r="B51" s="2"/>
      <c r="C51" s="2"/>
      <c r="D51" s="2"/>
      <c r="E51" s="2"/>
    </row>
    <row r="52" spans="1:5" ht="12.75" x14ac:dyDescent="0.2">
      <c r="A52" s="3" t="s">
        <v>21</v>
      </c>
      <c r="B52" s="2"/>
      <c r="C52" s="2"/>
      <c r="D52" s="2"/>
      <c r="E52" s="2"/>
    </row>
    <row r="53" spans="1:5" ht="12.75" x14ac:dyDescent="0.2">
      <c r="A53" s="2" t="s">
        <v>10</v>
      </c>
      <c r="B53" s="4">
        <f>A19</f>
        <v>0</v>
      </c>
      <c r="C53" s="4">
        <f>C19</f>
        <v>0</v>
      </c>
      <c r="D53" s="2"/>
      <c r="E53" s="2"/>
    </row>
    <row r="54" spans="1:5" ht="12.75" x14ac:dyDescent="0.2">
      <c r="A54" s="2" t="s">
        <v>9</v>
      </c>
      <c r="B54" s="5">
        <f>B19</f>
        <v>0</v>
      </c>
      <c r="C54" s="5">
        <f>D19</f>
        <v>0</v>
      </c>
      <c r="D54" s="2"/>
      <c r="E54" s="2"/>
    </row>
    <row r="55" spans="1:5" ht="12.75" x14ac:dyDescent="0.2">
      <c r="A55" s="2" t="s">
        <v>17</v>
      </c>
      <c r="B55" s="4">
        <f>SUM(B53:B54)</f>
        <v>0</v>
      </c>
      <c r="C55" s="4">
        <f>SUM(C53:C54)</f>
        <v>0</v>
      </c>
      <c r="D55" s="2"/>
      <c r="E55" s="2"/>
    </row>
    <row r="56" spans="1:5" ht="12.75" x14ac:dyDescent="0.2">
      <c r="A56" s="2"/>
      <c r="B56" s="4"/>
      <c r="C56" s="4"/>
      <c r="D56" s="2"/>
      <c r="E56" s="2"/>
    </row>
    <row r="57" spans="1:5" ht="12.75" x14ac:dyDescent="0.2">
      <c r="A57" s="11" t="s">
        <v>20</v>
      </c>
      <c r="B57" s="4"/>
      <c r="C57" s="4"/>
      <c r="D57" s="2"/>
      <c r="E57" s="2"/>
    </row>
    <row r="58" spans="1:5" ht="12.75" x14ac:dyDescent="0.2">
      <c r="A58" s="2" t="s">
        <v>19</v>
      </c>
      <c r="B58" s="4">
        <f>C30</f>
        <v>0</v>
      </c>
      <c r="C58" s="4"/>
      <c r="D58" s="2"/>
      <c r="E58" s="2"/>
    </row>
    <row r="59" spans="1:5" ht="12.75" x14ac:dyDescent="0.2">
      <c r="A59" s="2" t="s">
        <v>18</v>
      </c>
      <c r="B59" s="5">
        <f>C31</f>
        <v>0</v>
      </c>
      <c r="C59" s="4"/>
      <c r="D59" s="2"/>
      <c r="E59" s="2"/>
    </row>
    <row r="60" spans="1:5" ht="12.75" x14ac:dyDescent="0.2">
      <c r="A60" s="2" t="s">
        <v>17</v>
      </c>
      <c r="B60" s="4">
        <f>+B58+B59</f>
        <v>0</v>
      </c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/>
      <c r="B63" s="4"/>
      <c r="C63" s="4"/>
      <c r="D63" s="2"/>
      <c r="E63" s="2"/>
    </row>
    <row r="64" spans="1:5" ht="12.75" x14ac:dyDescent="0.2">
      <c r="A64" s="2" t="s">
        <v>16</v>
      </c>
      <c r="B64" s="4"/>
      <c r="C64" s="4"/>
      <c r="D64" s="2"/>
      <c r="E64" s="11"/>
    </row>
    <row r="65" spans="1:5" ht="12.75" x14ac:dyDescent="0.2">
      <c r="A65" s="2" t="s">
        <v>10</v>
      </c>
      <c r="B65" s="4"/>
      <c r="C65" s="4">
        <f>D37</f>
        <v>0</v>
      </c>
      <c r="D65" s="2"/>
      <c r="E65" s="10"/>
    </row>
    <row r="66" spans="1:5" ht="12.75" x14ac:dyDescent="0.2">
      <c r="A66" s="2" t="s">
        <v>9</v>
      </c>
      <c r="B66" s="5"/>
      <c r="C66" s="5">
        <f>E37</f>
        <v>0</v>
      </c>
      <c r="D66" s="2"/>
    </row>
    <row r="67" spans="1:5" ht="12.75" x14ac:dyDescent="0.2">
      <c r="A67" s="2" t="s">
        <v>15</v>
      </c>
      <c r="B67" s="4">
        <f>+B65+B66</f>
        <v>0</v>
      </c>
      <c r="C67" s="4">
        <f>+C65+C66</f>
        <v>0</v>
      </c>
      <c r="D67" s="2"/>
    </row>
    <row r="68" spans="1:5" ht="12.75" x14ac:dyDescent="0.2">
      <c r="A68" s="2"/>
      <c r="B68" s="4"/>
      <c r="C68" s="4"/>
      <c r="D68" s="2"/>
    </row>
    <row r="69" spans="1:5" ht="12.75" x14ac:dyDescent="0.2">
      <c r="A69" s="2" t="s">
        <v>7</v>
      </c>
      <c r="B69" s="4">
        <f>+B50+B55+B60+B67</f>
        <v>0</v>
      </c>
      <c r="C69" s="4">
        <f>+C50+C55+C60+C67</f>
        <v>0</v>
      </c>
      <c r="D69" s="2"/>
    </row>
    <row r="70" spans="1:5" ht="12.75" x14ac:dyDescent="0.2">
      <c r="A70" s="2"/>
      <c r="B70" s="4"/>
      <c r="C70" s="4"/>
      <c r="D70" s="2"/>
    </row>
    <row r="71" spans="1:5" ht="12.75" x14ac:dyDescent="0.2">
      <c r="A71" s="2" t="s">
        <v>14</v>
      </c>
      <c r="B71" s="4">
        <f>A19+B19+C37</f>
        <v>0</v>
      </c>
      <c r="C71" s="4">
        <f>C19+D19+D37+E37</f>
        <v>0</v>
      </c>
      <c r="D71" s="2"/>
    </row>
    <row r="72" spans="1:5" ht="12.75" x14ac:dyDescent="0.2">
      <c r="A72" s="2"/>
      <c r="B72" s="4"/>
      <c r="C72" s="4"/>
      <c r="D72" s="2"/>
    </row>
    <row r="73" spans="1:5" ht="12.75" x14ac:dyDescent="0.2">
      <c r="A73" s="2"/>
      <c r="B73" s="4"/>
      <c r="C73" s="4"/>
      <c r="D73" s="2"/>
    </row>
    <row r="74" spans="1:5" ht="12.75" x14ac:dyDescent="0.2">
      <c r="A74" s="2"/>
      <c r="B74" s="4"/>
      <c r="C74" s="4"/>
      <c r="D74" s="2"/>
    </row>
    <row r="75" spans="1:5" ht="13.5" thickBot="1" x14ac:dyDescent="0.25">
      <c r="A75" s="9" t="s">
        <v>13</v>
      </c>
      <c r="B75" s="8" t="s">
        <v>12</v>
      </c>
      <c r="C75" s="8" t="s">
        <v>11</v>
      </c>
      <c r="D75" s="2"/>
    </row>
    <row r="76" spans="1:5" ht="12.75" x14ac:dyDescent="0.2">
      <c r="A76" s="2" t="s">
        <v>10</v>
      </c>
      <c r="B76" s="4">
        <v>0</v>
      </c>
      <c r="C76" s="7">
        <f>((E34/5))*0.5</f>
        <v>0</v>
      </c>
      <c r="D76" s="6"/>
    </row>
    <row r="77" spans="1:5" ht="12.75" x14ac:dyDescent="0.2">
      <c r="A77" s="2" t="s">
        <v>9</v>
      </c>
      <c r="B77" s="4">
        <v>0</v>
      </c>
      <c r="C77" s="4">
        <v>0</v>
      </c>
    </row>
    <row r="78" spans="1:5" ht="12.75" x14ac:dyDescent="0.2">
      <c r="A78" s="2" t="s">
        <v>8</v>
      </c>
      <c r="B78" s="5">
        <v>0</v>
      </c>
      <c r="C78" s="5">
        <v>0</v>
      </c>
      <c r="D78" s="2"/>
    </row>
    <row r="79" spans="1:5" ht="12.75" x14ac:dyDescent="0.2">
      <c r="A79" s="2" t="s">
        <v>7</v>
      </c>
      <c r="B79" s="4">
        <f>SUM(B76:B78)</f>
        <v>0</v>
      </c>
      <c r="C79" s="4">
        <f>SUM(C76:C78)</f>
        <v>0</v>
      </c>
      <c r="D79" s="2"/>
    </row>
    <row r="80" spans="1:5" ht="12.75" x14ac:dyDescent="0.2">
      <c r="A80" s="2"/>
      <c r="B80" s="4"/>
      <c r="C80" s="4"/>
      <c r="D80" s="2"/>
    </row>
    <row r="81" spans="1:4" ht="12.75" x14ac:dyDescent="0.2">
      <c r="A81" s="2" t="s">
        <v>6</v>
      </c>
      <c r="B81" s="4"/>
      <c r="C81" s="4"/>
      <c r="D81" s="2"/>
    </row>
    <row r="82" spans="1:4" ht="12.75" x14ac:dyDescent="0.2">
      <c r="A82" s="2"/>
      <c r="B82" s="4"/>
      <c r="C82" s="4"/>
      <c r="D82" s="2"/>
    </row>
    <row r="83" spans="1:4" ht="12.75" x14ac:dyDescent="0.2">
      <c r="A83" s="2"/>
      <c r="B83" s="2"/>
      <c r="C83" s="2"/>
      <c r="D83" s="2"/>
    </row>
    <row r="84" spans="1:4" ht="12.75" x14ac:dyDescent="0.2">
      <c r="A84" s="3" t="s">
        <v>5</v>
      </c>
      <c r="B84" s="2"/>
      <c r="C84" s="2"/>
      <c r="D84" s="2"/>
    </row>
    <row r="85" spans="1:4" ht="12.75" x14ac:dyDescent="0.2">
      <c r="A85" s="2" t="s">
        <v>4</v>
      </c>
      <c r="B85" s="2"/>
      <c r="C85" s="2"/>
      <c r="D85" s="2"/>
    </row>
    <row r="86" spans="1:4" ht="12.75" x14ac:dyDescent="0.2">
      <c r="A86" s="2" t="s">
        <v>3</v>
      </c>
      <c r="B86" s="2"/>
      <c r="C86" s="2"/>
      <c r="D86" s="2"/>
    </row>
    <row r="87" spans="1:4" ht="12.75" x14ac:dyDescent="0.2">
      <c r="A87" s="2" t="s">
        <v>2</v>
      </c>
      <c r="B87" s="2"/>
      <c r="C87" s="2"/>
      <c r="D87" s="2"/>
    </row>
    <row r="88" spans="1:4" ht="12.75" x14ac:dyDescent="0.2">
      <c r="A88" s="2" t="s">
        <v>1</v>
      </c>
      <c r="B88" s="2"/>
      <c r="C88" s="2"/>
      <c r="D88" s="2"/>
    </row>
    <row r="89" spans="1:4" ht="12.75" x14ac:dyDescent="0.2">
      <c r="A89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9"/>
  <sheetViews>
    <sheetView showGridLines="0" zoomScale="130" zoomScaleNormal="130" workbookViewId="0">
      <selection activeCell="G10" sqref="G10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0</v>
      </c>
      <c r="F9" s="40">
        <v>90000</v>
      </c>
      <c r="G9" s="117">
        <f>4.16666666666667%*0</f>
        <v>0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8"/>
      <c r="B10" s="18"/>
      <c r="C10" s="18"/>
      <c r="D10" s="18"/>
      <c r="E10" s="31"/>
      <c r="F10" s="31"/>
      <c r="G10" s="31"/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21">
        <f>$E$9*1500</f>
        <v>0</v>
      </c>
      <c r="C12" s="121"/>
      <c r="D12" s="121"/>
      <c r="E12" s="113" t="s">
        <v>146</v>
      </c>
      <c r="F12" s="113"/>
      <c r="G12" s="113"/>
      <c r="H12" s="113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34"/>
      <c r="B13" s="18"/>
      <c r="C13" s="121">
        <f>(2500*300)*0</f>
        <v>0</v>
      </c>
      <c r="D13" s="121"/>
      <c r="E13" s="113" t="s">
        <v>188</v>
      </c>
      <c r="F13" s="113"/>
      <c r="G13" s="113"/>
      <c r="H13" s="113"/>
      <c r="I13" s="113"/>
      <c r="J13" s="113"/>
      <c r="K13" s="116" t="s">
        <v>144</v>
      </c>
      <c r="L13" s="120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/>
      <c r="D14" s="18"/>
      <c r="E14" s="31"/>
      <c r="F14" s="31"/>
      <c r="G14" s="31"/>
      <c r="H14" s="31"/>
      <c r="I14" s="31"/>
      <c r="J14" s="31"/>
      <c r="K14" s="31"/>
      <c r="L14" s="29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0</v>
      </c>
      <c r="B16" s="34">
        <f>SUM(B10:B15)</f>
        <v>0</v>
      </c>
      <c r="C16" s="34">
        <f>SUM(C10:C15)</f>
        <v>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0</v>
      </c>
      <c r="B17" s="34"/>
      <c r="C17" s="34">
        <f>+(C16)*0.08</f>
        <v>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+A16*0.15</f>
        <v>0</v>
      </c>
      <c r="B18" s="37">
        <f>+B16*0.15</f>
        <v>0</v>
      </c>
      <c r="C18" s="37">
        <f>+C16*0.15</f>
        <v>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0</v>
      </c>
      <c r="B19" s="34">
        <f>SUM(B16:B18)</f>
        <v>0</v>
      </c>
      <c r="C19" s="34">
        <f>SUM(C16:C18)</f>
        <v>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0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79">
        <f>G9</f>
        <v>0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0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0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0</v>
      </c>
      <c r="E29" s="182">
        <f>50000*$G$9</f>
        <v>0</v>
      </c>
      <c r="F29" s="2" t="s">
        <v>278</v>
      </c>
    </row>
    <row r="30" spans="1:17" ht="12.75" x14ac:dyDescent="0.2">
      <c r="A30" s="31" t="s">
        <v>35</v>
      </c>
      <c r="B30" s="31"/>
      <c r="C30" s="18">
        <f>(7730000*0.98)*$G$9</f>
        <v>0</v>
      </c>
      <c r="D30" s="19"/>
      <c r="E30" s="19"/>
      <c r="F30" s="31" t="s">
        <v>277</v>
      </c>
      <c r="G30" s="19"/>
      <c r="H30" s="19"/>
      <c r="I30" s="19"/>
      <c r="J30" s="19"/>
    </row>
    <row r="31" spans="1:17" ht="12.75" x14ac:dyDescent="0.2">
      <c r="A31" s="31" t="s">
        <v>34</v>
      </c>
      <c r="B31" s="31"/>
      <c r="C31" s="18">
        <f>(7730000*0.02)*$G$9</f>
        <v>0</v>
      </c>
      <c r="D31" s="19"/>
      <c r="E31" s="19"/>
      <c r="F31" s="31" t="s">
        <v>276</v>
      </c>
      <c r="G31" s="19"/>
      <c r="H31" s="19"/>
      <c r="I31" s="19"/>
      <c r="J31" s="19"/>
    </row>
    <row r="32" spans="1:17" ht="12.75" x14ac:dyDescent="0.2">
      <c r="A32" s="2" t="s">
        <v>33</v>
      </c>
      <c r="B32" s="2"/>
      <c r="C32" s="2"/>
      <c r="E32" s="15">
        <f>80000*5*$G$9</f>
        <v>0</v>
      </c>
      <c r="F32" s="17" t="s">
        <v>32</v>
      </c>
    </row>
    <row r="33" spans="1:12" ht="12.75" x14ac:dyDescent="0.2">
      <c r="A33" s="2" t="s">
        <v>31</v>
      </c>
      <c r="B33" s="2"/>
      <c r="C33" s="2"/>
      <c r="E33" s="15">
        <f>1000000*$G$9</f>
        <v>0</v>
      </c>
      <c r="F33" s="17" t="s">
        <v>30</v>
      </c>
    </row>
    <row r="34" spans="1:12" ht="12.75" x14ac:dyDescent="0.2">
      <c r="A34" s="31" t="s">
        <v>29</v>
      </c>
      <c r="B34" s="31"/>
      <c r="C34" s="2"/>
      <c r="D34" s="19"/>
      <c r="E34" s="121">
        <f>90000*1*200*$G$9</f>
        <v>0</v>
      </c>
      <c r="F34" s="124" t="s">
        <v>114</v>
      </c>
      <c r="G34" s="123"/>
      <c r="H34" s="123"/>
      <c r="I34" s="123"/>
      <c r="J34" s="123"/>
      <c r="K34" s="123"/>
      <c r="L34" s="123"/>
    </row>
    <row r="35" spans="1:12" ht="12.75" x14ac:dyDescent="0.2">
      <c r="A35" s="31"/>
      <c r="B35" s="31"/>
      <c r="C35" s="2"/>
      <c r="D35" s="125">
        <f>50*E9</f>
        <v>0</v>
      </c>
      <c r="E35" s="121"/>
      <c r="F35" s="124" t="s">
        <v>121</v>
      </c>
      <c r="G35" s="123"/>
      <c r="H35" s="123"/>
      <c r="I35" s="123"/>
      <c r="J35" s="123"/>
      <c r="K35" s="123"/>
    </row>
    <row r="36" spans="1:12" ht="13.5" thickBot="1" x14ac:dyDescent="0.25">
      <c r="A36" s="31"/>
      <c r="B36" s="31"/>
      <c r="C36" s="56"/>
      <c r="D36" s="122">
        <f>(600)*$E$9</f>
        <v>0</v>
      </c>
      <c r="E36" s="122"/>
      <c r="F36" s="113" t="s">
        <v>147</v>
      </c>
      <c r="G36" s="123"/>
      <c r="H36" s="123"/>
      <c r="I36" s="123"/>
      <c r="J36" s="123"/>
      <c r="K36" s="123"/>
    </row>
    <row r="37" spans="1:12" ht="12.75" x14ac:dyDescent="0.2">
      <c r="A37" s="2"/>
      <c r="B37" s="2"/>
      <c r="C37" s="15">
        <f>SUM(C27:C36)</f>
        <v>0</v>
      </c>
      <c r="D37" s="15">
        <f>SUM(D27:D36)</f>
        <v>0</v>
      </c>
      <c r="E37" s="15">
        <f>SUM(E27:E36)</f>
        <v>0</v>
      </c>
      <c r="F37" s="2"/>
    </row>
    <row r="38" spans="1:12" ht="12.75" x14ac:dyDescent="0.2">
      <c r="A38" s="2"/>
      <c r="B38" s="2"/>
      <c r="C38" s="15"/>
      <c r="D38" s="15"/>
      <c r="E38" s="15"/>
      <c r="F38" s="2"/>
    </row>
    <row r="39" spans="1:12" ht="12.75" x14ac:dyDescent="0.2">
      <c r="A39" s="2"/>
      <c r="B39" s="2"/>
      <c r="C39" s="15"/>
      <c r="D39" s="15"/>
      <c r="E39" s="15">
        <f>E21+C37</f>
        <v>0</v>
      </c>
      <c r="F39" s="2" t="s">
        <v>26</v>
      </c>
    </row>
    <row r="40" spans="1:12" ht="13.5" thickBot="1" x14ac:dyDescent="0.25">
      <c r="A40" s="2"/>
      <c r="B40" s="2"/>
      <c r="C40" s="2"/>
      <c r="D40" s="2"/>
      <c r="E40" s="14">
        <f>D37+E37</f>
        <v>0</v>
      </c>
      <c r="F40" s="13" t="s">
        <v>25</v>
      </c>
    </row>
    <row r="41" spans="1:12" ht="12.75" x14ac:dyDescent="0.2">
      <c r="A41" s="2"/>
      <c r="B41" s="2"/>
      <c r="C41" s="2"/>
      <c r="D41" s="2"/>
      <c r="E41" s="12">
        <f>+E21+C37+D37+E37</f>
        <v>0</v>
      </c>
      <c r="F41" s="11" t="s">
        <v>24</v>
      </c>
    </row>
    <row r="42" spans="1:12" ht="12.75" x14ac:dyDescent="0.2">
      <c r="A42" s="2"/>
      <c r="B42" s="2"/>
      <c r="C42" s="2"/>
      <c r="D42" s="2"/>
      <c r="E42" s="4"/>
      <c r="F42" s="2"/>
    </row>
    <row r="43" spans="1:12" ht="12.75" x14ac:dyDescent="0.2">
      <c r="A43" s="2"/>
      <c r="B43" s="2"/>
      <c r="C43" s="2"/>
      <c r="D43" s="2"/>
      <c r="E43" s="2"/>
    </row>
    <row r="44" spans="1:12" ht="12.75" x14ac:dyDescent="0.2">
      <c r="A44" s="2" t="s">
        <v>23</v>
      </c>
      <c r="B44" s="2"/>
      <c r="C44" s="2"/>
      <c r="D44" s="2"/>
      <c r="E44" s="2"/>
    </row>
    <row r="45" spans="1:12" ht="12.75" x14ac:dyDescent="0.2">
      <c r="A45" s="2"/>
      <c r="B45" s="2"/>
      <c r="C45" s="2"/>
      <c r="D45" s="2"/>
      <c r="E45" s="2"/>
    </row>
    <row r="46" spans="1:12" ht="12.75" x14ac:dyDescent="0.2">
      <c r="A46" s="2"/>
      <c r="B46" s="2"/>
      <c r="C46" s="2"/>
      <c r="D46" s="2"/>
      <c r="E46" s="2"/>
    </row>
    <row r="47" spans="1:12" ht="12.75" x14ac:dyDescent="0.2">
      <c r="A47" s="3" t="s">
        <v>22</v>
      </c>
      <c r="B47" s="8" t="s">
        <v>12</v>
      </c>
      <c r="C47" s="8" t="s">
        <v>11</v>
      </c>
      <c r="D47" s="2"/>
      <c r="E47" s="2"/>
    </row>
    <row r="48" spans="1:12" ht="12.75" x14ac:dyDescent="0.2">
      <c r="A48" s="2" t="s">
        <v>10</v>
      </c>
      <c r="B48" s="4"/>
      <c r="C48" s="4"/>
      <c r="D48" s="2"/>
      <c r="E48" s="2"/>
    </row>
    <row r="49" spans="1:5" ht="12.75" x14ac:dyDescent="0.2">
      <c r="A49" s="2" t="s">
        <v>9</v>
      </c>
      <c r="B49" s="5"/>
      <c r="C49" s="5"/>
      <c r="D49" s="2"/>
      <c r="E49" s="2"/>
    </row>
    <row r="50" spans="1:5" ht="12.75" x14ac:dyDescent="0.2">
      <c r="A50" s="2" t="s">
        <v>17</v>
      </c>
      <c r="B50" s="4">
        <f>SUM(B48:B49)</f>
        <v>0</v>
      </c>
      <c r="C50" s="4">
        <f>SUM(C48:C49)</f>
        <v>0</v>
      </c>
      <c r="D50" s="2"/>
      <c r="E50" s="2"/>
    </row>
    <row r="51" spans="1:5" ht="12.75" x14ac:dyDescent="0.2">
      <c r="A51" s="2"/>
      <c r="B51" s="2"/>
      <c r="C51" s="2"/>
      <c r="D51" s="2"/>
      <c r="E51" s="2"/>
    </row>
    <row r="52" spans="1:5" ht="12.75" x14ac:dyDescent="0.2">
      <c r="A52" s="3" t="s">
        <v>21</v>
      </c>
      <c r="B52" s="2"/>
      <c r="C52" s="2"/>
      <c r="D52" s="2"/>
      <c r="E52" s="2"/>
    </row>
    <row r="53" spans="1:5" ht="12.75" x14ac:dyDescent="0.2">
      <c r="A53" s="2" t="s">
        <v>10</v>
      </c>
      <c r="B53" s="4">
        <f>A19</f>
        <v>0</v>
      </c>
      <c r="C53" s="4">
        <f>C19</f>
        <v>0</v>
      </c>
      <c r="D53" s="2"/>
      <c r="E53" s="2"/>
    </row>
    <row r="54" spans="1:5" ht="12.75" x14ac:dyDescent="0.2">
      <c r="A54" s="2" t="s">
        <v>9</v>
      </c>
      <c r="B54" s="5">
        <f>B19</f>
        <v>0</v>
      </c>
      <c r="C54" s="5">
        <f>D19</f>
        <v>0</v>
      </c>
      <c r="D54" s="2"/>
      <c r="E54" s="2"/>
    </row>
    <row r="55" spans="1:5" ht="12.75" x14ac:dyDescent="0.2">
      <c r="A55" s="2" t="s">
        <v>17</v>
      </c>
      <c r="B55" s="4">
        <f>SUM(B53:B54)</f>
        <v>0</v>
      </c>
      <c r="C55" s="4">
        <f>SUM(C53:C54)</f>
        <v>0</v>
      </c>
      <c r="D55" s="2"/>
      <c r="E55" s="2"/>
    </row>
    <row r="56" spans="1:5" ht="12.75" x14ac:dyDescent="0.2">
      <c r="A56" s="2"/>
      <c r="B56" s="4"/>
      <c r="C56" s="4"/>
      <c r="D56" s="2"/>
      <c r="E56" s="2"/>
    </row>
    <row r="57" spans="1:5" ht="12.75" x14ac:dyDescent="0.2">
      <c r="A57" s="11" t="s">
        <v>20</v>
      </c>
      <c r="B57" s="4"/>
      <c r="C57" s="4"/>
      <c r="D57" s="2"/>
      <c r="E57" s="2"/>
    </row>
    <row r="58" spans="1:5" ht="12.75" x14ac:dyDescent="0.2">
      <c r="A58" s="2" t="s">
        <v>19</v>
      </c>
      <c r="B58" s="4">
        <f>C30</f>
        <v>0</v>
      </c>
      <c r="C58" s="4"/>
      <c r="D58" s="2"/>
      <c r="E58" s="2"/>
    </row>
    <row r="59" spans="1:5" ht="12.75" x14ac:dyDescent="0.2">
      <c r="A59" s="2" t="s">
        <v>18</v>
      </c>
      <c r="B59" s="5">
        <f>C31</f>
        <v>0</v>
      </c>
      <c r="C59" s="4"/>
      <c r="D59" s="2"/>
      <c r="E59" s="2"/>
    </row>
    <row r="60" spans="1:5" ht="12.75" x14ac:dyDescent="0.2">
      <c r="A60" s="2" t="s">
        <v>17</v>
      </c>
      <c r="B60" s="4">
        <f>+B58+B59</f>
        <v>0</v>
      </c>
      <c r="C60" s="4"/>
      <c r="D60" s="2"/>
      <c r="E60" s="2"/>
    </row>
    <row r="61" spans="1:5" ht="12.75" x14ac:dyDescent="0.2">
      <c r="A61" s="2"/>
      <c r="B61" s="4"/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/>
      <c r="B63" s="4"/>
      <c r="C63" s="4"/>
      <c r="D63" s="2"/>
      <c r="E63" s="2"/>
    </row>
    <row r="64" spans="1:5" ht="12.75" x14ac:dyDescent="0.2">
      <c r="A64" s="2" t="s">
        <v>16</v>
      </c>
      <c r="B64" s="4"/>
      <c r="C64" s="4"/>
      <c r="D64" s="2"/>
      <c r="E64" s="11"/>
    </row>
    <row r="65" spans="1:5" ht="12.75" x14ac:dyDescent="0.2">
      <c r="A65" s="2" t="s">
        <v>10</v>
      </c>
      <c r="B65" s="4"/>
      <c r="C65" s="4">
        <f>D37</f>
        <v>0</v>
      </c>
      <c r="D65" s="2"/>
      <c r="E65" s="10"/>
    </row>
    <row r="66" spans="1:5" ht="12.75" x14ac:dyDescent="0.2">
      <c r="A66" s="2" t="s">
        <v>9</v>
      </c>
      <c r="B66" s="5"/>
      <c r="C66" s="5">
        <f>E37</f>
        <v>0</v>
      </c>
      <c r="D66" s="2"/>
    </row>
    <row r="67" spans="1:5" ht="12.75" x14ac:dyDescent="0.2">
      <c r="A67" s="2" t="s">
        <v>15</v>
      </c>
      <c r="B67" s="4">
        <f>+B65+B66</f>
        <v>0</v>
      </c>
      <c r="C67" s="4">
        <f>+C65+C66</f>
        <v>0</v>
      </c>
      <c r="D67" s="2"/>
    </row>
    <row r="68" spans="1:5" ht="12.75" x14ac:dyDescent="0.2">
      <c r="A68" s="2"/>
      <c r="B68" s="4"/>
      <c r="C68" s="4"/>
      <c r="D68" s="2"/>
    </row>
    <row r="69" spans="1:5" ht="12.75" x14ac:dyDescent="0.2">
      <c r="A69" s="2" t="s">
        <v>7</v>
      </c>
      <c r="B69" s="4">
        <f>+B50+B55+B60+B67</f>
        <v>0</v>
      </c>
      <c r="C69" s="4">
        <f>+C50+C55+C60+C67</f>
        <v>0</v>
      </c>
      <c r="D69" s="2"/>
    </row>
    <row r="70" spans="1:5" ht="12.75" x14ac:dyDescent="0.2">
      <c r="A70" s="2"/>
      <c r="B70" s="4"/>
      <c r="C70" s="4"/>
      <c r="D70" s="2"/>
    </row>
    <row r="71" spans="1:5" ht="12.75" x14ac:dyDescent="0.2">
      <c r="A71" s="2" t="s">
        <v>14</v>
      </c>
      <c r="B71" s="4">
        <f>A19+B19+C37</f>
        <v>0</v>
      </c>
      <c r="C71" s="4">
        <f>C19+D19+D37+E37</f>
        <v>0</v>
      </c>
      <c r="D71" s="2"/>
    </row>
    <row r="72" spans="1:5" ht="12.75" x14ac:dyDescent="0.2">
      <c r="A72" s="2"/>
      <c r="B72" s="4"/>
      <c r="C72" s="4"/>
      <c r="D72" s="2"/>
    </row>
    <row r="73" spans="1:5" ht="12.75" x14ac:dyDescent="0.2">
      <c r="A73" s="2"/>
      <c r="B73" s="4"/>
      <c r="C73" s="4"/>
      <c r="D73" s="2"/>
    </row>
    <row r="74" spans="1:5" ht="12.75" x14ac:dyDescent="0.2">
      <c r="A74" s="2"/>
      <c r="B74" s="4"/>
      <c r="C74" s="4"/>
      <c r="D74" s="2"/>
    </row>
    <row r="75" spans="1:5" ht="13.5" thickBot="1" x14ac:dyDescent="0.25">
      <c r="A75" s="9" t="s">
        <v>13</v>
      </c>
      <c r="B75" s="8" t="s">
        <v>12</v>
      </c>
      <c r="C75" s="8" t="s">
        <v>11</v>
      </c>
      <c r="D75" s="2"/>
    </row>
    <row r="76" spans="1:5" ht="12.75" x14ac:dyDescent="0.2">
      <c r="A76" s="2" t="s">
        <v>10</v>
      </c>
      <c r="B76" s="4">
        <v>0</v>
      </c>
      <c r="C76" s="7">
        <f>((E34/5))*0.5</f>
        <v>0</v>
      </c>
      <c r="D76" s="6"/>
    </row>
    <row r="77" spans="1:5" ht="12.75" x14ac:dyDescent="0.2">
      <c r="A77" s="2" t="s">
        <v>9</v>
      </c>
      <c r="B77" s="4">
        <v>0</v>
      </c>
      <c r="C77" s="4">
        <v>0</v>
      </c>
    </row>
    <row r="78" spans="1:5" ht="12.75" x14ac:dyDescent="0.2">
      <c r="A78" s="2" t="s">
        <v>8</v>
      </c>
      <c r="B78" s="5">
        <v>0</v>
      </c>
      <c r="C78" s="5">
        <v>0</v>
      </c>
      <c r="D78" s="2"/>
    </row>
    <row r="79" spans="1:5" ht="12.75" x14ac:dyDescent="0.2">
      <c r="A79" s="2" t="s">
        <v>7</v>
      </c>
      <c r="B79" s="4">
        <f>SUM(B76:B78)</f>
        <v>0</v>
      </c>
      <c r="C79" s="4">
        <f>SUM(C76:C78)</f>
        <v>0</v>
      </c>
      <c r="D79" s="2"/>
    </row>
    <row r="80" spans="1:5" ht="12.75" x14ac:dyDescent="0.2">
      <c r="A80" s="2"/>
      <c r="B80" s="4"/>
      <c r="C80" s="4"/>
      <c r="D80" s="2"/>
    </row>
    <row r="81" spans="1:4" ht="12.75" x14ac:dyDescent="0.2">
      <c r="A81" s="2" t="s">
        <v>6</v>
      </c>
      <c r="B81" s="4"/>
      <c r="C81" s="4"/>
      <c r="D81" s="2"/>
    </row>
    <row r="82" spans="1:4" ht="12.75" x14ac:dyDescent="0.2">
      <c r="A82" s="2"/>
      <c r="B82" s="4"/>
      <c r="C82" s="4"/>
      <c r="D82" s="2"/>
    </row>
    <row r="83" spans="1:4" ht="12.75" x14ac:dyDescent="0.2">
      <c r="A83" s="2"/>
      <c r="B83" s="2"/>
      <c r="C83" s="2"/>
      <c r="D83" s="2"/>
    </row>
    <row r="84" spans="1:4" ht="12.75" x14ac:dyDescent="0.2">
      <c r="A84" s="3" t="s">
        <v>5</v>
      </c>
      <c r="B84" s="2"/>
      <c r="C84" s="2"/>
      <c r="D84" s="2"/>
    </row>
    <row r="85" spans="1:4" ht="12.75" x14ac:dyDescent="0.2">
      <c r="A85" s="2" t="s">
        <v>4</v>
      </c>
      <c r="B85" s="2"/>
      <c r="C85" s="2"/>
      <c r="D85" s="2"/>
    </row>
    <row r="86" spans="1:4" ht="12.75" x14ac:dyDescent="0.2">
      <c r="A86" s="2" t="s">
        <v>3</v>
      </c>
      <c r="B86" s="2"/>
      <c r="C86" s="2"/>
      <c r="D86" s="2"/>
    </row>
    <row r="87" spans="1:4" ht="12.75" x14ac:dyDescent="0.2">
      <c r="A87" s="2" t="s">
        <v>2</v>
      </c>
      <c r="B87" s="2"/>
      <c r="C87" s="2"/>
      <c r="D87" s="2"/>
    </row>
    <row r="88" spans="1:4" ht="12.75" x14ac:dyDescent="0.2">
      <c r="A88" s="2" t="s">
        <v>1</v>
      </c>
      <c r="B88" s="2"/>
      <c r="C88" s="2"/>
      <c r="D88" s="2"/>
    </row>
    <row r="89" spans="1:4" ht="12.75" x14ac:dyDescent="0.2">
      <c r="A89" s="2" t="s">
        <v>0</v>
      </c>
    </row>
  </sheetData>
  <pageMargins left="0.5" right="0.5" top="0.5" bottom="0.5" header="0.3" footer="0.3"/>
  <pageSetup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49"/>
  <sheetViews>
    <sheetView workbookViewId="0">
      <selection activeCell="J10" sqref="J10"/>
    </sheetView>
  </sheetViews>
  <sheetFormatPr defaultRowHeight="15" x14ac:dyDescent="0.25"/>
  <cols>
    <col min="1" max="1" width="29.42578125" customWidth="1"/>
    <col min="2" max="2" width="15.28515625" customWidth="1"/>
    <col min="3" max="3" width="3.5703125" customWidth="1"/>
    <col min="4" max="4" width="26.7109375" customWidth="1"/>
    <col min="5" max="5" width="15.140625" customWidth="1"/>
    <col min="6" max="6" width="3.7109375" customWidth="1"/>
    <col min="7" max="7" width="19.85546875" customWidth="1"/>
    <col min="8" max="8" width="18.42578125" customWidth="1"/>
    <col min="9" max="9" width="4.28515625" customWidth="1"/>
    <col min="10" max="10" width="16.7109375" customWidth="1"/>
  </cols>
  <sheetData>
    <row r="3" spans="1:7" x14ac:dyDescent="0.25">
      <c r="A3" s="190" t="s">
        <v>286</v>
      </c>
      <c r="B3" s="190"/>
      <c r="D3" s="190" t="s">
        <v>282</v>
      </c>
      <c r="E3" s="190"/>
      <c r="F3" s="151"/>
    </row>
    <row r="4" spans="1:7" x14ac:dyDescent="0.25">
      <c r="A4" s="190" t="s">
        <v>243</v>
      </c>
      <c r="B4" s="190"/>
      <c r="D4" s="190" t="s">
        <v>243</v>
      </c>
      <c r="E4" s="190"/>
      <c r="F4" s="151"/>
    </row>
    <row r="5" spans="1:7" x14ac:dyDescent="0.25">
      <c r="A5" s="193" t="s">
        <v>148</v>
      </c>
      <c r="B5" s="193"/>
      <c r="D5" s="193" t="s">
        <v>148</v>
      </c>
      <c r="E5" s="193"/>
      <c r="F5" s="82"/>
      <c r="G5" s="160" t="s">
        <v>102</v>
      </c>
    </row>
    <row r="6" spans="1:7" x14ac:dyDescent="0.25">
      <c r="A6" s="147"/>
      <c r="D6" s="147"/>
      <c r="E6" s="82"/>
      <c r="F6" s="82"/>
    </row>
    <row r="7" spans="1:7" x14ac:dyDescent="0.25">
      <c r="A7" s="192" t="s">
        <v>242</v>
      </c>
      <c r="B7" s="192"/>
      <c r="D7" s="192" t="s">
        <v>242</v>
      </c>
      <c r="E7" s="192"/>
      <c r="F7" s="163"/>
      <c r="G7" s="85" t="s">
        <v>254</v>
      </c>
    </row>
    <row r="8" spans="1:7" x14ac:dyDescent="0.25">
      <c r="A8" s="147" t="s">
        <v>96</v>
      </c>
      <c r="D8" s="147" t="s">
        <v>96</v>
      </c>
    </row>
    <row r="9" spans="1:7" ht="45" x14ac:dyDescent="0.25">
      <c r="A9" s="127" t="s">
        <v>287</v>
      </c>
      <c r="B9" s="152">
        <f>(66600*525)+(66600*525*0.08)+(66600*525*0.15)</f>
        <v>43006950</v>
      </c>
      <c r="D9" s="127" t="s">
        <v>279</v>
      </c>
      <c r="E9" s="152">
        <f>(500*62437.5*1.08)</f>
        <v>33716250</v>
      </c>
      <c r="F9" s="152"/>
      <c r="G9" s="156">
        <f>E9-B9</f>
        <v>-9290700</v>
      </c>
    </row>
    <row r="10" spans="1:7" ht="45" x14ac:dyDescent="0.25">
      <c r="A10" s="127" t="s">
        <v>288</v>
      </c>
      <c r="B10" s="152">
        <f>(5400*525)+(5400*525*0.08)+(5400*525*0.15)</f>
        <v>3487050</v>
      </c>
      <c r="D10" s="127" t="s">
        <v>280</v>
      </c>
      <c r="E10" s="152">
        <f>(500*5062.5*1.08)</f>
        <v>2733750</v>
      </c>
      <c r="F10" s="152"/>
      <c r="G10" s="158">
        <f t="shared" ref="G10:G12" si="0">E10-B10</f>
        <v>-753300</v>
      </c>
    </row>
    <row r="11" spans="1:7" ht="45" x14ac:dyDescent="0.25">
      <c r="A11" s="127" t="s">
        <v>289</v>
      </c>
      <c r="B11" s="161">
        <f>(18000*525)+(18000*525*0.08)+(18000*525*0.15)</f>
        <v>11623500</v>
      </c>
      <c r="D11" s="127" t="s">
        <v>281</v>
      </c>
      <c r="E11" s="161">
        <f>(600*22500*1.08)</f>
        <v>14580000.000000002</v>
      </c>
      <c r="F11" s="161"/>
      <c r="G11" s="158">
        <f t="shared" si="0"/>
        <v>2956500.0000000019</v>
      </c>
    </row>
    <row r="12" spans="1:7" ht="45" x14ac:dyDescent="0.25">
      <c r="A12" s="127" t="s">
        <v>241</v>
      </c>
      <c r="B12" s="153">
        <f>0</f>
        <v>0</v>
      </c>
      <c r="D12" s="127" t="s">
        <v>241</v>
      </c>
      <c r="E12" s="153">
        <f>(1800*2500)+(1800*2500*0.08)+(1800*2500*0.15)</f>
        <v>5535000</v>
      </c>
      <c r="F12" s="161"/>
      <c r="G12" s="157">
        <f t="shared" si="0"/>
        <v>5535000</v>
      </c>
    </row>
    <row r="13" spans="1:7" x14ac:dyDescent="0.25">
      <c r="A13" s="154" t="s">
        <v>220</v>
      </c>
      <c r="B13" s="139">
        <f>SUM(B9:B12)</f>
        <v>58117500</v>
      </c>
      <c r="D13" s="154" t="s">
        <v>220</v>
      </c>
      <c r="E13" s="139">
        <f>SUM(E9:E12)</f>
        <v>56565000</v>
      </c>
      <c r="F13" s="139"/>
      <c r="G13" s="139">
        <f>SUM(G9:G12)</f>
        <v>-1552499.9999999981</v>
      </c>
    </row>
    <row r="15" spans="1:7" x14ac:dyDescent="0.25">
      <c r="A15" s="155" t="s">
        <v>221</v>
      </c>
      <c r="D15" s="155" t="s">
        <v>221</v>
      </c>
    </row>
    <row r="16" spans="1:7" ht="45" x14ac:dyDescent="0.25">
      <c r="A16" s="127" t="s">
        <v>290</v>
      </c>
      <c r="B16" s="156">
        <f>66000*1000*1.15</f>
        <v>75900000</v>
      </c>
      <c r="D16" s="127" t="s">
        <v>229</v>
      </c>
      <c r="E16" s="156">
        <f>62437.5*1425*1.15</f>
        <v>102319453.12499999</v>
      </c>
      <c r="F16" s="156"/>
      <c r="G16" s="158">
        <f t="shared" ref="G16:G20" si="1">E16-B16</f>
        <v>26419453.124999985</v>
      </c>
    </row>
    <row r="17" spans="1:7" ht="30" x14ac:dyDescent="0.25">
      <c r="A17" s="127" t="s">
        <v>291</v>
      </c>
      <c r="B17" s="156">
        <f>5400*1125*1.15</f>
        <v>6986249.9999999991</v>
      </c>
      <c r="D17" s="127" t="s">
        <v>230</v>
      </c>
      <c r="E17" s="156">
        <f>5062.5*1425*1.15</f>
        <v>8296171.8749999991</v>
      </c>
      <c r="F17" s="156"/>
      <c r="G17" s="158">
        <f t="shared" si="1"/>
        <v>1309921.875</v>
      </c>
    </row>
    <row r="18" spans="1:7" ht="30" x14ac:dyDescent="0.25">
      <c r="A18" s="127" t="s">
        <v>292</v>
      </c>
      <c r="B18" s="158">
        <f>18000*1500*1.15</f>
        <v>31049999.999999996</v>
      </c>
      <c r="D18" s="127" t="s">
        <v>231</v>
      </c>
      <c r="E18" s="158">
        <f>22500*1500*1.15</f>
        <v>38812500</v>
      </c>
      <c r="F18" s="158"/>
      <c r="G18" s="158">
        <f t="shared" si="1"/>
        <v>7762500.0000000037</v>
      </c>
    </row>
    <row r="19" spans="1:7" ht="45" x14ac:dyDescent="0.25">
      <c r="A19" s="127" t="s">
        <v>285</v>
      </c>
      <c r="B19" s="158">
        <f>0</f>
        <v>0</v>
      </c>
      <c r="D19" s="127" t="s">
        <v>285</v>
      </c>
      <c r="E19" s="158">
        <f>100000*6*5</f>
        <v>3000000</v>
      </c>
      <c r="F19" s="158"/>
      <c r="G19" s="158">
        <f t="shared" si="1"/>
        <v>3000000</v>
      </c>
    </row>
    <row r="20" spans="1:7" ht="45" x14ac:dyDescent="0.25">
      <c r="A20" s="127" t="s">
        <v>223</v>
      </c>
      <c r="B20" s="157">
        <f>90000*206*1.15</f>
        <v>21321000</v>
      </c>
      <c r="D20" s="127" t="s">
        <v>223</v>
      </c>
      <c r="E20" s="157">
        <f>0</f>
        <v>0</v>
      </c>
      <c r="F20" s="158"/>
      <c r="G20" s="157">
        <f t="shared" si="1"/>
        <v>-21321000</v>
      </c>
    </row>
    <row r="21" spans="1:7" ht="30" x14ac:dyDescent="0.25">
      <c r="A21" s="154" t="s">
        <v>222</v>
      </c>
      <c r="B21" s="139">
        <f>SUM(B16:B20)</f>
        <v>135257250</v>
      </c>
      <c r="D21" s="154" t="s">
        <v>222</v>
      </c>
      <c r="E21" s="139">
        <f>SUM(E16:E20)</f>
        <v>152428125</v>
      </c>
      <c r="F21" s="139"/>
      <c r="G21" s="139">
        <f>SUM(G16:G20)</f>
        <v>17170874.999999985</v>
      </c>
    </row>
    <row r="23" spans="1:7" x14ac:dyDescent="0.25">
      <c r="A23" s="155" t="s">
        <v>75</v>
      </c>
      <c r="D23" s="155" t="s">
        <v>75</v>
      </c>
    </row>
    <row r="24" spans="1:7" x14ac:dyDescent="0.25">
      <c r="A24" t="s">
        <v>35</v>
      </c>
      <c r="B24" s="70">
        <f>7448000</f>
        <v>7448000</v>
      </c>
      <c r="D24" t="s">
        <v>35</v>
      </c>
      <c r="E24" s="70">
        <f>'Rev Req Input'!E28</f>
        <v>7575399.9999999991</v>
      </c>
      <c r="F24" s="70"/>
      <c r="G24" s="158">
        <f t="shared" ref="G24:G25" si="2">E24-B24</f>
        <v>127399.99999999907</v>
      </c>
    </row>
    <row r="25" spans="1:7" x14ac:dyDescent="0.25">
      <c r="A25" t="s">
        <v>34</v>
      </c>
      <c r="B25" s="71">
        <f>152000</f>
        <v>152000</v>
      </c>
      <c r="D25" t="s">
        <v>34</v>
      </c>
      <c r="E25" s="71">
        <f>'Rev Req Input'!F28</f>
        <v>154600</v>
      </c>
      <c r="F25" s="126"/>
      <c r="G25" s="157">
        <f t="shared" si="2"/>
        <v>2600</v>
      </c>
    </row>
    <row r="26" spans="1:7" x14ac:dyDescent="0.25">
      <c r="A26" s="138" t="s">
        <v>226</v>
      </c>
      <c r="B26" s="139">
        <f>SUM(B24:B25)</f>
        <v>7600000</v>
      </c>
      <c r="D26" s="138" t="s">
        <v>226</v>
      </c>
      <c r="E26" s="139">
        <f>SUM(E24:E25)</f>
        <v>7729999.9999999991</v>
      </c>
      <c r="F26" s="139"/>
      <c r="G26" s="139">
        <f>SUM(G24:G25)</f>
        <v>129999.99999999907</v>
      </c>
    </row>
    <row r="28" spans="1:7" ht="15.75" thickBot="1" x14ac:dyDescent="0.3">
      <c r="A28" s="154" t="s">
        <v>224</v>
      </c>
      <c r="B28" s="140">
        <f>B13+B21+B26</f>
        <v>200974750</v>
      </c>
      <c r="D28" s="154" t="s">
        <v>224</v>
      </c>
      <c r="E28" s="140">
        <f>E13+E21+E26</f>
        <v>216723125</v>
      </c>
      <c r="F28" s="141"/>
      <c r="G28" s="140">
        <f>G13+G21+G26</f>
        <v>15748374.999999985</v>
      </c>
    </row>
    <row r="29" spans="1:7" ht="15.75" thickTop="1" x14ac:dyDescent="0.25"/>
    <row r="31" spans="1:7" x14ac:dyDescent="0.25">
      <c r="A31" s="147" t="s">
        <v>225</v>
      </c>
      <c r="D31" s="147" t="s">
        <v>225</v>
      </c>
    </row>
    <row r="33" spans="1:7" x14ac:dyDescent="0.25">
      <c r="A33" t="s">
        <v>38</v>
      </c>
      <c r="B33" s="70">
        <f>300000</f>
        <v>300000</v>
      </c>
      <c r="D33" t="s">
        <v>38</v>
      </c>
      <c r="E33" s="70">
        <f>'Rev Req Input'!H28</f>
        <v>600000</v>
      </c>
      <c r="F33" s="70"/>
      <c r="G33" s="158">
        <f t="shared" ref="G33:G39" si="3">E33-B33</f>
        <v>300000</v>
      </c>
    </row>
    <row r="34" spans="1:7" x14ac:dyDescent="0.25">
      <c r="A34" t="s">
        <v>124</v>
      </c>
      <c r="B34" s="70">
        <f>500000</f>
        <v>500000</v>
      </c>
      <c r="D34" t="s">
        <v>124</v>
      </c>
      <c r="E34" s="70">
        <f>'Rev Req Input'!I28</f>
        <v>999999.99999999977</v>
      </c>
      <c r="F34" s="70"/>
      <c r="G34" s="158">
        <f t="shared" si="3"/>
        <v>499999.99999999977</v>
      </c>
    </row>
    <row r="35" spans="1:7" x14ac:dyDescent="0.25">
      <c r="A35" t="s">
        <v>36</v>
      </c>
      <c r="B35" s="70">
        <f>250000</f>
        <v>250000</v>
      </c>
      <c r="D35" t="s">
        <v>36</v>
      </c>
      <c r="E35" s="70">
        <f>('Rev Req Input'!J28+'Rev Req Input'!O28)</f>
        <v>549999.99999999988</v>
      </c>
      <c r="F35" s="70"/>
      <c r="G35" s="158">
        <f t="shared" si="3"/>
        <v>299999.99999999988</v>
      </c>
    </row>
    <row r="36" spans="1:7" ht="75" x14ac:dyDescent="0.25">
      <c r="A36" s="185" t="s">
        <v>293</v>
      </c>
      <c r="B36" s="156">
        <f>0</f>
        <v>0</v>
      </c>
      <c r="D36" s="127" t="s">
        <v>255</v>
      </c>
      <c r="E36" s="156">
        <f>'Rev Req Input'!L28</f>
        <v>0</v>
      </c>
      <c r="F36" s="70"/>
      <c r="G36" s="158">
        <f t="shared" si="3"/>
        <v>0</v>
      </c>
    </row>
    <row r="37" spans="1:7" x14ac:dyDescent="0.25">
      <c r="A37" t="s">
        <v>33</v>
      </c>
      <c r="B37" s="70">
        <f>400000</f>
        <v>400000</v>
      </c>
      <c r="D37" t="s">
        <v>33</v>
      </c>
      <c r="E37" s="70">
        <f>'Rev Req Input'!P28</f>
        <v>399999.99999999994</v>
      </c>
      <c r="F37" s="70"/>
      <c r="G37" s="158">
        <f t="shared" si="3"/>
        <v>0</v>
      </c>
    </row>
    <row r="38" spans="1:7" x14ac:dyDescent="0.25">
      <c r="A38" t="s">
        <v>227</v>
      </c>
      <c r="B38" s="70">
        <f>1000000</f>
        <v>1000000</v>
      </c>
      <c r="D38" t="s">
        <v>227</v>
      </c>
      <c r="E38" s="70">
        <f>'Rev Req Input'!Q28</f>
        <v>0</v>
      </c>
      <c r="F38" s="70"/>
      <c r="G38" s="158">
        <f t="shared" si="3"/>
        <v>-1000000</v>
      </c>
    </row>
    <row r="39" spans="1:7" x14ac:dyDescent="0.25">
      <c r="A39" t="s">
        <v>127</v>
      </c>
      <c r="B39" s="71">
        <f>22500000</f>
        <v>22500000</v>
      </c>
      <c r="D39" t="s">
        <v>127</v>
      </c>
      <c r="E39" s="71">
        <f>'Rev Req Input'!R28</f>
        <v>22500000</v>
      </c>
      <c r="F39" s="126"/>
      <c r="G39" s="158">
        <f t="shared" si="3"/>
        <v>0</v>
      </c>
    </row>
    <row r="40" spans="1:7" x14ac:dyDescent="0.25">
      <c r="A40" s="138" t="s">
        <v>228</v>
      </c>
      <c r="B40" s="159">
        <f>SUM(B33:B39)</f>
        <v>24950000</v>
      </c>
      <c r="D40" s="138" t="s">
        <v>228</v>
      </c>
      <c r="E40" s="159">
        <f>SUM(E33:E39)</f>
        <v>25050000</v>
      </c>
      <c r="F40" s="141"/>
      <c r="G40" s="159">
        <f>SUM(G33:G39)</f>
        <v>99999.999999999534</v>
      </c>
    </row>
    <row r="42" spans="1:7" ht="15.75" thickBot="1" x14ac:dyDescent="0.3">
      <c r="A42" s="138" t="s">
        <v>219</v>
      </c>
      <c r="B42" s="140">
        <f>B28+B40</f>
        <v>225924750</v>
      </c>
      <c r="D42" s="138" t="s">
        <v>219</v>
      </c>
      <c r="E42" s="140">
        <f>E28+E40</f>
        <v>241773125</v>
      </c>
      <c r="F42" s="141"/>
      <c r="G42" s="140">
        <f>G28+G40</f>
        <v>15848374.999999985</v>
      </c>
    </row>
    <row r="43" spans="1:7" ht="15.75" thickTop="1" x14ac:dyDescent="0.25"/>
    <row r="44" spans="1:7" x14ac:dyDescent="0.25">
      <c r="A44" s="189" t="s">
        <v>246</v>
      </c>
      <c r="B44" s="189"/>
      <c r="D44" s="189" t="s">
        <v>245</v>
      </c>
      <c r="E44" s="189"/>
    </row>
    <row r="45" spans="1:7" x14ac:dyDescent="0.25">
      <c r="A45" t="s">
        <v>133</v>
      </c>
      <c r="B45" s="74">
        <v>66600</v>
      </c>
      <c r="D45" t="s">
        <v>133</v>
      </c>
      <c r="E45" s="74">
        <f>90000*Percentages!C33</f>
        <v>62437.5</v>
      </c>
      <c r="F45" s="74"/>
    </row>
    <row r="46" spans="1:7" x14ac:dyDescent="0.25">
      <c r="A46" t="s">
        <v>134</v>
      </c>
      <c r="B46" s="74">
        <v>5400</v>
      </c>
      <c r="D46" t="s">
        <v>134</v>
      </c>
      <c r="E46" s="74">
        <f>90000*Percentages!G33</f>
        <v>5062.5</v>
      </c>
      <c r="F46" s="74"/>
    </row>
    <row r="47" spans="1:7" x14ac:dyDescent="0.25">
      <c r="A47" t="s">
        <v>244</v>
      </c>
      <c r="B47" s="135">
        <v>18000</v>
      </c>
      <c r="D47" t="s">
        <v>244</v>
      </c>
      <c r="E47" s="135">
        <f>90000*Percentages!K33</f>
        <v>22500</v>
      </c>
      <c r="F47" s="74"/>
    </row>
    <row r="48" spans="1:7" ht="15.75" thickBot="1" x14ac:dyDescent="0.3">
      <c r="A48" t="s">
        <v>220</v>
      </c>
      <c r="B48" s="142">
        <f>SUM(B45:B47)</f>
        <v>90000</v>
      </c>
      <c r="D48" t="s">
        <v>220</v>
      </c>
      <c r="E48" s="142">
        <f>SUM(E45:E47)</f>
        <v>90000</v>
      </c>
    </row>
    <row r="49" ht="15.75" thickTop="1" x14ac:dyDescent="0.25"/>
  </sheetData>
  <mergeCells count="10">
    <mergeCell ref="D7:E7"/>
    <mergeCell ref="A7:B7"/>
    <mergeCell ref="D44:E44"/>
    <mergeCell ref="A44:B44"/>
    <mergeCell ref="D3:E3"/>
    <mergeCell ref="D4:E4"/>
    <mergeCell ref="D5:E5"/>
    <mergeCell ref="A3:B3"/>
    <mergeCell ref="A4:B4"/>
    <mergeCell ref="A5:B5"/>
  </mergeCells>
  <pageMargins left="0.7" right="0.7" top="0.75" bottom="0.75" header="0.3" footer="0.3"/>
  <pageSetup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43"/>
  <sheetViews>
    <sheetView workbookViewId="0"/>
  </sheetViews>
  <sheetFormatPr defaultRowHeight="15" x14ac:dyDescent="0.25"/>
  <cols>
    <col min="1" max="1" width="28.7109375" customWidth="1"/>
    <col min="2" max="2" width="13" customWidth="1"/>
    <col min="3" max="3" width="13.140625" customWidth="1"/>
    <col min="4" max="4" width="1.85546875" customWidth="1"/>
    <col min="5" max="5" width="13.28515625" customWidth="1"/>
    <col min="6" max="6" width="12.85546875" customWidth="1"/>
    <col min="7" max="7" width="2.7109375" customWidth="1"/>
    <col min="8" max="8" width="13" customWidth="1"/>
    <col min="9" max="9" width="13.7109375" customWidth="1"/>
    <col min="10" max="10" width="14.7109375" customWidth="1"/>
    <col min="11" max="11" width="19.28515625" customWidth="1"/>
    <col min="12" max="12" width="12" customWidth="1"/>
    <col min="13" max="13" width="11.7109375" customWidth="1"/>
    <col min="14" max="14" width="1.5703125" customWidth="1"/>
    <col min="15" max="15" width="13.85546875" customWidth="1"/>
    <col min="16" max="16" width="10.5703125" customWidth="1"/>
    <col min="17" max="17" width="12.140625" customWidth="1"/>
    <col min="18" max="18" width="12" customWidth="1"/>
    <col min="19" max="19" width="13.140625" customWidth="1"/>
    <col min="20" max="20" width="1.85546875" customWidth="1"/>
    <col min="21" max="21" width="11.7109375" customWidth="1"/>
  </cols>
  <sheetData>
    <row r="2" spans="1:21" x14ac:dyDescent="0.25">
      <c r="B2" s="189" t="s">
        <v>214</v>
      </c>
      <c r="C2" s="189"/>
      <c r="D2" s="189"/>
      <c r="E2" s="189"/>
      <c r="F2" s="189"/>
      <c r="H2" s="189" t="s">
        <v>295</v>
      </c>
      <c r="I2" s="189"/>
      <c r="J2" s="189"/>
      <c r="K2" s="189"/>
      <c r="L2" s="189"/>
      <c r="M2" s="189"/>
      <c r="O2" s="189" t="s">
        <v>296</v>
      </c>
      <c r="P2" s="189"/>
      <c r="Q2" s="189"/>
      <c r="R2" s="189"/>
      <c r="S2" s="189"/>
    </row>
    <row r="3" spans="1:21" x14ac:dyDescent="0.25">
      <c r="B3" s="190" t="s">
        <v>199</v>
      </c>
      <c r="C3" s="190"/>
      <c r="E3" s="190" t="s">
        <v>201</v>
      </c>
      <c r="F3" s="190"/>
      <c r="H3" s="146" t="s">
        <v>137</v>
      </c>
      <c r="J3" s="82" t="s">
        <v>204</v>
      </c>
      <c r="K3" s="146" t="s">
        <v>212</v>
      </c>
      <c r="L3" s="146" t="s">
        <v>206</v>
      </c>
      <c r="O3" s="181" t="s">
        <v>204</v>
      </c>
      <c r="P3" s="146" t="s">
        <v>208</v>
      </c>
      <c r="Q3" s="146" t="s">
        <v>210</v>
      </c>
      <c r="R3" s="146" t="s">
        <v>212</v>
      </c>
      <c r="U3" s="146" t="s">
        <v>215</v>
      </c>
    </row>
    <row r="4" spans="1:21" x14ac:dyDescent="0.25">
      <c r="B4" s="189" t="s">
        <v>195</v>
      </c>
      <c r="C4" s="189"/>
      <c r="E4" s="189" t="s">
        <v>200</v>
      </c>
      <c r="F4" s="189"/>
      <c r="H4" s="99" t="s">
        <v>203</v>
      </c>
      <c r="I4" s="145" t="s">
        <v>124</v>
      </c>
      <c r="J4" s="145" t="s">
        <v>205</v>
      </c>
      <c r="K4" s="100" t="s">
        <v>294</v>
      </c>
      <c r="L4" s="99" t="s">
        <v>207</v>
      </c>
      <c r="M4" s="100" t="s">
        <v>7</v>
      </c>
      <c r="O4" s="180" t="s">
        <v>205</v>
      </c>
      <c r="P4" s="99" t="s">
        <v>209</v>
      </c>
      <c r="Q4" s="99" t="s">
        <v>211</v>
      </c>
      <c r="R4" s="99" t="s">
        <v>213</v>
      </c>
      <c r="S4" s="100" t="s">
        <v>7</v>
      </c>
      <c r="U4" s="99" t="s">
        <v>213</v>
      </c>
    </row>
    <row r="5" spans="1:21" x14ac:dyDescent="0.25">
      <c r="B5" s="148" t="s">
        <v>10</v>
      </c>
      <c r="C5" s="148" t="s">
        <v>9</v>
      </c>
      <c r="E5" s="148" t="s">
        <v>202</v>
      </c>
      <c r="F5" s="148" t="s">
        <v>18</v>
      </c>
      <c r="H5" s="148" t="s">
        <v>10</v>
      </c>
      <c r="I5" s="148" t="s">
        <v>10</v>
      </c>
      <c r="J5" s="148" t="s">
        <v>10</v>
      </c>
      <c r="K5" s="148" t="s">
        <v>10</v>
      </c>
      <c r="L5" s="148" t="s">
        <v>10</v>
      </c>
      <c r="M5" s="148" t="s">
        <v>10</v>
      </c>
      <c r="O5" s="148" t="s">
        <v>9</v>
      </c>
      <c r="P5" s="148" t="s">
        <v>9</v>
      </c>
      <c r="Q5" s="148" t="s">
        <v>9</v>
      </c>
      <c r="R5" s="148" t="s">
        <v>9</v>
      </c>
      <c r="S5" s="148" t="s">
        <v>9</v>
      </c>
      <c r="U5" s="148" t="s">
        <v>10</v>
      </c>
    </row>
    <row r="6" spans="1:21" x14ac:dyDescent="0.25">
      <c r="A6" s="147" t="s">
        <v>132</v>
      </c>
    </row>
    <row r="7" spans="1:21" x14ac:dyDescent="0.25">
      <c r="A7" t="s">
        <v>197</v>
      </c>
      <c r="B7" s="70">
        <f>'SD-SF-WH'!B52+'SD-SF-WH'!C52</f>
        <v>11932500</v>
      </c>
      <c r="C7" s="70">
        <f>'SD-SF-WH'!B53</f>
        <v>34106484.375</v>
      </c>
      <c r="E7" s="70">
        <f>'SD-SF-WH'!B57</f>
        <v>1751811.25</v>
      </c>
      <c r="F7" s="70">
        <f>'SD-SF-WH'!B58</f>
        <v>35751.25</v>
      </c>
      <c r="H7" s="126">
        <f>'SD-SF-WH'!D27</f>
        <v>138750</v>
      </c>
      <c r="I7" s="126">
        <f>'SD-SF-WH'!D28</f>
        <v>231250</v>
      </c>
      <c r="J7" s="126">
        <f>'SD-SF-WH'!D29</f>
        <v>115625</v>
      </c>
      <c r="K7" s="126">
        <f>0</f>
        <v>0</v>
      </c>
      <c r="L7" s="126">
        <f>0</f>
        <v>0</v>
      </c>
      <c r="M7" s="126">
        <f>SUM(H7:L7)</f>
        <v>485625</v>
      </c>
      <c r="O7" s="70">
        <f>'SD-SF-WH'!E29</f>
        <v>11562.5</v>
      </c>
      <c r="P7" s="70">
        <f>'SD-SF-WH'!E32</f>
        <v>92500</v>
      </c>
      <c r="Q7" s="70">
        <f>'SD-SF-WH'!E33</f>
        <v>0</v>
      </c>
      <c r="R7" s="70">
        <f>'SD-SF-WH'!E34</f>
        <v>5203125</v>
      </c>
      <c r="S7" s="70">
        <f>SUM(O7:R7)</f>
        <v>5307187.5</v>
      </c>
      <c r="U7" s="70">
        <f>'SD-SF-WH'!C75</f>
        <v>520312.5</v>
      </c>
    </row>
    <row r="8" spans="1:21" x14ac:dyDescent="0.25">
      <c r="A8" t="s">
        <v>189</v>
      </c>
      <c r="B8" s="70">
        <f>'SD-SF-SepM'!B52+'SD-SF-SepM'!C52</f>
        <v>11932500</v>
      </c>
      <c r="C8" s="70">
        <f>'SD-SF-SepM'!B53</f>
        <v>34106484.375</v>
      </c>
      <c r="E8" s="70">
        <f>'SD-SF-SepM'!B57</f>
        <v>1751811.25</v>
      </c>
      <c r="F8" s="70">
        <f>'SD-SF-SepM'!B58</f>
        <v>35751.25</v>
      </c>
      <c r="H8" s="126">
        <f>'SD-SF-SepM'!D27</f>
        <v>138750</v>
      </c>
      <c r="I8" s="126">
        <f>'SD-SF-SepM'!D28</f>
        <v>231250</v>
      </c>
      <c r="J8" s="126">
        <f>'SD-SF-WH'!D29</f>
        <v>115625</v>
      </c>
      <c r="K8" s="126">
        <f>0</f>
        <v>0</v>
      </c>
      <c r="L8" s="126">
        <f>0</f>
        <v>0</v>
      </c>
      <c r="M8" s="126">
        <f t="shared" ref="M8:M15" si="0">SUM(H8:L8)</f>
        <v>485625</v>
      </c>
      <c r="O8" s="70">
        <f>'SD-SF-SepM'!E29</f>
        <v>11562.5</v>
      </c>
      <c r="P8" s="70">
        <f>'SD-SF-SepM'!E32</f>
        <v>92500</v>
      </c>
      <c r="Q8" s="70">
        <f>'SD-SF-SepM'!E33</f>
        <v>0</v>
      </c>
      <c r="R8" s="70">
        <f>'SD-SF-SepM'!E34</f>
        <v>5203125</v>
      </c>
      <c r="S8" s="70">
        <f t="shared" ref="S8:S15" si="1">SUM(O8:R8)</f>
        <v>5307187.5</v>
      </c>
      <c r="U8" s="70">
        <f>'SD-SF-SepM'!C75</f>
        <v>520312.5</v>
      </c>
    </row>
    <row r="9" spans="1:21" x14ac:dyDescent="0.25">
      <c r="A9" t="s">
        <v>190</v>
      </c>
      <c r="B9" s="70">
        <f>'SD-SF-SubM'!B52+'SD-SF-SubM'!C52</f>
        <v>11932500</v>
      </c>
      <c r="C9" s="70">
        <f>'SD-SF-SubM'!B53</f>
        <v>34106484.375</v>
      </c>
      <c r="E9" s="70">
        <f>'SD-SF-SubM'!B57</f>
        <v>1751811.25</v>
      </c>
      <c r="F9" s="70">
        <f>'SD-SF-SubM'!B58</f>
        <v>35751.25</v>
      </c>
      <c r="H9" s="126">
        <f>'SD-SF-SubM'!D27</f>
        <v>138750</v>
      </c>
      <c r="I9" s="126">
        <f>'SD-SF-SubM'!D28</f>
        <v>231250</v>
      </c>
      <c r="J9" s="126">
        <f>'SD-SF-SubM'!D29</f>
        <v>115625</v>
      </c>
      <c r="K9" s="126">
        <f>0</f>
        <v>0</v>
      </c>
      <c r="L9" s="126">
        <f>0</f>
        <v>0</v>
      </c>
      <c r="M9" s="126">
        <f t="shared" si="0"/>
        <v>485625</v>
      </c>
      <c r="O9" s="70">
        <f>'SD-SF-SubM'!E29</f>
        <v>11562.5</v>
      </c>
      <c r="P9" s="70">
        <f>'SD-SF-SubM'!E32</f>
        <v>92500</v>
      </c>
      <c r="Q9" s="70">
        <f>'SD-SF-SubM'!E33</f>
        <v>0</v>
      </c>
      <c r="R9" s="70">
        <f>'SD-SF-SubM'!E34</f>
        <v>5203125</v>
      </c>
      <c r="S9" s="70">
        <f t="shared" si="1"/>
        <v>5307187.5</v>
      </c>
      <c r="U9" s="70">
        <f>'SD-SF-SubM'!C75</f>
        <v>520312.5</v>
      </c>
    </row>
    <row r="10" spans="1:21" x14ac:dyDescent="0.25">
      <c r="A10" t="s">
        <v>198</v>
      </c>
      <c r="B10" s="70">
        <f>'SD-MF-WH'!B52+'SD-MF-WH'!C52</f>
        <v>967500</v>
      </c>
      <c r="C10" s="70">
        <f>'SD-MF-WH'!B53</f>
        <v>2765390.625</v>
      </c>
      <c r="E10" s="70">
        <f>'SD-MF-WH'!B57</f>
        <v>142038.75</v>
      </c>
      <c r="F10" s="70">
        <f>'SD-MF-WH'!B58</f>
        <v>2898.75</v>
      </c>
      <c r="H10" s="126">
        <f>'SD-MF-WH'!D27</f>
        <v>11250</v>
      </c>
      <c r="I10" s="126">
        <f>'SD-MF-WH'!D28</f>
        <v>18750</v>
      </c>
      <c r="J10" s="126">
        <f>'SD-MF-WH'!D29</f>
        <v>9375</v>
      </c>
      <c r="K10" s="126">
        <f>0</f>
        <v>0</v>
      </c>
      <c r="L10" s="126">
        <f>0</f>
        <v>0</v>
      </c>
      <c r="M10" s="126">
        <f t="shared" si="0"/>
        <v>39375</v>
      </c>
      <c r="O10" s="70">
        <f>'SD-MF-WH'!E29</f>
        <v>937.5</v>
      </c>
      <c r="P10" s="70">
        <f>'SD-MF-WH'!E32</f>
        <v>7500</v>
      </c>
      <c r="Q10" s="70">
        <f>'SD-MF-WH'!E33</f>
        <v>0</v>
      </c>
      <c r="R10" s="70">
        <f>'SD-MF-WH'!E34</f>
        <v>421875</v>
      </c>
      <c r="S10" s="70">
        <f t="shared" si="1"/>
        <v>430312.5</v>
      </c>
      <c r="U10" s="70">
        <f>'SD-MF-WH'!C75</f>
        <v>42187.5</v>
      </c>
    </row>
    <row r="11" spans="1:21" x14ac:dyDescent="0.25">
      <c r="A11" t="s">
        <v>191</v>
      </c>
      <c r="B11" s="70">
        <f>'SD-MF-SepM'!B52+'SD-MF-SepM'!C52</f>
        <v>967500</v>
      </c>
      <c r="C11" s="70">
        <f>'SD-MF-SepM'!B53</f>
        <v>2765390.625</v>
      </c>
      <c r="E11" s="70">
        <f>'SD-MF-SepM'!B57</f>
        <v>142038.75</v>
      </c>
      <c r="F11" s="70">
        <f>'SD-MF-SepM'!B58</f>
        <v>2898.75</v>
      </c>
      <c r="H11" s="126">
        <f>'SD-MF-SepM'!D27</f>
        <v>11250</v>
      </c>
      <c r="I11" s="126">
        <f>'SD-MF-SepM'!D28</f>
        <v>18750</v>
      </c>
      <c r="J11" s="126">
        <f>'SD-MF-SepM'!D29</f>
        <v>9375</v>
      </c>
      <c r="K11" s="126">
        <f>0</f>
        <v>0</v>
      </c>
      <c r="L11" s="126">
        <f>0</f>
        <v>0</v>
      </c>
      <c r="M11" s="126">
        <f t="shared" si="0"/>
        <v>39375</v>
      </c>
      <c r="O11" s="70">
        <f>'SD-MF-SubM'!E29</f>
        <v>937.5</v>
      </c>
      <c r="P11" s="70">
        <f>'SD-MF-SepM'!E32</f>
        <v>7500</v>
      </c>
      <c r="Q11" s="70">
        <f>'SD-MF-SepM'!E33</f>
        <v>0</v>
      </c>
      <c r="R11" s="70">
        <f>'SD-MF-SepM'!E34</f>
        <v>421875</v>
      </c>
      <c r="S11" s="70">
        <f t="shared" si="1"/>
        <v>430312.5</v>
      </c>
      <c r="U11" s="70">
        <f>'SD-MF-SepM'!C75</f>
        <v>42187.5</v>
      </c>
    </row>
    <row r="12" spans="1:21" x14ac:dyDescent="0.25">
      <c r="A12" t="s">
        <v>192</v>
      </c>
      <c r="B12" s="70">
        <f>'SD-MF-SubM'!B52+'SD-MF-SubM'!C52</f>
        <v>967500</v>
      </c>
      <c r="C12" s="70">
        <f>'SD-MF-SubM'!B53</f>
        <v>2765390.625</v>
      </c>
      <c r="E12" s="70">
        <f>'SD-MF-SubM'!B57</f>
        <v>142038.75</v>
      </c>
      <c r="F12" s="70">
        <f>'SD-MF-SubM'!B58</f>
        <v>2898.75</v>
      </c>
      <c r="H12" s="126">
        <f>'SD-MF-SubM'!D27</f>
        <v>11250</v>
      </c>
      <c r="I12" s="126">
        <f>'SD-MF-SubM'!D28</f>
        <v>18750</v>
      </c>
      <c r="J12" s="126">
        <f>'SD-MF-SubM'!D29</f>
        <v>9375</v>
      </c>
      <c r="K12" s="126">
        <f>0</f>
        <v>0</v>
      </c>
      <c r="L12" s="126">
        <f>0</f>
        <v>0</v>
      </c>
      <c r="M12" s="126">
        <f t="shared" si="0"/>
        <v>39375</v>
      </c>
      <c r="O12" s="70">
        <f>'SD-MF-SubM'!E29</f>
        <v>937.5</v>
      </c>
      <c r="P12" s="70">
        <f>'SD-MF-SubM'!E32</f>
        <v>7500</v>
      </c>
      <c r="Q12" s="70">
        <f>'SD-MF-SubM'!E33</f>
        <v>0</v>
      </c>
      <c r="R12" s="70">
        <f>'SD-MF-SubM'!E34</f>
        <v>421875</v>
      </c>
      <c r="S12" s="70">
        <f t="shared" si="1"/>
        <v>430312.5</v>
      </c>
      <c r="U12" s="70">
        <f>'SD-MF-SubM'!C75</f>
        <v>42187.5</v>
      </c>
    </row>
    <row r="13" spans="1:21" x14ac:dyDescent="0.25">
      <c r="A13" t="s">
        <v>196</v>
      </c>
      <c r="B13" s="70">
        <f>'SD-DAC-WH'!B52+'SD-DAC-WH'!C52</f>
        <v>6954999.9999999981</v>
      </c>
      <c r="C13" s="70">
        <f>'SD-DAC-WH'!B53</f>
        <v>12937499.999999996</v>
      </c>
      <c r="E13" s="70">
        <f>'SD-DAC-WH'!B57</f>
        <v>631283.33333333314</v>
      </c>
      <c r="F13" s="70">
        <f>'SD-DAC-WH'!B58</f>
        <v>12883.333333333328</v>
      </c>
      <c r="H13" s="126">
        <f>'SD-DAC-WH'!D27</f>
        <v>49999.999999999978</v>
      </c>
      <c r="I13" s="126">
        <f>'SD-DAC-WH'!D28</f>
        <v>83333.333333333299</v>
      </c>
      <c r="J13" s="126">
        <f>'SD-DAC-WH'!D29</f>
        <v>41666.66666666665</v>
      </c>
      <c r="K13" s="126">
        <f>0</f>
        <v>0</v>
      </c>
      <c r="L13" s="126">
        <f>0</f>
        <v>0</v>
      </c>
      <c r="M13" s="126">
        <f t="shared" si="0"/>
        <v>174999.99999999994</v>
      </c>
      <c r="O13" s="70">
        <f>'SD-DAC-WH'!E29</f>
        <v>4166.6666666666652</v>
      </c>
      <c r="P13" s="70">
        <f>'SD-DAC-WH'!E32</f>
        <v>33333.333333333321</v>
      </c>
      <c r="Q13" s="70">
        <f>'SD-DAC-WH'!E33</f>
        <v>0</v>
      </c>
      <c r="R13" s="70">
        <f>'SD-DAC-WH'!E34</f>
        <v>1874999.9999999993</v>
      </c>
      <c r="S13" s="70">
        <f t="shared" si="1"/>
        <v>1912499.9999999993</v>
      </c>
      <c r="U13" s="70">
        <f>'SD-DAC-WH'!C75</f>
        <v>187499.99999999994</v>
      </c>
    </row>
    <row r="14" spans="1:21" x14ac:dyDescent="0.25">
      <c r="A14" t="s">
        <v>193</v>
      </c>
      <c r="B14" s="70">
        <f>'SD-DAC-SepM'!B52+'SD-DAC-SepM'!C52</f>
        <v>6954999.9999999981</v>
      </c>
      <c r="C14" s="70">
        <f>'SD-DAC-SepM'!B53</f>
        <v>12937499.999999996</v>
      </c>
      <c r="E14" s="70">
        <f>'SD-DAC-SepM'!B57</f>
        <v>631283.33333333314</v>
      </c>
      <c r="F14" s="70">
        <f>'SD-DAC-SepM'!B58</f>
        <v>12883.333333333328</v>
      </c>
      <c r="H14" s="126">
        <f>'SD-DAC-SepM'!D27</f>
        <v>49999.999999999978</v>
      </c>
      <c r="I14" s="126">
        <f>'SD-DAC-SepM'!D28</f>
        <v>83333.333333333299</v>
      </c>
      <c r="J14" s="126">
        <f>'SD-DAC-SepM'!D29</f>
        <v>41666.66666666665</v>
      </c>
      <c r="K14" s="126">
        <f>0</f>
        <v>0</v>
      </c>
      <c r="L14" s="126">
        <f>0</f>
        <v>0</v>
      </c>
      <c r="M14" s="126">
        <f t="shared" si="0"/>
        <v>174999.99999999994</v>
      </c>
      <c r="O14" s="70">
        <f>'SD-DAC-SepM'!E29</f>
        <v>4166.6666666666652</v>
      </c>
      <c r="P14" s="70">
        <f>'SD-DAC-SepM'!E32</f>
        <v>33333.333333333321</v>
      </c>
      <c r="Q14" s="70">
        <f>'SD-DAC-SepM'!E33</f>
        <v>0</v>
      </c>
      <c r="R14" s="70">
        <f>'SD-DAC-SepM'!E34</f>
        <v>1874999.9999999993</v>
      </c>
      <c r="S14" s="70">
        <f t="shared" si="1"/>
        <v>1912499.9999999993</v>
      </c>
      <c r="U14" s="70">
        <f>'SD-DAC-SepM'!C75</f>
        <v>187499.99999999994</v>
      </c>
    </row>
    <row r="15" spans="1:21" x14ac:dyDescent="0.25">
      <c r="A15" t="s">
        <v>194</v>
      </c>
      <c r="B15" s="70">
        <f>'SD-DAC-SubM'!B52+'SD-DAC-SubM'!C52</f>
        <v>6954999.9999999981</v>
      </c>
      <c r="C15" s="70">
        <f>'SD-DAC-SubM'!B53</f>
        <v>12937499.999999996</v>
      </c>
      <c r="E15" s="70">
        <f>'SD-DAC-SubM'!B57</f>
        <v>631283.33333333314</v>
      </c>
      <c r="F15" s="70">
        <f>'SD-DAC-SubM'!B58</f>
        <v>12883.333333333328</v>
      </c>
      <c r="H15" s="126">
        <f>'SD-DAC-SubM'!D27</f>
        <v>49999.999999999978</v>
      </c>
      <c r="I15" s="126">
        <f>'SD-DAC-SubM'!D28</f>
        <v>83333.333333333299</v>
      </c>
      <c r="J15" s="126">
        <f>'SD-DAC-SubM'!D29</f>
        <v>41666.66666666665</v>
      </c>
      <c r="K15" s="126">
        <f>0</f>
        <v>0</v>
      </c>
      <c r="L15" s="126">
        <f>0</f>
        <v>0</v>
      </c>
      <c r="M15" s="126">
        <f t="shared" si="0"/>
        <v>174999.99999999994</v>
      </c>
      <c r="O15" s="70">
        <f>'SD-DAC-SubM'!E29</f>
        <v>4166.6666666666652</v>
      </c>
      <c r="P15" s="70">
        <f>'SD-DAC-SubM'!E32</f>
        <v>33333.333333333321</v>
      </c>
      <c r="Q15" s="70">
        <f>'SD-DAC-SubM'!E33</f>
        <v>0</v>
      </c>
      <c r="R15" s="70">
        <f>'SD-DAC-SubM'!E34</f>
        <v>1874999.9999999993</v>
      </c>
      <c r="S15" s="70">
        <f t="shared" si="1"/>
        <v>1912499.9999999993</v>
      </c>
      <c r="U15" s="70">
        <f>'SD-DAC-SubM'!C75</f>
        <v>187499.99999999994</v>
      </c>
    </row>
    <row r="16" spans="1:21" x14ac:dyDescent="0.25">
      <c r="C16" s="70"/>
      <c r="E16" s="70"/>
      <c r="F16" s="70"/>
      <c r="H16" s="126"/>
      <c r="I16" s="126"/>
      <c r="J16" s="126"/>
      <c r="K16" s="126"/>
      <c r="L16" s="126"/>
      <c r="M16" s="126"/>
      <c r="O16" s="70"/>
      <c r="P16" s="70"/>
      <c r="Q16" s="70"/>
      <c r="R16" s="70"/>
      <c r="S16" s="70"/>
      <c r="U16" s="70"/>
    </row>
    <row r="17" spans="1:28" x14ac:dyDescent="0.25">
      <c r="A17" s="149" t="s">
        <v>138</v>
      </c>
      <c r="C17" s="70"/>
      <c r="E17" s="70"/>
      <c r="F17" s="70"/>
      <c r="H17" s="126"/>
      <c r="I17" s="126"/>
      <c r="J17" s="126"/>
      <c r="K17" s="126"/>
      <c r="L17" s="126"/>
      <c r="M17" s="126"/>
      <c r="O17" s="70"/>
      <c r="P17" s="70"/>
      <c r="Q17" s="70"/>
      <c r="R17" s="70"/>
      <c r="S17" s="70"/>
      <c r="U17" s="70"/>
    </row>
    <row r="18" spans="1:28" x14ac:dyDescent="0.25">
      <c r="A18" t="s">
        <v>197</v>
      </c>
      <c r="B18" s="126">
        <f>'CO-SF-WH'!B53+'CO-SF-WH'!C53</f>
        <v>0</v>
      </c>
      <c r="C18" s="70">
        <f>'CO-SF-WH'!B54</f>
        <v>0</v>
      </c>
      <c r="E18" s="70">
        <f>'CO-SF-WH'!B58</f>
        <v>0</v>
      </c>
      <c r="F18" s="70">
        <f>'CO-SF-WH'!B59</f>
        <v>0</v>
      </c>
      <c r="H18" s="126">
        <f>'CO-SF-WH'!D27</f>
        <v>0</v>
      </c>
      <c r="I18" s="126">
        <f>'CO-SF-WH'!D28</f>
        <v>0</v>
      </c>
      <c r="J18" s="126">
        <f>'CO-SF-WH'!D29</f>
        <v>0</v>
      </c>
      <c r="K18" s="126">
        <f>'CO-SF-WH'!D35</f>
        <v>0</v>
      </c>
      <c r="L18" s="126">
        <f>'CO-SF-WH'!D36</f>
        <v>0</v>
      </c>
      <c r="M18" s="126">
        <f t="shared" ref="M18:M26" si="2">SUM(H18:L18)</f>
        <v>0</v>
      </c>
      <c r="O18" s="70">
        <f>'CO-SF-WH'!E29</f>
        <v>0</v>
      </c>
      <c r="P18" s="70">
        <f>'CO-SF-WH'!E32</f>
        <v>0</v>
      </c>
      <c r="Q18" s="70">
        <f>'CO-SF-WH'!E33</f>
        <v>0</v>
      </c>
      <c r="R18" s="70">
        <f>'CO-SF-WH'!E34</f>
        <v>0</v>
      </c>
      <c r="S18" s="70">
        <f t="shared" ref="S18:S26" si="3">SUM(O18:R18)</f>
        <v>0</v>
      </c>
      <c r="U18" s="70">
        <f>'CO-SF-WH'!C76</f>
        <v>0</v>
      </c>
    </row>
    <row r="19" spans="1:28" x14ac:dyDescent="0.25">
      <c r="A19" t="s">
        <v>189</v>
      </c>
      <c r="B19" s="126">
        <f>'CO-SF-SepM'!B53+'CO-SF-SepM'!C53</f>
        <v>0</v>
      </c>
      <c r="C19" s="70">
        <f>'CO-SF-SepM'!B54</f>
        <v>0</v>
      </c>
      <c r="E19" s="70">
        <f>'CO-SF-SepM'!B58</f>
        <v>0</v>
      </c>
      <c r="F19" s="70">
        <f>'CO-SF-SepM'!B59</f>
        <v>0</v>
      </c>
      <c r="H19" s="126">
        <f>'CO-SF-SepM'!D27</f>
        <v>0</v>
      </c>
      <c r="I19" s="126">
        <f>'CO-SF-SepM'!D28</f>
        <v>0</v>
      </c>
      <c r="J19" s="126">
        <f>'CO-SF-SepM'!D29</f>
        <v>0</v>
      </c>
      <c r="K19" s="126">
        <f>'CO-SF-SepM'!D35</f>
        <v>0</v>
      </c>
      <c r="L19" s="126">
        <f>'CO-SF-SepM'!D36</f>
        <v>0</v>
      </c>
      <c r="M19" s="126">
        <f t="shared" si="2"/>
        <v>0</v>
      </c>
      <c r="O19" s="70">
        <f>'CO-SF-SepM'!E29</f>
        <v>0</v>
      </c>
      <c r="P19" s="70">
        <f>'CO-SF-SepM'!E32</f>
        <v>0</v>
      </c>
      <c r="Q19" s="70">
        <f>'CO-SF-SepM'!E33</f>
        <v>0</v>
      </c>
      <c r="R19" s="70">
        <f>'CO-SF-SepM'!E34</f>
        <v>0</v>
      </c>
      <c r="S19" s="70">
        <f t="shared" si="3"/>
        <v>0</v>
      </c>
      <c r="U19" s="70">
        <f>'CO-SF-SepM'!C76</f>
        <v>0</v>
      </c>
    </row>
    <row r="20" spans="1:28" x14ac:dyDescent="0.25">
      <c r="A20" t="s">
        <v>190</v>
      </c>
      <c r="B20" s="126">
        <f>'CO-SF-SubM'!B53+'CO-SF-SubM'!C53</f>
        <v>0</v>
      </c>
      <c r="C20" s="70">
        <f>'CO-SF-SubM'!B54</f>
        <v>0</v>
      </c>
      <c r="E20" s="70">
        <f>'CO-SF-SubM'!B58</f>
        <v>0</v>
      </c>
      <c r="F20" s="70">
        <f>'CO-SF-SubM'!B59</f>
        <v>0</v>
      </c>
      <c r="H20" s="126">
        <f>'CO-SF-SubM'!D27</f>
        <v>0</v>
      </c>
      <c r="I20" s="126">
        <f>'CO-SF-SubM'!D28</f>
        <v>0</v>
      </c>
      <c r="J20" s="126">
        <f>'CO-SF-SubM'!D29</f>
        <v>0</v>
      </c>
      <c r="K20" s="126">
        <f>'CO-SF-SubM'!D35</f>
        <v>0</v>
      </c>
      <c r="L20" s="126">
        <f>'CO-SF-SubM'!D36</f>
        <v>0</v>
      </c>
      <c r="M20" s="126">
        <f t="shared" si="2"/>
        <v>0</v>
      </c>
      <c r="O20" s="70">
        <f>'CO-SF-SubM'!E29</f>
        <v>0</v>
      </c>
      <c r="P20" s="70">
        <f>'CO-SF-SubM'!E32</f>
        <v>0</v>
      </c>
      <c r="Q20" s="70">
        <f>'CO-SF-SubM'!E33</f>
        <v>0</v>
      </c>
      <c r="R20" s="70">
        <f>'CO-SF-SubM'!E34</f>
        <v>0</v>
      </c>
      <c r="S20" s="70">
        <f t="shared" si="3"/>
        <v>0</v>
      </c>
      <c r="U20" s="70">
        <f>'CO-SF-SubM'!C76</f>
        <v>0</v>
      </c>
    </row>
    <row r="21" spans="1:28" x14ac:dyDescent="0.25">
      <c r="A21" t="s">
        <v>198</v>
      </c>
      <c r="B21" s="126">
        <f>'CO-MF-WH'!B53+'CO-MF-WH'!C53</f>
        <v>0</v>
      </c>
      <c r="C21" s="70">
        <f>'CO-MF-WH'!B54</f>
        <v>0</v>
      </c>
      <c r="E21" s="70">
        <f>'CO-MF-WH'!B58</f>
        <v>0</v>
      </c>
      <c r="F21" s="70">
        <f>'CO-MF-WH'!B59</f>
        <v>0</v>
      </c>
      <c r="H21" s="126">
        <f>'CO-MF-WH'!D27</f>
        <v>0</v>
      </c>
      <c r="I21" s="126">
        <f>'CO-MF-WH'!D28</f>
        <v>0</v>
      </c>
      <c r="J21" s="126">
        <f>'CO-MF-WH'!D29</f>
        <v>0</v>
      </c>
      <c r="K21" s="126">
        <f>'CO-MF-WH'!D35</f>
        <v>0</v>
      </c>
      <c r="L21" s="126">
        <f>'CO-MF-WH'!D36</f>
        <v>0</v>
      </c>
      <c r="M21" s="126">
        <f t="shared" si="2"/>
        <v>0</v>
      </c>
      <c r="O21" s="70">
        <f>'CO-MF-WH'!E29</f>
        <v>0</v>
      </c>
      <c r="P21" s="70">
        <f>'CO-MF-WH'!E32</f>
        <v>0</v>
      </c>
      <c r="Q21" s="70">
        <f>'CO-MF-WH'!E33</f>
        <v>0</v>
      </c>
      <c r="R21" s="70">
        <f>'CO-MF-WH'!E34</f>
        <v>0</v>
      </c>
      <c r="S21" s="70">
        <f t="shared" si="3"/>
        <v>0</v>
      </c>
      <c r="U21" s="70">
        <f>'CO-MF-WH'!C76</f>
        <v>0</v>
      </c>
    </row>
    <row r="22" spans="1:28" x14ac:dyDescent="0.25">
      <c r="A22" t="s">
        <v>191</v>
      </c>
      <c r="B22" s="126">
        <f>'CO-MF-SepM'!B53+'CO-MF-SepM'!C53</f>
        <v>0</v>
      </c>
      <c r="C22" s="70">
        <f>'CO-MF-SepM'!B54</f>
        <v>0</v>
      </c>
      <c r="E22" s="70">
        <f>'CO-MF-SepM'!B58</f>
        <v>0</v>
      </c>
      <c r="F22" s="70">
        <f>'CO-MF-SepM'!B59</f>
        <v>0</v>
      </c>
      <c r="H22" s="126">
        <f>'CO-MF-SepM'!D27</f>
        <v>0</v>
      </c>
      <c r="I22" s="126">
        <f>'CO-MF-SepM'!D28</f>
        <v>0</v>
      </c>
      <c r="J22" s="126">
        <f>'CO-MF-SepM'!D29</f>
        <v>0</v>
      </c>
      <c r="K22" s="126">
        <f>'CO-MF-SepM'!D35</f>
        <v>0</v>
      </c>
      <c r="L22" s="126">
        <f>'CO-MF-SepM'!D36</f>
        <v>0</v>
      </c>
      <c r="M22" s="126">
        <f t="shared" si="2"/>
        <v>0</v>
      </c>
      <c r="O22" s="70">
        <f>'CO-MF-SepM'!E29</f>
        <v>0</v>
      </c>
      <c r="P22" s="70">
        <f>'CO-MF-SepM'!E32</f>
        <v>0</v>
      </c>
      <c r="Q22" s="70">
        <f>'CO-MF-SepM'!E33</f>
        <v>0</v>
      </c>
      <c r="R22" s="70">
        <f>'CO-MF-SepM'!E34</f>
        <v>0</v>
      </c>
      <c r="S22" s="70">
        <f t="shared" si="3"/>
        <v>0</v>
      </c>
      <c r="U22" s="70">
        <f>'CO-MF-SepM'!C76</f>
        <v>0</v>
      </c>
    </row>
    <row r="23" spans="1:28" x14ac:dyDescent="0.25">
      <c r="A23" t="s">
        <v>192</v>
      </c>
      <c r="B23" s="126">
        <f>'CO-MF-SubM'!B53+'CO-MF-SubM'!C53</f>
        <v>0</v>
      </c>
      <c r="C23" s="70">
        <f>'CO-MF-SubM'!B54</f>
        <v>0</v>
      </c>
      <c r="E23" s="70">
        <f>'CO-MF-SubM'!B58</f>
        <v>0</v>
      </c>
      <c r="F23" s="70">
        <f>'CO-MF-SubM'!B59</f>
        <v>0</v>
      </c>
      <c r="H23" s="126">
        <f>'CO-MF-SubM'!D27</f>
        <v>0</v>
      </c>
      <c r="I23" s="126">
        <f>'CO-MF-SubM'!D28</f>
        <v>0</v>
      </c>
      <c r="J23" s="126">
        <f>'CO-MF-SepM'!D29</f>
        <v>0</v>
      </c>
      <c r="K23" s="126">
        <f>'CO-MF-SubM'!D35</f>
        <v>0</v>
      </c>
      <c r="L23" s="126">
        <f>'CO-MF-SubM'!D36</f>
        <v>0</v>
      </c>
      <c r="M23" s="126">
        <f t="shared" si="2"/>
        <v>0</v>
      </c>
      <c r="O23" s="70">
        <f>'CO-MF-SubM'!E29</f>
        <v>0</v>
      </c>
      <c r="P23" s="70">
        <f>'CO-MF-SubM'!E32</f>
        <v>0</v>
      </c>
      <c r="Q23" s="70">
        <f>'CO-MF-SubM'!E33</f>
        <v>0</v>
      </c>
      <c r="R23" s="70">
        <f>'CO-MF-SubM'!E34</f>
        <v>0</v>
      </c>
      <c r="S23" s="70">
        <f t="shared" si="3"/>
        <v>0</v>
      </c>
      <c r="U23" s="70">
        <f>'CO-MF-SubM'!C76</f>
        <v>0</v>
      </c>
    </row>
    <row r="24" spans="1:28" x14ac:dyDescent="0.25">
      <c r="A24" t="s">
        <v>196</v>
      </c>
      <c r="B24" s="126">
        <f>'CO-DAC-WH'!B53+'CO-DAC-WH'!C53</f>
        <v>0</v>
      </c>
      <c r="C24" s="70">
        <f>'CO-DAC-WH'!B54</f>
        <v>0</v>
      </c>
      <c r="E24" s="70">
        <f>'CO-DAC-WH'!B58</f>
        <v>0</v>
      </c>
      <c r="F24" s="70">
        <f>'CO-DAC-WH'!B59</f>
        <v>0</v>
      </c>
      <c r="H24" s="126">
        <f>'CO-DAC-WH'!D27</f>
        <v>0</v>
      </c>
      <c r="I24" s="126">
        <f>'CO-DAC-WH'!D28</f>
        <v>0</v>
      </c>
      <c r="J24" s="126">
        <f>'CO-DAC-WH'!D29</f>
        <v>0</v>
      </c>
      <c r="K24" s="126">
        <f>'CO-DAC-WH'!D35</f>
        <v>0</v>
      </c>
      <c r="L24" s="126">
        <f>'CO-DAC-WH'!D36</f>
        <v>0</v>
      </c>
      <c r="M24" s="126">
        <f t="shared" si="2"/>
        <v>0</v>
      </c>
      <c r="O24" s="70">
        <f>'CO-DAC-WH'!E29</f>
        <v>0</v>
      </c>
      <c r="P24" s="70">
        <f>'CO-DAC-WH'!E32</f>
        <v>0</v>
      </c>
      <c r="Q24" s="70">
        <f>'CO-DAC-WH'!E33</f>
        <v>0</v>
      </c>
      <c r="R24" s="70">
        <f>'CO-DAC-WH'!E34</f>
        <v>0</v>
      </c>
      <c r="S24" s="70">
        <f t="shared" si="3"/>
        <v>0</v>
      </c>
      <c r="U24" s="70">
        <f>'CO-DAC-WH'!C76</f>
        <v>0</v>
      </c>
    </row>
    <row r="25" spans="1:28" x14ac:dyDescent="0.25">
      <c r="A25" t="s">
        <v>193</v>
      </c>
      <c r="B25" s="126">
        <f>'CO-DAC-SepM'!B53+'CO-DAC-SepM'!C53</f>
        <v>0</v>
      </c>
      <c r="C25" s="70">
        <f>'CO-DAC-SepM'!B54</f>
        <v>0</v>
      </c>
      <c r="E25" s="70">
        <f>'CO-DAC-SepM'!B58</f>
        <v>0</v>
      </c>
      <c r="F25" s="70">
        <f>'CO-DAC-SepM'!B59</f>
        <v>0</v>
      </c>
      <c r="H25" s="126">
        <f>'CO-DAC-SepM'!D27</f>
        <v>0</v>
      </c>
      <c r="I25" s="126">
        <f>'CO-DAC-SepM'!D28</f>
        <v>0</v>
      </c>
      <c r="J25" s="126">
        <f>'CO-DAC-SepM'!D29</f>
        <v>0</v>
      </c>
      <c r="K25" s="126">
        <f>'CO-DAC-SepM'!D35</f>
        <v>0</v>
      </c>
      <c r="L25" s="126">
        <f>'CO-DAC-SepM'!D36</f>
        <v>0</v>
      </c>
      <c r="M25" s="126">
        <f t="shared" si="2"/>
        <v>0</v>
      </c>
      <c r="O25" s="70">
        <f>'CO-DAC-SepM'!E29</f>
        <v>0</v>
      </c>
      <c r="P25" s="70">
        <f>'CO-DAC-SepM'!E32</f>
        <v>0</v>
      </c>
      <c r="Q25" s="70">
        <f>'CO-DAC-SepM'!E33</f>
        <v>0</v>
      </c>
      <c r="R25" s="70">
        <f>'CO-DAC-SepM'!E34</f>
        <v>0</v>
      </c>
      <c r="S25" s="70">
        <f t="shared" si="3"/>
        <v>0</v>
      </c>
      <c r="U25" s="70">
        <f>'CO-DAC-SepM'!C76</f>
        <v>0</v>
      </c>
    </row>
    <row r="26" spans="1:28" x14ac:dyDescent="0.25">
      <c r="A26" t="s">
        <v>194</v>
      </c>
      <c r="B26" s="71">
        <f>'CO-DAC-SubM'!B53+'CO-DAC-SubM'!C53</f>
        <v>0</v>
      </c>
      <c r="C26" s="71">
        <f>'CO-DAC-SubM'!B54</f>
        <v>0</v>
      </c>
      <c r="E26" s="71">
        <f>'CO-DAC-SubM'!B58</f>
        <v>0</v>
      </c>
      <c r="F26" s="71">
        <f>'CO-DAC-SubM'!B59</f>
        <v>0</v>
      </c>
      <c r="H26" s="71">
        <f>'CO-DAC-SubM'!D27</f>
        <v>0</v>
      </c>
      <c r="I26" s="71">
        <f>'CO-DAC-SubM'!D28</f>
        <v>0</v>
      </c>
      <c r="J26" s="71">
        <f>'CO-DAC-SubM'!D29</f>
        <v>0</v>
      </c>
      <c r="K26" s="71">
        <f>'CO-DAC-SubM'!D35</f>
        <v>0</v>
      </c>
      <c r="L26" s="71">
        <f>'CO-DAC-SubM'!D36</f>
        <v>0</v>
      </c>
      <c r="M26" s="71">
        <f t="shared" si="2"/>
        <v>0</v>
      </c>
      <c r="O26" s="71">
        <f>'CO-DAC-SubM'!E29</f>
        <v>0</v>
      </c>
      <c r="P26" s="71">
        <f>'CO-DAC-SubM'!E32</f>
        <v>0</v>
      </c>
      <c r="Q26" s="71">
        <f>'CO-DAC-SubM'!E33</f>
        <v>0</v>
      </c>
      <c r="R26" s="71">
        <f>'CO-DAC-SubM'!E34</f>
        <v>0</v>
      </c>
      <c r="S26" s="71">
        <f t="shared" si="3"/>
        <v>0</v>
      </c>
      <c r="U26" s="71">
        <f>'CO-DAC-SubM'!C76</f>
        <v>0</v>
      </c>
    </row>
    <row r="27" spans="1:28" x14ac:dyDescent="0.25">
      <c r="P27" s="70"/>
      <c r="Q27" s="70"/>
      <c r="R27" s="70"/>
      <c r="S27" s="70"/>
      <c r="U27" s="70"/>
    </row>
    <row r="28" spans="1:28" x14ac:dyDescent="0.25">
      <c r="A28" t="s">
        <v>7</v>
      </c>
      <c r="B28" s="70">
        <f>SUM(B7:B26)</f>
        <v>59565000</v>
      </c>
      <c r="C28" s="70">
        <f>SUM(C7:C26)</f>
        <v>149428125</v>
      </c>
      <c r="E28" s="70">
        <f>SUM(E7:E26)</f>
        <v>7575399.9999999991</v>
      </c>
      <c r="F28" s="70">
        <f>SUM(F7:F26)</f>
        <v>154600</v>
      </c>
      <c r="H28" s="70">
        <f>SUM(H7:H26)</f>
        <v>600000</v>
      </c>
      <c r="I28" s="70">
        <f t="shared" ref="I28:O28" si="4">SUM(I7:I26)</f>
        <v>999999.99999999977</v>
      </c>
      <c r="J28" s="70">
        <f t="shared" si="4"/>
        <v>499999.99999999988</v>
      </c>
      <c r="K28" s="70">
        <f t="shared" si="4"/>
        <v>0</v>
      </c>
      <c r="L28" s="70">
        <f t="shared" si="4"/>
        <v>0</v>
      </c>
      <c r="M28" s="70">
        <f t="shared" si="4"/>
        <v>2100000</v>
      </c>
      <c r="O28" s="70">
        <f t="shared" si="4"/>
        <v>49999.999999999993</v>
      </c>
      <c r="P28" s="70">
        <f>SUM(P7:P26)</f>
        <v>399999.99999999994</v>
      </c>
      <c r="Q28" s="70">
        <f t="shared" ref="Q28:U28" si="5">SUM(Q7:Q26)</f>
        <v>0</v>
      </c>
      <c r="R28" s="70">
        <f t="shared" si="5"/>
        <v>22500000</v>
      </c>
      <c r="S28" s="70">
        <f t="shared" si="5"/>
        <v>22950000</v>
      </c>
      <c r="U28" s="70">
        <f t="shared" si="5"/>
        <v>2250000</v>
      </c>
    </row>
    <row r="30" spans="1:28" x14ac:dyDescent="0.25">
      <c r="A30" s="147" t="s">
        <v>149</v>
      </c>
      <c r="U30" s="70">
        <f>90000*250</f>
        <v>22500000</v>
      </c>
      <c r="V30" t="s">
        <v>297</v>
      </c>
    </row>
    <row r="31" spans="1:28" x14ac:dyDescent="0.25">
      <c r="A31" t="s">
        <v>195</v>
      </c>
      <c r="B31" s="70">
        <f>B28+C28</f>
        <v>208993125</v>
      </c>
      <c r="U31" s="70">
        <f>U30/5</f>
        <v>4500000</v>
      </c>
      <c r="V31" t="s">
        <v>298</v>
      </c>
    </row>
    <row r="32" spans="1:28" x14ac:dyDescent="0.25">
      <c r="A32" t="s">
        <v>200</v>
      </c>
      <c r="B32" s="71">
        <f>E28+F28</f>
        <v>7729999.9999999991</v>
      </c>
      <c r="U32" s="186">
        <f>U31*0.5</f>
        <v>2250000</v>
      </c>
      <c r="V32" s="95" t="s">
        <v>299</v>
      </c>
      <c r="W32" s="95"/>
      <c r="X32" s="95"/>
      <c r="Y32" s="95"/>
      <c r="Z32" s="95"/>
      <c r="AA32" s="95"/>
      <c r="AB32" s="95"/>
    </row>
    <row r="33" spans="1:28" x14ac:dyDescent="0.25">
      <c r="A33" t="s">
        <v>216</v>
      </c>
      <c r="B33" s="70">
        <f>SUM(B31:B32)</f>
        <v>216723125</v>
      </c>
      <c r="U33" s="95"/>
      <c r="V33" s="95" t="s">
        <v>300</v>
      </c>
      <c r="W33" s="95"/>
      <c r="X33" s="95"/>
      <c r="Y33" s="95"/>
      <c r="Z33" s="95"/>
      <c r="AA33" s="95"/>
      <c r="AB33" s="95"/>
    </row>
    <row r="35" spans="1:28" x14ac:dyDescent="0.25">
      <c r="A35" s="147" t="s">
        <v>77</v>
      </c>
    </row>
    <row r="36" spans="1:28" x14ac:dyDescent="0.25">
      <c r="A36" t="s">
        <v>10</v>
      </c>
      <c r="B36" s="70">
        <f>M28</f>
        <v>2100000</v>
      </c>
    </row>
    <row r="37" spans="1:28" x14ac:dyDescent="0.25">
      <c r="A37" t="s">
        <v>9</v>
      </c>
      <c r="B37" s="71">
        <f>S28</f>
        <v>22950000</v>
      </c>
    </row>
    <row r="38" spans="1:28" x14ac:dyDescent="0.25">
      <c r="A38" t="s">
        <v>217</v>
      </c>
      <c r="B38" s="70">
        <f>SUM(B36:B37)</f>
        <v>25050000</v>
      </c>
    </row>
    <row r="39" spans="1:28" x14ac:dyDescent="0.25">
      <c r="B39" s="70"/>
    </row>
    <row r="40" spans="1:28" x14ac:dyDescent="0.25">
      <c r="A40" t="s">
        <v>219</v>
      </c>
      <c r="B40" s="70">
        <f>B33+B38</f>
        <v>241773125</v>
      </c>
    </row>
    <row r="42" spans="1:28" x14ac:dyDescent="0.25">
      <c r="A42" s="147" t="s">
        <v>218</v>
      </c>
    </row>
    <row r="43" spans="1:28" x14ac:dyDescent="0.25">
      <c r="A43" t="s">
        <v>10</v>
      </c>
      <c r="B43" s="70">
        <f>U28</f>
        <v>2250000</v>
      </c>
    </row>
  </sheetData>
  <mergeCells count="7">
    <mergeCell ref="O2:S2"/>
    <mergeCell ref="H2:M2"/>
    <mergeCell ref="B4:C4"/>
    <mergeCell ref="B3:C3"/>
    <mergeCell ref="E3:F3"/>
    <mergeCell ref="E4:F4"/>
    <mergeCell ref="B2:F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P176"/>
  <sheetViews>
    <sheetView workbookViewId="0">
      <selection activeCell="I13" sqref="I13"/>
    </sheetView>
  </sheetViews>
  <sheetFormatPr defaultRowHeight="15" x14ac:dyDescent="0.25"/>
  <cols>
    <col min="1" max="1" width="5.42578125" customWidth="1"/>
    <col min="2" max="2" width="27.5703125" customWidth="1"/>
    <col min="3" max="3" width="2.85546875" customWidth="1"/>
    <col min="4" max="4" width="12.85546875" customWidth="1"/>
    <col min="5" max="5" width="13.140625" customWidth="1"/>
    <col min="6" max="6" width="2.42578125" customWidth="1"/>
    <col min="7" max="7" width="11.140625" customWidth="1"/>
    <col min="8" max="8" width="11.42578125" customWidth="1"/>
    <col min="9" max="9" width="2.42578125" customWidth="1"/>
    <col min="10" max="10" width="10.42578125" customWidth="1"/>
    <col min="11" max="11" width="10.85546875" customWidth="1"/>
    <col min="12" max="12" width="2.28515625" customWidth="1"/>
    <col min="13" max="13" width="10.140625" customWidth="1"/>
    <col min="15" max="15" width="2.5703125" customWidth="1"/>
    <col min="16" max="16" width="11" bestFit="1" customWidth="1"/>
    <col min="18" max="18" width="2.140625" customWidth="1"/>
    <col min="19" max="19" width="11" bestFit="1" customWidth="1"/>
    <col min="21" max="21" width="2.85546875" customWidth="1"/>
    <col min="22" max="22" width="9.5703125" bestFit="1" customWidth="1"/>
    <col min="24" max="24" width="2.5703125" customWidth="1"/>
    <col min="25" max="25" width="11" bestFit="1" customWidth="1"/>
    <col min="27" max="27" width="2.28515625" customWidth="1"/>
    <col min="30" max="30" width="4" customWidth="1"/>
    <col min="33" max="33" width="2.5703125" customWidth="1"/>
    <col min="36" max="36" width="2.5703125" customWidth="1"/>
    <col min="40" max="40" width="9.5703125" bestFit="1" customWidth="1"/>
  </cols>
  <sheetData>
    <row r="2" spans="1:38" ht="18.75" x14ac:dyDescent="0.3">
      <c r="A2" s="77" t="s">
        <v>56</v>
      </c>
    </row>
    <row r="3" spans="1:38" ht="18.75" x14ac:dyDescent="0.3">
      <c r="A3" s="78" t="s">
        <v>57</v>
      </c>
      <c r="J3" s="70"/>
      <c r="M3" s="81"/>
    </row>
    <row r="4" spans="1:38" ht="18.75" x14ac:dyDescent="0.3">
      <c r="A4" s="78" t="s">
        <v>58</v>
      </c>
      <c r="M4" s="57"/>
    </row>
    <row r="5" spans="1:38" x14ac:dyDescent="0.25">
      <c r="M5" s="57"/>
    </row>
    <row r="6" spans="1:38" ht="18.75" x14ac:dyDescent="0.3">
      <c r="B6" s="76"/>
      <c r="C6" s="76"/>
      <c r="D6" s="194" t="s">
        <v>59</v>
      </c>
      <c r="E6" s="194"/>
      <c r="F6" s="194"/>
      <c r="G6" s="194"/>
      <c r="H6" s="194"/>
      <c r="I6" s="194"/>
      <c r="J6" s="194"/>
      <c r="K6" s="194"/>
      <c r="M6" s="194" t="s">
        <v>59</v>
      </c>
      <c r="N6" s="194"/>
      <c r="O6" s="194"/>
      <c r="P6" s="194"/>
      <c r="Q6" s="194"/>
      <c r="R6" s="194"/>
      <c r="S6" s="194"/>
      <c r="T6" s="194"/>
      <c r="V6" s="194" t="s">
        <v>59</v>
      </c>
      <c r="W6" s="194"/>
      <c r="X6" s="194"/>
      <c r="Y6" s="194"/>
      <c r="Z6" s="194"/>
      <c r="AA6" s="194"/>
      <c r="AB6" s="194"/>
      <c r="AC6" s="194"/>
      <c r="AE6" s="194" t="s">
        <v>59</v>
      </c>
      <c r="AF6" s="194"/>
      <c r="AG6" s="194"/>
      <c r="AH6" s="194"/>
      <c r="AI6" s="194"/>
      <c r="AJ6" s="194"/>
      <c r="AK6" s="194"/>
      <c r="AL6" s="194"/>
    </row>
    <row r="7" spans="1:38" ht="18.75" x14ac:dyDescent="0.3">
      <c r="A7" s="58"/>
      <c r="B7" s="58"/>
      <c r="C7" s="58"/>
      <c r="D7" s="196" t="s">
        <v>87</v>
      </c>
      <c r="E7" s="196"/>
      <c r="F7" s="196"/>
      <c r="G7" s="196"/>
      <c r="H7" s="196"/>
      <c r="I7" s="196"/>
      <c r="J7" s="196"/>
      <c r="K7" s="196"/>
      <c r="M7" s="196" t="s">
        <v>87</v>
      </c>
      <c r="N7" s="196"/>
      <c r="O7" s="196"/>
      <c r="P7" s="196"/>
      <c r="Q7" s="196"/>
      <c r="R7" s="196"/>
      <c r="S7" s="196"/>
      <c r="T7" s="196"/>
      <c r="V7" s="196" t="s">
        <v>87</v>
      </c>
      <c r="W7" s="196"/>
      <c r="X7" s="196"/>
      <c r="Y7" s="196"/>
      <c r="Z7" s="196"/>
      <c r="AA7" s="196"/>
      <c r="AB7" s="196"/>
      <c r="AC7" s="196"/>
      <c r="AE7" s="196" t="s">
        <v>87</v>
      </c>
      <c r="AF7" s="196"/>
      <c r="AG7" s="196"/>
      <c r="AH7" s="196"/>
      <c r="AI7" s="196"/>
      <c r="AJ7" s="196"/>
      <c r="AK7" s="196"/>
      <c r="AL7" s="196"/>
    </row>
    <row r="8" spans="1:38" x14ac:dyDescent="0.25">
      <c r="A8" s="61"/>
      <c r="B8" s="61"/>
      <c r="C8" s="72"/>
      <c r="D8" s="189" t="s">
        <v>85</v>
      </c>
      <c r="E8" s="189"/>
      <c r="F8" s="189"/>
      <c r="G8" s="189"/>
      <c r="H8" s="189"/>
      <c r="I8" s="189"/>
      <c r="J8" s="189"/>
      <c r="K8" s="189"/>
      <c r="M8" s="189" t="s">
        <v>88</v>
      </c>
      <c r="N8" s="189"/>
      <c r="O8" s="189"/>
      <c r="P8" s="189"/>
      <c r="Q8" s="189"/>
      <c r="R8" s="189"/>
      <c r="S8" s="189"/>
      <c r="T8" s="189"/>
      <c r="V8" s="189" t="s">
        <v>86</v>
      </c>
      <c r="W8" s="189"/>
      <c r="X8" s="189"/>
      <c r="Y8" s="189"/>
      <c r="Z8" s="189"/>
      <c r="AA8" s="189"/>
      <c r="AB8" s="189"/>
      <c r="AC8" s="189"/>
      <c r="AE8" s="189" t="s">
        <v>89</v>
      </c>
      <c r="AF8" s="189"/>
      <c r="AG8" s="189"/>
      <c r="AH8" s="189"/>
      <c r="AI8" s="189"/>
      <c r="AJ8" s="189"/>
      <c r="AK8" s="189"/>
      <c r="AL8" s="189"/>
    </row>
    <row r="9" spans="1:38" x14ac:dyDescent="0.25">
      <c r="A9" s="59"/>
      <c r="B9" s="60" t="s">
        <v>60</v>
      </c>
      <c r="C9" s="61"/>
      <c r="D9" s="189" t="s">
        <v>61</v>
      </c>
      <c r="E9" s="189"/>
      <c r="G9" s="189" t="s">
        <v>62</v>
      </c>
      <c r="H9" s="189"/>
      <c r="J9" s="195" t="s">
        <v>63</v>
      </c>
      <c r="K9" s="195"/>
      <c r="M9" s="189" t="s">
        <v>61</v>
      </c>
      <c r="N9" s="189"/>
      <c r="P9" s="189" t="s">
        <v>62</v>
      </c>
      <c r="Q9" s="189"/>
      <c r="S9" s="189" t="s">
        <v>63</v>
      </c>
      <c r="T9" s="189"/>
      <c r="V9" s="189" t="s">
        <v>61</v>
      </c>
      <c r="W9" s="189"/>
      <c r="Y9" s="189" t="s">
        <v>62</v>
      </c>
      <c r="Z9" s="189"/>
      <c r="AB9" s="189" t="s">
        <v>63</v>
      </c>
      <c r="AC9" s="189"/>
      <c r="AE9" s="189" t="s">
        <v>61</v>
      </c>
      <c r="AF9" s="189"/>
      <c r="AH9" s="189" t="s">
        <v>62</v>
      </c>
      <c r="AI9" s="189"/>
      <c r="AK9" s="189" t="s">
        <v>63</v>
      </c>
      <c r="AL9" s="189"/>
    </row>
    <row r="10" spans="1:38" x14ac:dyDescent="0.25">
      <c r="A10" s="62" t="s">
        <v>64</v>
      </c>
      <c r="B10" s="63" t="s">
        <v>65</v>
      </c>
      <c r="C10" s="57"/>
      <c r="D10" s="63" t="s">
        <v>12</v>
      </c>
      <c r="E10" s="63" t="s">
        <v>11</v>
      </c>
      <c r="G10" s="63" t="s">
        <v>12</v>
      </c>
      <c r="H10" s="63" t="s">
        <v>11</v>
      </c>
      <c r="J10" s="63" t="s">
        <v>12</v>
      </c>
      <c r="K10" s="63" t="s">
        <v>11</v>
      </c>
      <c r="M10" s="63" t="s">
        <v>12</v>
      </c>
      <c r="N10" s="63" t="s">
        <v>11</v>
      </c>
      <c r="P10" s="63" t="s">
        <v>12</v>
      </c>
      <c r="Q10" s="63" t="s">
        <v>11</v>
      </c>
      <c r="S10" s="63" t="s">
        <v>12</v>
      </c>
      <c r="T10" s="63" t="s">
        <v>11</v>
      </c>
      <c r="V10" s="63" t="s">
        <v>12</v>
      </c>
      <c r="W10" s="63" t="s">
        <v>11</v>
      </c>
      <c r="Y10" s="63" t="s">
        <v>12</v>
      </c>
      <c r="Z10" s="63" t="s">
        <v>11</v>
      </c>
      <c r="AB10" s="63" t="s">
        <v>12</v>
      </c>
      <c r="AC10" s="63" t="s">
        <v>11</v>
      </c>
      <c r="AE10" s="63" t="s">
        <v>12</v>
      </c>
      <c r="AF10" s="63" t="s">
        <v>11</v>
      </c>
      <c r="AH10" s="63" t="s">
        <v>12</v>
      </c>
      <c r="AI10" s="63" t="s">
        <v>11</v>
      </c>
      <c r="AK10" s="63" t="s">
        <v>12</v>
      </c>
      <c r="AL10" s="63" t="s">
        <v>11</v>
      </c>
    </row>
    <row r="11" spans="1:38" x14ac:dyDescent="0.25">
      <c r="A11" s="64" t="s">
        <v>66</v>
      </c>
      <c r="B11" t="s">
        <v>67</v>
      </c>
      <c r="D11" s="67">
        <f>'SD-SF-WH'!B19/1000+'SD-SF-WH'!C19/1000</f>
        <v>34106.484375</v>
      </c>
      <c r="E11" s="70"/>
      <c r="G11" s="70">
        <f>'SD-SF-SepM'!B19/1000+'SD-SF-SepM'!C19/1000</f>
        <v>34106.484375</v>
      </c>
      <c r="J11" s="67">
        <f>'SD-SF-SubM'!B19/1000+'SD-SF-SubM'!C19/1000</f>
        <v>34106.484375</v>
      </c>
      <c r="K11" s="70"/>
      <c r="M11" s="67">
        <f>'SD-MF-WH'!B19/1000+'SD-MF-WH'!C19/1000</f>
        <v>2765.390625</v>
      </c>
      <c r="N11" s="70"/>
      <c r="P11" s="70">
        <f>'SD-MF-SepM'!B19/1000+'SD-MF-SepM'!C19/1000</f>
        <v>2765.390625</v>
      </c>
      <c r="Q11" s="70"/>
      <c r="S11" s="67">
        <f>'SD-MF-SubM'!B19/1000+'SD-MF-SubM'!C19/1000</f>
        <v>2765.390625</v>
      </c>
      <c r="T11" s="70"/>
      <c r="V11" s="67">
        <f>'SD-DAC-WH'!B19/1000+'SD-DAC-WH'!C19/1000</f>
        <v>14782.499999999996</v>
      </c>
      <c r="W11" s="70"/>
      <c r="Y11" s="70">
        <f>'SD-DAC-SepM'!B19/1000+'SD-DAC-SepM'!C19/1000</f>
        <v>14782.499999999996</v>
      </c>
      <c r="Z11" s="70"/>
      <c r="AB11" s="67">
        <f>'SD-DAC-SubM'!B19/1000+'SD-DAC-SubM'!C19/1000</f>
        <v>14782.499999999996</v>
      </c>
      <c r="AC11" s="70"/>
      <c r="AE11" s="67">
        <f>D11+M11+V11</f>
        <v>51654.375</v>
      </c>
      <c r="AF11" s="70"/>
      <c r="AH11" s="67">
        <f>G11+P11+Y11</f>
        <v>51654.375</v>
      </c>
      <c r="AI11" s="70"/>
      <c r="AK11" s="67">
        <f>J11+S11+AB11</f>
        <v>51654.375</v>
      </c>
      <c r="AL11" s="70"/>
    </row>
    <row r="12" spans="1:38" x14ac:dyDescent="0.25">
      <c r="A12" s="64" t="s">
        <v>68</v>
      </c>
      <c r="B12" t="s">
        <v>62</v>
      </c>
      <c r="D12" s="67">
        <f>0</f>
        <v>0</v>
      </c>
      <c r="E12" s="67"/>
      <c r="G12" s="67">
        <f>('SD-SF-SepM'!A13)/1000+('SD-SF-SepM'!A13*0.08)/1000+('SD-SF-SepM'!A13*0.15)/1000</f>
        <v>0</v>
      </c>
      <c r="J12" s="67">
        <f>0</f>
        <v>0</v>
      </c>
      <c r="K12" s="67"/>
      <c r="M12" s="67">
        <f>0</f>
        <v>0</v>
      </c>
      <c r="N12" s="67"/>
      <c r="P12" s="67">
        <f>('SD-MF-SepM'!A13/1000)+(('SD-MF-SepM'!A13*0.08)/1000)+(('SD-MF-SepM'!A13*0.15)/1000)</f>
        <v>0</v>
      </c>
      <c r="Q12" s="70"/>
      <c r="S12" s="67">
        <f>0</f>
        <v>0</v>
      </c>
      <c r="T12" s="67"/>
      <c r="V12" s="67">
        <v>0</v>
      </c>
      <c r="W12" s="67"/>
      <c r="Y12" s="67">
        <f>SUM('SD-DAC-SepM'!A13:A14)/1000+SUM('SD-DAC-SepM'!A13:A14)*0.08/1000+SUM('SD-DAC-SepM'!A13:A14)*0.15/1000</f>
        <v>0</v>
      </c>
      <c r="Z12" s="70"/>
      <c r="AB12" s="67">
        <f>0</f>
        <v>0</v>
      </c>
      <c r="AC12" s="67"/>
      <c r="AE12" s="67">
        <f t="shared" ref="AE12" si="0">D12+M12+V12</f>
        <v>0</v>
      </c>
      <c r="AF12" s="67"/>
      <c r="AH12" s="67">
        <f>G12+P12+Y12</f>
        <v>0</v>
      </c>
      <c r="AI12" s="70"/>
      <c r="AK12" s="67">
        <f>J12+S12+AB12</f>
        <v>0</v>
      </c>
      <c r="AL12" s="67"/>
    </row>
    <row r="13" spans="1:38" x14ac:dyDescent="0.25">
      <c r="A13" s="64" t="s">
        <v>70</v>
      </c>
      <c r="B13" t="s">
        <v>71</v>
      </c>
      <c r="D13" s="67">
        <f>'SD-SF-WH'!A19/1000</f>
        <v>11238.75</v>
      </c>
      <c r="E13" s="70"/>
      <c r="G13" s="67">
        <f>('SD-SF-SepM'!A10)/1000+('SD-SF-SepM'!A10*0.08)/1000+('SD-SF-SepM'!A10*0.15*0)/1000</f>
        <v>11238.75</v>
      </c>
      <c r="J13" s="67">
        <f>'SD-SF-SubM'!A19/1000</f>
        <v>11238.75</v>
      </c>
      <c r="K13" s="70"/>
      <c r="M13" s="67">
        <f>'SD-MF-WH'!A19/1000</f>
        <v>911.25</v>
      </c>
      <c r="N13" s="70"/>
      <c r="P13" s="67">
        <f>('SD-MF-SepM'!A10/1000)+(('SD-MF-SepM'!A10*0.08)/1000)+(('SD-MF-SepM'!A10*0.15*0)/1000)</f>
        <v>911.25</v>
      </c>
      <c r="Q13" s="70"/>
      <c r="S13" s="67">
        <f>'SD-MF-SubM'!A19/1000</f>
        <v>911.25</v>
      </c>
      <c r="T13" s="70"/>
      <c r="V13" s="67">
        <f>'SD-DAC-WH'!A19/1000</f>
        <v>4859.9999999999982</v>
      </c>
      <c r="W13" s="70"/>
      <c r="Y13" s="67">
        <f>('SD-DAC-SepM'!A10/1000)+(('SD-DAC-SepM'!A10*0.08)/1000)+(('SD-DAC-SepM'!A10*0.15*0)/1000)</f>
        <v>4859.9999999999982</v>
      </c>
      <c r="Z13" s="70"/>
      <c r="AB13" s="67">
        <f>'SD-DAC-SubM'!A19/1000</f>
        <v>4859.9999999999982</v>
      </c>
      <c r="AC13" s="70"/>
      <c r="AE13" s="67">
        <f>D13+M13+V13</f>
        <v>17010</v>
      </c>
      <c r="AF13" s="70"/>
      <c r="AH13" s="67">
        <f>G13+P13+Y13</f>
        <v>17010</v>
      </c>
      <c r="AI13" s="70"/>
      <c r="AK13" s="67">
        <f>J13+S13+AB13</f>
        <v>17010</v>
      </c>
      <c r="AL13" s="70"/>
    </row>
    <row r="14" spans="1:38" x14ac:dyDescent="0.25">
      <c r="A14" s="64" t="s">
        <v>72</v>
      </c>
      <c r="B14" t="s">
        <v>73</v>
      </c>
      <c r="D14" s="67"/>
      <c r="E14" s="67">
        <f>('SD-SF-WH'!D35/1000)</f>
        <v>0</v>
      </c>
      <c r="H14" s="67">
        <f>'SD-SF-SepM'!D35/1000</f>
        <v>0</v>
      </c>
      <c r="J14" s="70"/>
      <c r="K14" s="67">
        <f>'SD-SF-SubM'!D35/1000</f>
        <v>0</v>
      </c>
      <c r="M14" s="67"/>
      <c r="N14" s="67">
        <f>'SD-MF-WH'!D35/1000</f>
        <v>0</v>
      </c>
      <c r="P14" s="70"/>
      <c r="Q14" s="67">
        <f>'SD-MF-SepM'!D35/1000</f>
        <v>0</v>
      </c>
      <c r="S14" s="70"/>
      <c r="T14" s="67">
        <f>'SD-MF-SubM'!D35/1000</f>
        <v>0</v>
      </c>
      <c r="V14" s="67"/>
      <c r="W14" s="67">
        <f>'SD-DAC-WH'!D35/1000</f>
        <v>0</v>
      </c>
      <c r="Y14" s="70"/>
      <c r="Z14" s="67">
        <f>'SD-DAC-SepM'!D35/1000</f>
        <v>0</v>
      </c>
      <c r="AB14" s="70"/>
      <c r="AC14" s="67">
        <f>'SD-DAC-SubM'!D35/1000</f>
        <v>0</v>
      </c>
      <c r="AE14" s="67"/>
      <c r="AF14" s="67">
        <f>E14+N14+W14</f>
        <v>0</v>
      </c>
      <c r="AH14" s="70"/>
      <c r="AI14" s="67">
        <f>H14+Q14+Z14</f>
        <v>0</v>
      </c>
      <c r="AK14" s="70"/>
      <c r="AL14" s="67">
        <f>K14+T14+AC14</f>
        <v>0</v>
      </c>
    </row>
    <row r="15" spans="1:38" x14ac:dyDescent="0.25">
      <c r="A15" s="64" t="s">
        <v>74</v>
      </c>
      <c r="B15" t="s">
        <v>75</v>
      </c>
      <c r="D15" s="67">
        <f>SUM('SD-SF-WH'!C30:C31)/1000</f>
        <v>1787.5625</v>
      </c>
      <c r="E15" s="70"/>
      <c r="G15" s="67">
        <f>SUM('SD-SF-SepM'!C36/1000)</f>
        <v>2481.3125</v>
      </c>
      <c r="J15" s="67">
        <f>'SD-SF-SubM'!C36/1000</f>
        <v>2481.3125</v>
      </c>
      <c r="K15" s="70"/>
      <c r="M15" s="67">
        <f>'SD-MF-WH'!C36/1000</f>
        <v>201.1875</v>
      </c>
      <c r="N15" s="70"/>
      <c r="P15" s="67">
        <f>'SD-MF-SepM'!C36/1000</f>
        <v>201.1875</v>
      </c>
      <c r="Q15" s="70"/>
      <c r="S15" s="67">
        <f>'SD-MF-SubM'!C36/1000</f>
        <v>201.1875</v>
      </c>
      <c r="T15" s="70"/>
      <c r="V15" s="67">
        <f>'SD-DAC-WH'!C36/1000</f>
        <v>894.1666666666664</v>
      </c>
      <c r="W15" s="70"/>
      <c r="Y15" s="67">
        <f>'SD-DAC-SepM'!C36/1000</f>
        <v>894.1666666666664</v>
      </c>
      <c r="Z15" s="70"/>
      <c r="AB15" s="67">
        <f>'SD-DAC-SubM'!C36/1000</f>
        <v>894.1666666666664</v>
      </c>
      <c r="AC15" s="70"/>
      <c r="AE15" s="67">
        <f>D15+M15+V15</f>
        <v>2882.9166666666665</v>
      </c>
      <c r="AF15" s="70"/>
      <c r="AH15" s="67">
        <f>G15+P15+Y15</f>
        <v>3576.6666666666665</v>
      </c>
      <c r="AI15" s="70"/>
      <c r="AK15" s="67">
        <f>J15+S15+AB15</f>
        <v>3576.6666666666665</v>
      </c>
      <c r="AL15" s="70"/>
    </row>
    <row r="16" spans="1:38" x14ac:dyDescent="0.25">
      <c r="A16" s="64" t="s">
        <v>76</v>
      </c>
      <c r="B16" t="s">
        <v>77</v>
      </c>
      <c r="D16" s="71"/>
      <c r="E16" s="68">
        <f>+(SUM('SD-SF-WH'!D27:D29)/1000)+('SD-SF-WH'!C65/1000)+(('SD-SF-WH'!C75/1000)*16)*0</f>
        <v>5792.8125</v>
      </c>
      <c r="G16" s="59"/>
      <c r="H16" s="68">
        <f>+(SUM('SD-SF-SepM'!D27:D29)/1000)+('SD-SF-SepM'!C65/1000)+(('SD-SF-SepM'!C75/1000)*16)*0</f>
        <v>5792.8125</v>
      </c>
      <c r="J16" s="71"/>
      <c r="K16" s="68">
        <f>SUM('SD-SF-SubM'!D27:D29)/1000+'SD-SF-SubM'!C65/1000+(('SD-SF-SubM'!C75/1000)*16)*0</f>
        <v>5792.8125</v>
      </c>
      <c r="M16" s="71"/>
      <c r="N16" s="68">
        <f>SUM('SD-MF-WH'!D27:D29)/1000+('SD-MF-WH'!C65/1000)+(('SD-MF-WH'!C75/1000)*16)*0</f>
        <v>469.6875</v>
      </c>
      <c r="P16" s="71"/>
      <c r="Q16" s="68">
        <f>SUM('SD-MF-SepM'!D27:D29)/1000+('SD-MF-SepM'!C65/1000)+(('SD-MF-SepM'!C75/1000)*16)*0</f>
        <v>469.6875</v>
      </c>
      <c r="S16" s="71"/>
      <c r="T16" s="68">
        <f>SUM('SD-MF-SubM'!D27:D29)/1000+('SD-MF-SubM'!C65/1000)+(('SD-MF-SubM'!C75/1000)*16)*0</f>
        <v>469.6875</v>
      </c>
      <c r="V16" s="71"/>
      <c r="W16" s="68">
        <f>SUM('SD-DAC-WH'!D27:D29)/1000+('SD-DAC-WH'!C65/1000)+(('SD-DAC-WH'!C75/1000)*16)*0</f>
        <v>2087.4999999999991</v>
      </c>
      <c r="Y16" s="71"/>
      <c r="Z16" s="68">
        <f>SUM('SD-DAC-SepM'!D27:D29)/1000+'SD-DAC-SepM'!C65/1000+(('SD-DAC-SepM'!C75/1000)*16)*0</f>
        <v>2087.4999999999991</v>
      </c>
      <c r="AB16" s="71"/>
      <c r="AC16" s="68">
        <f>SUM('SD-DAC-SubM'!D27:D29)/1000+'SD-DAC-SubM'!C65/1000+(('SD-DAC-SubM'!C75/1000)*16)*0</f>
        <v>2087.4999999999991</v>
      </c>
      <c r="AE16" s="71"/>
      <c r="AF16" s="68">
        <f>E16+N16+W16</f>
        <v>8350</v>
      </c>
      <c r="AH16" s="71"/>
      <c r="AI16" s="68">
        <f>H16+Q16+Z16</f>
        <v>8350</v>
      </c>
      <c r="AK16" s="71"/>
      <c r="AL16" s="68">
        <f>K16+T16+AC16</f>
        <v>8350</v>
      </c>
    </row>
    <row r="17" spans="1:41" x14ac:dyDescent="0.25">
      <c r="A17" s="64"/>
      <c r="B17" t="s">
        <v>78</v>
      </c>
      <c r="D17" s="67">
        <f>SUM(D11:D16)</f>
        <v>47132.796875</v>
      </c>
      <c r="E17" s="67">
        <f>SUM(E11:E16)</f>
        <v>5792.8125</v>
      </c>
      <c r="G17" s="67">
        <f>SUM(G11:G16)</f>
        <v>47826.546875</v>
      </c>
      <c r="H17" s="67">
        <f>SUM(H11:H16)</f>
        <v>5792.8125</v>
      </c>
      <c r="J17" s="67">
        <f>SUM(J11:J16)</f>
        <v>47826.546875</v>
      </c>
      <c r="K17" s="67">
        <f>SUM(K11:K16)</f>
        <v>5792.8125</v>
      </c>
      <c r="M17" s="67">
        <f>SUM(M11:M16)</f>
        <v>3877.828125</v>
      </c>
      <c r="N17" s="67">
        <f>SUM(N11:N16)</f>
        <v>469.6875</v>
      </c>
      <c r="P17" s="67">
        <f>SUM(P11:P16)</f>
        <v>3877.828125</v>
      </c>
      <c r="Q17" s="67">
        <f>SUM(Q11:Q16)</f>
        <v>469.6875</v>
      </c>
      <c r="S17" s="67">
        <f>SUM(S11:S16)</f>
        <v>3877.828125</v>
      </c>
      <c r="T17" s="67">
        <f>SUM(T11:T16)</f>
        <v>469.6875</v>
      </c>
      <c r="V17" s="67">
        <f>SUM(V11:V16)</f>
        <v>20536.666666666661</v>
      </c>
      <c r="W17" s="67">
        <f>SUM(W11:W16)</f>
        <v>2087.4999999999991</v>
      </c>
      <c r="Y17" s="67">
        <f>SUM(Y11:Y16)</f>
        <v>20536.666666666661</v>
      </c>
      <c r="Z17" s="67">
        <f>SUM(Z11:Z16)</f>
        <v>2087.4999999999991</v>
      </c>
      <c r="AB17" s="67">
        <f>SUM(AB11:AB16)</f>
        <v>20536.666666666661</v>
      </c>
      <c r="AC17" s="67">
        <f>SUM(AC11:AC16)</f>
        <v>2087.4999999999991</v>
      </c>
      <c r="AE17" s="67">
        <f>SUM(AE11:AE16)</f>
        <v>71547.291666666672</v>
      </c>
      <c r="AF17" s="67">
        <f>SUM(AF11:AF16)</f>
        <v>8350</v>
      </c>
      <c r="AH17" s="67">
        <f>SUM(AH11:AH16)</f>
        <v>72241.041666666672</v>
      </c>
      <c r="AI17" s="67">
        <f>SUM(AI11:AI16)</f>
        <v>8350</v>
      </c>
      <c r="AK17" s="67">
        <f>SUM(AK11:AK16)</f>
        <v>72241.041666666672</v>
      </c>
      <c r="AL17" s="67">
        <f>SUM(AL11:AL16)</f>
        <v>8350</v>
      </c>
      <c r="AN17" s="70">
        <f>AE17+AH17+AK17</f>
        <v>216029.375</v>
      </c>
      <c r="AO17" s="70">
        <f>AF17+AI17+AL17</f>
        <v>25050</v>
      </c>
    </row>
    <row r="18" spans="1:41" x14ac:dyDescent="0.25">
      <c r="A18" s="64"/>
      <c r="E18" s="65"/>
      <c r="H18" s="65"/>
      <c r="K18" s="65"/>
      <c r="N18" s="65"/>
      <c r="Q18" s="65"/>
      <c r="T18" s="65"/>
      <c r="W18" s="65"/>
      <c r="Z18" s="65"/>
      <c r="AC18" s="65"/>
      <c r="AF18" s="65"/>
      <c r="AI18" s="65"/>
      <c r="AL18" s="65"/>
    </row>
    <row r="19" spans="1:41" x14ac:dyDescent="0.25">
      <c r="A19" s="64"/>
      <c r="B19" t="s">
        <v>84</v>
      </c>
      <c r="D19" s="73">
        <f>'SD-SF-WH'!E9</f>
        <v>20812.5</v>
      </c>
      <c r="E19" s="73"/>
      <c r="F19" s="74"/>
      <c r="G19" s="73">
        <f>'SD-SF-SepM'!E9</f>
        <v>20812.5</v>
      </c>
      <c r="H19" s="73"/>
      <c r="I19" s="74"/>
      <c r="J19" s="73">
        <f>'SD-SF-SubM'!E9</f>
        <v>20812.5</v>
      </c>
      <c r="K19" s="73"/>
      <c r="L19" s="75"/>
      <c r="M19" s="73">
        <f>'SD-MF-WH'!E9</f>
        <v>1687.5</v>
      </c>
      <c r="N19" s="73"/>
      <c r="O19" s="74"/>
      <c r="P19" s="73">
        <f>'SD-MF-SepM'!E9</f>
        <v>1687.5</v>
      </c>
      <c r="Q19" s="73"/>
      <c r="R19" s="74"/>
      <c r="S19" s="73">
        <f>'SD-MF-SubM'!E9</f>
        <v>1687.5</v>
      </c>
      <c r="T19" s="73"/>
      <c r="U19" s="74"/>
      <c r="V19" s="73">
        <f>'SD-DAC-WH'!E9</f>
        <v>7499.9999999999973</v>
      </c>
      <c r="W19" s="73"/>
      <c r="X19" s="74"/>
      <c r="Y19" s="73">
        <f>'SD-DAC-SepM'!E9</f>
        <v>7499.9999999999973</v>
      </c>
      <c r="Z19" s="73"/>
      <c r="AA19" s="74"/>
      <c r="AB19" s="73">
        <f>'SD-DAC-SubM'!E9</f>
        <v>7499.9999999999973</v>
      </c>
      <c r="AC19" s="73"/>
      <c r="AE19" s="73">
        <f>D19+M19+V19</f>
        <v>29999.999999999996</v>
      </c>
      <c r="AF19" s="73"/>
      <c r="AG19" s="74"/>
      <c r="AH19" s="73">
        <f>G19+P19+Y19</f>
        <v>29999.999999999996</v>
      </c>
      <c r="AI19" s="73"/>
      <c r="AJ19" s="74"/>
      <c r="AK19" s="73">
        <f>J19+S19+AB19</f>
        <v>29999.999999999996</v>
      </c>
      <c r="AL19" s="73"/>
    </row>
    <row r="20" spans="1:41" x14ac:dyDescent="0.25">
      <c r="D20" s="65"/>
      <c r="E20" s="65"/>
      <c r="G20" s="65"/>
      <c r="H20" s="65"/>
      <c r="J20" s="65"/>
      <c r="K20" s="65"/>
    </row>
    <row r="22" spans="1:41" ht="18.75" x14ac:dyDescent="0.3">
      <c r="A22" s="76"/>
      <c r="B22" s="76"/>
      <c r="C22" s="76"/>
      <c r="D22" s="194" t="s">
        <v>79</v>
      </c>
      <c r="E22" s="194"/>
      <c r="F22" s="194"/>
      <c r="G22" s="194"/>
      <c r="H22" s="194"/>
      <c r="I22" s="194"/>
      <c r="J22" s="194"/>
      <c r="K22" s="194"/>
      <c r="M22" s="194" t="s">
        <v>79</v>
      </c>
      <c r="N22" s="194"/>
      <c r="O22" s="194"/>
      <c r="P22" s="194"/>
      <c r="Q22" s="194"/>
      <c r="R22" s="194"/>
      <c r="S22" s="194"/>
      <c r="T22" s="194"/>
      <c r="V22" s="194" t="s">
        <v>79</v>
      </c>
      <c r="W22" s="194"/>
      <c r="X22" s="194"/>
      <c r="Y22" s="194"/>
      <c r="Z22" s="194"/>
      <c r="AA22" s="194"/>
      <c r="AB22" s="194"/>
      <c r="AC22" s="194"/>
      <c r="AE22" s="194" t="s">
        <v>79</v>
      </c>
      <c r="AF22" s="194"/>
      <c r="AG22" s="194"/>
      <c r="AH22" s="194"/>
      <c r="AI22" s="194"/>
      <c r="AJ22" s="194"/>
      <c r="AK22" s="194"/>
      <c r="AL22" s="194"/>
    </row>
    <row r="23" spans="1:41" ht="18.75" x14ac:dyDescent="0.3">
      <c r="A23" s="58"/>
      <c r="B23" s="58"/>
      <c r="C23" s="58"/>
      <c r="D23" s="196" t="s">
        <v>80</v>
      </c>
      <c r="E23" s="196"/>
      <c r="F23" s="196"/>
      <c r="G23" s="196"/>
      <c r="H23" s="196"/>
      <c r="I23" s="196"/>
      <c r="J23" s="196"/>
      <c r="K23" s="196"/>
      <c r="M23" s="196" t="s">
        <v>80</v>
      </c>
      <c r="N23" s="196"/>
      <c r="O23" s="196"/>
      <c r="P23" s="196"/>
      <c r="Q23" s="196"/>
      <c r="R23" s="196"/>
      <c r="S23" s="196"/>
      <c r="T23" s="196"/>
      <c r="V23" s="196" t="s">
        <v>80</v>
      </c>
      <c r="W23" s="196"/>
      <c r="X23" s="196"/>
      <c r="Y23" s="196"/>
      <c r="Z23" s="196"/>
      <c r="AA23" s="196"/>
      <c r="AB23" s="196"/>
      <c r="AC23" s="196"/>
      <c r="AE23" s="196" t="s">
        <v>80</v>
      </c>
      <c r="AF23" s="196"/>
      <c r="AG23" s="196"/>
      <c r="AH23" s="196"/>
      <c r="AI23" s="196"/>
      <c r="AJ23" s="196"/>
      <c r="AK23" s="196"/>
      <c r="AL23" s="196"/>
    </row>
    <row r="24" spans="1:41" x14ac:dyDescent="0.25">
      <c r="C24" s="72"/>
      <c r="D24" s="189" t="s">
        <v>85</v>
      </c>
      <c r="E24" s="189"/>
      <c r="F24" s="189"/>
      <c r="G24" s="189"/>
      <c r="H24" s="189"/>
      <c r="I24" s="189"/>
      <c r="J24" s="189"/>
      <c r="K24" s="189"/>
      <c r="M24" s="189" t="s">
        <v>88</v>
      </c>
      <c r="N24" s="189"/>
      <c r="O24" s="189"/>
      <c r="P24" s="189"/>
      <c r="Q24" s="189"/>
      <c r="R24" s="189"/>
      <c r="S24" s="189"/>
      <c r="T24" s="189"/>
      <c r="V24" s="189" t="s">
        <v>86</v>
      </c>
      <c r="W24" s="189"/>
      <c r="X24" s="189"/>
      <c r="Y24" s="189"/>
      <c r="Z24" s="189"/>
      <c r="AA24" s="189"/>
      <c r="AB24" s="189"/>
      <c r="AC24" s="189"/>
      <c r="AE24" s="189" t="s">
        <v>89</v>
      </c>
      <c r="AF24" s="189"/>
      <c r="AG24" s="189"/>
      <c r="AH24" s="189"/>
      <c r="AI24" s="189"/>
      <c r="AJ24" s="189"/>
      <c r="AK24" s="189"/>
      <c r="AL24" s="189"/>
    </row>
    <row r="25" spans="1:41" x14ac:dyDescent="0.25">
      <c r="A25" s="59"/>
      <c r="B25" s="60" t="s">
        <v>60</v>
      </c>
      <c r="C25" s="61"/>
      <c r="D25" s="189" t="s">
        <v>61</v>
      </c>
      <c r="E25" s="189"/>
      <c r="G25" s="189" t="s">
        <v>62</v>
      </c>
      <c r="H25" s="189"/>
      <c r="J25" s="195" t="s">
        <v>63</v>
      </c>
      <c r="K25" s="195"/>
      <c r="M25" s="189" t="s">
        <v>61</v>
      </c>
      <c r="N25" s="189"/>
      <c r="P25" s="189" t="s">
        <v>62</v>
      </c>
      <c r="Q25" s="189"/>
      <c r="S25" s="195" t="s">
        <v>63</v>
      </c>
      <c r="T25" s="195"/>
      <c r="V25" s="189" t="s">
        <v>61</v>
      </c>
      <c r="W25" s="189"/>
      <c r="Y25" s="189" t="s">
        <v>62</v>
      </c>
      <c r="Z25" s="189"/>
      <c r="AB25" s="195" t="s">
        <v>63</v>
      </c>
      <c r="AC25" s="195"/>
      <c r="AE25" s="189" t="s">
        <v>61</v>
      </c>
      <c r="AF25" s="189"/>
      <c r="AH25" s="189" t="s">
        <v>62</v>
      </c>
      <c r="AI25" s="189"/>
      <c r="AK25" s="195" t="s">
        <v>63</v>
      </c>
      <c r="AL25" s="195"/>
    </row>
    <row r="26" spans="1:41" x14ac:dyDescent="0.25">
      <c r="A26" s="62" t="s">
        <v>64</v>
      </c>
      <c r="B26" s="63" t="s">
        <v>65</v>
      </c>
      <c r="C26" s="57"/>
      <c r="D26" s="63" t="s">
        <v>12</v>
      </c>
      <c r="E26" s="63" t="s">
        <v>11</v>
      </c>
      <c r="G26" s="63" t="s">
        <v>12</v>
      </c>
      <c r="H26" s="63" t="s">
        <v>11</v>
      </c>
      <c r="J26" s="63" t="s">
        <v>12</v>
      </c>
      <c r="K26" s="63" t="s">
        <v>11</v>
      </c>
      <c r="M26" s="63" t="s">
        <v>12</v>
      </c>
      <c r="N26" s="63" t="s">
        <v>11</v>
      </c>
      <c r="P26" s="63" t="s">
        <v>12</v>
      </c>
      <c r="Q26" s="63" t="s">
        <v>11</v>
      </c>
      <c r="S26" s="63" t="s">
        <v>12</v>
      </c>
      <c r="T26" s="63" t="s">
        <v>11</v>
      </c>
      <c r="V26" s="63" t="s">
        <v>12</v>
      </c>
      <c r="W26" s="63" t="s">
        <v>11</v>
      </c>
      <c r="Y26" s="63" t="s">
        <v>12</v>
      </c>
      <c r="Z26" s="63" t="s">
        <v>11</v>
      </c>
      <c r="AB26" s="63" t="s">
        <v>12</v>
      </c>
      <c r="AC26" s="63" t="s">
        <v>11</v>
      </c>
      <c r="AE26" s="63" t="s">
        <v>12</v>
      </c>
      <c r="AF26" s="63" t="s">
        <v>11</v>
      </c>
      <c r="AH26" s="63" t="s">
        <v>12</v>
      </c>
      <c r="AI26" s="63" t="s">
        <v>11</v>
      </c>
      <c r="AK26" s="63" t="s">
        <v>12</v>
      </c>
      <c r="AL26" s="63" t="s">
        <v>11</v>
      </c>
    </row>
    <row r="27" spans="1:41" x14ac:dyDescent="0.25">
      <c r="A27" s="64" t="s">
        <v>66</v>
      </c>
      <c r="B27" t="s">
        <v>67</v>
      </c>
      <c r="D27" s="67">
        <f>'CO-SF-WH'!B19/1000+'CO-SF-WH'!C19/1000</f>
        <v>0</v>
      </c>
      <c r="E27" s="70"/>
      <c r="F27" s="70"/>
      <c r="G27" s="67">
        <f>'CO-SF-SepM'!B19/1000+'CO-SF-SepM'!C19/1000</f>
        <v>0</v>
      </c>
      <c r="H27" s="70"/>
      <c r="I27" s="70"/>
      <c r="J27" s="67">
        <f>'CO-SF-SubM'!B19/1000+'CO-SF-SubM'!C19/1000</f>
        <v>0</v>
      </c>
      <c r="K27" s="70"/>
      <c r="M27" s="67">
        <f>'CO-MF-WH'!B19/1000+'CO-MF-WH'!C19/1000</f>
        <v>0</v>
      </c>
      <c r="N27" s="70"/>
      <c r="O27" s="70"/>
      <c r="P27" s="67">
        <f>'CO-MF-SepM'!B19/1000+'CO-MF-SepM'!C19/1000</f>
        <v>0</v>
      </c>
      <c r="Q27" s="70"/>
      <c r="R27" s="70"/>
      <c r="S27" s="67">
        <f>'CO-MF-SubM'!B19/1000+'CO-MF-SubM'!C19/1000</f>
        <v>0</v>
      </c>
      <c r="T27" s="70"/>
      <c r="V27" s="67">
        <f>'CO-DAC-WH'!B19/1000+'CO-DAC-WH'!C19/1000</f>
        <v>0</v>
      </c>
      <c r="W27" s="70"/>
      <c r="X27" s="70"/>
      <c r="Y27" s="67">
        <f>'CO-DAC-SepM'!B19/1000+'CO-DAC-SepM'!C19/1000</f>
        <v>0</v>
      </c>
      <c r="Z27" s="70"/>
      <c r="AA27" s="70"/>
      <c r="AB27" s="67">
        <f>'CO-DAC-SubM'!B19/1000+'CO-DAC-SubM'!C19/1000</f>
        <v>0</v>
      </c>
      <c r="AC27" s="70"/>
      <c r="AE27" s="67">
        <f>D27+M27+V27</f>
        <v>0</v>
      </c>
      <c r="AF27" s="70"/>
      <c r="AG27" s="70"/>
      <c r="AH27" s="67">
        <f>G27+P27+Y27</f>
        <v>0</v>
      </c>
      <c r="AI27" s="70"/>
      <c r="AJ27" s="70"/>
      <c r="AK27" s="67">
        <f>J27+S27+AB27</f>
        <v>0</v>
      </c>
      <c r="AL27" s="70"/>
    </row>
    <row r="28" spans="1:41" x14ac:dyDescent="0.25">
      <c r="A28" s="64" t="s">
        <v>68</v>
      </c>
      <c r="B28" t="s">
        <v>62</v>
      </c>
      <c r="D28" s="67">
        <f>0</f>
        <v>0</v>
      </c>
      <c r="E28" s="67"/>
      <c r="F28" s="70"/>
      <c r="G28" s="67">
        <f>'CO-SF-SepM'!A19/1000</f>
        <v>0</v>
      </c>
      <c r="H28" s="70"/>
      <c r="I28" s="70"/>
      <c r="J28" s="67">
        <f>0</f>
        <v>0</v>
      </c>
      <c r="K28" s="67"/>
      <c r="M28" s="67">
        <v>0</v>
      </c>
      <c r="N28" s="67"/>
      <c r="O28" s="70"/>
      <c r="P28" s="67">
        <f>'CO-MF-SepM'!A19/1000</f>
        <v>0</v>
      </c>
      <c r="Q28" s="70"/>
      <c r="R28" s="70"/>
      <c r="S28" s="67">
        <f>0</f>
        <v>0</v>
      </c>
      <c r="T28" s="67"/>
      <c r="V28" s="67">
        <f>0</f>
        <v>0</v>
      </c>
      <c r="W28" s="67"/>
      <c r="X28" s="70"/>
      <c r="Y28" s="67">
        <f>'CO-DAC-SepM'!A19/1000</f>
        <v>0</v>
      </c>
      <c r="Z28" s="70"/>
      <c r="AA28" s="70"/>
      <c r="AB28" s="67">
        <f>0</f>
        <v>0</v>
      </c>
      <c r="AC28" s="67"/>
      <c r="AE28" s="67">
        <f>V28</f>
        <v>0</v>
      </c>
      <c r="AF28" s="67"/>
      <c r="AG28" s="70"/>
      <c r="AH28" s="67">
        <f>G28+P28+Y28</f>
        <v>0</v>
      </c>
      <c r="AI28" s="70"/>
      <c r="AJ28" s="70"/>
      <c r="AK28" s="67">
        <f>AB28</f>
        <v>0</v>
      </c>
      <c r="AL28" s="67"/>
    </row>
    <row r="29" spans="1:41" x14ac:dyDescent="0.25">
      <c r="A29" s="64" t="s">
        <v>70</v>
      </c>
      <c r="B29" t="s">
        <v>71</v>
      </c>
      <c r="D29" s="67" t="s">
        <v>69</v>
      </c>
      <c r="E29" s="67" t="s">
        <v>69</v>
      </c>
      <c r="F29" s="70"/>
      <c r="G29" s="67" t="s">
        <v>69</v>
      </c>
      <c r="H29" s="67" t="s">
        <v>69</v>
      </c>
      <c r="I29" s="70"/>
      <c r="J29" s="67" t="s">
        <v>69</v>
      </c>
      <c r="K29" s="67" t="s">
        <v>69</v>
      </c>
      <c r="M29" s="67" t="s">
        <v>69</v>
      </c>
      <c r="N29" s="67" t="s">
        <v>69</v>
      </c>
      <c r="O29" s="70"/>
      <c r="P29" s="67" t="s">
        <v>69</v>
      </c>
      <c r="Q29" s="67" t="s">
        <v>69</v>
      </c>
      <c r="R29" s="70"/>
      <c r="S29" s="67" t="s">
        <v>69</v>
      </c>
      <c r="T29" s="67" t="s">
        <v>69</v>
      </c>
      <c r="V29" s="67" t="s">
        <v>69</v>
      </c>
      <c r="W29" s="67" t="s">
        <v>69</v>
      </c>
      <c r="X29" s="70"/>
      <c r="Y29" s="67" t="s">
        <v>69</v>
      </c>
      <c r="Z29" s="67" t="s">
        <v>69</v>
      </c>
      <c r="AA29" s="70"/>
      <c r="AB29" s="67" t="s">
        <v>69</v>
      </c>
      <c r="AC29" s="67" t="s">
        <v>69</v>
      </c>
      <c r="AE29" s="67" t="s">
        <v>69</v>
      </c>
      <c r="AF29" s="67" t="s">
        <v>69</v>
      </c>
      <c r="AG29" s="70"/>
      <c r="AH29" s="67" t="s">
        <v>69</v>
      </c>
      <c r="AI29" s="67" t="s">
        <v>69</v>
      </c>
      <c r="AJ29" s="70"/>
      <c r="AK29" s="67" t="s">
        <v>69</v>
      </c>
      <c r="AL29" s="67" t="s">
        <v>69</v>
      </c>
    </row>
    <row r="30" spans="1:41" x14ac:dyDescent="0.25">
      <c r="A30" s="64" t="s">
        <v>72</v>
      </c>
      <c r="B30" t="s">
        <v>73</v>
      </c>
      <c r="D30" s="67" t="s">
        <v>69</v>
      </c>
      <c r="E30" s="67" t="s">
        <v>69</v>
      </c>
      <c r="F30" s="70"/>
      <c r="G30" s="67" t="s">
        <v>69</v>
      </c>
      <c r="H30" s="67" t="s">
        <v>69</v>
      </c>
      <c r="I30" s="70"/>
      <c r="J30" s="67" t="s">
        <v>69</v>
      </c>
      <c r="K30" s="67" t="s">
        <v>69</v>
      </c>
      <c r="M30" s="67" t="s">
        <v>69</v>
      </c>
      <c r="N30" s="67" t="s">
        <v>69</v>
      </c>
      <c r="O30" s="70"/>
      <c r="P30" s="67" t="s">
        <v>69</v>
      </c>
      <c r="Q30" s="67" t="s">
        <v>69</v>
      </c>
      <c r="R30" s="70"/>
      <c r="S30" s="67" t="s">
        <v>69</v>
      </c>
      <c r="T30" s="67" t="s">
        <v>69</v>
      </c>
      <c r="V30" s="67" t="s">
        <v>69</v>
      </c>
      <c r="W30" s="67" t="s">
        <v>69</v>
      </c>
      <c r="X30" s="70"/>
      <c r="Y30" s="67" t="s">
        <v>69</v>
      </c>
      <c r="Z30" s="67" t="s">
        <v>69</v>
      </c>
      <c r="AA30" s="70"/>
      <c r="AB30" s="67" t="s">
        <v>69</v>
      </c>
      <c r="AC30" s="67" t="s">
        <v>69</v>
      </c>
      <c r="AE30" s="67" t="s">
        <v>69</v>
      </c>
      <c r="AF30" s="67" t="s">
        <v>69</v>
      </c>
      <c r="AG30" s="70"/>
      <c r="AH30" s="67" t="s">
        <v>69</v>
      </c>
      <c r="AI30" s="67" t="s">
        <v>69</v>
      </c>
      <c r="AJ30" s="70"/>
      <c r="AK30" s="67" t="s">
        <v>69</v>
      </c>
      <c r="AL30" s="67" t="s">
        <v>69</v>
      </c>
    </row>
    <row r="31" spans="1:41" x14ac:dyDescent="0.25">
      <c r="A31" s="64" t="s">
        <v>74</v>
      </c>
      <c r="B31" s="66" t="s">
        <v>81</v>
      </c>
      <c r="C31" s="66"/>
      <c r="D31" s="67"/>
      <c r="E31" s="67">
        <f>'CO-SF-WH'!D36/1000</f>
        <v>0</v>
      </c>
      <c r="F31" s="70"/>
      <c r="G31" s="70"/>
      <c r="H31" s="67">
        <f>'CO-SF-SepM'!D36/1000</f>
        <v>0</v>
      </c>
      <c r="I31" s="70"/>
      <c r="J31" s="70"/>
      <c r="K31" s="67">
        <f>'CO-SF-SubM'!D36/1000</f>
        <v>0</v>
      </c>
      <c r="M31" s="67"/>
      <c r="N31" s="67">
        <f>'CO-MF-WH'!D36/1000</f>
        <v>0</v>
      </c>
      <c r="O31" s="70"/>
      <c r="P31" s="70"/>
      <c r="Q31" s="67">
        <f>'CO-MF-SepM'!D36/1000</f>
        <v>0</v>
      </c>
      <c r="R31" s="70"/>
      <c r="S31" s="70"/>
      <c r="T31" s="67">
        <f>'CO-MF-SubM'!D36/1000</f>
        <v>0</v>
      </c>
      <c r="V31" s="67"/>
      <c r="W31" s="67">
        <f>'CO-DAC-WH'!D36/1000</f>
        <v>0</v>
      </c>
      <c r="X31" s="70"/>
      <c r="Y31" s="70"/>
      <c r="Z31" s="67">
        <f>'CO-DAC-SepM'!D36/1000</f>
        <v>0</v>
      </c>
      <c r="AA31" s="70"/>
      <c r="AB31" s="70"/>
      <c r="AC31" s="67">
        <f>'CO-DAC-SubM'!D36/1000</f>
        <v>0</v>
      </c>
      <c r="AE31" s="67"/>
      <c r="AF31" s="67">
        <f>E31+N31+W31</f>
        <v>0</v>
      </c>
      <c r="AG31" s="70"/>
      <c r="AH31" s="70"/>
      <c r="AI31" s="67">
        <f>H31+Q31+Z31</f>
        <v>0</v>
      </c>
      <c r="AJ31" s="70"/>
      <c r="AK31" s="70"/>
      <c r="AL31" s="67">
        <f>K31+T31+AC31</f>
        <v>0</v>
      </c>
    </row>
    <row r="32" spans="1:41" x14ac:dyDescent="0.25">
      <c r="A32" s="64" t="s">
        <v>76</v>
      </c>
      <c r="B32" t="s">
        <v>75</v>
      </c>
      <c r="D32" s="67">
        <f>'CO-SF-WH'!C37/1000</f>
        <v>0</v>
      </c>
      <c r="E32" s="70"/>
      <c r="F32" s="70"/>
      <c r="G32" s="67">
        <f>'CO-SF-SepM'!C37/1000</f>
        <v>0</v>
      </c>
      <c r="H32" s="70"/>
      <c r="I32" s="70"/>
      <c r="J32" s="67">
        <f>'CO-SF-SubM'!C37/1000</f>
        <v>0</v>
      </c>
      <c r="K32" s="70"/>
      <c r="M32" s="67">
        <f>'CO-MF-WH'!C37/1000</f>
        <v>0</v>
      </c>
      <c r="N32" s="70"/>
      <c r="O32" s="70"/>
      <c r="P32" s="67">
        <f>'CO-MF-SepM'!C37/1000</f>
        <v>0</v>
      </c>
      <c r="Q32" s="70"/>
      <c r="R32" s="70"/>
      <c r="S32" s="67">
        <f>'CO-MF-SubM'!C37/1000</f>
        <v>0</v>
      </c>
      <c r="T32" s="70"/>
      <c r="V32" s="67">
        <f>'SD-DAC-WH'!C36/1000</f>
        <v>894.1666666666664</v>
      </c>
      <c r="W32" s="70"/>
      <c r="X32" s="70"/>
      <c r="Y32" s="67">
        <f>'CO-DAC-SepM'!C37/1000</f>
        <v>0</v>
      </c>
      <c r="Z32" s="70"/>
      <c r="AA32" s="70"/>
      <c r="AB32" s="67">
        <f>'CO-DAC-SubM'!C37/1000</f>
        <v>0</v>
      </c>
      <c r="AC32" s="70"/>
      <c r="AE32" s="67">
        <f>D32+M32+V32</f>
        <v>894.1666666666664</v>
      </c>
      <c r="AF32" s="70"/>
      <c r="AG32" s="70"/>
      <c r="AH32" s="67">
        <f>G32+P32+Y32</f>
        <v>0</v>
      </c>
      <c r="AI32" s="70"/>
      <c r="AJ32" s="70"/>
      <c r="AK32" s="67">
        <f>J32+S32+AB32</f>
        <v>0</v>
      </c>
      <c r="AL32" s="70"/>
    </row>
    <row r="33" spans="1:42" x14ac:dyDescent="0.25">
      <c r="A33" s="64" t="s">
        <v>82</v>
      </c>
      <c r="B33" t="s">
        <v>83</v>
      </c>
      <c r="D33" s="71"/>
      <c r="E33" s="68">
        <f>SUM('CO-SF-WH'!D27:D35)/1000+'CO-SF-WH'!C66/1000+(('CO-SF-WH'!C76/1000)*16)*0</f>
        <v>0</v>
      </c>
      <c r="F33" s="70"/>
      <c r="G33" s="71"/>
      <c r="H33" s="68">
        <f>SUM('CO-SF-SepM'!D27:D35)/1000+'CO-SF-SepM'!C66/1000+(('CO-SF-SepM'!C76/1000)*16)*0</f>
        <v>0</v>
      </c>
      <c r="I33" s="70"/>
      <c r="J33" s="71"/>
      <c r="K33" s="68">
        <f>SUM('CO-SF-SubM'!D27:D35)/1000+'CO-SF-SubM'!C66/1000+(('CO-SF-SubM'!C76/1000)*16)*0</f>
        <v>0</v>
      </c>
      <c r="M33" s="71"/>
      <c r="N33" s="68">
        <f>SUM('CO-MF-WH'!D27:D35)/1000+'CO-MF-WH'!C66/1000+(('CO-MF-WH'!C76/1000)*16)*0</f>
        <v>0</v>
      </c>
      <c r="O33" s="70"/>
      <c r="P33" s="71"/>
      <c r="Q33" s="68">
        <f>SUM('CO-MF-SepM'!D27:D35)/1000+'CO-MF-SepM'!C66/1000+(('CO-MF-SepM'!C76/1000)*16)*0</f>
        <v>0</v>
      </c>
      <c r="R33" s="70"/>
      <c r="S33" s="71"/>
      <c r="T33" s="68">
        <f>SUM('CO-MF-SubM'!D27:D35)/1000+'CO-MF-SubM'!C66/1000+(('CO-MF-SubM'!C76/1000)*16)*0</f>
        <v>0</v>
      </c>
      <c r="V33" s="71"/>
      <c r="W33" s="68">
        <f>SUM('CO-DAC-WH'!D27:D35)/1000+'CO-DAC-WH'!C66/1000+(('CO-DAC-WH'!C76/1000)*16)*0</f>
        <v>0</v>
      </c>
      <c r="X33" s="70"/>
      <c r="Y33" s="71"/>
      <c r="Z33" s="68">
        <f>SUM('CO-DAC-SepM'!D27:D35)/1000+'CO-DAC-SepM'!C66/1000+(('CO-DAC-SepM'!C76/1000)*16)*0</f>
        <v>0</v>
      </c>
      <c r="AA33" s="70"/>
      <c r="AB33" s="71"/>
      <c r="AC33" s="68">
        <f>SUM('CO-DAC-SubM'!D27:D35)/1000+'CO-DAC-SubM'!C66/1000+(('CO-DAC-SubM'!C76/1000)*16)*0</f>
        <v>0</v>
      </c>
      <c r="AE33" s="71"/>
      <c r="AF33" s="68">
        <f>E33+N33+W33</f>
        <v>0</v>
      </c>
      <c r="AG33" s="70"/>
      <c r="AH33" s="71"/>
      <c r="AI33" s="68">
        <f>H33+Q33+Z33</f>
        <v>0</v>
      </c>
      <c r="AJ33" s="70"/>
      <c r="AK33" s="71"/>
      <c r="AL33" s="68">
        <f>K33+T33+AC33</f>
        <v>0</v>
      </c>
    </row>
    <row r="34" spans="1:42" x14ac:dyDescent="0.25">
      <c r="B34" t="s">
        <v>78</v>
      </c>
      <c r="D34" s="67">
        <f>SUM(D27:D33)</f>
        <v>0</v>
      </c>
      <c r="E34" s="67">
        <f>SUM(E27:E33)</f>
        <v>0</v>
      </c>
      <c r="F34" s="70"/>
      <c r="G34" s="67">
        <f>SUM(G27:G33)</f>
        <v>0</v>
      </c>
      <c r="H34" s="67">
        <f>SUM(H27:H33)</f>
        <v>0</v>
      </c>
      <c r="I34" s="70"/>
      <c r="J34" s="67">
        <f>SUM(J27:J33)</f>
        <v>0</v>
      </c>
      <c r="K34" s="67">
        <f>SUM(K27:K33)</f>
        <v>0</v>
      </c>
      <c r="M34" s="67">
        <f>SUM(M27:M33)</f>
        <v>0</v>
      </c>
      <c r="N34" s="67">
        <f>SUM(N27:N33)</f>
        <v>0</v>
      </c>
      <c r="O34" s="70"/>
      <c r="P34" s="67">
        <f>SUM(P27:P33)</f>
        <v>0</v>
      </c>
      <c r="Q34" s="67">
        <f>SUM(Q27:Q33)</f>
        <v>0</v>
      </c>
      <c r="R34" s="70"/>
      <c r="S34" s="67">
        <f>SUM(S27:S33)</f>
        <v>0</v>
      </c>
      <c r="T34" s="67">
        <f>SUM(T27:T33)</f>
        <v>0</v>
      </c>
      <c r="V34" s="67">
        <f>SUM(V27:V33)</f>
        <v>894.1666666666664</v>
      </c>
      <c r="W34" s="67">
        <f>SUM(W27:W33)</f>
        <v>0</v>
      </c>
      <c r="X34" s="70"/>
      <c r="Y34" s="67">
        <f>SUM(Y27:Y33)</f>
        <v>0</v>
      </c>
      <c r="Z34" s="67">
        <f>SUM(Z27:Z33)</f>
        <v>0</v>
      </c>
      <c r="AA34" s="70"/>
      <c r="AB34" s="67">
        <f>SUM(AB27:AB33)</f>
        <v>0</v>
      </c>
      <c r="AC34" s="67">
        <f>SUM(AC27:AC33)</f>
        <v>0</v>
      </c>
      <c r="AE34" s="67">
        <f>SUM(AE27:AE33)</f>
        <v>894.1666666666664</v>
      </c>
      <c r="AF34" s="67">
        <f>SUM(AF27:AF33)</f>
        <v>0</v>
      </c>
      <c r="AG34" s="70"/>
      <c r="AH34" s="67">
        <f>SUM(AH27:AH33)</f>
        <v>0</v>
      </c>
      <c r="AI34" s="67">
        <f>SUM(AI27:AI33)</f>
        <v>0</v>
      </c>
      <c r="AJ34" s="70"/>
      <c r="AK34" s="67">
        <f>SUM(AK27:AK33)</f>
        <v>0</v>
      </c>
      <c r="AL34" s="67">
        <f>SUM(AL27:AL33)</f>
        <v>0</v>
      </c>
      <c r="AN34" s="70">
        <f>AE34+AH34+AK34</f>
        <v>894.1666666666664</v>
      </c>
      <c r="AO34" s="70">
        <f>AF34+AI34+AL34</f>
        <v>0</v>
      </c>
    </row>
    <row r="36" spans="1:42" x14ac:dyDescent="0.25">
      <c r="B36" t="s">
        <v>84</v>
      </c>
      <c r="D36" s="73">
        <f>'CO-SF-WH'!E9</f>
        <v>0</v>
      </c>
      <c r="E36" s="73"/>
      <c r="F36" s="74"/>
      <c r="G36" s="73">
        <f>'CO-SF-SepM'!E9</f>
        <v>0</v>
      </c>
      <c r="H36" s="73"/>
      <c r="I36" s="74"/>
      <c r="J36" s="73">
        <f>'CO-SF-SubM'!E9</f>
        <v>0</v>
      </c>
      <c r="K36" s="73"/>
      <c r="L36" s="75"/>
      <c r="M36" s="73">
        <f>'CO-MF-WH'!E9</f>
        <v>0</v>
      </c>
      <c r="N36" s="73"/>
      <c r="O36" s="74"/>
      <c r="P36" s="73">
        <f>'CO-MF-SepM'!E9</f>
        <v>0</v>
      </c>
      <c r="Q36" s="73"/>
      <c r="R36" s="74"/>
      <c r="S36" s="73">
        <f>'CO-MF-SubM'!E9</f>
        <v>0</v>
      </c>
      <c r="T36" s="73"/>
      <c r="U36" s="74"/>
      <c r="V36" s="73">
        <f>'CO-DAC-WH'!E9</f>
        <v>0</v>
      </c>
      <c r="W36" s="73"/>
      <c r="X36" s="74"/>
      <c r="Y36" s="73">
        <f>'CO-DAC-SepM'!E9</f>
        <v>0</v>
      </c>
      <c r="Z36" s="73"/>
      <c r="AA36" s="74"/>
      <c r="AB36" s="73">
        <f>'CO-DAC-SubM'!E9</f>
        <v>0</v>
      </c>
      <c r="AC36" s="73"/>
      <c r="AE36" s="73">
        <f>D36+M36+V36</f>
        <v>0</v>
      </c>
      <c r="AF36" s="73"/>
      <c r="AG36" s="74"/>
      <c r="AH36" s="73">
        <f>G36+P36+Y36</f>
        <v>0</v>
      </c>
      <c r="AI36" s="73"/>
      <c r="AJ36" s="74"/>
      <c r="AK36" s="73">
        <f>J36+S36+AB36</f>
        <v>0</v>
      </c>
      <c r="AL36" s="73"/>
    </row>
    <row r="37" spans="1:42" x14ac:dyDescent="0.25">
      <c r="D37" s="65"/>
      <c r="E37" s="65"/>
      <c r="G37" s="65"/>
      <c r="H37" s="65"/>
      <c r="J37" s="65"/>
      <c r="K37" s="65"/>
      <c r="AN37" s="70">
        <f>AN17+AN34</f>
        <v>216923.54166666666</v>
      </c>
      <c r="AO37" s="70">
        <f>AO17+AO34</f>
        <v>25050</v>
      </c>
      <c r="AP37" t="s">
        <v>98</v>
      </c>
    </row>
    <row r="39" spans="1:42" ht="18.75" x14ac:dyDescent="0.3">
      <c r="D39" s="194" t="s">
        <v>90</v>
      </c>
      <c r="E39" s="194"/>
      <c r="F39" s="194"/>
      <c r="G39" s="194"/>
      <c r="H39" s="194"/>
      <c r="I39" s="194"/>
      <c r="J39" s="194"/>
      <c r="K39" s="194"/>
      <c r="AE39" s="70">
        <f>AE17+AE34</f>
        <v>72441.458333333343</v>
      </c>
      <c r="AF39" s="70">
        <f>AF17+AF34</f>
        <v>8350</v>
      </c>
      <c r="AH39" s="70">
        <f>AH17+AH34</f>
        <v>72241.041666666672</v>
      </c>
      <c r="AI39" s="70">
        <f>AI17+AI34</f>
        <v>8350</v>
      </c>
      <c r="AK39" s="70">
        <f>AK17+AK34</f>
        <v>72241.041666666672</v>
      </c>
      <c r="AL39" s="70">
        <f>AL17+AL34</f>
        <v>8350</v>
      </c>
      <c r="AN39" s="70">
        <f>AE39+AH39+AK39</f>
        <v>216923.54166666669</v>
      </c>
      <c r="AO39" s="70">
        <f>AF39+AI39+AL39</f>
        <v>25050</v>
      </c>
      <c r="AP39" t="s">
        <v>98</v>
      </c>
    </row>
    <row r="40" spans="1:42" ht="18.75" x14ac:dyDescent="0.3">
      <c r="B40" s="62"/>
      <c r="D40" s="196" t="s">
        <v>91</v>
      </c>
      <c r="E40" s="196"/>
      <c r="F40" s="196"/>
      <c r="G40" s="196"/>
      <c r="H40" s="196"/>
      <c r="I40" s="196"/>
      <c r="J40" s="196"/>
      <c r="K40" s="196"/>
    </row>
    <row r="41" spans="1:42" x14ac:dyDescent="0.25">
      <c r="D41" s="195" t="s">
        <v>92</v>
      </c>
      <c r="E41" s="195"/>
      <c r="F41" s="195"/>
      <c r="G41" s="195"/>
      <c r="H41" s="195"/>
      <c r="I41" s="195"/>
      <c r="J41" s="195"/>
      <c r="K41" s="195"/>
    </row>
    <row r="42" spans="1:42" x14ac:dyDescent="0.25">
      <c r="B42" s="80" t="s">
        <v>60</v>
      </c>
      <c r="D42" s="195" t="s">
        <v>61</v>
      </c>
      <c r="E42" s="195"/>
      <c r="G42" s="195" t="s">
        <v>62</v>
      </c>
      <c r="H42" s="195"/>
      <c r="J42" s="195" t="s">
        <v>63</v>
      </c>
      <c r="K42" s="195"/>
      <c r="M42" s="62" t="s">
        <v>142</v>
      </c>
      <c r="N42" s="62" t="s">
        <v>7</v>
      </c>
    </row>
    <row r="43" spans="1:42" x14ac:dyDescent="0.25">
      <c r="B43" s="63" t="s">
        <v>65</v>
      </c>
      <c r="D43" s="63" t="s">
        <v>12</v>
      </c>
      <c r="E43" s="63" t="s">
        <v>11</v>
      </c>
      <c r="G43" s="63" t="s">
        <v>12</v>
      </c>
      <c r="H43" s="63" t="s">
        <v>11</v>
      </c>
      <c r="J43" s="63" t="s">
        <v>12</v>
      </c>
      <c r="K43" s="63" t="s">
        <v>11</v>
      </c>
      <c r="M43" s="111" t="s">
        <v>12</v>
      </c>
      <c r="N43" s="111" t="s">
        <v>11</v>
      </c>
    </row>
    <row r="44" spans="1:42" x14ac:dyDescent="0.25">
      <c r="B44" t="s">
        <v>67</v>
      </c>
      <c r="D44" s="67">
        <f>AE11+AE27</f>
        <v>51654.375</v>
      </c>
      <c r="E44" s="67">
        <f>AF11+AF27</f>
        <v>0</v>
      </c>
      <c r="F44" s="70"/>
      <c r="G44" s="67">
        <f>AH11+AH27</f>
        <v>51654.375</v>
      </c>
      <c r="H44" s="67">
        <f>AI11+AI27</f>
        <v>0</v>
      </c>
      <c r="I44" s="70"/>
      <c r="J44" s="67">
        <f>AK11+AK27</f>
        <v>51654.375</v>
      </c>
      <c r="K44" s="67">
        <f>AL11+AL27</f>
        <v>0</v>
      </c>
      <c r="M44" s="70">
        <f>D44+G44+J44</f>
        <v>154963.125</v>
      </c>
    </row>
    <row r="45" spans="1:42" x14ac:dyDescent="0.25">
      <c r="B45" t="s">
        <v>62</v>
      </c>
      <c r="D45" s="67" t="s">
        <v>69</v>
      </c>
      <c r="E45" s="67" t="s">
        <v>69</v>
      </c>
      <c r="F45" s="70"/>
      <c r="G45" s="67">
        <f>AH12+AH28</f>
        <v>0</v>
      </c>
      <c r="H45" s="67" t="s">
        <v>69</v>
      </c>
      <c r="I45" s="70"/>
      <c r="J45" s="67" t="s">
        <v>69</v>
      </c>
      <c r="K45" s="67" t="s">
        <v>69</v>
      </c>
      <c r="M45" s="70">
        <f>G45</f>
        <v>0</v>
      </c>
    </row>
    <row r="46" spans="1:42" x14ac:dyDescent="0.25">
      <c r="B46" t="s">
        <v>71</v>
      </c>
      <c r="D46" s="67">
        <f>AE13</f>
        <v>17010</v>
      </c>
      <c r="E46" s="67">
        <f>AF13</f>
        <v>0</v>
      </c>
      <c r="F46" s="70"/>
      <c r="G46" s="67">
        <f>AH13</f>
        <v>17010</v>
      </c>
      <c r="H46" s="67">
        <f>AI13</f>
        <v>0</v>
      </c>
      <c r="I46" s="70"/>
      <c r="J46" s="67">
        <f>AK13</f>
        <v>17010</v>
      </c>
      <c r="K46" s="67">
        <f>AL13</f>
        <v>0</v>
      </c>
      <c r="M46" s="70">
        <f>D46+G46+J46</f>
        <v>51030</v>
      </c>
    </row>
    <row r="47" spans="1:42" x14ac:dyDescent="0.25">
      <c r="B47" t="s">
        <v>73</v>
      </c>
      <c r="D47" s="67">
        <f>AE14</f>
        <v>0</v>
      </c>
      <c r="E47" s="67">
        <f>AF14</f>
        <v>0</v>
      </c>
      <c r="F47" s="70"/>
      <c r="G47" s="67">
        <f>AH14</f>
        <v>0</v>
      </c>
      <c r="H47" s="67">
        <f>AI14</f>
        <v>0</v>
      </c>
      <c r="I47" s="70"/>
      <c r="J47" s="67">
        <f>AK14</f>
        <v>0</v>
      </c>
      <c r="K47" s="67">
        <f>AL14</f>
        <v>0</v>
      </c>
      <c r="P47" s="70"/>
      <c r="S47" s="70"/>
    </row>
    <row r="48" spans="1:42" x14ac:dyDescent="0.25">
      <c r="B48" s="66" t="s">
        <v>81</v>
      </c>
      <c r="D48" s="67">
        <f>AE31</f>
        <v>0</v>
      </c>
      <c r="E48" s="67">
        <f>AF31</f>
        <v>0</v>
      </c>
      <c r="F48" s="70"/>
      <c r="G48" s="67">
        <f>AH31</f>
        <v>0</v>
      </c>
      <c r="H48" s="67">
        <f>AI31</f>
        <v>0</v>
      </c>
      <c r="I48" s="70"/>
      <c r="J48" s="67">
        <f>AK31</f>
        <v>0</v>
      </c>
      <c r="K48" s="67">
        <f>AL31</f>
        <v>0</v>
      </c>
      <c r="N48" s="70">
        <f>E48+H48+K48</f>
        <v>0</v>
      </c>
      <c r="P48" s="70"/>
      <c r="S48" s="70"/>
    </row>
    <row r="49" spans="2:19" x14ac:dyDescent="0.25">
      <c r="B49" t="s">
        <v>75</v>
      </c>
      <c r="D49" s="67">
        <f>AE15+AE32</f>
        <v>3777.083333333333</v>
      </c>
      <c r="E49" s="67">
        <f>AF15+AF32</f>
        <v>0</v>
      </c>
      <c r="F49" s="70"/>
      <c r="G49" s="67">
        <f>AH15+AH32</f>
        <v>3576.6666666666665</v>
      </c>
      <c r="H49" s="67">
        <f>AI15+AI32</f>
        <v>0</v>
      </c>
      <c r="I49" s="70"/>
      <c r="J49" s="67">
        <f>AK15+AK32</f>
        <v>3576.6666666666665</v>
      </c>
      <c r="K49" s="84">
        <f>AL15+AL32</f>
        <v>0</v>
      </c>
      <c r="M49" s="70">
        <f>D49+G49+J49</f>
        <v>10930.416666666666</v>
      </c>
    </row>
    <row r="50" spans="2:19" x14ac:dyDescent="0.25">
      <c r="B50" t="s">
        <v>83</v>
      </c>
      <c r="D50" s="68">
        <f>AE16+AH33</f>
        <v>0</v>
      </c>
      <c r="E50" s="68">
        <f>AF16+AI33</f>
        <v>8350</v>
      </c>
      <c r="F50" s="70"/>
      <c r="G50" s="68">
        <f>AH16+AK33</f>
        <v>0</v>
      </c>
      <c r="H50" s="68">
        <f>AI16+AL33</f>
        <v>8350</v>
      </c>
      <c r="I50" s="70"/>
      <c r="J50" s="68">
        <f>AK16+AN33</f>
        <v>0</v>
      </c>
      <c r="K50" s="68">
        <f>AL16+AL33</f>
        <v>8350</v>
      </c>
      <c r="M50" s="59"/>
      <c r="N50" s="71">
        <f>E50+H50+K50</f>
        <v>25050</v>
      </c>
      <c r="S50" s="70"/>
    </row>
    <row r="51" spans="2:19" x14ac:dyDescent="0.25">
      <c r="B51" t="s">
        <v>78</v>
      </c>
      <c r="D51" s="67">
        <f>SUM(D44:D50)</f>
        <v>72441.458333333328</v>
      </c>
      <c r="E51" s="67">
        <f>SUM(E44:E50)</f>
        <v>8350</v>
      </c>
      <c r="F51" s="70"/>
      <c r="G51" s="67">
        <f>SUM(G44:G50)</f>
        <v>72241.041666666672</v>
      </c>
      <c r="H51" s="67">
        <f>SUM(H44:H50)</f>
        <v>8350</v>
      </c>
      <c r="I51" s="70"/>
      <c r="J51" s="67">
        <f>SUM(J44:J50)</f>
        <v>72241.041666666672</v>
      </c>
      <c r="K51" s="67">
        <f>SUM(K44:K50)</f>
        <v>8350</v>
      </c>
      <c r="M51" s="70">
        <f>SUM(M44:M50)</f>
        <v>216923.54166666666</v>
      </c>
      <c r="N51" s="70">
        <f>SUM(N44:N50)</f>
        <v>25050</v>
      </c>
    </row>
    <row r="53" spans="2:19" x14ac:dyDescent="0.25">
      <c r="B53" t="s">
        <v>84</v>
      </c>
      <c r="D53" s="73">
        <f>AE19+AE36</f>
        <v>29999.999999999996</v>
      </c>
      <c r="E53" s="73"/>
      <c r="F53" s="74"/>
      <c r="G53" s="73">
        <f>AH19+AH36</f>
        <v>29999.999999999996</v>
      </c>
      <c r="H53" s="73"/>
      <c r="I53" s="74"/>
      <c r="J53" s="73">
        <f>AK19+AK36</f>
        <v>29999.999999999996</v>
      </c>
      <c r="K53" s="73"/>
    </row>
    <row r="54" spans="2:19" x14ac:dyDescent="0.25">
      <c r="P54" s="70"/>
      <c r="S54" s="70"/>
    </row>
    <row r="55" spans="2:19" x14ac:dyDescent="0.25">
      <c r="B55" s="97" t="s">
        <v>103</v>
      </c>
      <c r="P55" s="70"/>
      <c r="S55" s="70"/>
    </row>
    <row r="56" spans="2:19" x14ac:dyDescent="0.25">
      <c r="B56" s="88" t="s">
        <v>101</v>
      </c>
      <c r="C56" s="89"/>
      <c r="D56" s="90" t="s">
        <v>93</v>
      </c>
      <c r="E56" s="90" t="s">
        <v>93</v>
      </c>
      <c r="F56" s="89"/>
      <c r="G56" s="90" t="s">
        <v>7</v>
      </c>
    </row>
    <row r="57" spans="2:19" x14ac:dyDescent="0.25">
      <c r="B57" s="89"/>
      <c r="C57" s="89"/>
      <c r="D57" s="91" t="s">
        <v>12</v>
      </c>
      <c r="E57" s="91" t="s">
        <v>11</v>
      </c>
      <c r="F57" s="89"/>
      <c r="G57" s="91" t="s">
        <v>94</v>
      </c>
      <c r="S57" s="70"/>
    </row>
    <row r="58" spans="2:19" x14ac:dyDescent="0.25">
      <c r="B58" s="92" t="s">
        <v>95</v>
      </c>
      <c r="C58" s="89"/>
      <c r="D58" s="89"/>
      <c r="E58" s="89"/>
      <c r="F58" s="89"/>
      <c r="G58" s="89"/>
    </row>
    <row r="59" spans="2:19" x14ac:dyDescent="0.25">
      <c r="B59" s="89" t="s">
        <v>75</v>
      </c>
      <c r="C59" s="89"/>
      <c r="D59" s="93">
        <v>7600</v>
      </c>
      <c r="E59" s="93">
        <v>0</v>
      </c>
      <c r="F59" s="89"/>
      <c r="G59" s="93">
        <f>SUM(D59:E59)</f>
        <v>7600</v>
      </c>
      <c r="S59" s="70"/>
    </row>
    <row r="60" spans="2:19" x14ac:dyDescent="0.25">
      <c r="B60" s="89" t="s">
        <v>96</v>
      </c>
      <c r="C60" s="89"/>
      <c r="D60" s="94">
        <v>193374.74999999985</v>
      </c>
      <c r="E60" s="94">
        <v>24949.999999999978</v>
      </c>
      <c r="F60" s="89"/>
      <c r="G60" s="94">
        <f>SUM(D60:E60)</f>
        <v>218324.74999999983</v>
      </c>
    </row>
    <row r="61" spans="2:19" x14ac:dyDescent="0.25">
      <c r="B61" s="89" t="s">
        <v>97</v>
      </c>
      <c r="C61" s="89"/>
      <c r="D61" s="93">
        <f>SUM(D59:D60)</f>
        <v>200974.74999999985</v>
      </c>
      <c r="E61" s="93">
        <f>SUM(E59:E60)</f>
        <v>24949.999999999978</v>
      </c>
      <c r="F61" s="89"/>
      <c r="G61" s="93">
        <f>SUM(G59:G60)</f>
        <v>225924.74999999983</v>
      </c>
    </row>
    <row r="62" spans="2:19" x14ac:dyDescent="0.25">
      <c r="B62" s="89"/>
      <c r="C62" s="89"/>
      <c r="D62" s="89"/>
      <c r="E62" s="89"/>
      <c r="F62" s="89"/>
      <c r="G62" s="89"/>
    </row>
    <row r="63" spans="2:19" x14ac:dyDescent="0.25">
      <c r="B63" s="88" t="s">
        <v>100</v>
      </c>
      <c r="C63" s="89"/>
      <c r="D63" s="90" t="s">
        <v>93</v>
      </c>
      <c r="E63" s="90" t="s">
        <v>93</v>
      </c>
      <c r="F63" s="89"/>
      <c r="G63" s="90" t="s">
        <v>7</v>
      </c>
    </row>
    <row r="64" spans="2:19" x14ac:dyDescent="0.25">
      <c r="B64" s="89"/>
      <c r="C64" s="89"/>
      <c r="D64" s="91" t="s">
        <v>12</v>
      </c>
      <c r="E64" s="91" t="s">
        <v>11</v>
      </c>
      <c r="F64" s="89"/>
      <c r="G64" s="91" t="s">
        <v>94</v>
      </c>
    </row>
    <row r="65" spans="2:13" x14ac:dyDescent="0.25">
      <c r="B65" s="92" t="s">
        <v>95</v>
      </c>
      <c r="C65" s="89"/>
      <c r="D65" s="89"/>
      <c r="E65" s="89"/>
      <c r="F65" s="89"/>
      <c r="G65" s="89"/>
    </row>
    <row r="66" spans="2:13" x14ac:dyDescent="0.25">
      <c r="B66" s="89" t="s">
        <v>75</v>
      </c>
      <c r="C66" s="89"/>
      <c r="D66" s="93">
        <f>D49+G49+J49</f>
        <v>10930.416666666666</v>
      </c>
      <c r="E66" s="93">
        <f>0</f>
        <v>0</v>
      </c>
      <c r="F66" s="89"/>
      <c r="G66" s="93">
        <f>SUM(D66:E66)</f>
        <v>10930.416666666666</v>
      </c>
    </row>
    <row r="67" spans="2:13" x14ac:dyDescent="0.25">
      <c r="B67" s="89" t="s">
        <v>96</v>
      </c>
      <c r="C67" s="89"/>
      <c r="D67" s="94">
        <f>D44+D46+G44+G45+G46+J44+J46</f>
        <v>205993.125</v>
      </c>
      <c r="E67" s="94">
        <f>E51+H51+K51</f>
        <v>25050</v>
      </c>
      <c r="F67" s="89"/>
      <c r="G67" s="94">
        <f>SUM(D67:E67)</f>
        <v>231043.125</v>
      </c>
    </row>
    <row r="68" spans="2:13" x14ac:dyDescent="0.25">
      <c r="B68" s="89" t="s">
        <v>97</v>
      </c>
      <c r="C68" s="89"/>
      <c r="D68" s="93">
        <f>SUM(D66:D67)</f>
        <v>216923.54166666666</v>
      </c>
      <c r="E68" s="93">
        <f>SUM(E66:E67)</f>
        <v>25050</v>
      </c>
      <c r="F68" s="89"/>
      <c r="G68" s="93">
        <f>SUM(G66:G67)</f>
        <v>241973.54166666666</v>
      </c>
    </row>
    <row r="69" spans="2:13" x14ac:dyDescent="0.25">
      <c r="B69" s="95"/>
      <c r="C69" s="95"/>
      <c r="D69" s="95"/>
      <c r="E69" s="95"/>
      <c r="F69" s="95"/>
      <c r="G69" s="95"/>
    </row>
    <row r="70" spans="2:13" x14ac:dyDescent="0.25">
      <c r="B70" s="95" t="s">
        <v>102</v>
      </c>
      <c r="C70" s="95"/>
      <c r="D70" s="96">
        <f>D61-D68</f>
        <v>-15948.791666666802</v>
      </c>
      <c r="E70" s="96">
        <f>E61-E68</f>
        <v>-100.00000000002183</v>
      </c>
      <c r="F70" s="95"/>
      <c r="G70" s="96">
        <f>G61-G68</f>
        <v>-16048.791666666832</v>
      </c>
    </row>
    <row r="74" spans="2:13" x14ac:dyDescent="0.25">
      <c r="B74" s="83"/>
      <c r="C74" s="83"/>
      <c r="D74" s="83"/>
      <c r="E74" s="83"/>
      <c r="F74" s="83"/>
      <c r="G74" s="83"/>
      <c r="H74" s="83"/>
      <c r="I74" s="83"/>
      <c r="J74" s="82" t="s">
        <v>105</v>
      </c>
      <c r="K74" s="82" t="s">
        <v>105</v>
      </c>
      <c r="L74" s="104"/>
      <c r="M74" s="82" t="s">
        <v>105</v>
      </c>
    </row>
    <row r="75" spans="2:13" x14ac:dyDescent="0.25">
      <c r="B75" s="83"/>
      <c r="C75" s="83"/>
      <c r="D75" s="82" t="s">
        <v>93</v>
      </c>
      <c r="E75" s="82" t="s">
        <v>93</v>
      </c>
      <c r="F75" s="83"/>
      <c r="G75" s="82" t="s">
        <v>7</v>
      </c>
      <c r="H75" s="83"/>
      <c r="I75" s="83"/>
      <c r="J75" s="99" t="s">
        <v>106</v>
      </c>
      <c r="K75" s="99" t="s">
        <v>106</v>
      </c>
      <c r="L75" s="98"/>
      <c r="M75" s="99" t="s">
        <v>7</v>
      </c>
    </row>
    <row r="76" spans="2:13" x14ac:dyDescent="0.25">
      <c r="B76" s="83"/>
      <c r="C76" s="83"/>
      <c r="D76" s="80" t="s">
        <v>12</v>
      </c>
      <c r="E76" s="80" t="s">
        <v>11</v>
      </c>
      <c r="F76" s="83"/>
      <c r="G76" s="80" t="s">
        <v>94</v>
      </c>
      <c r="H76" s="83"/>
      <c r="I76" s="83"/>
      <c r="J76" s="100" t="s">
        <v>12</v>
      </c>
      <c r="K76" s="100" t="s">
        <v>11</v>
      </c>
      <c r="L76" s="98"/>
      <c r="M76" s="100" t="s">
        <v>94</v>
      </c>
    </row>
    <row r="77" spans="2:13" x14ac:dyDescent="0.25">
      <c r="B77" s="85" t="s">
        <v>99</v>
      </c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</row>
    <row r="78" spans="2:13" x14ac:dyDescent="0.25">
      <c r="B78" s="83" t="s">
        <v>75</v>
      </c>
      <c r="C78" s="83"/>
      <c r="D78" s="86">
        <v>7600</v>
      </c>
      <c r="E78" s="86">
        <v>0</v>
      </c>
      <c r="F78" s="83"/>
      <c r="G78" s="86">
        <f>SUM(D78:E78)</f>
        <v>7600</v>
      </c>
      <c r="H78" s="83"/>
      <c r="I78" s="83"/>
      <c r="J78" s="102">
        <v>14709.387587195641</v>
      </c>
      <c r="K78" s="102">
        <v>0</v>
      </c>
      <c r="L78" s="98"/>
      <c r="M78" s="102">
        <f>SUM(J78:K78)</f>
        <v>14709.387587195641</v>
      </c>
    </row>
    <row r="79" spans="2:13" x14ac:dyDescent="0.25">
      <c r="B79" s="83" t="s">
        <v>96</v>
      </c>
      <c r="C79" s="83"/>
      <c r="D79" s="87">
        <v>193374.74999999985</v>
      </c>
      <c r="E79" s="87">
        <v>24949.999999999978</v>
      </c>
      <c r="F79" s="83"/>
      <c r="G79" s="87">
        <f>SUM(D79:E79)</f>
        <v>218324.74999999983</v>
      </c>
      <c r="H79" s="83"/>
      <c r="I79" s="83"/>
      <c r="J79" s="103">
        <v>263034.46527242102</v>
      </c>
      <c r="K79" s="103">
        <v>44397.600012753501</v>
      </c>
      <c r="L79" s="98"/>
      <c r="M79" s="103">
        <f>SUM(J79:K79)</f>
        <v>307432.06528517453</v>
      </c>
    </row>
    <row r="80" spans="2:13" x14ac:dyDescent="0.25">
      <c r="B80" s="83" t="s">
        <v>97</v>
      </c>
      <c r="C80" s="83"/>
      <c r="D80" s="86">
        <f>SUM(D78:D79)</f>
        <v>200974.74999999985</v>
      </c>
      <c r="E80" s="86">
        <f>SUM(E78:E79)</f>
        <v>24949.999999999978</v>
      </c>
      <c r="F80" s="83"/>
      <c r="G80" s="86">
        <f>SUM(G78:G79)</f>
        <v>225924.74999999983</v>
      </c>
      <c r="H80" s="83"/>
      <c r="I80" s="83"/>
      <c r="J80" s="102">
        <f>SUM(J78:J79)</f>
        <v>277743.85285961663</v>
      </c>
      <c r="K80" s="102">
        <f>SUM(K78:K79)</f>
        <v>44397.600012753501</v>
      </c>
      <c r="L80" s="98"/>
      <c r="M80" s="102">
        <f>SUM(M78:M79)</f>
        <v>322141.45287237014</v>
      </c>
    </row>
    <row r="81" spans="2:20" x14ac:dyDescent="0.25">
      <c r="B81" s="83"/>
      <c r="C81" s="83"/>
      <c r="D81" s="86"/>
      <c r="E81" s="86"/>
      <c r="F81" s="83"/>
      <c r="G81" s="86"/>
      <c r="H81" s="83"/>
      <c r="I81" s="83"/>
      <c r="J81" s="102"/>
      <c r="K81" s="102"/>
      <c r="L81" s="98"/>
      <c r="M81" s="102"/>
    </row>
    <row r="82" spans="2:20" x14ac:dyDescent="0.25">
      <c r="B82" s="83"/>
      <c r="C82" s="83"/>
      <c r="D82" s="83"/>
      <c r="E82" s="83"/>
      <c r="F82" s="83"/>
      <c r="G82" s="83"/>
      <c r="H82" s="83"/>
      <c r="I82" s="83"/>
      <c r="J82" s="82" t="s">
        <v>105</v>
      </c>
      <c r="K82" s="82" t="s">
        <v>105</v>
      </c>
      <c r="L82" s="104"/>
      <c r="M82" s="82" t="s">
        <v>105</v>
      </c>
      <c r="P82" s="82" t="s">
        <v>105</v>
      </c>
      <c r="Q82" s="82" t="s">
        <v>105</v>
      </c>
      <c r="R82" s="104"/>
      <c r="S82" s="82" t="s">
        <v>105</v>
      </c>
    </row>
    <row r="83" spans="2:20" x14ac:dyDescent="0.25">
      <c r="B83" s="105" t="s">
        <v>100</v>
      </c>
      <c r="C83" s="98"/>
      <c r="D83" s="99" t="s">
        <v>93</v>
      </c>
      <c r="E83" s="99" t="s">
        <v>93</v>
      </c>
      <c r="F83" s="98"/>
      <c r="G83" s="99" t="s">
        <v>7</v>
      </c>
      <c r="H83" s="83"/>
      <c r="I83" s="83"/>
      <c r="J83" s="99" t="s">
        <v>106</v>
      </c>
      <c r="K83" s="99" t="s">
        <v>106</v>
      </c>
      <c r="L83" s="98"/>
      <c r="M83" s="99" t="s">
        <v>7</v>
      </c>
      <c r="P83" s="99" t="s">
        <v>106</v>
      </c>
      <c r="Q83" s="99" t="s">
        <v>106</v>
      </c>
      <c r="R83" s="98"/>
      <c r="S83" s="99" t="s">
        <v>7</v>
      </c>
    </row>
    <row r="84" spans="2:20" x14ac:dyDescent="0.25">
      <c r="B84" s="98"/>
      <c r="C84" s="98"/>
      <c r="D84" s="100" t="s">
        <v>12</v>
      </c>
      <c r="E84" s="100" t="s">
        <v>11</v>
      </c>
      <c r="F84" s="98"/>
      <c r="G84" s="100" t="s">
        <v>94</v>
      </c>
      <c r="H84" s="83"/>
      <c r="I84" s="83"/>
      <c r="J84" s="100" t="s">
        <v>12</v>
      </c>
      <c r="K84" s="100" t="s">
        <v>11</v>
      </c>
      <c r="L84" s="98"/>
      <c r="M84" s="100" t="s">
        <v>94</v>
      </c>
      <c r="P84" s="100" t="s">
        <v>12</v>
      </c>
      <c r="Q84" s="100" t="s">
        <v>11</v>
      </c>
      <c r="R84" s="98"/>
      <c r="S84" s="100" t="s">
        <v>94</v>
      </c>
    </row>
    <row r="85" spans="2:20" x14ac:dyDescent="0.25">
      <c r="B85" s="101" t="s">
        <v>95</v>
      </c>
      <c r="C85" s="98"/>
      <c r="D85" s="98"/>
      <c r="E85" s="98"/>
      <c r="F85" s="98"/>
      <c r="G85" s="98"/>
      <c r="H85" s="83"/>
      <c r="I85" s="83"/>
      <c r="J85" s="83"/>
      <c r="K85" s="83"/>
      <c r="L85" s="83"/>
      <c r="M85" s="83"/>
    </row>
    <row r="86" spans="2:20" x14ac:dyDescent="0.25">
      <c r="B86" s="98" t="s">
        <v>75</v>
      </c>
      <c r="C86" s="98"/>
      <c r="D86" s="102">
        <f>D66</f>
        <v>10930.416666666666</v>
      </c>
      <c r="E86" s="102">
        <f>E66</f>
        <v>0</v>
      </c>
      <c r="F86" s="98"/>
      <c r="G86" s="102">
        <f>SUM(D86:E86)</f>
        <v>10930.416666666666</v>
      </c>
      <c r="H86" s="83"/>
      <c r="I86" s="83"/>
      <c r="J86" s="102">
        <v>25253.401551451781</v>
      </c>
      <c r="K86" s="102">
        <v>0</v>
      </c>
      <c r="L86" s="98"/>
      <c r="M86" s="102">
        <f>SUM(J86:K86)</f>
        <v>25253.401551451781</v>
      </c>
      <c r="P86" s="70">
        <f>J86</f>
        <v>25253.401551451781</v>
      </c>
      <c r="Q86" s="70">
        <f>0</f>
        <v>0</v>
      </c>
      <c r="R86" s="70"/>
      <c r="S86" s="70">
        <f>P86+Q86</f>
        <v>25253.401551451781</v>
      </c>
    </row>
    <row r="87" spans="2:20" x14ac:dyDescent="0.25">
      <c r="B87" s="98" t="s">
        <v>96</v>
      </c>
      <c r="C87" s="98"/>
      <c r="D87" s="103">
        <f>D67</f>
        <v>205993.125</v>
      </c>
      <c r="E87" s="103">
        <f>E67</f>
        <v>25050</v>
      </c>
      <c r="F87" s="98"/>
      <c r="G87" s="103">
        <f>SUM(D87:E87)</f>
        <v>231043.125</v>
      </c>
      <c r="H87" s="83"/>
      <c r="I87" s="83"/>
      <c r="J87" s="103">
        <v>230158.74523263972</v>
      </c>
      <c r="K87" s="103">
        <v>60309.748101470665</v>
      </c>
      <c r="L87" s="98"/>
      <c r="M87" s="103">
        <f>SUM(J87:K87)</f>
        <v>290468.49333411036</v>
      </c>
      <c r="P87" s="71">
        <f>J87</f>
        <v>230158.74523263972</v>
      </c>
      <c r="Q87" s="71">
        <f>19336</f>
        <v>19336</v>
      </c>
      <c r="R87" s="70"/>
      <c r="S87" s="71">
        <f>P87+Q87</f>
        <v>249494.74523263972</v>
      </c>
      <c r="T87" t="s">
        <v>115</v>
      </c>
    </row>
    <row r="88" spans="2:20" x14ac:dyDescent="0.25">
      <c r="B88" s="98" t="s">
        <v>97</v>
      </c>
      <c r="C88" s="98"/>
      <c r="D88" s="102">
        <f>SUM(D86:D87)</f>
        <v>216923.54166666666</v>
      </c>
      <c r="E88" s="102">
        <f>SUM(E86:E87)</f>
        <v>25050</v>
      </c>
      <c r="F88" s="98"/>
      <c r="G88" s="102">
        <f>SUM(G86:G87)</f>
        <v>241973.54166666666</v>
      </c>
      <c r="H88" s="83"/>
      <c r="I88" s="83"/>
      <c r="J88" s="102">
        <f>SUM(J86:J87)</f>
        <v>255412.14678409148</v>
      </c>
      <c r="K88" s="102">
        <f>SUM(K86:K87)</f>
        <v>60309.748101470665</v>
      </c>
      <c r="L88" s="98"/>
      <c r="M88" s="102">
        <f>SUM(M86:M87)</f>
        <v>315721.89488556213</v>
      </c>
      <c r="P88" s="70">
        <f>P86+P87</f>
        <v>255412.14678409148</v>
      </c>
      <c r="Q88" s="70">
        <f>Q86+Q87</f>
        <v>19336</v>
      </c>
      <c r="R88" s="70"/>
      <c r="S88" s="70">
        <f>S86+S87</f>
        <v>274748.14678409148</v>
      </c>
    </row>
    <row r="89" spans="2:20" x14ac:dyDescent="0.25"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</row>
    <row r="90" spans="2:20" x14ac:dyDescent="0.25">
      <c r="B90" s="85" t="s">
        <v>104</v>
      </c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</row>
    <row r="91" spans="2:20" x14ac:dyDescent="0.25">
      <c r="B91" s="98" t="s">
        <v>75</v>
      </c>
      <c r="C91" s="98"/>
      <c r="D91" s="102">
        <f>D78-D86</f>
        <v>-3330.4166666666661</v>
      </c>
      <c r="E91" s="102">
        <f>E78-E86</f>
        <v>0</v>
      </c>
      <c r="F91" s="98"/>
      <c r="G91" s="102">
        <f>SUM(D91:E91)</f>
        <v>-3330.4166666666661</v>
      </c>
      <c r="H91" s="83"/>
      <c r="I91" s="83"/>
      <c r="J91" s="102">
        <f>J78-J86</f>
        <v>-10544.013964256141</v>
      </c>
      <c r="K91" s="102">
        <f>K78-K86</f>
        <v>0</v>
      </c>
      <c r="L91" s="98"/>
      <c r="M91" s="102">
        <f>SUM(J91:K91)</f>
        <v>-10544.013964256141</v>
      </c>
    </row>
    <row r="92" spans="2:20" x14ac:dyDescent="0.25">
      <c r="B92" s="98" t="s">
        <v>96</v>
      </c>
      <c r="C92" s="98"/>
      <c r="D92" s="103">
        <f>D79-D87</f>
        <v>-12618.375000000146</v>
      </c>
      <c r="E92" s="103">
        <f>E79-E87</f>
        <v>-100.00000000002183</v>
      </c>
      <c r="F92" s="98"/>
      <c r="G92" s="103">
        <f>SUM(D92:E92)</f>
        <v>-12718.375000000167</v>
      </c>
      <c r="H92" s="83"/>
      <c r="I92" s="83"/>
      <c r="J92" s="103">
        <f>J79-J87</f>
        <v>32875.720039781299</v>
      </c>
      <c r="K92" s="103">
        <f>K79-K87</f>
        <v>-15912.148088717164</v>
      </c>
      <c r="L92" s="98"/>
      <c r="M92" s="103">
        <f>SUM(J92:K92)</f>
        <v>16963.571951064136</v>
      </c>
    </row>
    <row r="93" spans="2:20" x14ac:dyDescent="0.25">
      <c r="B93" s="98" t="s">
        <v>97</v>
      </c>
      <c r="C93" s="98"/>
      <c r="D93" s="102">
        <f>SUM(D91:D92)</f>
        <v>-15948.791666666812</v>
      </c>
      <c r="E93" s="102">
        <f>SUM(E91:E92)</f>
        <v>-100.00000000002183</v>
      </c>
      <c r="F93" s="98"/>
      <c r="G93" s="102">
        <f>SUM(G91:G92)</f>
        <v>-16048.791666666833</v>
      </c>
      <c r="H93" s="83"/>
      <c r="I93" s="83"/>
      <c r="J93" s="102">
        <f>SUM(J91:J92)</f>
        <v>22331.706075525159</v>
      </c>
      <c r="K93" s="102">
        <f>SUM(K91:K92)</f>
        <v>-15912.148088717164</v>
      </c>
      <c r="L93" s="98"/>
      <c r="M93" s="102">
        <f>SUM(M91:M92)</f>
        <v>6419.5579868079949</v>
      </c>
    </row>
    <row r="94" spans="2:20" x14ac:dyDescent="0.25"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P94" s="58" t="s">
        <v>117</v>
      </c>
    </row>
    <row r="95" spans="2:20" x14ac:dyDescent="0.25">
      <c r="P95" s="70">
        <f>E87</f>
        <v>25050</v>
      </c>
      <c r="Q95" t="s">
        <v>119</v>
      </c>
    </row>
    <row r="96" spans="2:20" x14ac:dyDescent="0.25">
      <c r="B96" s="85" t="s">
        <v>107</v>
      </c>
      <c r="G96" s="58" t="s">
        <v>108</v>
      </c>
      <c r="P96" s="71">
        <f>34850</f>
        <v>34850</v>
      </c>
      <c r="Q96" t="s">
        <v>118</v>
      </c>
    </row>
    <row r="98" spans="2:16" x14ac:dyDescent="0.25">
      <c r="B98" t="s">
        <v>99</v>
      </c>
      <c r="G98" s="106">
        <f>39.6</f>
        <v>39.6</v>
      </c>
      <c r="P98" s="70">
        <f>P95-P96</f>
        <v>-9800</v>
      </c>
    </row>
    <row r="99" spans="2:16" x14ac:dyDescent="0.25">
      <c r="B99" t="s">
        <v>109</v>
      </c>
      <c r="G99" s="107">
        <v>36.466863338599552</v>
      </c>
    </row>
    <row r="101" spans="2:16" x14ac:dyDescent="0.25">
      <c r="B101" t="s">
        <v>110</v>
      </c>
      <c r="G101" s="106">
        <f>G99-G98</f>
        <v>-3.1331366614004494</v>
      </c>
    </row>
    <row r="103" spans="2:16" x14ac:dyDescent="0.25">
      <c r="B103" t="s">
        <v>111</v>
      </c>
      <c r="G103" s="108" t="s">
        <v>112</v>
      </c>
      <c r="H103" t="s">
        <v>113</v>
      </c>
    </row>
    <row r="108" spans="2:16" x14ac:dyDescent="0.25">
      <c r="B108" t="s">
        <v>38</v>
      </c>
      <c r="D108" s="70">
        <f>('SD-SF-WH'!D27+'SD-SF-SepM'!D27+'SD-SF-SubM'!D27+'SD-MF-WH'!D27+'SD-MF-SepM'!D27+'SD-MF-SubM'!D27+'SD-DAC-WH'!D27+'SD-DAC-SepM'!D27+'SD-DAC-SubM'!D27+'CO-SF-WH'!D27+'CO-SF-SepM'!D27+'CO-SF-SubM'!D27+'CO-MF-WH'!D27+'CO-MF-SepM'!D27+'CO-MF-SubM'!D27+'CO-DAC-WH'!D27+'CO-DAC-SepM'!D27+'CO-DAC-SubM'!D27)/1000</f>
        <v>600</v>
      </c>
    </row>
    <row r="109" spans="2:16" x14ac:dyDescent="0.25">
      <c r="B109" t="s">
        <v>124</v>
      </c>
      <c r="D109" s="70">
        <f>('SD-SF-WH'!D28+'SD-SF-SepM'!D28+'SD-SF-SubM'!D28+'SD-MF-WH'!D28+'SD-MF-SepM'!D28+'SD-MF-SubM'!D28+'SD-DAC-WH'!D28+'SD-DAC-SepM'!D28+'SD-DAC-SubM'!D28+'CO-SF-WH'!D28+'CO-SF-SepM'!D28+'CO-SF-SubM'!D28+'CO-MF-WH'!D28+'CO-MF-SepM'!D28+'CO-MF-SubM'!D28+'CO-DAC-WH'!D28+'CO-DAC-SepM'!D28+'CO-DAC-SubM'!D28)/1000</f>
        <v>999.99999999999977</v>
      </c>
    </row>
    <row r="110" spans="2:16" x14ac:dyDescent="0.25">
      <c r="B110" t="s">
        <v>125</v>
      </c>
      <c r="D110" s="70">
        <f>('SD-SF-WH'!D29+'SD-SF-SepM'!D29+'SD-SF-SubM'!D29+'SD-MF-WH'!D29+'SD-MF-SepM'!D29+'SD-MF-SubM'!D29+'SD-DAC-WH'!D29+'SD-DAC-SepM'!D29+'SD-DAC-SubM'!D29+'CO-SF-WH'!D29+'CO-SF-SepM'!D29+'CO-SF-SubM'!D29+'CO-MF-WH'!D29+'CO-MF-SepM'!D29+'CO-MF-SubM'!D29+'CO-DAC-WH'!D29+'CO-DAC-SepM'!D29+'CO-DAC-SubM'!D29)/1000</f>
        <v>499.99999999999989</v>
      </c>
    </row>
    <row r="111" spans="2:16" x14ac:dyDescent="0.25">
      <c r="B111" t="s">
        <v>33</v>
      </c>
      <c r="D111" s="70">
        <f>('SD-SF-WH'!E32+'SD-SF-SepM'!E32+'SD-SF-SubM'!E32+'SD-MF-WH'!E32+'SD-MF-SepM'!E32+'SD-MF-SubM'!E32+'SD-DAC-WH'!E32+'SD-DAC-SepM'!E32+'SD-DAC-SubM'!E32+'CO-SF-WH'!E32+'CO-SF-SepM'!E32+'CO-SF-SubM'!E32+'CO-MF-WH'!E32+'CO-MF-SepM'!E32+'CO-MF-SubM'!E32+'CO-DAC-WH'!E32+'CO-DAC-SepM'!E32+'CO-DAC-SubM'!E32)/1000</f>
        <v>399.99999999999994</v>
      </c>
    </row>
    <row r="112" spans="2:16" x14ac:dyDescent="0.25">
      <c r="B112" t="s">
        <v>126</v>
      </c>
      <c r="D112" s="70">
        <f>('SD-SF-WH'!E33+'SD-SF-SepM'!E33+'SD-SF-SubM'!E33+'SD-MF-WH'!E33+'SD-MF-SepM'!E33+'SD-MF-SubM'!E33+'SD-DAC-WH'!E33+'SD-DAC-SepM'!E33+'SD-DAC-SubM'!E33+'CO-SF-WH'!E33+'CO-SF-SepM'!E33+'CO-SF-SubM'!E33+'CO-MF-WH'!E33+'CO-MF-SepM'!E33+'CO-MF-SubM'!E33+'CO-DAC-WH'!E33+'CO-DAC-SepM'!E33+'CO-DAC-SubM'!E33)/1000</f>
        <v>0</v>
      </c>
    </row>
    <row r="113" spans="2:25" x14ac:dyDescent="0.25">
      <c r="B113" t="s">
        <v>127</v>
      </c>
      <c r="D113" s="70">
        <f>('SD-SF-WH'!E34+'SD-SF-SepM'!E34+'SD-SF-SubM'!E34+'SD-MF-WH'!E34+'SD-MF-SepM'!E34+'SD-MF-SubM'!E34+'SD-DAC-WH'!E34+'SD-DAC-SepM'!E34+'SD-DAC-SubM'!E34+'CO-SF-WH'!E34+'CO-SF-SepM'!E34+'CO-SF-SubM'!E34+'CO-MF-WH'!E34+'CO-MF-SepM'!E34+'CO-MF-SubM'!E34+'CO-DAC-WH'!E34+'CO-DAC-SepM'!E34+'CO-DAC-SubM'!E34)/1000</f>
        <v>22500</v>
      </c>
    </row>
    <row r="114" spans="2:25" x14ac:dyDescent="0.25">
      <c r="B114" t="s">
        <v>27</v>
      </c>
      <c r="D114" s="70">
        <f>('SD-SF-WH'!D35+'SD-SF-SepM'!D35+'SD-SF-SubM'!D35+'SD-MF-WH'!D35+'SD-MF-SepM'!D35+'SD-MF-SubM'!D35+'SD-DAC-WH'!D35+'SD-DAC-SepM'!D35+'SD-DAC-SubM'!D35)/1000</f>
        <v>0</v>
      </c>
    </row>
    <row r="115" spans="2:25" x14ac:dyDescent="0.25">
      <c r="B115" t="s">
        <v>120</v>
      </c>
      <c r="D115" s="70">
        <f>('CO-SF-WH'!D35+'CO-SF-SepM'!D35+'CO-SF-SubM'!D35+'CO-MF-WH'!D35+'CO-MF-SepM'!D35+'CO-MF-SubM'!D35+'CO-DAC-WH'!D35+'CO-DAC-SepM'!D35+'CO-DAC-SubM'!D35)/1000</f>
        <v>0</v>
      </c>
    </row>
    <row r="116" spans="2:25" x14ac:dyDescent="0.25">
      <c r="B116" t="s">
        <v>128</v>
      </c>
      <c r="D116" s="70">
        <f>('CO-SF-WH'!D36+'CO-SF-SepM'!D36+'CO-SF-SubM'!D36+'CO-MF-WH'!D36+'CO-MF-SepM'!D36+'CO-MF-SubM'!D36+'CO-DAC-WH'!D36+'CO-DAC-SepM'!D36+'CO-DAC-SubM'!D36)/1000</f>
        <v>0</v>
      </c>
    </row>
    <row r="119" spans="2:25" x14ac:dyDescent="0.25">
      <c r="B119" t="s">
        <v>129</v>
      </c>
      <c r="D119" s="70">
        <f>('SD-SF-WH'!C36+'SD-SF-SepM'!C36+'SD-SF-SubM'!C36+'SD-MF-WH'!C36+'SD-MF-SepM'!C36+'SD-MF-SubM'!C36+'SD-DAC-WH'!C36+'SD-DAC-SepM'!C36+'SD-DAC-SubM'!C36+'CO-SF-WH'!C37+'CO-SF-SepM'!C37+'CO-SF-SubM'!C37+'CO-MF-WH'!C37+'CO-MF-SepM'!C37+'CO-MF-SubM'!C37+'CO-DAC-WH'!C37+'CO-DAC-SepM'!C37+'CO-DAC-SubM'!C37)/1000</f>
        <v>10729.999999999998</v>
      </c>
    </row>
    <row r="120" spans="2:25" x14ac:dyDescent="0.25">
      <c r="B120" t="s">
        <v>130</v>
      </c>
      <c r="D120" s="70">
        <f>D44+D46+G44+G46+J44+J46</f>
        <v>205993.125</v>
      </c>
    </row>
    <row r="121" spans="2:25" x14ac:dyDescent="0.25">
      <c r="B121" t="s">
        <v>62</v>
      </c>
      <c r="D121" s="70">
        <f>AH12+AH28</f>
        <v>0</v>
      </c>
    </row>
    <row r="124" spans="2:25" x14ac:dyDescent="0.25">
      <c r="G124" s="58" t="s">
        <v>131</v>
      </c>
      <c r="P124" s="58" t="s">
        <v>131</v>
      </c>
      <c r="Y124" s="58" t="s">
        <v>131</v>
      </c>
    </row>
    <row r="125" spans="2:25" x14ac:dyDescent="0.25">
      <c r="B125" s="110" t="s">
        <v>132</v>
      </c>
      <c r="G125" s="82" t="s">
        <v>133</v>
      </c>
      <c r="P125" s="82" t="s">
        <v>134</v>
      </c>
      <c r="Y125" s="58" t="s">
        <v>135</v>
      </c>
    </row>
    <row r="126" spans="2:25" x14ac:dyDescent="0.25">
      <c r="D126" s="109" t="s">
        <v>7</v>
      </c>
      <c r="G126" s="109" t="s">
        <v>136</v>
      </c>
      <c r="P126" s="109" t="s">
        <v>136</v>
      </c>
      <c r="Y126" s="109" t="s">
        <v>136</v>
      </c>
    </row>
    <row r="127" spans="2:25" x14ac:dyDescent="0.25">
      <c r="B127" t="s">
        <v>62</v>
      </c>
      <c r="D127" s="70">
        <f>G127+P127+Y127</f>
        <v>0</v>
      </c>
      <c r="G127" s="70">
        <f>G12</f>
        <v>0</v>
      </c>
      <c r="P127" s="70">
        <f>P12</f>
        <v>0</v>
      </c>
      <c r="Y127" s="70">
        <f>Y12</f>
        <v>0</v>
      </c>
    </row>
    <row r="128" spans="2:25" x14ac:dyDescent="0.25">
      <c r="B128" t="s">
        <v>9</v>
      </c>
      <c r="D128" s="70">
        <f>G128+P128+Y128</f>
        <v>0</v>
      </c>
      <c r="G128" s="70">
        <f>('SD-SF-SepM'!B13*1.15)/1000</f>
        <v>0</v>
      </c>
      <c r="P128">
        <f>0</f>
        <v>0</v>
      </c>
      <c r="Y128" s="70">
        <f>('SD-DAC-SepM'!B13*1.15)/1000</f>
        <v>0</v>
      </c>
    </row>
    <row r="131" spans="2:25" x14ac:dyDescent="0.25">
      <c r="G131" s="58" t="s">
        <v>137</v>
      </c>
      <c r="P131" s="58" t="s">
        <v>137</v>
      </c>
      <c r="Y131" s="58" t="s">
        <v>137</v>
      </c>
    </row>
    <row r="132" spans="2:25" x14ac:dyDescent="0.25">
      <c r="G132" s="82" t="s">
        <v>133</v>
      </c>
      <c r="P132" s="82" t="s">
        <v>134</v>
      </c>
      <c r="Y132" s="58" t="s">
        <v>135</v>
      </c>
    </row>
    <row r="133" spans="2:25" x14ac:dyDescent="0.25">
      <c r="B133" s="110" t="s">
        <v>138</v>
      </c>
      <c r="G133" s="109" t="s">
        <v>136</v>
      </c>
      <c r="P133" s="109" t="s">
        <v>136</v>
      </c>
      <c r="Y133" s="109" t="s">
        <v>136</v>
      </c>
    </row>
    <row r="134" spans="2:25" x14ac:dyDescent="0.25">
      <c r="B134" t="s">
        <v>62</v>
      </c>
      <c r="D134" s="70">
        <f>G134+P134+Y134</f>
        <v>0</v>
      </c>
      <c r="G134" s="70">
        <f>G28</f>
        <v>0</v>
      </c>
      <c r="P134" s="70">
        <f>P28</f>
        <v>0</v>
      </c>
      <c r="Y134" s="70">
        <f>Y28</f>
        <v>0</v>
      </c>
    </row>
    <row r="135" spans="2:25" x14ac:dyDescent="0.25">
      <c r="B135" t="s">
        <v>9</v>
      </c>
      <c r="D135" s="70">
        <f>G135+P135+Y135</f>
        <v>0</v>
      </c>
      <c r="G135" s="70">
        <f>('CO-SF-SepM'!B13*1.15)/1000</f>
        <v>0</v>
      </c>
      <c r="P135" s="70">
        <f>('CO-MF-SepM'!B13*1.15)/1000</f>
        <v>0</v>
      </c>
      <c r="Y135" s="70">
        <f>('CO-DAC-SepM'!B13*1.15)/1000</f>
        <v>0</v>
      </c>
    </row>
    <row r="137" spans="2:25" x14ac:dyDescent="0.25">
      <c r="B137" t="s">
        <v>139</v>
      </c>
      <c r="D137" s="70">
        <f>D127+D128+D134+D135</f>
        <v>0</v>
      </c>
      <c r="E137" s="70"/>
    </row>
    <row r="139" spans="2:25" x14ac:dyDescent="0.25">
      <c r="B139" t="s">
        <v>140</v>
      </c>
      <c r="D139" s="71">
        <f>P134+P135</f>
        <v>0</v>
      </c>
    </row>
    <row r="141" spans="2:25" x14ac:dyDescent="0.25">
      <c r="B141" t="s">
        <v>141</v>
      </c>
      <c r="D141" s="70">
        <f>D137+D139</f>
        <v>0</v>
      </c>
    </row>
    <row r="144" spans="2:25" x14ac:dyDescent="0.25">
      <c r="B144" t="s">
        <v>132</v>
      </c>
      <c r="D144" s="150" t="s">
        <v>253</v>
      </c>
      <c r="E144" s="150" t="s">
        <v>11</v>
      </c>
    </row>
    <row r="145" spans="2:5" x14ac:dyDescent="0.25">
      <c r="B145" t="s">
        <v>232</v>
      </c>
      <c r="D145" s="70">
        <f>'SD-SF-WH'!E38</f>
        <v>47826546.875</v>
      </c>
      <c r="E145" s="70">
        <f>'SD-SF-WH'!E39</f>
        <v>5792812.5</v>
      </c>
    </row>
    <row r="146" spans="2:5" x14ac:dyDescent="0.25">
      <c r="B146" t="s">
        <v>233</v>
      </c>
      <c r="D146" s="70">
        <f>'SD-SF-SepM'!E38</f>
        <v>47826546.875</v>
      </c>
      <c r="E146" s="70">
        <f>'SD-SF-SepM'!E39</f>
        <v>5792812.5</v>
      </c>
    </row>
    <row r="147" spans="2:5" x14ac:dyDescent="0.25">
      <c r="B147" t="s">
        <v>234</v>
      </c>
      <c r="D147" s="70">
        <f>'SD-SF-SubM'!E38</f>
        <v>47826546.875</v>
      </c>
      <c r="E147" s="70">
        <f>'SD-SF-SubM'!E39</f>
        <v>5792812.5</v>
      </c>
    </row>
    <row r="148" spans="2:5" x14ac:dyDescent="0.25">
      <c r="B148" t="s">
        <v>235</v>
      </c>
      <c r="D148" s="70">
        <f>'SD-MF-WH'!E38</f>
        <v>3877828.125</v>
      </c>
      <c r="E148" s="70">
        <f>'SD-MF-WH'!E39</f>
        <v>469687.5</v>
      </c>
    </row>
    <row r="149" spans="2:5" x14ac:dyDescent="0.25">
      <c r="B149" t="s">
        <v>236</v>
      </c>
      <c r="D149" s="70">
        <f>'SD-MF-SepM'!E38</f>
        <v>3877828.125</v>
      </c>
      <c r="E149" s="70">
        <f>'SD-MF-SepM'!E39</f>
        <v>469687.5</v>
      </c>
    </row>
    <row r="150" spans="2:5" x14ac:dyDescent="0.25">
      <c r="B150" t="s">
        <v>237</v>
      </c>
      <c r="D150" s="70">
        <f>'SD-MF-SubM'!E38</f>
        <v>3877828.125</v>
      </c>
      <c r="E150" s="70">
        <f>'SD-MF-SubM'!E39</f>
        <v>469687.5</v>
      </c>
    </row>
    <row r="151" spans="2:5" x14ac:dyDescent="0.25">
      <c r="B151" t="s">
        <v>238</v>
      </c>
      <c r="D151" s="70">
        <f>'SD-DAC-WH'!E38</f>
        <v>20536666.66666666</v>
      </c>
      <c r="E151" s="70">
        <f>'SD-DAC-WH'!E39</f>
        <v>2087499.9999999993</v>
      </c>
    </row>
    <row r="152" spans="2:5" x14ac:dyDescent="0.25">
      <c r="B152" t="s">
        <v>239</v>
      </c>
      <c r="D152" s="70">
        <f>'SD-DAC-SepM'!E38</f>
        <v>20536666.66666666</v>
      </c>
      <c r="E152" s="70">
        <f>'SD-DAC-SepM'!E39</f>
        <v>2087499.9999999993</v>
      </c>
    </row>
    <row r="153" spans="2:5" x14ac:dyDescent="0.25">
      <c r="B153" t="s">
        <v>240</v>
      </c>
      <c r="D153" s="70">
        <f>'SD-DAC-SubM'!E38</f>
        <v>20536666.66666666</v>
      </c>
      <c r="E153" s="70">
        <f>'SD-DAC-SepM'!E39</f>
        <v>2087499.9999999993</v>
      </c>
    </row>
    <row r="154" spans="2:5" x14ac:dyDescent="0.25">
      <c r="E154" s="70"/>
    </row>
    <row r="155" spans="2:5" x14ac:dyDescent="0.25">
      <c r="D155" s="70">
        <f>SUM(D145:D153)</f>
        <v>216723124.99999997</v>
      </c>
      <c r="E155" s="70">
        <f>SUM(E145:E153)</f>
        <v>25050000</v>
      </c>
    </row>
    <row r="156" spans="2:5" x14ac:dyDescent="0.25">
      <c r="E156" s="70"/>
    </row>
    <row r="157" spans="2:5" x14ac:dyDescent="0.25">
      <c r="B157" t="s">
        <v>138</v>
      </c>
      <c r="D157" s="150" t="s">
        <v>253</v>
      </c>
      <c r="E157" s="70"/>
    </row>
    <row r="158" spans="2:5" x14ac:dyDescent="0.25">
      <c r="B158" t="s">
        <v>232</v>
      </c>
      <c r="D158" s="70">
        <f>'CO-SF-WH'!E39</f>
        <v>0</v>
      </c>
      <c r="E158" s="70">
        <f>'CO-SF-WH'!E40</f>
        <v>0</v>
      </c>
    </row>
    <row r="159" spans="2:5" x14ac:dyDescent="0.25">
      <c r="B159" t="s">
        <v>233</v>
      </c>
      <c r="D159" s="70">
        <f>'CO-SF-SepM'!E39</f>
        <v>0</v>
      </c>
      <c r="E159" s="70">
        <f>'CO-SF-SepM'!E40</f>
        <v>0</v>
      </c>
    </row>
    <row r="160" spans="2:5" x14ac:dyDescent="0.25">
      <c r="B160" t="s">
        <v>234</v>
      </c>
      <c r="D160" s="70">
        <f>'CO-SF-SubM'!E39</f>
        <v>0</v>
      </c>
      <c r="E160" s="70">
        <f>'CO-SF-SubM'!E40</f>
        <v>0</v>
      </c>
    </row>
    <row r="161" spans="2:5" x14ac:dyDescent="0.25">
      <c r="B161" t="s">
        <v>235</v>
      </c>
      <c r="D161" s="70">
        <f>'CO-MF-WH'!E39</f>
        <v>0</v>
      </c>
      <c r="E161" s="70">
        <f>'CO-MF-WH'!E40</f>
        <v>0</v>
      </c>
    </row>
    <row r="162" spans="2:5" x14ac:dyDescent="0.25">
      <c r="B162" t="s">
        <v>236</v>
      </c>
      <c r="D162" s="70">
        <f>'CO-MF-SepM'!E39</f>
        <v>0</v>
      </c>
      <c r="E162" s="70">
        <f>'CO-MF-SepM'!E40</f>
        <v>0</v>
      </c>
    </row>
    <row r="163" spans="2:5" x14ac:dyDescent="0.25">
      <c r="B163" t="s">
        <v>237</v>
      </c>
      <c r="D163" s="70">
        <f>'CO-MF-SubM'!E39</f>
        <v>0</v>
      </c>
      <c r="E163" s="70">
        <f>'CO-MF-SubM'!E40</f>
        <v>0</v>
      </c>
    </row>
    <row r="164" spans="2:5" x14ac:dyDescent="0.25">
      <c r="B164" t="s">
        <v>238</v>
      </c>
      <c r="D164" s="70">
        <f>'CO-DAC-WH'!E39</f>
        <v>0</v>
      </c>
      <c r="E164" s="70">
        <f>'CO-DAC-WH'!E40</f>
        <v>0</v>
      </c>
    </row>
    <row r="165" spans="2:5" x14ac:dyDescent="0.25">
      <c r="B165" t="s">
        <v>239</v>
      </c>
      <c r="D165" s="70">
        <f>'CO-DAC-SepM'!E39</f>
        <v>0</v>
      </c>
      <c r="E165" s="70">
        <f>'CO-DAC-SepM'!E40</f>
        <v>0</v>
      </c>
    </row>
    <row r="166" spans="2:5" x14ac:dyDescent="0.25">
      <c r="B166" t="s">
        <v>240</v>
      </c>
      <c r="D166" s="70">
        <f>'CO-DAC-SubM'!E39</f>
        <v>0</v>
      </c>
      <c r="E166" s="70">
        <f>'CO-DAC-SubM'!E40</f>
        <v>0</v>
      </c>
    </row>
    <row r="167" spans="2:5" x14ac:dyDescent="0.25">
      <c r="D167" s="70"/>
      <c r="E167" s="70"/>
    </row>
    <row r="168" spans="2:5" x14ac:dyDescent="0.25">
      <c r="D168" s="70">
        <f>SUM(D158:D166)</f>
        <v>0</v>
      </c>
      <c r="E168" s="70">
        <f>SUM(E158:E166)</f>
        <v>0</v>
      </c>
    </row>
    <row r="169" spans="2:5" x14ac:dyDescent="0.25">
      <c r="D169" s="70"/>
    </row>
    <row r="170" spans="2:5" x14ac:dyDescent="0.25">
      <c r="D170" s="70">
        <f>D155+D168</f>
        <v>216723124.99999997</v>
      </c>
      <c r="E170" s="70">
        <f>E155+E168</f>
        <v>25050000</v>
      </c>
    </row>
    <row r="171" spans="2:5" x14ac:dyDescent="0.25">
      <c r="D171" s="70">
        <f>D170/1000</f>
        <v>216723.12499999997</v>
      </c>
    </row>
    <row r="172" spans="2:5" x14ac:dyDescent="0.25">
      <c r="D172" s="70">
        <f>D88</f>
        <v>216923.54166666666</v>
      </c>
    </row>
    <row r="174" spans="2:5" x14ac:dyDescent="0.25">
      <c r="D174" s="70">
        <f>D171-D172</f>
        <v>-200.41666666668607</v>
      </c>
    </row>
    <row r="176" spans="2:5" x14ac:dyDescent="0.25">
      <c r="D176" s="70">
        <f>(922500*6)/1000</f>
        <v>5535</v>
      </c>
    </row>
  </sheetData>
  <mergeCells count="54">
    <mergeCell ref="S9:T9"/>
    <mergeCell ref="M8:T8"/>
    <mergeCell ref="D25:E25"/>
    <mergeCell ref="G25:H25"/>
    <mergeCell ref="J25:K25"/>
    <mergeCell ref="D9:E9"/>
    <mergeCell ref="G9:H9"/>
    <mergeCell ref="J9:K9"/>
    <mergeCell ref="D23:K23"/>
    <mergeCell ref="D24:K24"/>
    <mergeCell ref="M25:N25"/>
    <mergeCell ref="P25:Q25"/>
    <mergeCell ref="S25:T25"/>
    <mergeCell ref="M23:T23"/>
    <mergeCell ref="M24:T24"/>
    <mergeCell ref="V23:AC23"/>
    <mergeCell ref="V24:AC24"/>
    <mergeCell ref="V25:W25"/>
    <mergeCell ref="Y25:Z25"/>
    <mergeCell ref="AB25:AC25"/>
    <mergeCell ref="M6:T6"/>
    <mergeCell ref="V6:AC6"/>
    <mergeCell ref="D22:K22"/>
    <mergeCell ref="M22:T22"/>
    <mergeCell ref="V22:AC22"/>
    <mergeCell ref="M7:T7"/>
    <mergeCell ref="V7:AC7"/>
    <mergeCell ref="D7:K7"/>
    <mergeCell ref="D6:K6"/>
    <mergeCell ref="D8:K8"/>
    <mergeCell ref="V8:AC8"/>
    <mergeCell ref="V9:W9"/>
    <mergeCell ref="Y9:Z9"/>
    <mergeCell ref="AB9:AC9"/>
    <mergeCell ref="M9:N9"/>
    <mergeCell ref="P9:Q9"/>
    <mergeCell ref="AE6:AL6"/>
    <mergeCell ref="AE7:AL7"/>
    <mergeCell ref="AE8:AL8"/>
    <mergeCell ref="AE9:AF9"/>
    <mergeCell ref="AH9:AI9"/>
    <mergeCell ref="AK9:AL9"/>
    <mergeCell ref="AE22:AL22"/>
    <mergeCell ref="AE23:AL23"/>
    <mergeCell ref="AE24:AL24"/>
    <mergeCell ref="AE25:AF25"/>
    <mergeCell ref="AH25:AI25"/>
    <mergeCell ref="AK25:AL25"/>
    <mergeCell ref="D39:K39"/>
    <mergeCell ref="D42:E42"/>
    <mergeCell ref="G42:H42"/>
    <mergeCell ref="J42:K42"/>
    <mergeCell ref="D40:K40"/>
    <mergeCell ref="D41:K41"/>
  </mergeCells>
  <pageMargins left="0.2" right="0.2" top="0.5" bottom="0.5" header="0.3" footer="0.3"/>
  <pageSetup scale="3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44"/>
  <sheetViews>
    <sheetView topLeftCell="A17" workbookViewId="0">
      <selection activeCell="G34" sqref="G34"/>
    </sheetView>
  </sheetViews>
  <sheetFormatPr defaultRowHeight="15" x14ac:dyDescent="0.25"/>
  <cols>
    <col min="1" max="1" width="10.42578125" customWidth="1"/>
    <col min="2" max="4" width="10.140625" customWidth="1"/>
    <col min="5" max="5" width="2.5703125" customWidth="1"/>
    <col min="7" max="7" width="10.140625" customWidth="1"/>
    <col min="9" max="9" width="2.5703125" customWidth="1"/>
    <col min="11" max="11" width="10.140625" bestFit="1" customWidth="1"/>
    <col min="14" max="14" width="10.7109375" customWidth="1"/>
    <col min="17" max="17" width="1.28515625" customWidth="1"/>
    <col min="21" max="21" width="1.42578125" customWidth="1"/>
  </cols>
  <sheetData>
    <row r="2" spans="1:24" x14ac:dyDescent="0.25">
      <c r="A2" t="s">
        <v>151</v>
      </c>
      <c r="M2" s="74">
        <f>90000</f>
        <v>90000</v>
      </c>
    </row>
    <row r="3" spans="1:24" x14ac:dyDescent="0.25">
      <c r="A3" t="s">
        <v>45</v>
      </c>
      <c r="G3" s="129">
        <v>0.5</v>
      </c>
      <c r="S3" s="129">
        <v>0.5</v>
      </c>
    </row>
    <row r="4" spans="1:24" x14ac:dyDescent="0.25">
      <c r="A4" t="s">
        <v>151</v>
      </c>
      <c r="G4" s="74">
        <f>G3*M2</f>
        <v>45000</v>
      </c>
      <c r="S4" s="74">
        <f>S3*M2</f>
        <v>45000</v>
      </c>
    </row>
    <row r="5" spans="1:24" x14ac:dyDescent="0.25">
      <c r="B5" s="197" t="s">
        <v>87</v>
      </c>
      <c r="C5" s="197"/>
      <c r="D5" s="197"/>
      <c r="E5" s="197"/>
      <c r="F5" s="197"/>
      <c r="G5" s="197"/>
      <c r="H5" s="197"/>
      <c r="I5" s="197"/>
      <c r="J5" s="197"/>
      <c r="K5" s="197"/>
      <c r="L5" s="197"/>
      <c r="N5" s="197" t="s">
        <v>152</v>
      </c>
      <c r="O5" s="197"/>
      <c r="P5" s="197"/>
      <c r="Q5" s="197"/>
      <c r="R5" s="197"/>
      <c r="S5" s="197"/>
      <c r="T5" s="197"/>
      <c r="U5" s="197"/>
      <c r="V5" s="197"/>
      <c r="W5" s="197"/>
      <c r="X5" s="197"/>
    </row>
    <row r="6" spans="1:24" x14ac:dyDescent="0.25">
      <c r="B6" s="198" t="s">
        <v>133</v>
      </c>
      <c r="C6" s="198"/>
      <c r="D6" s="198"/>
      <c r="F6" s="198" t="s">
        <v>134</v>
      </c>
      <c r="G6" s="198"/>
      <c r="H6" s="198"/>
      <c r="J6" s="198" t="s">
        <v>135</v>
      </c>
      <c r="K6" s="198"/>
      <c r="L6" s="198"/>
      <c r="N6" s="198" t="s">
        <v>133</v>
      </c>
      <c r="O6" s="198"/>
      <c r="P6" s="198"/>
      <c r="R6" s="198" t="s">
        <v>134</v>
      </c>
      <c r="S6" s="198"/>
      <c r="T6" s="198"/>
      <c r="V6" s="198" t="s">
        <v>135</v>
      </c>
      <c r="W6" s="198"/>
      <c r="X6" s="198"/>
    </row>
    <row r="7" spans="1:24" x14ac:dyDescent="0.25">
      <c r="A7" t="s">
        <v>45</v>
      </c>
      <c r="B7" s="57"/>
      <c r="C7" s="130">
        <f>0.74</f>
        <v>0.74</v>
      </c>
      <c r="D7" s="57"/>
      <c r="G7" s="131">
        <f>0.06</f>
        <v>0.06</v>
      </c>
      <c r="K7" s="131">
        <f>0.2</f>
        <v>0.2</v>
      </c>
      <c r="O7" s="130">
        <f>0.74</f>
        <v>0.74</v>
      </c>
      <c r="P7" s="57"/>
      <c r="S7" s="131">
        <f>0.06</f>
        <v>0.06</v>
      </c>
      <c r="W7" s="131">
        <f>0.2</f>
        <v>0.2</v>
      </c>
    </row>
    <row r="8" spans="1:24" x14ac:dyDescent="0.25">
      <c r="A8" t="s">
        <v>151</v>
      </c>
      <c r="B8" s="59"/>
      <c r="C8" s="132">
        <f>C7*G4</f>
        <v>33300</v>
      </c>
      <c r="D8" s="132"/>
      <c r="F8" s="63"/>
      <c r="G8" s="132">
        <f>G7*G4</f>
        <v>2700</v>
      </c>
      <c r="H8" s="63"/>
      <c r="J8" s="63"/>
      <c r="K8" s="132">
        <f>K7*G4</f>
        <v>9000</v>
      </c>
      <c r="L8" s="63"/>
      <c r="N8" s="59"/>
      <c r="O8" s="132">
        <f>O7*$S$4</f>
        <v>33300</v>
      </c>
      <c r="P8" s="132"/>
      <c r="Q8" s="132"/>
      <c r="R8" s="63"/>
      <c r="S8" s="132">
        <f>S7*$S$4</f>
        <v>2700</v>
      </c>
      <c r="T8" s="63"/>
      <c r="V8" s="63"/>
      <c r="W8" s="132">
        <f>W7*$S$4</f>
        <v>9000</v>
      </c>
      <c r="X8" s="63"/>
    </row>
    <row r="9" spans="1:24" x14ac:dyDescent="0.25">
      <c r="A9" t="s">
        <v>45</v>
      </c>
      <c r="B9" s="133">
        <f>B10/$M$2</f>
        <v>0.12333333333333334</v>
      </c>
      <c r="C9" s="133">
        <f>C10/$M$2</f>
        <v>0.12333333333333334</v>
      </c>
      <c r="D9" s="133">
        <f>D10/$M$2</f>
        <v>0.12333333333333334</v>
      </c>
      <c r="F9" s="130">
        <f>F10/$M$2</f>
        <v>0.01</v>
      </c>
      <c r="G9" s="130">
        <f>G10/$M$2</f>
        <v>0.01</v>
      </c>
      <c r="H9" s="130">
        <f>H10/$M$2</f>
        <v>0.01</v>
      </c>
      <c r="J9" s="130">
        <f>J10/$M$2</f>
        <v>3.3333333333333333E-2</v>
      </c>
      <c r="K9" s="130">
        <f>K10/$M$2</f>
        <v>3.3333333333333333E-2</v>
      </c>
      <c r="L9" s="130">
        <f>L10/$M$2</f>
        <v>3.3333333333333333E-2</v>
      </c>
      <c r="N9" s="130">
        <f>N10/$M$2</f>
        <v>0.12333333333333334</v>
      </c>
      <c r="O9" s="130">
        <f>O10/$M$2</f>
        <v>0.12333333333333334</v>
      </c>
      <c r="P9" s="130">
        <f>P10/$M$2</f>
        <v>0.12333333333333334</v>
      </c>
      <c r="R9" s="130">
        <f>R10/$M$2</f>
        <v>0.01</v>
      </c>
      <c r="S9" s="130">
        <f>S10/$M$2</f>
        <v>0.01</v>
      </c>
      <c r="T9" s="130">
        <f>T10/$M$2</f>
        <v>0.01</v>
      </c>
      <c r="V9" s="130">
        <f>V10/$M$2</f>
        <v>3.3333333333333333E-2</v>
      </c>
      <c r="W9" s="130">
        <f t="shared" ref="W9:X9" si="0">W10/$M$2</f>
        <v>3.3333333333333333E-2</v>
      </c>
      <c r="X9" s="130">
        <f t="shared" si="0"/>
        <v>3.3333333333333333E-2</v>
      </c>
    </row>
    <row r="10" spans="1:24" x14ac:dyDescent="0.25">
      <c r="A10" t="s">
        <v>151</v>
      </c>
      <c r="B10" s="74">
        <f>$C$8/3</f>
        <v>11100</v>
      </c>
      <c r="C10" s="74">
        <f>$C$8/3</f>
        <v>11100</v>
      </c>
      <c r="D10" s="74">
        <f>$C$8/3</f>
        <v>11100</v>
      </c>
      <c r="F10" s="74">
        <f>$G$8/3</f>
        <v>900</v>
      </c>
      <c r="G10" s="74">
        <f>$G$8/3</f>
        <v>900</v>
      </c>
      <c r="H10" s="74">
        <f>$G$8/3</f>
        <v>900</v>
      </c>
      <c r="J10" s="74">
        <f>$K$8/3</f>
        <v>3000</v>
      </c>
      <c r="K10" s="74">
        <f>$K$8/3</f>
        <v>3000</v>
      </c>
      <c r="L10" s="74">
        <f>$K$8/3</f>
        <v>3000</v>
      </c>
      <c r="N10" s="74">
        <f>$O$8/3</f>
        <v>11100</v>
      </c>
      <c r="O10" s="74">
        <f>$O$8/3</f>
        <v>11100</v>
      </c>
      <c r="P10" s="74">
        <f>$O$8/3</f>
        <v>11100</v>
      </c>
      <c r="R10" s="74">
        <f>$S$8/3</f>
        <v>900</v>
      </c>
      <c r="S10" s="74">
        <f>$S$8/3</f>
        <v>900</v>
      </c>
      <c r="T10" s="74">
        <f>$S$8/3</f>
        <v>900</v>
      </c>
      <c r="V10" s="74">
        <f>$W$8/3</f>
        <v>3000</v>
      </c>
      <c r="W10" s="74">
        <f>$W$8/3</f>
        <v>3000</v>
      </c>
      <c r="X10" s="74">
        <f>$W$8/3</f>
        <v>3000</v>
      </c>
    </row>
    <row r="11" spans="1:24" x14ac:dyDescent="0.25">
      <c r="B11" s="62" t="s">
        <v>153</v>
      </c>
      <c r="C11" s="62" t="s">
        <v>154</v>
      </c>
      <c r="D11" s="62" t="s">
        <v>155</v>
      </c>
      <c r="F11" s="62" t="s">
        <v>153</v>
      </c>
      <c r="G11" s="62" t="s">
        <v>154</v>
      </c>
      <c r="H11" s="62" t="s">
        <v>155</v>
      </c>
      <c r="J11" s="62" t="s">
        <v>153</v>
      </c>
      <c r="K11" s="62" t="s">
        <v>154</v>
      </c>
      <c r="L11" s="62" t="s">
        <v>155</v>
      </c>
      <c r="N11" s="62" t="s">
        <v>153</v>
      </c>
      <c r="O11" s="62" t="s">
        <v>154</v>
      </c>
      <c r="P11" s="62" t="s">
        <v>155</v>
      </c>
      <c r="R11" s="62" t="s">
        <v>153</v>
      </c>
      <c r="S11" s="62" t="s">
        <v>154</v>
      </c>
      <c r="T11" s="62" t="s">
        <v>155</v>
      </c>
      <c r="V11" s="62" t="s">
        <v>153</v>
      </c>
      <c r="W11" s="62" t="s">
        <v>154</v>
      </c>
      <c r="X11" s="62" t="s">
        <v>155</v>
      </c>
    </row>
    <row r="12" spans="1:24" x14ac:dyDescent="0.25">
      <c r="B12" s="62" t="s">
        <v>156</v>
      </c>
      <c r="C12" s="62" t="s">
        <v>157</v>
      </c>
      <c r="D12" s="62" t="s">
        <v>157</v>
      </c>
      <c r="F12" s="62" t="s">
        <v>156</v>
      </c>
      <c r="G12" s="62" t="s">
        <v>157</v>
      </c>
      <c r="H12" s="62" t="s">
        <v>157</v>
      </c>
      <c r="J12" s="62" t="s">
        <v>156</v>
      </c>
      <c r="K12" s="62" t="s">
        <v>157</v>
      </c>
      <c r="L12" s="62" t="s">
        <v>157</v>
      </c>
      <c r="N12" s="62" t="s">
        <v>156</v>
      </c>
      <c r="O12" s="62" t="s">
        <v>157</v>
      </c>
      <c r="P12" s="62" t="s">
        <v>157</v>
      </c>
      <c r="R12" s="62" t="s">
        <v>156</v>
      </c>
      <c r="S12" s="62" t="s">
        <v>157</v>
      </c>
      <c r="T12" s="62" t="s">
        <v>157</v>
      </c>
      <c r="V12" s="62" t="s">
        <v>156</v>
      </c>
      <c r="W12" s="62" t="s">
        <v>157</v>
      </c>
      <c r="X12" s="62" t="s">
        <v>157</v>
      </c>
    </row>
    <row r="16" spans="1:24" x14ac:dyDescent="0.25">
      <c r="A16" t="s">
        <v>158</v>
      </c>
      <c r="B16" s="134">
        <v>0.74</v>
      </c>
      <c r="C16" s="74">
        <f>33300</f>
        <v>33300</v>
      </c>
      <c r="D16" s="74">
        <f>C16/B16</f>
        <v>45000</v>
      </c>
      <c r="G16" s="74">
        <f>C16</f>
        <v>33300</v>
      </c>
      <c r="H16" s="134">
        <f>G16/G18</f>
        <v>0.92500000000000004</v>
      </c>
      <c r="J16" s="74">
        <f>$G$21*H16</f>
        <v>2081.25</v>
      </c>
    </row>
    <row r="17" spans="1:24" x14ac:dyDescent="0.25">
      <c r="A17" t="s">
        <v>159</v>
      </c>
      <c r="B17" s="134">
        <f>0.06</f>
        <v>0.06</v>
      </c>
      <c r="C17" s="74">
        <f>2700</f>
        <v>2700</v>
      </c>
      <c r="D17" s="74">
        <f>C17/B17</f>
        <v>45000</v>
      </c>
      <c r="G17" s="135">
        <f>C17</f>
        <v>2700</v>
      </c>
      <c r="H17" s="136">
        <f>G17/G18</f>
        <v>7.4999999999999997E-2</v>
      </c>
      <c r="J17" s="135">
        <f>$G$21*H17</f>
        <v>168.75</v>
      </c>
    </row>
    <row r="18" spans="1:24" x14ac:dyDescent="0.25">
      <c r="A18" t="s">
        <v>135</v>
      </c>
      <c r="B18" s="136">
        <f>0.2</f>
        <v>0.2</v>
      </c>
      <c r="C18" s="135">
        <f>9000</f>
        <v>9000</v>
      </c>
      <c r="D18" s="74">
        <f>C18/B18</f>
        <v>45000</v>
      </c>
      <c r="G18" s="74">
        <f>G16+G17</f>
        <v>36000</v>
      </c>
      <c r="H18" s="134">
        <f>SUM(H16:H17)</f>
        <v>1</v>
      </c>
      <c r="J18" s="74">
        <f>SUM(J16:J17)</f>
        <v>2250</v>
      </c>
    </row>
    <row r="19" spans="1:24" x14ac:dyDescent="0.25">
      <c r="B19" s="134">
        <f>SUM(B16:B18)</f>
        <v>1</v>
      </c>
      <c r="C19" s="74">
        <f>SUM(C16:C18)</f>
        <v>45000</v>
      </c>
      <c r="D19" s="74"/>
    </row>
    <row r="20" spans="1:24" x14ac:dyDescent="0.25">
      <c r="A20" s="189" t="s">
        <v>187</v>
      </c>
      <c r="B20" s="189"/>
      <c r="C20" s="189"/>
      <c r="D20" s="74"/>
      <c r="J20" s="189" t="s">
        <v>186</v>
      </c>
      <c r="K20" s="189"/>
      <c r="L20" s="189"/>
      <c r="S20">
        <f>1800/0.02</f>
        <v>90000</v>
      </c>
    </row>
    <row r="21" spans="1:24" x14ac:dyDescent="0.25">
      <c r="A21" t="s">
        <v>158</v>
      </c>
      <c r="B21" s="134">
        <f>C21/C24</f>
        <v>0.69</v>
      </c>
      <c r="C21" s="74">
        <f>C16-G21</f>
        <v>31050</v>
      </c>
      <c r="D21" s="74">
        <f>C21/B21</f>
        <v>45000</v>
      </c>
      <c r="G21">
        <f>C23-C18</f>
        <v>2250</v>
      </c>
      <c r="J21" t="s">
        <v>158</v>
      </c>
      <c r="K21" s="133">
        <f>L21/$L$24</f>
        <v>0.69374999999999998</v>
      </c>
      <c r="L21" s="74">
        <f>C16-J16</f>
        <v>31218.75</v>
      </c>
      <c r="S21" s="137"/>
    </row>
    <row r="22" spans="1:24" x14ac:dyDescent="0.25">
      <c r="A22" t="s">
        <v>159</v>
      </c>
      <c r="B22" s="134">
        <f>C22/C24</f>
        <v>0.06</v>
      </c>
      <c r="C22" s="74">
        <f>C17</f>
        <v>2700</v>
      </c>
      <c r="D22" s="74">
        <f>C22/B22</f>
        <v>45000</v>
      </c>
      <c r="G22" s="134">
        <f>G21/45000</f>
        <v>0.05</v>
      </c>
      <c r="J22" t="s">
        <v>159</v>
      </c>
      <c r="K22" s="133">
        <f>L22/$L$24</f>
        <v>5.6250000000000001E-2</v>
      </c>
      <c r="L22" s="74">
        <f>C17-J17</f>
        <v>2531.25</v>
      </c>
    </row>
    <row r="23" spans="1:24" x14ac:dyDescent="0.25">
      <c r="A23" t="s">
        <v>135</v>
      </c>
      <c r="B23" s="136">
        <f>C23/C24</f>
        <v>0.25</v>
      </c>
      <c r="C23" s="135">
        <f>C19*0.25</f>
        <v>11250</v>
      </c>
      <c r="D23" s="74">
        <f>C23/B23</f>
        <v>45000</v>
      </c>
      <c r="J23" t="s">
        <v>135</v>
      </c>
      <c r="K23" s="136">
        <f>L23/$L$24</f>
        <v>0.25</v>
      </c>
      <c r="L23" s="135">
        <f>C19*0.25</f>
        <v>11250</v>
      </c>
    </row>
    <row r="24" spans="1:24" x14ac:dyDescent="0.25">
      <c r="B24" s="134">
        <f>SUM(B21:B23)</f>
        <v>1</v>
      </c>
      <c r="C24" s="74">
        <f>SUM(C21:C23)</f>
        <v>45000</v>
      </c>
      <c r="D24" s="74"/>
      <c r="K24" s="134">
        <f>SUM(K21:K23)</f>
        <v>1</v>
      </c>
      <c r="L24" s="74">
        <f>SUM(L21:L23)</f>
        <v>45000</v>
      </c>
    </row>
    <row r="28" spans="1:24" x14ac:dyDescent="0.25">
      <c r="A28" t="s">
        <v>151</v>
      </c>
      <c r="M28" s="74">
        <f>90000</f>
        <v>90000</v>
      </c>
    </row>
    <row r="29" spans="1:24" x14ac:dyDescent="0.25">
      <c r="A29" t="s">
        <v>45</v>
      </c>
      <c r="G29" s="129">
        <f>50%*2</f>
        <v>1</v>
      </c>
      <c r="S29" s="129">
        <f>50%*0</f>
        <v>0</v>
      </c>
    </row>
    <row r="30" spans="1:24" x14ac:dyDescent="0.25">
      <c r="A30" t="s">
        <v>151</v>
      </c>
      <c r="G30" s="74">
        <f>G29*M28</f>
        <v>90000</v>
      </c>
      <c r="S30" s="74">
        <f>S29*M28</f>
        <v>0</v>
      </c>
    </row>
    <row r="31" spans="1:24" x14ac:dyDescent="0.25">
      <c r="B31" s="197" t="s">
        <v>87</v>
      </c>
      <c r="C31" s="197"/>
      <c r="D31" s="197"/>
      <c r="E31" s="197"/>
      <c r="F31" s="197"/>
      <c r="G31" s="197"/>
      <c r="H31" s="197"/>
      <c r="I31" s="197"/>
      <c r="J31" s="197"/>
      <c r="K31" s="197"/>
      <c r="L31" s="197"/>
      <c r="N31" s="197" t="s">
        <v>152</v>
      </c>
      <c r="O31" s="197"/>
      <c r="P31" s="197"/>
      <c r="Q31" s="197"/>
      <c r="R31" s="197"/>
      <c r="S31" s="197"/>
      <c r="T31" s="197"/>
      <c r="U31" s="197"/>
      <c r="V31" s="197"/>
      <c r="W31" s="197"/>
      <c r="X31" s="197"/>
    </row>
    <row r="32" spans="1:24" x14ac:dyDescent="0.25">
      <c r="B32" s="198" t="s">
        <v>133</v>
      </c>
      <c r="C32" s="198"/>
      <c r="D32" s="198"/>
      <c r="F32" s="198" t="s">
        <v>134</v>
      </c>
      <c r="G32" s="198"/>
      <c r="H32" s="198"/>
      <c r="J32" s="198" t="s">
        <v>135</v>
      </c>
      <c r="K32" s="198"/>
      <c r="L32" s="198"/>
      <c r="N32" s="198" t="s">
        <v>133</v>
      </c>
      <c r="O32" s="198"/>
      <c r="P32" s="198"/>
      <c r="R32" s="198" t="s">
        <v>134</v>
      </c>
      <c r="S32" s="198"/>
      <c r="T32" s="198"/>
      <c r="V32" s="198" t="s">
        <v>135</v>
      </c>
      <c r="W32" s="198"/>
      <c r="X32" s="198"/>
    </row>
    <row r="33" spans="1:24" x14ac:dyDescent="0.25">
      <c r="A33" t="s">
        <v>45</v>
      </c>
      <c r="B33" s="57"/>
      <c r="C33" s="130">
        <f>K21</f>
        <v>0.69374999999999998</v>
      </c>
      <c r="D33" s="57"/>
      <c r="G33" s="131">
        <f>K22</f>
        <v>5.6250000000000001E-2</v>
      </c>
      <c r="K33" s="131">
        <f>K23</f>
        <v>0.25</v>
      </c>
      <c r="O33" s="130">
        <f>K21</f>
        <v>0.69374999999999998</v>
      </c>
      <c r="P33" s="57"/>
      <c r="S33" s="131">
        <f>K22</f>
        <v>5.6250000000000001E-2</v>
      </c>
      <c r="W33" s="131">
        <f>K23</f>
        <v>0.25</v>
      </c>
    </row>
    <row r="34" spans="1:24" x14ac:dyDescent="0.25">
      <c r="A34" t="s">
        <v>151</v>
      </c>
      <c r="B34" s="59"/>
      <c r="C34" s="132">
        <f>C33*G30</f>
        <v>62437.5</v>
      </c>
      <c r="D34" s="132"/>
      <c r="F34" s="63"/>
      <c r="G34" s="132">
        <f>G33*G30</f>
        <v>5062.5</v>
      </c>
      <c r="H34" s="63"/>
      <c r="J34" s="63"/>
      <c r="K34" s="132">
        <f>K33*G30</f>
        <v>22500</v>
      </c>
      <c r="L34" s="63"/>
      <c r="N34" s="59"/>
      <c r="O34" s="132">
        <f>O33*$S$4</f>
        <v>31218.75</v>
      </c>
      <c r="P34" s="132"/>
      <c r="Q34" s="132"/>
      <c r="R34" s="63"/>
      <c r="S34" s="132">
        <f>S33*$S$4</f>
        <v>2531.25</v>
      </c>
      <c r="T34" s="63"/>
      <c r="V34" s="63"/>
      <c r="W34" s="132">
        <f>W33*$S$4</f>
        <v>11250</v>
      </c>
      <c r="X34" s="63"/>
    </row>
    <row r="35" spans="1:24" x14ac:dyDescent="0.25">
      <c r="A35" t="s">
        <v>45</v>
      </c>
      <c r="B35" s="133">
        <f>B36/$M$28</f>
        <v>0.23125000000000001</v>
      </c>
      <c r="C35" s="133">
        <f>C36/$M$28</f>
        <v>0.23125000000000001</v>
      </c>
      <c r="D35" s="133">
        <f>D36/$M$28</f>
        <v>0.23125000000000001</v>
      </c>
      <c r="F35" s="130">
        <f>F36/$M$28</f>
        <v>1.8749999999999999E-2</v>
      </c>
      <c r="G35" s="130">
        <f>G36/$M$28</f>
        <v>1.8749999999999999E-2</v>
      </c>
      <c r="H35" s="130">
        <f>H36/$M$28</f>
        <v>1.8749999999999999E-2</v>
      </c>
      <c r="J35" s="130">
        <f>J36/$M$28</f>
        <v>8.3333333333333329E-2</v>
      </c>
      <c r="K35" s="130">
        <f>K36/$M$28</f>
        <v>8.3333333333333329E-2</v>
      </c>
      <c r="L35" s="130">
        <f>L36/$M$28</f>
        <v>8.3333333333333329E-2</v>
      </c>
      <c r="N35" s="130">
        <f>N36/$M$28</f>
        <v>0.11562500000000001</v>
      </c>
      <c r="O35" s="130">
        <f>O36/$M$28</f>
        <v>0.11562500000000001</v>
      </c>
      <c r="P35" s="130">
        <f>P36/$M$28</f>
        <v>0.11562500000000001</v>
      </c>
      <c r="R35" s="130">
        <f>R36/$M$28</f>
        <v>9.3749999999999997E-3</v>
      </c>
      <c r="S35" s="130">
        <f>S36/$M$2</f>
        <v>9.3749999999999997E-3</v>
      </c>
      <c r="T35" s="130">
        <f>T36/$M$28</f>
        <v>9.3749999999999997E-3</v>
      </c>
      <c r="V35" s="130">
        <f>V36/$M$28</f>
        <v>4.1666666666666664E-2</v>
      </c>
      <c r="W35" s="130">
        <f>W36/$M$28</f>
        <v>4.1666666666666664E-2</v>
      </c>
      <c r="X35" s="130">
        <f>X36/$M$28</f>
        <v>4.1666666666666664E-2</v>
      </c>
    </row>
    <row r="36" spans="1:24" x14ac:dyDescent="0.25">
      <c r="A36" t="s">
        <v>151</v>
      </c>
      <c r="B36" s="74">
        <f>$C$34/3</f>
        <v>20812.5</v>
      </c>
      <c r="C36" s="74">
        <f>$C$34/3</f>
        <v>20812.5</v>
      </c>
      <c r="D36" s="74">
        <f>$C$34/3</f>
        <v>20812.5</v>
      </c>
      <c r="F36" s="74">
        <f>$G$34/3</f>
        <v>1687.5</v>
      </c>
      <c r="G36" s="74">
        <f>$G$34/3</f>
        <v>1687.5</v>
      </c>
      <c r="H36" s="74">
        <f>$G$34/3</f>
        <v>1687.5</v>
      </c>
      <c r="J36" s="74">
        <f>$K$34/3</f>
        <v>7500</v>
      </c>
      <c r="K36" s="74">
        <f>$K$34/3</f>
        <v>7500</v>
      </c>
      <c r="L36" s="74">
        <f>$K$34/3</f>
        <v>7500</v>
      </c>
      <c r="N36" s="74">
        <f>$O$34/3</f>
        <v>10406.25</v>
      </c>
      <c r="O36" s="74">
        <f t="shared" ref="O36:P36" si="1">$O$34/3</f>
        <v>10406.25</v>
      </c>
      <c r="P36" s="74">
        <f t="shared" si="1"/>
        <v>10406.25</v>
      </c>
      <c r="R36" s="74">
        <f>$S$34/3</f>
        <v>843.75</v>
      </c>
      <c r="S36" s="74">
        <f t="shared" ref="S36:T36" si="2">$S$34/3</f>
        <v>843.75</v>
      </c>
      <c r="T36" s="74">
        <f t="shared" si="2"/>
        <v>843.75</v>
      </c>
      <c r="V36" s="74">
        <f>$W$34/3</f>
        <v>3750</v>
      </c>
      <c r="W36" s="74">
        <f t="shared" ref="W36:X36" si="3">$W$34/3</f>
        <v>3750</v>
      </c>
      <c r="X36" s="74">
        <f t="shared" si="3"/>
        <v>3750</v>
      </c>
    </row>
    <row r="37" spans="1:24" x14ac:dyDescent="0.25">
      <c r="B37" s="62" t="s">
        <v>153</v>
      </c>
      <c r="C37" s="62" t="s">
        <v>154</v>
      </c>
      <c r="D37" s="62" t="s">
        <v>155</v>
      </c>
      <c r="F37" s="62" t="s">
        <v>153</v>
      </c>
      <c r="G37" s="62" t="s">
        <v>154</v>
      </c>
      <c r="H37" s="62" t="s">
        <v>155</v>
      </c>
      <c r="J37" s="62" t="s">
        <v>153</v>
      </c>
      <c r="K37" s="62" t="s">
        <v>154</v>
      </c>
      <c r="L37" s="62" t="s">
        <v>155</v>
      </c>
      <c r="N37" s="62" t="s">
        <v>153</v>
      </c>
      <c r="O37" s="62" t="s">
        <v>154</v>
      </c>
      <c r="P37" s="62" t="s">
        <v>155</v>
      </c>
      <c r="R37" s="62" t="s">
        <v>153</v>
      </c>
      <c r="S37" s="62" t="s">
        <v>154</v>
      </c>
      <c r="T37" s="62" t="s">
        <v>155</v>
      </c>
      <c r="V37" s="62" t="s">
        <v>153</v>
      </c>
      <c r="W37" s="62" t="s">
        <v>154</v>
      </c>
      <c r="X37" s="62" t="s">
        <v>155</v>
      </c>
    </row>
    <row r="38" spans="1:24" x14ac:dyDescent="0.25">
      <c r="B38" s="62" t="s">
        <v>156</v>
      </c>
      <c r="C38" s="62" t="s">
        <v>157</v>
      </c>
      <c r="D38" s="62" t="s">
        <v>157</v>
      </c>
      <c r="F38" s="62" t="s">
        <v>156</v>
      </c>
      <c r="G38" s="62" t="s">
        <v>157</v>
      </c>
      <c r="H38" s="62" t="s">
        <v>157</v>
      </c>
      <c r="J38" s="62" t="s">
        <v>156</v>
      </c>
      <c r="K38" s="62" t="s">
        <v>157</v>
      </c>
      <c r="L38" s="62" t="s">
        <v>157</v>
      </c>
      <c r="N38" s="62" t="s">
        <v>156</v>
      </c>
      <c r="O38" s="62" t="s">
        <v>157</v>
      </c>
      <c r="P38" s="62" t="s">
        <v>157</v>
      </c>
      <c r="R38" s="62" t="s">
        <v>156</v>
      </c>
      <c r="S38" s="62" t="s">
        <v>157</v>
      </c>
      <c r="T38" s="62" t="s">
        <v>157</v>
      </c>
      <c r="V38" s="62" t="s">
        <v>156</v>
      </c>
      <c r="W38" s="62" t="s">
        <v>157</v>
      </c>
      <c r="X38" s="62" t="s">
        <v>157</v>
      </c>
    </row>
    <row r="42" spans="1:24" x14ac:dyDescent="0.25">
      <c r="C42" s="162">
        <f>C34+O34</f>
        <v>93656.25</v>
      </c>
    </row>
    <row r="43" spans="1:24" x14ac:dyDescent="0.25">
      <c r="C43" s="162">
        <f>G34+S34</f>
        <v>7593.75</v>
      </c>
    </row>
    <row r="44" spans="1:24" x14ac:dyDescent="0.25">
      <c r="C44" s="74">
        <f>K34+W34</f>
        <v>33750</v>
      </c>
    </row>
  </sheetData>
  <mergeCells count="18">
    <mergeCell ref="J20:L20"/>
    <mergeCell ref="B31:L31"/>
    <mergeCell ref="N31:X31"/>
    <mergeCell ref="B32:D32"/>
    <mergeCell ref="F32:H32"/>
    <mergeCell ref="J32:L32"/>
    <mergeCell ref="N32:P32"/>
    <mergeCell ref="R32:T32"/>
    <mergeCell ref="V32:X32"/>
    <mergeCell ref="A20:C20"/>
    <mergeCell ref="B5:L5"/>
    <mergeCell ref="N5:X5"/>
    <mergeCell ref="B6:D6"/>
    <mergeCell ref="F6:H6"/>
    <mergeCell ref="J6:L6"/>
    <mergeCell ref="N6:P6"/>
    <mergeCell ref="R6:T6"/>
    <mergeCell ref="V6:X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4"/>
  <sheetViews>
    <sheetView showGridLines="0" tabSelected="1" zoomScale="130" zoomScaleNormal="130" workbookViewId="0"/>
  </sheetViews>
  <sheetFormatPr defaultColWidth="10.140625" defaultRowHeight="11.25" x14ac:dyDescent="0.2"/>
  <cols>
    <col min="1" max="4" width="13.85546875" style="1" customWidth="1"/>
    <col min="5" max="5" width="13.140625" style="1" customWidth="1"/>
    <col min="6" max="7" width="10.140625" style="1"/>
    <col min="8" max="8" width="11.5703125" style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306</v>
      </c>
      <c r="B1" s="54"/>
      <c r="C1" s="54"/>
      <c r="D1" s="54"/>
      <c r="E1" s="52"/>
      <c r="F1" s="51"/>
    </row>
    <row r="2" spans="1:34" ht="20.25" x14ac:dyDescent="0.3">
      <c r="A2" s="54" t="s">
        <v>305</v>
      </c>
      <c r="B2" s="54"/>
      <c r="C2" s="54"/>
      <c r="D2" s="54"/>
      <c r="E2" s="52"/>
      <c r="F2" s="51"/>
    </row>
    <row r="3" spans="1:34" ht="10.5" customHeight="1" x14ac:dyDescent="0.2">
      <c r="A3" s="17" t="s">
        <v>308</v>
      </c>
      <c r="B3" s="53"/>
      <c r="C3" s="53"/>
      <c r="D3" s="53"/>
      <c r="E3" s="52"/>
      <c r="F3" s="51"/>
    </row>
    <row r="4" spans="1:34" ht="12.75" x14ac:dyDescent="0.2">
      <c r="A4" s="50" t="s">
        <v>51</v>
      </c>
      <c r="B4" s="29"/>
      <c r="C4" s="29"/>
      <c r="D4" s="29"/>
      <c r="E4" s="29"/>
      <c r="F4" s="29"/>
      <c r="G4" s="29"/>
      <c r="H4" s="29"/>
      <c r="I4" s="29"/>
      <c r="J4" s="29"/>
    </row>
    <row r="5" spans="1:34" x14ac:dyDescent="0.2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34" ht="12.75" x14ac:dyDescent="0.2">
      <c r="B6" s="8"/>
      <c r="C6" s="8"/>
      <c r="D6" s="8"/>
      <c r="E6" s="8"/>
      <c r="F6" s="8"/>
      <c r="G6" s="8"/>
      <c r="H6" s="8"/>
      <c r="I6" s="8"/>
      <c r="J6" s="8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</row>
    <row r="7" spans="1:34" ht="12.75" x14ac:dyDescent="0.2">
      <c r="B7" s="46"/>
      <c r="C7" s="46"/>
      <c r="D7" s="49"/>
      <c r="E7" s="49" t="s">
        <v>49</v>
      </c>
      <c r="F7" s="49"/>
      <c r="G7" s="46"/>
      <c r="H7" s="46"/>
      <c r="I7" s="46"/>
      <c r="J7" s="46"/>
      <c r="K7" s="45"/>
      <c r="L7" s="29"/>
      <c r="M7" s="30"/>
      <c r="N7" s="29"/>
      <c r="O7" s="29"/>
      <c r="P7" s="29"/>
      <c r="Q7" s="29"/>
    </row>
    <row r="8" spans="1:34" ht="12.75" x14ac:dyDescent="0.2">
      <c r="A8" s="48"/>
      <c r="B8" s="47"/>
      <c r="C8" s="47"/>
      <c r="D8" s="47"/>
      <c r="E8" s="46"/>
      <c r="F8" s="45"/>
      <c r="G8" s="45"/>
      <c r="H8" s="45"/>
      <c r="I8" s="45"/>
      <c r="J8" s="45"/>
      <c r="K8" s="45"/>
      <c r="L8" s="29"/>
      <c r="M8" s="30"/>
      <c r="N8" s="29"/>
      <c r="O8" s="29"/>
      <c r="P8" s="29"/>
      <c r="Q8" s="29"/>
    </row>
    <row r="9" spans="1:34" s="19" customFormat="1" ht="12.75" x14ac:dyDescent="0.2">
      <c r="A9" s="44" t="s">
        <v>41</v>
      </c>
      <c r="B9" s="44" t="s">
        <v>41</v>
      </c>
      <c r="C9" s="44" t="s">
        <v>41</v>
      </c>
      <c r="D9" s="44" t="s">
        <v>11</v>
      </c>
      <c r="E9" s="44"/>
      <c r="F9" s="31"/>
      <c r="G9" s="31"/>
      <c r="H9" s="31"/>
      <c r="I9" s="31"/>
      <c r="J9" s="31"/>
      <c r="K9" s="31"/>
      <c r="L9" s="42"/>
      <c r="M9" s="43"/>
      <c r="N9" s="42"/>
      <c r="O9" s="42"/>
      <c r="P9" s="42"/>
      <c r="Q9" s="42"/>
    </row>
    <row r="10" spans="1:34" ht="12.75" x14ac:dyDescent="0.2">
      <c r="A10" s="41" t="s">
        <v>10</v>
      </c>
      <c r="B10" s="41" t="s">
        <v>9</v>
      </c>
      <c r="C10" s="41" t="s">
        <v>10</v>
      </c>
      <c r="D10" s="41" t="s">
        <v>9</v>
      </c>
      <c r="E10" s="118"/>
      <c r="F10" s="40"/>
      <c r="G10" s="199"/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7">
        <f>(22500*600)+(67500*500)</f>
        <v>47250000</v>
      </c>
      <c r="B11" s="18"/>
      <c r="C11" s="18"/>
      <c r="D11" s="18"/>
      <c r="E11" s="188" t="s">
        <v>301</v>
      </c>
      <c r="F11" s="188"/>
      <c r="G11" s="188"/>
      <c r="H11" s="188"/>
      <c r="I11" s="188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8"/>
      <c r="C12" s="18"/>
      <c r="D12" s="18"/>
      <c r="E12" s="31"/>
      <c r="F12" s="31"/>
      <c r="G12" s="31"/>
      <c r="H12" s="31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18"/>
      <c r="B13" s="187">
        <f>(22500*1500)+(67500*1425)</f>
        <v>129937500</v>
      </c>
      <c r="C13" s="18"/>
      <c r="D13" s="18"/>
      <c r="E13" s="31" t="s">
        <v>302</v>
      </c>
      <c r="F13" s="31"/>
      <c r="G13" s="31"/>
      <c r="H13" s="31"/>
      <c r="I13" s="31"/>
      <c r="J13" s="31"/>
      <c r="K13" s="31"/>
      <c r="L13" s="29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>
        <f>2500*1800</f>
        <v>4500000</v>
      </c>
      <c r="D14" s="18"/>
      <c r="E14" s="188" t="s">
        <v>304</v>
      </c>
      <c r="F14" s="188"/>
      <c r="G14" s="188"/>
      <c r="H14" s="188"/>
      <c r="I14" s="188"/>
      <c r="J14" s="188"/>
      <c r="K14" s="31"/>
      <c r="L14" s="29"/>
      <c r="M14" s="30"/>
      <c r="N14" s="29"/>
      <c r="O14" s="29"/>
      <c r="P14" s="29"/>
      <c r="Q14" s="29"/>
    </row>
    <row r="15" spans="1:34" ht="12.75" x14ac:dyDescent="0.2">
      <c r="A15" s="18"/>
      <c r="B15" s="18"/>
      <c r="C15" s="18"/>
      <c r="D15" s="18"/>
      <c r="E15" s="31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3.5" thickBot="1" x14ac:dyDescent="0.25">
      <c r="A16" s="37"/>
      <c r="B16" s="37"/>
      <c r="C16" s="37"/>
      <c r="D16" s="37"/>
      <c r="E16" s="39"/>
      <c r="F16" s="31"/>
      <c r="G16" s="31"/>
      <c r="H16" s="31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SUM(A11:A16)</f>
        <v>47250000</v>
      </c>
      <c r="B17" s="34">
        <f>SUM(B11:B16)</f>
        <v>129937500</v>
      </c>
      <c r="C17" s="34">
        <f>SUM(C11:C16)</f>
        <v>4500000</v>
      </c>
      <c r="D17" s="34">
        <f>SUM(D11:D16)</f>
        <v>0</v>
      </c>
      <c r="E17" s="39" t="s">
        <v>15</v>
      </c>
      <c r="F17" s="31"/>
      <c r="G17" s="31"/>
      <c r="H17" s="38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2.75" x14ac:dyDescent="0.2">
      <c r="A18" s="34">
        <f>+(A17)*0.08</f>
        <v>3780000</v>
      </c>
      <c r="B18" s="34"/>
      <c r="C18" s="34">
        <f>+(C17)*0.08</f>
        <v>360000</v>
      </c>
      <c r="D18" s="34"/>
      <c r="E18" s="36" t="s">
        <v>43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3.5" thickBot="1" x14ac:dyDescent="0.25">
      <c r="A19" s="37">
        <f>+A17*0.15*0</f>
        <v>0</v>
      </c>
      <c r="B19" s="37">
        <f>+B17*0.15</f>
        <v>19490625</v>
      </c>
      <c r="C19" s="37">
        <f>+C17*0.15</f>
        <v>675000</v>
      </c>
      <c r="D19" s="37">
        <f>+D17*0.15</f>
        <v>0</v>
      </c>
      <c r="E19" s="36" t="s">
        <v>42</v>
      </c>
      <c r="F19" s="31"/>
      <c r="G19" s="31"/>
      <c r="H19" s="31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>
        <f>SUM(A17:A19)</f>
        <v>51030000</v>
      </c>
      <c r="B20" s="34">
        <f>SUM(B17:B19)</f>
        <v>149428125</v>
      </c>
      <c r="C20" s="34">
        <f>SUM(C17:C19)</f>
        <v>5535000</v>
      </c>
      <c r="D20" s="34">
        <f>SUM(D17:D19)</f>
        <v>0</v>
      </c>
      <c r="E20" s="36" t="s">
        <v>7</v>
      </c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6"/>
      <c r="F21" s="7"/>
      <c r="G21" s="35"/>
      <c r="H21" s="6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34"/>
      <c r="B22" s="34"/>
      <c r="C22" s="34"/>
      <c r="D22" s="34"/>
      <c r="E22" s="33">
        <f>+A20+B20+C20+D20</f>
        <v>205993125</v>
      </c>
      <c r="F22" s="32" t="s">
        <v>15</v>
      </c>
      <c r="G22" s="31"/>
      <c r="H22" s="31"/>
      <c r="I22" s="31"/>
      <c r="J22" s="31"/>
      <c r="K22" s="31"/>
      <c r="L22" s="29"/>
      <c r="M22" s="30"/>
      <c r="N22" s="29"/>
      <c r="O22" s="29"/>
      <c r="P22" s="29"/>
      <c r="Q22" s="29"/>
    </row>
    <row r="23" spans="1:17" ht="12.75" x14ac:dyDescent="0.2">
      <c r="A23" s="2"/>
      <c r="B23" s="28"/>
      <c r="C23" s="4"/>
      <c r="D23" s="4"/>
      <c r="E23" s="4"/>
    </row>
    <row r="24" spans="1:17" ht="12.75" x14ac:dyDescent="0.2">
      <c r="A24" s="2"/>
      <c r="B24" s="2"/>
      <c r="C24" s="2"/>
      <c r="D24" s="15"/>
      <c r="E24" s="2"/>
      <c r="F24" s="27"/>
    </row>
    <row r="25" spans="1:17" ht="12.75" x14ac:dyDescent="0.2">
      <c r="A25" s="2"/>
      <c r="B25" s="2"/>
      <c r="C25" s="26" t="s">
        <v>41</v>
      </c>
      <c r="D25" s="25" t="s">
        <v>11</v>
      </c>
      <c r="E25" s="24"/>
      <c r="F25" s="8"/>
    </row>
    <row r="26" spans="1:17" ht="15" x14ac:dyDescent="0.35">
      <c r="A26" s="23" t="s">
        <v>40</v>
      </c>
      <c r="B26" s="2"/>
      <c r="C26" s="22" t="s">
        <v>10</v>
      </c>
      <c r="D26" s="21" t="s">
        <v>10</v>
      </c>
      <c r="E26" s="21" t="s">
        <v>39</v>
      </c>
      <c r="F26" s="79"/>
    </row>
    <row r="27" spans="1:17" ht="12.75" x14ac:dyDescent="0.2">
      <c r="A27" s="2"/>
      <c r="B27" s="2"/>
      <c r="C27" s="2"/>
      <c r="D27" s="15"/>
      <c r="E27" s="2"/>
      <c r="F27" s="2"/>
    </row>
    <row r="28" spans="1:17" ht="12.75" x14ac:dyDescent="0.2">
      <c r="A28" s="2" t="s">
        <v>38</v>
      </c>
      <c r="B28" s="2"/>
      <c r="C28" s="2"/>
      <c r="D28" s="15">
        <v>600000</v>
      </c>
      <c r="F28" s="2" t="s">
        <v>122</v>
      </c>
    </row>
    <row r="29" spans="1:17" ht="12.75" x14ac:dyDescent="0.2">
      <c r="A29" s="2" t="s">
        <v>37</v>
      </c>
      <c r="B29" s="2"/>
      <c r="C29" s="2"/>
      <c r="D29" s="15">
        <v>1000000</v>
      </c>
      <c r="F29" s="2" t="s">
        <v>123</v>
      </c>
    </row>
    <row r="30" spans="1:17" ht="12.75" x14ac:dyDescent="0.2">
      <c r="A30" s="2" t="s">
        <v>36</v>
      </c>
      <c r="B30" s="2"/>
      <c r="C30" s="2"/>
      <c r="D30" s="15">
        <v>500000</v>
      </c>
      <c r="E30" s="15">
        <v>50000</v>
      </c>
      <c r="F30" s="2" t="s">
        <v>278</v>
      </c>
    </row>
    <row r="31" spans="1:17" ht="12.75" x14ac:dyDescent="0.2">
      <c r="A31" s="2" t="s">
        <v>35</v>
      </c>
      <c r="B31" s="2"/>
      <c r="C31" s="15">
        <v>7575400</v>
      </c>
      <c r="F31" s="31" t="s">
        <v>277</v>
      </c>
    </row>
    <row r="32" spans="1:17" ht="12.75" x14ac:dyDescent="0.2">
      <c r="A32" s="2" t="s">
        <v>34</v>
      </c>
      <c r="B32" s="2"/>
      <c r="C32" s="15">
        <v>154600</v>
      </c>
      <c r="F32" s="31" t="s">
        <v>276</v>
      </c>
    </row>
    <row r="33" spans="1:9" ht="12.75" x14ac:dyDescent="0.2">
      <c r="A33" s="2" t="s">
        <v>33</v>
      </c>
      <c r="B33" s="2"/>
      <c r="C33" s="2"/>
      <c r="E33" s="15">
        <v>400000</v>
      </c>
      <c r="F33" s="17" t="s">
        <v>32</v>
      </c>
    </row>
    <row r="34" spans="1:9" ht="12.75" x14ac:dyDescent="0.2">
      <c r="A34" s="2" t="s">
        <v>31</v>
      </c>
      <c r="B34" s="2"/>
      <c r="C34" s="15">
        <v>3000000</v>
      </c>
      <c r="E34" s="15">
        <f>'SD-SF-WH'!E33+'SD-SF-SepM'!E33+'SD-SF-SubM'!E33+'SD-MF-WH'!E33+'SD-MF-SepM'!E33+'SD-MF-SubM'!E33+'SD-DAC-WH'!E33+'SD-DAC-SepM'!E33+'SD-DAC-SubM'!E33</f>
        <v>0</v>
      </c>
      <c r="F34" s="17" t="s">
        <v>283</v>
      </c>
    </row>
    <row r="35" spans="1:9" ht="12.75" x14ac:dyDescent="0.2">
      <c r="A35" s="2" t="s">
        <v>29</v>
      </c>
      <c r="B35" s="2"/>
      <c r="C35" s="2"/>
      <c r="D35" s="19"/>
      <c r="E35" s="15">
        <f>90000*250</f>
        <v>22500000</v>
      </c>
      <c r="F35" s="17" t="s">
        <v>28</v>
      </c>
    </row>
    <row r="36" spans="1:9" ht="12.75" x14ac:dyDescent="0.2">
      <c r="A36" s="31" t="s">
        <v>294</v>
      </c>
      <c r="B36" s="31"/>
      <c r="C36" s="39"/>
      <c r="D36" s="34">
        <f>0</f>
        <v>0</v>
      </c>
      <c r="E36" s="34"/>
      <c r="F36" s="31" t="s">
        <v>307</v>
      </c>
      <c r="G36" s="19"/>
      <c r="H36" s="19"/>
      <c r="I36" s="16"/>
    </row>
    <row r="37" spans="1:9" ht="13.5" thickBot="1" x14ac:dyDescent="0.25">
      <c r="A37" s="31" t="s">
        <v>303</v>
      </c>
      <c r="B37" s="31"/>
      <c r="C37" s="56"/>
      <c r="D37" s="37">
        <f>0</f>
        <v>0</v>
      </c>
      <c r="E37" s="37"/>
      <c r="F37" s="31" t="s">
        <v>307</v>
      </c>
      <c r="G37" s="19"/>
      <c r="H37" s="19"/>
      <c r="I37" s="16"/>
    </row>
    <row r="38" spans="1:9" ht="12.75" x14ac:dyDescent="0.2">
      <c r="A38" s="2"/>
      <c r="B38" s="2"/>
      <c r="C38" s="15">
        <f>SUM(C28:C36)</f>
        <v>10730000</v>
      </c>
      <c r="D38" s="15">
        <f>SUM(D28:D36)</f>
        <v>2100000</v>
      </c>
      <c r="E38" s="15">
        <f>SUM(E28:E36)</f>
        <v>22950000</v>
      </c>
      <c r="F38" s="2"/>
    </row>
    <row r="39" spans="1:9" ht="12.75" x14ac:dyDescent="0.2">
      <c r="A39" s="2"/>
      <c r="B39" s="2"/>
      <c r="C39" s="15"/>
      <c r="D39" s="15"/>
      <c r="E39" s="15"/>
      <c r="F39" s="2"/>
    </row>
    <row r="40" spans="1:9" ht="12.75" x14ac:dyDescent="0.2">
      <c r="A40" s="2"/>
      <c r="B40" s="2"/>
      <c r="C40" s="15"/>
      <c r="D40" s="15"/>
      <c r="E40" s="15">
        <f>E22+C38</f>
        <v>216723125</v>
      </c>
      <c r="F40" s="2" t="s">
        <v>26</v>
      </c>
    </row>
    <row r="41" spans="1:9" ht="13.5" thickBot="1" x14ac:dyDescent="0.25">
      <c r="A41" s="2"/>
      <c r="B41" s="2"/>
      <c r="C41" s="2"/>
      <c r="D41" s="2"/>
      <c r="E41" s="14">
        <f>D38+E38</f>
        <v>25050000</v>
      </c>
      <c r="F41" s="13" t="s">
        <v>25</v>
      </c>
    </row>
    <row r="42" spans="1:9" ht="12.75" x14ac:dyDescent="0.2">
      <c r="A42" s="2"/>
      <c r="B42" s="2"/>
      <c r="C42" s="2"/>
      <c r="D42" s="2"/>
      <c r="E42" s="12">
        <f>+E22+C38+D38+E38</f>
        <v>241773125</v>
      </c>
      <c r="F42" s="11" t="s">
        <v>24</v>
      </c>
    </row>
    <row r="43" spans="1:9" ht="12.75" x14ac:dyDescent="0.2">
      <c r="A43" s="2"/>
      <c r="B43" s="2"/>
      <c r="C43" s="2"/>
      <c r="D43" s="2"/>
      <c r="E43" s="4"/>
      <c r="F43" s="2"/>
    </row>
    <row r="44" spans="1:9" ht="12.75" x14ac:dyDescent="0.2">
      <c r="A44" s="2"/>
      <c r="B44" s="2"/>
      <c r="C44" s="2"/>
      <c r="D44" s="2"/>
      <c r="E44" s="2"/>
    </row>
  </sheetData>
  <pageMargins left="0.5" right="0.5" top="0.25" bottom="0" header="0.3" footer="0.3"/>
  <pageSetup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0"/>
  <sheetViews>
    <sheetView showGridLines="0" topLeftCell="A10" zoomScale="130" zoomScaleNormal="130" workbookViewId="0">
      <selection activeCell="A11" sqref="A11"/>
    </sheetView>
  </sheetViews>
  <sheetFormatPr defaultColWidth="10.140625" defaultRowHeight="11.25" x14ac:dyDescent="0.2"/>
  <cols>
    <col min="1" max="4" width="13.85546875" style="1" customWidth="1"/>
    <col min="5" max="5" width="13.140625" style="1" customWidth="1"/>
    <col min="6" max="7" width="10.140625" style="1"/>
    <col min="8" max="8" width="11.5703125" style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306</v>
      </c>
      <c r="B1" s="54"/>
      <c r="C1" s="54"/>
      <c r="D1" s="54"/>
      <c r="E1" s="52"/>
      <c r="F1" s="51"/>
    </row>
    <row r="2" spans="1:34" ht="20.25" x14ac:dyDescent="0.3">
      <c r="A2" s="54" t="s">
        <v>305</v>
      </c>
      <c r="B2" s="54"/>
      <c r="C2" s="54"/>
      <c r="D2" s="54"/>
      <c r="E2" s="52"/>
      <c r="F2" s="51"/>
    </row>
    <row r="3" spans="1:34" ht="10.5" customHeight="1" x14ac:dyDescent="0.2">
      <c r="A3" s="17" t="s">
        <v>52</v>
      </c>
      <c r="B3" s="53"/>
      <c r="C3" s="53"/>
      <c r="D3" s="53"/>
      <c r="E3" s="52"/>
      <c r="F3" s="51"/>
    </row>
    <row r="4" spans="1:34" ht="12.75" x14ac:dyDescent="0.2">
      <c r="A4" s="50" t="s">
        <v>51</v>
      </c>
      <c r="B4" s="29"/>
      <c r="C4" s="29"/>
      <c r="D4" s="29"/>
      <c r="E4" s="29"/>
      <c r="F4" s="29"/>
      <c r="G4" s="29"/>
      <c r="H4" s="29"/>
      <c r="I4" s="29"/>
      <c r="J4" s="29"/>
    </row>
    <row r="5" spans="1:34" x14ac:dyDescent="0.2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34" ht="12.75" x14ac:dyDescent="0.2">
      <c r="B6" s="8"/>
      <c r="C6" s="8"/>
      <c r="D6" s="8"/>
      <c r="E6" s="8" t="s">
        <v>50</v>
      </c>
      <c r="F6" s="8"/>
      <c r="G6" s="8"/>
      <c r="H6" s="8"/>
      <c r="I6" s="8"/>
      <c r="J6" s="8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</row>
    <row r="7" spans="1:34" ht="12.75" x14ac:dyDescent="0.2">
      <c r="B7" s="46"/>
      <c r="C7" s="46"/>
      <c r="D7" s="49"/>
      <c r="E7" s="49" t="s">
        <v>49</v>
      </c>
      <c r="F7" s="49"/>
      <c r="G7" s="46"/>
      <c r="H7" s="46"/>
      <c r="I7" s="46"/>
      <c r="J7" s="46"/>
      <c r="K7" s="45"/>
      <c r="L7" s="29"/>
      <c r="M7" s="30"/>
      <c r="N7" s="29"/>
      <c r="O7" s="29"/>
      <c r="P7" s="29"/>
      <c r="Q7" s="29"/>
    </row>
    <row r="8" spans="1:34" ht="12.75" x14ac:dyDescent="0.2">
      <c r="A8" s="48" t="s">
        <v>21</v>
      </c>
      <c r="B8" s="47"/>
      <c r="C8" s="47"/>
      <c r="D8" s="47"/>
      <c r="E8" s="46" t="s">
        <v>48</v>
      </c>
      <c r="F8" s="45"/>
      <c r="G8" s="45"/>
      <c r="H8" s="45"/>
      <c r="I8" s="45"/>
      <c r="J8" s="45"/>
      <c r="K8" s="45"/>
      <c r="L8" s="29"/>
      <c r="M8" s="30"/>
      <c r="N8" s="29"/>
      <c r="O8" s="29"/>
      <c r="P8" s="29"/>
      <c r="Q8" s="29"/>
    </row>
    <row r="9" spans="1:34" s="19" customFormat="1" ht="12.75" x14ac:dyDescent="0.2">
      <c r="A9" s="44" t="s">
        <v>41</v>
      </c>
      <c r="B9" s="44" t="s">
        <v>41</v>
      </c>
      <c r="C9" s="44" t="s">
        <v>41</v>
      </c>
      <c r="D9" s="44" t="s">
        <v>11</v>
      </c>
      <c r="E9" s="44" t="s">
        <v>47</v>
      </c>
      <c r="F9" s="31" t="s">
        <v>46</v>
      </c>
      <c r="G9" s="31" t="s">
        <v>45</v>
      </c>
      <c r="H9" s="31"/>
      <c r="I9" s="31"/>
      <c r="J9" s="31"/>
      <c r="K9" s="31"/>
      <c r="L9" s="42"/>
      <c r="M9" s="43"/>
      <c r="N9" s="42"/>
      <c r="O9" s="42"/>
      <c r="P9" s="42"/>
      <c r="Q9" s="42"/>
    </row>
    <row r="10" spans="1:34" ht="12.75" x14ac:dyDescent="0.2">
      <c r="A10" s="41" t="s">
        <v>10</v>
      </c>
      <c r="B10" s="41" t="s">
        <v>9</v>
      </c>
      <c r="C10" s="41" t="s">
        <v>10</v>
      </c>
      <c r="D10" s="41" t="s">
        <v>9</v>
      </c>
      <c r="E10" s="118">
        <f>F10*G10</f>
        <v>90000</v>
      </c>
      <c r="F10" s="40">
        <v>90000</v>
      </c>
      <c r="G10" s="117">
        <f>'SD-SF-WH'!G9+'SD-SF-SepM'!G9+'SD-SF-SubM'!G9+'SD-MF-WH'!G9+'SD-MF-SepM'!G9+'SD-MF-SubM'!G9+'SD-DAC-WH'!G9+'SD-DAC-SepM'!G9+'SD-DAC-SubM'!G9</f>
        <v>1</v>
      </c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7">
        <f>'SD-SF-WH'!A10+'SD-SF-SepM'!A10+'SD-SF-SubM'!A10+'SD-MF-WH'!A10+'SD-MF-SepM'!A10+'SD-MF-SubM'!A10+'SD-DAC-WH'!A10+'SD-DAC-SepM'!A10+'SD-DAC-SubM'!A10</f>
        <v>47250000</v>
      </c>
      <c r="B11" s="18"/>
      <c r="C11" s="18"/>
      <c r="D11" s="18"/>
      <c r="E11" s="188" t="s">
        <v>301</v>
      </c>
      <c r="F11" s="188"/>
      <c r="G11" s="188"/>
      <c r="H11" s="188"/>
      <c r="I11" s="188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8"/>
      <c r="C12" s="18"/>
      <c r="D12" s="18"/>
      <c r="E12" s="31"/>
      <c r="F12" s="31"/>
      <c r="G12" s="31"/>
      <c r="H12" s="31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18"/>
      <c r="B13" s="18">
        <f>'SD-SF-WH'!B12+'SD-SF-SepM'!B12+'SD-SF-SubM'!B12+'SD-MF-WH'!B12+'SD-MF-SepM'!B12+'SD-MF-SubM'!B12+'SD-DAC-WH'!B12+'SD-DAC-SepM'!B12+'SD-DAC-SubM'!B12</f>
        <v>129937500</v>
      </c>
      <c r="C13" s="18"/>
      <c r="D13" s="18"/>
      <c r="E13" s="31" t="s">
        <v>302</v>
      </c>
      <c r="F13" s="31"/>
      <c r="G13" s="31"/>
      <c r="H13" s="31"/>
      <c r="I13" s="31"/>
      <c r="J13" s="31"/>
      <c r="K13" s="31"/>
      <c r="L13" s="29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>
        <f>'SD-SF-WH'!C13+'SD-SF-SepM'!C13+'SD-SF-SubM'!C13+'SD-MF-WH'!C13+'SD-MF-SepM'!C13+'SD-MF-SubM'!C13+'SD-DAC-WH'!C13+'SD-DAC-SepM'!C14+'SD-DAC-SubM'!C13</f>
        <v>4500000</v>
      </c>
      <c r="D14" s="18"/>
      <c r="E14" s="188" t="s">
        <v>304</v>
      </c>
      <c r="F14" s="188"/>
      <c r="G14" s="188"/>
      <c r="H14" s="188"/>
      <c r="I14" s="188"/>
      <c r="J14" s="188"/>
      <c r="K14" s="31"/>
      <c r="L14" s="29"/>
      <c r="M14" s="30"/>
      <c r="N14" s="29"/>
      <c r="O14" s="29"/>
      <c r="P14" s="29"/>
      <c r="Q14" s="29"/>
    </row>
    <row r="15" spans="1:34" ht="12.75" x14ac:dyDescent="0.2">
      <c r="A15" s="18"/>
      <c r="B15" s="18"/>
      <c r="C15" s="18"/>
      <c r="D15" s="18"/>
      <c r="E15" s="31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3.5" thickBot="1" x14ac:dyDescent="0.25">
      <c r="A16" s="37"/>
      <c r="B16" s="37"/>
      <c r="C16" s="37"/>
      <c r="D16" s="37"/>
      <c r="E16" s="39"/>
      <c r="F16" s="31"/>
      <c r="G16" s="31"/>
      <c r="H16" s="31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SUM(A11:A16)</f>
        <v>47250000</v>
      </c>
      <c r="B17" s="34">
        <f>SUM(B11:B16)</f>
        <v>129937500</v>
      </c>
      <c r="C17" s="34">
        <f>SUM(C11:C16)</f>
        <v>4500000</v>
      </c>
      <c r="D17" s="34">
        <f>SUM(D11:D16)</f>
        <v>0</v>
      </c>
      <c r="E17" s="39" t="s">
        <v>15</v>
      </c>
      <c r="F17" s="31"/>
      <c r="G17" s="31"/>
      <c r="H17" s="38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2.75" x14ac:dyDescent="0.2">
      <c r="A18" s="34">
        <f>+(A17)*0.08</f>
        <v>3780000</v>
      </c>
      <c r="B18" s="34"/>
      <c r="C18" s="34">
        <f>+(C17)*0.08</f>
        <v>360000</v>
      </c>
      <c r="D18" s="34"/>
      <c r="E18" s="36" t="s">
        <v>43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3.5" thickBot="1" x14ac:dyDescent="0.25">
      <c r="A19" s="37">
        <f>+A17*0.15*0</f>
        <v>0</v>
      </c>
      <c r="B19" s="37">
        <f>+B17*0.15</f>
        <v>19490625</v>
      </c>
      <c r="C19" s="37">
        <f>+C17*0.15</f>
        <v>675000</v>
      </c>
      <c r="D19" s="37">
        <f>+D17*0.15</f>
        <v>0</v>
      </c>
      <c r="E19" s="36" t="s">
        <v>42</v>
      </c>
      <c r="F19" s="31"/>
      <c r="G19" s="31"/>
      <c r="H19" s="31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>
        <f>SUM(A17:A19)</f>
        <v>51030000</v>
      </c>
      <c r="B20" s="34">
        <f>SUM(B17:B19)</f>
        <v>149428125</v>
      </c>
      <c r="C20" s="34">
        <f>SUM(C17:C19)</f>
        <v>5535000</v>
      </c>
      <c r="D20" s="34">
        <f>SUM(D17:D19)</f>
        <v>0</v>
      </c>
      <c r="E20" s="36" t="s">
        <v>7</v>
      </c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6"/>
      <c r="F21" s="7"/>
      <c r="G21" s="35"/>
      <c r="H21" s="6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34"/>
      <c r="B22" s="34"/>
      <c r="C22" s="34"/>
      <c r="D22" s="34"/>
      <c r="E22" s="33">
        <f>+A20+B20+C20+D20</f>
        <v>205993125</v>
      </c>
      <c r="F22" s="32" t="s">
        <v>15</v>
      </c>
      <c r="G22" s="31"/>
      <c r="H22" s="31"/>
      <c r="I22" s="31"/>
      <c r="J22" s="31"/>
      <c r="K22" s="31"/>
      <c r="L22" s="29"/>
      <c r="M22" s="30"/>
      <c r="N22" s="29"/>
      <c r="O22" s="29"/>
      <c r="P22" s="29"/>
      <c r="Q22" s="29"/>
    </row>
    <row r="23" spans="1:17" ht="12.75" x14ac:dyDescent="0.2">
      <c r="A23" s="2"/>
      <c r="B23" s="28"/>
      <c r="C23" s="4"/>
      <c r="D23" s="4"/>
      <c r="E23" s="4"/>
    </row>
    <row r="24" spans="1:17" ht="12.75" x14ac:dyDescent="0.2">
      <c r="A24" s="2"/>
      <c r="B24" s="2"/>
      <c r="C24" s="2"/>
      <c r="D24" s="15"/>
      <c r="E24" s="2"/>
      <c r="F24" s="27"/>
    </row>
    <row r="25" spans="1:17" ht="12.75" x14ac:dyDescent="0.2">
      <c r="A25" s="2"/>
      <c r="B25" s="2"/>
      <c r="C25" s="26" t="s">
        <v>41</v>
      </c>
      <c r="D25" s="25" t="s">
        <v>11</v>
      </c>
      <c r="E25" s="24"/>
      <c r="F25" s="8" t="str">
        <f>G9</f>
        <v>Percentage</v>
      </c>
    </row>
    <row r="26" spans="1:17" ht="15" x14ac:dyDescent="0.35">
      <c r="A26" s="23" t="s">
        <v>40</v>
      </c>
      <c r="B26" s="2"/>
      <c r="C26" s="22" t="s">
        <v>10</v>
      </c>
      <c r="D26" s="21" t="s">
        <v>10</v>
      </c>
      <c r="E26" s="21" t="s">
        <v>39</v>
      </c>
      <c r="F26" s="79">
        <f>G10</f>
        <v>1</v>
      </c>
    </row>
    <row r="27" spans="1:17" ht="12.75" x14ac:dyDescent="0.2">
      <c r="A27" s="2"/>
      <c r="B27" s="2"/>
      <c r="C27" s="2"/>
      <c r="D27" s="15"/>
      <c r="E27" s="2"/>
      <c r="F27" s="2"/>
    </row>
    <row r="28" spans="1:17" ht="12.75" x14ac:dyDescent="0.2">
      <c r="A28" s="2" t="s">
        <v>38</v>
      </c>
      <c r="B28" s="2"/>
      <c r="C28" s="2"/>
      <c r="D28" s="15">
        <f>'SD-SF-WH'!D27+'SD-SF-SepM'!D27+'SD-SF-SubM'!D27+'SD-MF-WH'!D27+'SD-MF-SepM'!D27+'SD-MF-SubM'!D27+'SD-DAC-WH'!D27+'SD-DAC-SepM'!D27+'SD-DAC-SubM'!D27</f>
        <v>600000</v>
      </c>
      <c r="F28" s="2" t="s">
        <v>122</v>
      </c>
    </row>
    <row r="29" spans="1:17" ht="12.75" x14ac:dyDescent="0.2">
      <c r="A29" s="2" t="s">
        <v>37</v>
      </c>
      <c r="B29" s="2"/>
      <c r="C29" s="2"/>
      <c r="D29" s="15">
        <f>'SD-SF-WH'!D28+'SD-SF-SepM'!D28+'SD-SF-SubM'!D28+'SD-MF-WH'!D28+'SD-MF-SepM'!D28+'SD-MF-SubM'!D28+'SD-DAC-WH'!D28+'SD-DAC-SepM'!D28+'SD-DAC-SubM'!D28</f>
        <v>999999.99999999977</v>
      </c>
      <c r="F29" s="2" t="s">
        <v>123</v>
      </c>
    </row>
    <row r="30" spans="1:17" ht="12.75" x14ac:dyDescent="0.2">
      <c r="A30" s="2" t="s">
        <v>36</v>
      </c>
      <c r="B30" s="2"/>
      <c r="C30" s="2"/>
      <c r="D30" s="15">
        <f>'SD-SF-WH'!D29+'SD-SF-SepM'!D29+'SD-SF-SubM'!D29+'SD-MF-WH'!D29+'SD-MF-SepM'!D29+'SD-MF-SubM'!D29+'SD-DAC-WH'!D29+'SD-DAC-SepM'!D29+'SD-DAC-SubM'!D29</f>
        <v>499999.99999999988</v>
      </c>
      <c r="E30" s="15">
        <f>'SD-SF-WH'!E29+'SD-SF-SepM'!E29+'SD-SF-SubM'!E29+'SD-MF-WH'!E29+'SD-MF-SepM'!E29+'SD-MF-SubM'!E29+'SD-DAC-WH'!E29+'SD-DAC-SepM'!E29+'SD-DAC-SubM'!E29</f>
        <v>49999.999999999993</v>
      </c>
      <c r="F30" s="2" t="s">
        <v>278</v>
      </c>
    </row>
    <row r="31" spans="1:17" ht="12.75" x14ac:dyDescent="0.2">
      <c r="A31" s="2" t="s">
        <v>35</v>
      </c>
      <c r="B31" s="2"/>
      <c r="C31" s="15">
        <f>'SD-SF-WH'!C30+'SD-SF-SepM'!C30+'SD-SF-SubM'!C30+'SD-MF-WH'!C30+'SD-MF-SepM'!C30+'SD-MF-SubM'!C30+'SD-DAC-WH'!C30+'SD-DAC-SepM'!C30+'SD-DAC-SubM'!C30</f>
        <v>7575399.9999999991</v>
      </c>
      <c r="F31" s="31" t="s">
        <v>277</v>
      </c>
    </row>
    <row r="32" spans="1:17" ht="12.75" x14ac:dyDescent="0.2">
      <c r="A32" s="2" t="s">
        <v>34</v>
      </c>
      <c r="B32" s="2"/>
      <c r="C32" s="15">
        <f>'SD-SF-WH'!C31+'SD-SF-SepM'!C31+'SD-SF-SubM'!C31+'SD-MF-WH'!C31+'SD-MF-SepM'!C31+'SD-MF-SubM'!C31+'SD-DAC-WH'!C31+'SD-DAC-SepM'!C31+'SD-DAC-SubM'!C31</f>
        <v>154600</v>
      </c>
      <c r="F32" s="31" t="s">
        <v>276</v>
      </c>
    </row>
    <row r="33" spans="1:9" ht="12.75" x14ac:dyDescent="0.2">
      <c r="A33" s="2" t="s">
        <v>33</v>
      </c>
      <c r="B33" s="2"/>
      <c r="C33" s="2"/>
      <c r="E33" s="15">
        <f>'SD-SF-WH'!E32+'SD-SF-SepM'!E32+'SD-SF-SubM'!E32+'SD-MF-WH'!E32+'SD-MF-SepM'!E32+'SD-MF-SubM'!E32+'SD-DAC-WH'!E32+'SD-DAC-SepM'!E32+'SD-DAC-SubM'!E32</f>
        <v>399999.99999999994</v>
      </c>
      <c r="F33" s="17" t="s">
        <v>32</v>
      </c>
    </row>
    <row r="34" spans="1:9" ht="12.75" x14ac:dyDescent="0.2">
      <c r="A34" s="2" t="s">
        <v>31</v>
      </c>
      <c r="B34" s="2"/>
      <c r="C34" s="15">
        <f>'SD-SF-WH'!C33+'SD-SF-SepM'!C33+'SD-SF-SubM'!C33+'SD-MF-WH'!C33+'SD-MF-SepM'!C33+'SD-MF-SubM'!C33+'SD-DAC-WH'!C33+'SD-DAC-SepM'!C33+'SD-DAC-SubM'!C33</f>
        <v>3000000</v>
      </c>
      <c r="E34" s="15">
        <f>'SD-SF-WH'!E33+'SD-SF-SepM'!E33+'SD-SF-SubM'!E33+'SD-MF-WH'!E33+'SD-MF-SepM'!E33+'SD-MF-SubM'!E33+'SD-DAC-WH'!E33+'SD-DAC-SepM'!E33+'SD-DAC-SubM'!E33</f>
        <v>0</v>
      </c>
      <c r="F34" s="17" t="s">
        <v>283</v>
      </c>
    </row>
    <row r="35" spans="1:9" ht="12.75" x14ac:dyDescent="0.2">
      <c r="A35" s="2" t="s">
        <v>29</v>
      </c>
      <c r="B35" s="2"/>
      <c r="C35" s="2"/>
      <c r="D35" s="19"/>
      <c r="E35" s="15">
        <f>'SD-SF-WH'!E34+'SD-SF-SepM'!E34+'SD-SF-SubM'!E34+'SD-MF-WH'!E34+'SD-MF-SepM'!E34+'SD-MF-SubM'!E34+'SD-DAC-WH'!E34+'SD-DAC-SepM'!E34+'SD-DAC-SubM'!E34</f>
        <v>22500000</v>
      </c>
      <c r="F35" s="17" t="s">
        <v>28</v>
      </c>
    </row>
    <row r="36" spans="1:9" ht="12.75" x14ac:dyDescent="0.2">
      <c r="A36" s="31" t="s">
        <v>294</v>
      </c>
      <c r="B36" s="31"/>
      <c r="C36" s="39"/>
      <c r="D36" s="34">
        <f>0</f>
        <v>0</v>
      </c>
      <c r="E36" s="34"/>
      <c r="F36" s="31"/>
      <c r="G36" s="19"/>
      <c r="H36" s="19"/>
      <c r="I36" s="16"/>
    </row>
    <row r="37" spans="1:9" ht="13.5" thickBot="1" x14ac:dyDescent="0.25">
      <c r="A37" s="31" t="s">
        <v>303</v>
      </c>
      <c r="B37" s="31"/>
      <c r="C37" s="56"/>
      <c r="D37" s="37">
        <f>0</f>
        <v>0</v>
      </c>
      <c r="E37" s="37"/>
      <c r="F37" s="31"/>
      <c r="G37" s="19"/>
      <c r="H37" s="19"/>
      <c r="I37" s="16"/>
    </row>
    <row r="38" spans="1:9" ht="12.75" x14ac:dyDescent="0.2">
      <c r="A38" s="2"/>
      <c r="B38" s="2"/>
      <c r="C38" s="15">
        <f>SUM(C28:C36)</f>
        <v>10730000</v>
      </c>
      <c r="D38" s="15">
        <f>SUM(D28:D36)</f>
        <v>2099999.9999999995</v>
      </c>
      <c r="E38" s="15">
        <f>SUM(E28:E36)</f>
        <v>22950000</v>
      </c>
      <c r="F38" s="2"/>
    </row>
    <row r="39" spans="1:9" ht="12.75" x14ac:dyDescent="0.2">
      <c r="A39" s="2"/>
      <c r="B39" s="2"/>
      <c r="C39" s="15"/>
      <c r="D39" s="15"/>
      <c r="E39" s="15"/>
      <c r="F39" s="2"/>
    </row>
    <row r="40" spans="1:9" ht="12.75" x14ac:dyDescent="0.2">
      <c r="A40" s="2"/>
      <c r="B40" s="2"/>
      <c r="C40" s="15"/>
      <c r="D40" s="15"/>
      <c r="E40" s="15">
        <f>E22+C38</f>
        <v>216723125</v>
      </c>
      <c r="F40" s="2" t="s">
        <v>26</v>
      </c>
    </row>
    <row r="41" spans="1:9" ht="13.5" thickBot="1" x14ac:dyDescent="0.25">
      <c r="A41" s="2"/>
      <c r="B41" s="2"/>
      <c r="C41" s="2"/>
      <c r="D41" s="2"/>
      <c r="E41" s="14">
        <f>D38+E38</f>
        <v>25050000</v>
      </c>
      <c r="F41" s="13" t="s">
        <v>25</v>
      </c>
    </row>
    <row r="42" spans="1:9" ht="12.75" x14ac:dyDescent="0.2">
      <c r="A42" s="2"/>
      <c r="B42" s="2"/>
      <c r="C42" s="2"/>
      <c r="D42" s="2"/>
      <c r="E42" s="12">
        <f>+E22+C38+D38+E38</f>
        <v>241773125</v>
      </c>
      <c r="F42" s="11" t="s">
        <v>24</v>
      </c>
    </row>
    <row r="43" spans="1:9" ht="12.75" x14ac:dyDescent="0.2">
      <c r="A43" s="2"/>
      <c r="B43" s="2"/>
      <c r="C43" s="2"/>
      <c r="D43" s="2"/>
      <c r="E43" s="4"/>
      <c r="F43" s="2"/>
    </row>
    <row r="44" spans="1:9" ht="12.75" x14ac:dyDescent="0.2">
      <c r="A44" s="2"/>
      <c r="B44" s="2"/>
      <c r="C44" s="2"/>
      <c r="D44" s="2"/>
      <c r="E44" s="2"/>
    </row>
    <row r="45" spans="1:9" ht="12.75" x14ac:dyDescent="0.2">
      <c r="A45" s="2" t="s">
        <v>23</v>
      </c>
      <c r="B45" s="2"/>
      <c r="C45" s="2"/>
      <c r="D45" s="2"/>
      <c r="E45" s="2"/>
    </row>
    <row r="46" spans="1:9" ht="12.75" x14ac:dyDescent="0.2">
      <c r="A46" s="2"/>
      <c r="B46" s="2"/>
      <c r="C46" s="2"/>
      <c r="D46" s="2"/>
      <c r="E46" s="2"/>
    </row>
    <row r="47" spans="1:9" ht="12.75" x14ac:dyDescent="0.2">
      <c r="A47" s="2"/>
      <c r="B47" s="2"/>
      <c r="C47" s="2"/>
      <c r="D47" s="2"/>
      <c r="E47" s="2"/>
    </row>
    <row r="48" spans="1:9" ht="12.75" x14ac:dyDescent="0.2">
      <c r="A48" s="3" t="s">
        <v>22</v>
      </c>
      <c r="B48" s="8" t="s">
        <v>12</v>
      </c>
      <c r="C48" s="8" t="s">
        <v>12</v>
      </c>
      <c r="D48" s="2"/>
      <c r="E48" s="2"/>
    </row>
    <row r="49" spans="1:5" ht="12.75" x14ac:dyDescent="0.2">
      <c r="A49" s="2" t="s">
        <v>10</v>
      </c>
      <c r="B49" s="4"/>
      <c r="C49" s="4"/>
      <c r="D49" s="2"/>
      <c r="E49" s="2"/>
    </row>
    <row r="50" spans="1:5" ht="12.75" x14ac:dyDescent="0.2">
      <c r="A50" s="2" t="s">
        <v>9</v>
      </c>
      <c r="B50" s="5"/>
      <c r="C50" s="5"/>
      <c r="D50" s="2"/>
      <c r="E50" s="2"/>
    </row>
    <row r="51" spans="1:5" ht="12.75" x14ac:dyDescent="0.2">
      <c r="A51" s="2" t="s">
        <v>17</v>
      </c>
      <c r="B51" s="4">
        <f>SUM(B49:B50)</f>
        <v>0</v>
      </c>
      <c r="C51" s="4">
        <f>SUM(C49:C50)</f>
        <v>0</v>
      </c>
      <c r="D51" s="2"/>
      <c r="E51" s="2"/>
    </row>
    <row r="52" spans="1:5" ht="12.75" x14ac:dyDescent="0.2">
      <c r="A52" s="2"/>
      <c r="B52" s="2"/>
      <c r="C52" s="2"/>
      <c r="D52" s="2"/>
      <c r="E52" s="2"/>
    </row>
    <row r="53" spans="1:5" ht="12.75" x14ac:dyDescent="0.2">
      <c r="A53" s="3" t="s">
        <v>21</v>
      </c>
      <c r="B53" s="2"/>
      <c r="C53" s="2"/>
      <c r="D53" s="2"/>
      <c r="E53" s="2"/>
    </row>
    <row r="54" spans="1:5" ht="12.75" x14ac:dyDescent="0.2">
      <c r="A54" s="2" t="s">
        <v>10</v>
      </c>
      <c r="B54" s="4">
        <f>A20+C34</f>
        <v>54030000</v>
      </c>
      <c r="C54" s="4">
        <f>C20</f>
        <v>5535000</v>
      </c>
      <c r="D54" s="2"/>
      <c r="E54" s="2"/>
    </row>
    <row r="55" spans="1:5" ht="12.75" x14ac:dyDescent="0.2">
      <c r="A55" s="2" t="s">
        <v>9</v>
      </c>
      <c r="B55" s="5">
        <f>B20</f>
        <v>149428125</v>
      </c>
      <c r="C55" s="5">
        <f>D20</f>
        <v>0</v>
      </c>
      <c r="D55" s="2"/>
      <c r="E55" s="2"/>
    </row>
    <row r="56" spans="1:5" ht="12.75" x14ac:dyDescent="0.2">
      <c r="A56" s="2" t="s">
        <v>17</v>
      </c>
      <c r="B56" s="4">
        <f>SUM(B54:B55)</f>
        <v>203458125</v>
      </c>
      <c r="C56" s="4">
        <f>SUM(C54:C55)</f>
        <v>5535000</v>
      </c>
      <c r="D56" s="2"/>
      <c r="E56" s="2"/>
    </row>
    <row r="57" spans="1:5" ht="12.75" x14ac:dyDescent="0.2">
      <c r="A57" s="2"/>
      <c r="B57" s="4"/>
      <c r="C57" s="4"/>
      <c r="D57" s="2"/>
      <c r="E57" s="2"/>
    </row>
    <row r="58" spans="1:5" ht="12.75" x14ac:dyDescent="0.2">
      <c r="A58" s="11" t="s">
        <v>20</v>
      </c>
      <c r="B58" s="4"/>
      <c r="C58" s="4"/>
      <c r="D58" s="2"/>
      <c r="E58" s="2"/>
    </row>
    <row r="59" spans="1:5" ht="12.75" x14ac:dyDescent="0.2">
      <c r="A59" s="2" t="s">
        <v>19</v>
      </c>
      <c r="B59" s="4">
        <f>C31</f>
        <v>7575399.9999999991</v>
      </c>
      <c r="C59" s="4"/>
      <c r="D59" s="2"/>
      <c r="E59" s="2"/>
    </row>
    <row r="60" spans="1:5" ht="12.75" x14ac:dyDescent="0.2">
      <c r="A60" s="2" t="s">
        <v>18</v>
      </c>
      <c r="B60" s="5">
        <f>C32</f>
        <v>154600</v>
      </c>
      <c r="C60" s="4"/>
      <c r="D60" s="2"/>
      <c r="E60" s="2"/>
    </row>
    <row r="61" spans="1:5" ht="12.75" x14ac:dyDescent="0.2">
      <c r="A61" s="2" t="s">
        <v>17</v>
      </c>
      <c r="B61" s="4">
        <f>+B59+B60</f>
        <v>7729999.9999999991</v>
      </c>
      <c r="C61" s="4"/>
      <c r="D61" s="2"/>
      <c r="E61" s="2"/>
    </row>
    <row r="62" spans="1:5" ht="12.75" x14ac:dyDescent="0.2">
      <c r="A62" s="2"/>
      <c r="B62" s="4"/>
      <c r="C62" s="4"/>
      <c r="D62" s="2"/>
      <c r="E62" s="2"/>
    </row>
    <row r="63" spans="1:5" ht="12.75" x14ac:dyDescent="0.2">
      <c r="A63" s="2"/>
      <c r="B63" s="4"/>
      <c r="C63" s="4"/>
      <c r="D63" s="2"/>
      <c r="E63" s="2"/>
    </row>
    <row r="64" spans="1:5" ht="12.75" x14ac:dyDescent="0.2">
      <c r="A64" s="2"/>
      <c r="B64" s="4"/>
      <c r="C64" s="4"/>
      <c r="D64" s="2"/>
      <c r="E64" s="2"/>
    </row>
    <row r="65" spans="1:6" ht="12.75" x14ac:dyDescent="0.2">
      <c r="A65" s="2" t="s">
        <v>16</v>
      </c>
      <c r="B65" s="4"/>
      <c r="C65" s="4"/>
      <c r="D65" s="2"/>
      <c r="E65" s="11"/>
    </row>
    <row r="66" spans="1:6" ht="12.75" x14ac:dyDescent="0.2">
      <c r="A66" s="2" t="s">
        <v>10</v>
      </c>
      <c r="B66" s="4"/>
      <c r="C66" s="4">
        <f>D38</f>
        <v>2099999.9999999995</v>
      </c>
      <c r="D66" s="2"/>
      <c r="E66" s="10"/>
      <c r="F66" s="69"/>
    </row>
    <row r="67" spans="1:6" ht="12.75" x14ac:dyDescent="0.2">
      <c r="A67" s="2" t="s">
        <v>9</v>
      </c>
      <c r="B67" s="5"/>
      <c r="C67" s="5">
        <f>E38</f>
        <v>22950000</v>
      </c>
      <c r="D67" s="2"/>
    </row>
    <row r="68" spans="1:6" ht="12.75" x14ac:dyDescent="0.2">
      <c r="A68" s="2" t="s">
        <v>15</v>
      </c>
      <c r="B68" s="4">
        <f>+B66+B67</f>
        <v>0</v>
      </c>
      <c r="C68" s="4">
        <f>+C66+C67</f>
        <v>25050000</v>
      </c>
      <c r="D68" s="2"/>
    </row>
    <row r="69" spans="1:6" ht="12.75" x14ac:dyDescent="0.2">
      <c r="A69" s="2"/>
      <c r="B69" s="4"/>
      <c r="C69" s="4"/>
      <c r="D69" s="2"/>
    </row>
    <row r="70" spans="1:6" ht="12.75" x14ac:dyDescent="0.2">
      <c r="A70" s="2" t="s">
        <v>7</v>
      </c>
      <c r="B70" s="4">
        <f>+B51+B56+B61+B68</f>
        <v>211188125</v>
      </c>
      <c r="C70" s="4">
        <f>+C51+C56+C61+C68</f>
        <v>30585000</v>
      </c>
      <c r="D70" s="2"/>
    </row>
    <row r="71" spans="1:6" ht="12.75" x14ac:dyDescent="0.2">
      <c r="A71" s="2"/>
      <c r="B71" s="4"/>
      <c r="C71" s="4"/>
      <c r="D71" s="2"/>
    </row>
    <row r="72" spans="1:6" ht="12.75" x14ac:dyDescent="0.2">
      <c r="A72" s="2" t="s">
        <v>14</v>
      </c>
      <c r="B72" s="4">
        <f>A20+B20+C38</f>
        <v>211188125</v>
      </c>
      <c r="C72" s="4">
        <f>C20+D20+D38+E38</f>
        <v>30585000</v>
      </c>
      <c r="D72" s="2"/>
    </row>
    <row r="73" spans="1:6" ht="12.75" x14ac:dyDescent="0.2">
      <c r="A73" s="2"/>
      <c r="B73" s="4"/>
      <c r="C73" s="4"/>
      <c r="D73" s="2"/>
    </row>
    <row r="74" spans="1:6" ht="12.75" x14ac:dyDescent="0.2">
      <c r="A74" s="2"/>
      <c r="B74" s="4"/>
      <c r="C74" s="4"/>
      <c r="D74" s="2"/>
    </row>
    <row r="75" spans="1:6" ht="12.75" x14ac:dyDescent="0.2">
      <c r="A75" s="2"/>
      <c r="B75" s="4"/>
      <c r="C75" s="4"/>
      <c r="D75" s="2"/>
    </row>
    <row r="76" spans="1:6" ht="13.5" thickBot="1" x14ac:dyDescent="0.25">
      <c r="A76" s="9" t="s">
        <v>13</v>
      </c>
      <c r="B76" s="8" t="s">
        <v>12</v>
      </c>
      <c r="C76" s="8" t="s">
        <v>11</v>
      </c>
      <c r="D76" s="2"/>
    </row>
    <row r="77" spans="1:6" ht="12.75" x14ac:dyDescent="0.2">
      <c r="A77" s="2" t="s">
        <v>10</v>
      </c>
      <c r="B77" s="4">
        <v>0</v>
      </c>
      <c r="C77" s="7">
        <f>(E35/5)*0.5</f>
        <v>2250000</v>
      </c>
      <c r="D77" s="6"/>
    </row>
    <row r="78" spans="1:6" ht="12.75" x14ac:dyDescent="0.2">
      <c r="A78" s="2" t="s">
        <v>9</v>
      </c>
      <c r="B78" s="4">
        <v>0</v>
      </c>
      <c r="C78" s="4">
        <v>0</v>
      </c>
    </row>
    <row r="79" spans="1:6" ht="12.75" x14ac:dyDescent="0.2">
      <c r="A79" s="2" t="s">
        <v>8</v>
      </c>
      <c r="B79" s="5">
        <v>0</v>
      </c>
      <c r="C79" s="5">
        <v>0</v>
      </c>
      <c r="D79" s="2"/>
    </row>
    <row r="80" spans="1:6" ht="12.75" x14ac:dyDescent="0.2">
      <c r="A80" s="2" t="s">
        <v>7</v>
      </c>
      <c r="B80" s="4">
        <f>SUM(B77:B79)</f>
        <v>0</v>
      </c>
      <c r="C80" s="4">
        <f>SUM(C77:C79)</f>
        <v>2250000</v>
      </c>
      <c r="D80" s="2"/>
    </row>
    <row r="81" spans="1:4" ht="12.75" x14ac:dyDescent="0.2">
      <c r="A81" s="2"/>
      <c r="B81" s="4"/>
      <c r="C81" s="4"/>
      <c r="D81" s="2"/>
    </row>
    <row r="82" spans="1:4" ht="12.75" x14ac:dyDescent="0.2">
      <c r="A82" s="2" t="s">
        <v>6</v>
      </c>
      <c r="B82" s="4"/>
      <c r="C82" s="4"/>
      <c r="D82" s="2"/>
    </row>
    <row r="83" spans="1:4" ht="12.75" x14ac:dyDescent="0.2">
      <c r="A83" s="2"/>
      <c r="B83" s="4"/>
      <c r="C83" s="4"/>
      <c r="D83" s="2"/>
    </row>
    <row r="84" spans="1:4" ht="12.75" x14ac:dyDescent="0.2">
      <c r="A84" s="2"/>
      <c r="B84" s="2"/>
      <c r="C84" s="2"/>
      <c r="D84" s="2"/>
    </row>
    <row r="85" spans="1:4" ht="12.75" x14ac:dyDescent="0.2">
      <c r="A85" s="3" t="s">
        <v>5</v>
      </c>
      <c r="B85" s="2"/>
      <c r="C85" s="2"/>
      <c r="D85" s="2"/>
    </row>
    <row r="86" spans="1:4" ht="12.75" x14ac:dyDescent="0.2">
      <c r="A86" s="2" t="s">
        <v>4</v>
      </c>
      <c r="B86" s="2"/>
      <c r="C86" s="2"/>
      <c r="D86" s="2"/>
    </row>
    <row r="87" spans="1:4" ht="12.75" x14ac:dyDescent="0.2">
      <c r="A87" s="2" t="s">
        <v>3</v>
      </c>
      <c r="B87" s="2"/>
      <c r="C87" s="2"/>
      <c r="D87" s="2"/>
    </row>
    <row r="88" spans="1:4" ht="12.75" x14ac:dyDescent="0.2">
      <c r="A88" s="2" t="s">
        <v>2</v>
      </c>
      <c r="B88" s="2"/>
      <c r="C88" s="2"/>
      <c r="D88" s="2"/>
    </row>
    <row r="89" spans="1:4" ht="12.75" x14ac:dyDescent="0.2">
      <c r="A89" s="2" t="s">
        <v>1</v>
      </c>
      <c r="B89" s="2"/>
      <c r="C89" s="2"/>
      <c r="D89" s="2"/>
    </row>
    <row r="90" spans="1:4" ht="12.75" x14ac:dyDescent="0.2">
      <c r="A90" s="2" t="s">
        <v>0</v>
      </c>
    </row>
  </sheetData>
  <pageMargins left="0.5" right="0.5" top="0.25" bottom="0" header="0.3" footer="0.3"/>
  <pageSetup scale="7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8"/>
  <sheetViews>
    <sheetView showGridLines="0" zoomScale="130" zoomScaleNormal="130" workbookViewId="0">
      <selection activeCell="C13" sqref="C13"/>
    </sheetView>
  </sheetViews>
  <sheetFormatPr defaultColWidth="10.140625" defaultRowHeight="11.25" x14ac:dyDescent="0.2"/>
  <cols>
    <col min="1" max="4" width="13.85546875" style="1" customWidth="1"/>
    <col min="5" max="5" width="13.140625" style="1" bestFit="1" customWidth="1"/>
    <col min="6" max="7" width="10.140625" style="1"/>
    <col min="8" max="8" width="11.5703125" style="1" bestFit="1" customWidth="1"/>
    <col min="9" max="16" width="10.140625" style="1"/>
    <col min="17" max="17" width="4.85546875" style="1" customWidth="1"/>
    <col min="18" max="18" width="6.42578125" style="1" customWidth="1"/>
    <col min="19" max="19" width="6.5703125" style="1" customWidth="1"/>
    <col min="20" max="20" width="12" style="1" customWidth="1"/>
    <col min="21" max="21" width="11.5703125" style="1" customWidth="1"/>
    <col min="22" max="22" width="8.140625" style="1" customWidth="1"/>
    <col min="23" max="23" width="9.5703125" style="1" customWidth="1"/>
    <col min="24" max="24" width="5.5703125" style="1" customWidth="1"/>
    <col min="25" max="25" width="12" style="1" customWidth="1"/>
    <col min="26" max="26" width="13.5703125" style="1" bestFit="1" customWidth="1"/>
    <col min="27" max="27" width="7.42578125" style="1" customWidth="1"/>
    <col min="28" max="29" width="9.140625" style="1" customWidth="1"/>
    <col min="30" max="30" width="11.140625" style="1" customWidth="1"/>
    <col min="31" max="31" width="10.140625" style="1"/>
    <col min="32" max="32" width="3.140625" style="1" customWidth="1"/>
    <col min="33" max="16384" width="10.140625" style="1"/>
  </cols>
  <sheetData>
    <row r="1" spans="1:34" ht="20.25" x14ac:dyDescent="0.3">
      <c r="A1" s="54" t="s">
        <v>53</v>
      </c>
      <c r="B1" s="54"/>
      <c r="C1" s="54"/>
      <c r="D1" s="54"/>
      <c r="E1" s="52"/>
      <c r="F1" s="51"/>
    </row>
    <row r="2" spans="1:34" ht="10.5" customHeight="1" x14ac:dyDescent="0.2">
      <c r="A2" s="17" t="s">
        <v>52</v>
      </c>
      <c r="B2" s="53"/>
      <c r="C2" s="53"/>
      <c r="D2" s="53"/>
      <c r="E2" s="52"/>
      <c r="F2" s="51"/>
    </row>
    <row r="3" spans="1:34" ht="12.75" x14ac:dyDescent="0.2">
      <c r="A3" s="50" t="s">
        <v>51</v>
      </c>
      <c r="B3" s="29"/>
      <c r="C3" s="29"/>
      <c r="D3" s="29"/>
      <c r="E3" s="29"/>
      <c r="F3" s="29"/>
      <c r="G3" s="29"/>
      <c r="H3" s="29"/>
      <c r="I3" s="29"/>
      <c r="J3" s="29"/>
    </row>
    <row r="4" spans="1:3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34" ht="12.75" x14ac:dyDescent="0.2">
      <c r="B5" s="8"/>
      <c r="C5" s="8"/>
      <c r="D5" s="8"/>
      <c r="E5" s="8" t="s">
        <v>50</v>
      </c>
      <c r="F5" s="8"/>
      <c r="G5" s="8"/>
      <c r="H5" s="8"/>
      <c r="I5" s="8"/>
      <c r="J5" s="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ht="12.75" x14ac:dyDescent="0.2">
      <c r="B6" s="46"/>
      <c r="C6" s="46"/>
      <c r="D6" s="49"/>
      <c r="E6" s="49" t="s">
        <v>49</v>
      </c>
      <c r="F6" s="49"/>
      <c r="G6" s="46"/>
      <c r="H6" s="46"/>
      <c r="I6" s="46"/>
      <c r="J6" s="46"/>
      <c r="K6" s="45"/>
      <c r="L6" s="29"/>
      <c r="M6" s="30"/>
      <c r="N6" s="29"/>
      <c r="O6" s="29"/>
      <c r="P6" s="29"/>
      <c r="Q6" s="29"/>
    </row>
    <row r="7" spans="1:34" ht="12.75" x14ac:dyDescent="0.2">
      <c r="A7" s="48" t="s">
        <v>21</v>
      </c>
      <c r="B7" s="47"/>
      <c r="C7" s="47"/>
      <c r="D7" s="47"/>
      <c r="E7" s="46" t="s">
        <v>48</v>
      </c>
      <c r="F7" s="45"/>
      <c r="G7" s="45"/>
      <c r="H7" s="45"/>
      <c r="I7" s="45"/>
      <c r="J7" s="45"/>
      <c r="K7" s="45"/>
      <c r="L7" s="29"/>
      <c r="M7" s="30"/>
      <c r="N7" s="29"/>
      <c r="O7" s="29"/>
      <c r="P7" s="29"/>
      <c r="Q7" s="29"/>
    </row>
    <row r="8" spans="1:34" s="19" customFormat="1" ht="12.75" x14ac:dyDescent="0.2">
      <c r="A8" s="44" t="s">
        <v>41</v>
      </c>
      <c r="B8" s="44" t="s">
        <v>41</v>
      </c>
      <c r="C8" s="44" t="s">
        <v>11</v>
      </c>
      <c r="D8" s="44" t="s">
        <v>11</v>
      </c>
      <c r="E8" s="44" t="s">
        <v>47</v>
      </c>
      <c r="F8" s="31" t="s">
        <v>46</v>
      </c>
      <c r="G8" s="31" t="s">
        <v>45</v>
      </c>
      <c r="H8" s="31"/>
      <c r="I8" s="31"/>
      <c r="J8" s="31"/>
      <c r="K8" s="31"/>
      <c r="L8" s="42"/>
      <c r="M8" s="43"/>
      <c r="N8" s="42"/>
      <c r="O8" s="42"/>
      <c r="P8" s="42"/>
      <c r="Q8" s="42"/>
    </row>
    <row r="9" spans="1:34" ht="12.75" x14ac:dyDescent="0.2">
      <c r="A9" s="41" t="s">
        <v>10</v>
      </c>
      <c r="B9" s="41" t="s">
        <v>9</v>
      </c>
      <c r="C9" s="41" t="s">
        <v>10</v>
      </c>
      <c r="D9" s="41" t="s">
        <v>9</v>
      </c>
      <c r="E9" s="118">
        <f>F9*G9</f>
        <v>20812.5</v>
      </c>
      <c r="F9" s="40">
        <v>90000</v>
      </c>
      <c r="G9" s="117">
        <f>23.125%</f>
        <v>0.23125000000000001</v>
      </c>
      <c r="H9" s="31"/>
      <c r="I9" s="31"/>
      <c r="J9" s="31"/>
      <c r="K9" s="31"/>
      <c r="L9" s="29"/>
      <c r="M9" s="30"/>
      <c r="N9" s="29"/>
      <c r="O9" s="29"/>
      <c r="P9" s="29"/>
      <c r="Q9" s="29"/>
    </row>
    <row r="10" spans="1:34" ht="12.75" x14ac:dyDescent="0.2">
      <c r="A10" s="121">
        <f>500*$E$9</f>
        <v>10406250</v>
      </c>
      <c r="B10" s="18"/>
      <c r="C10" s="18"/>
      <c r="D10" s="18"/>
      <c r="E10" s="113" t="s">
        <v>143</v>
      </c>
      <c r="F10" s="113"/>
      <c r="G10" s="113"/>
      <c r="H10" s="31"/>
      <c r="I10" s="31"/>
      <c r="J10" s="31"/>
      <c r="K10" s="31"/>
      <c r="L10" s="29"/>
      <c r="M10" s="30"/>
      <c r="N10" s="29"/>
      <c r="O10" s="29"/>
      <c r="P10" s="29"/>
      <c r="Q10" s="29"/>
    </row>
    <row r="11" spans="1:34" ht="12.75" x14ac:dyDescent="0.2">
      <c r="A11" s="18"/>
      <c r="B11" s="18"/>
      <c r="C11" s="18"/>
      <c r="D11" s="18"/>
      <c r="E11" s="31"/>
      <c r="F11" s="31"/>
      <c r="G11" s="31"/>
      <c r="H11" s="31"/>
      <c r="I11" s="31"/>
      <c r="J11" s="31"/>
      <c r="K11" s="31"/>
      <c r="L11" s="29"/>
      <c r="M11" s="30"/>
      <c r="N11" s="29"/>
      <c r="O11" s="29"/>
      <c r="P11" s="29"/>
      <c r="Q11" s="29"/>
    </row>
    <row r="12" spans="1:34" ht="12.75" x14ac:dyDescent="0.2">
      <c r="A12" s="18"/>
      <c r="B12" s="18">
        <f>$E$9*1425</f>
        <v>29657812.5</v>
      </c>
      <c r="C12" s="18"/>
      <c r="D12" s="18"/>
      <c r="E12" s="31" t="s">
        <v>44</v>
      </c>
      <c r="F12" s="31"/>
      <c r="G12" s="31"/>
      <c r="H12" s="31"/>
      <c r="I12" s="31"/>
      <c r="J12" s="31"/>
      <c r="K12" s="31"/>
      <c r="L12" s="29"/>
      <c r="M12" s="30"/>
      <c r="N12" s="29"/>
      <c r="O12" s="29"/>
      <c r="P12" s="29"/>
      <c r="Q12" s="29"/>
    </row>
    <row r="13" spans="1:34" ht="12.75" x14ac:dyDescent="0.2">
      <c r="A13" s="18"/>
      <c r="B13" s="18"/>
      <c r="C13" s="18"/>
      <c r="D13" s="18"/>
      <c r="E13" s="31"/>
      <c r="F13" s="31"/>
      <c r="G13" s="31"/>
      <c r="H13" s="31"/>
      <c r="I13" s="31"/>
      <c r="J13" s="31"/>
      <c r="K13" s="31"/>
      <c r="L13" s="29"/>
      <c r="M13" s="30"/>
      <c r="N13" s="29"/>
      <c r="O13" s="29"/>
      <c r="P13" s="29"/>
      <c r="Q13" s="29"/>
    </row>
    <row r="14" spans="1:34" ht="12.75" x14ac:dyDescent="0.2">
      <c r="A14" s="18"/>
      <c r="B14" s="18"/>
      <c r="C14" s="18"/>
      <c r="D14" s="18"/>
      <c r="E14" s="31"/>
      <c r="F14" s="31"/>
      <c r="G14" s="31"/>
      <c r="H14" s="31"/>
      <c r="I14" s="31"/>
      <c r="J14" s="31"/>
      <c r="K14" s="31"/>
      <c r="L14" s="29"/>
      <c r="M14" s="30"/>
      <c r="N14" s="29"/>
      <c r="O14" s="29"/>
      <c r="P14" s="29"/>
      <c r="Q14" s="29"/>
    </row>
    <row r="15" spans="1:34" ht="13.5" thickBot="1" x14ac:dyDescent="0.25">
      <c r="A15" s="37"/>
      <c r="B15" s="37"/>
      <c r="C15" s="37"/>
      <c r="D15" s="37"/>
      <c r="E15" s="39"/>
      <c r="F15" s="31"/>
      <c r="G15" s="31"/>
      <c r="H15" s="31"/>
      <c r="I15" s="31"/>
      <c r="J15" s="31"/>
      <c r="K15" s="31"/>
      <c r="L15" s="29"/>
      <c r="M15" s="30"/>
      <c r="N15" s="29"/>
      <c r="O15" s="29"/>
      <c r="P15" s="29"/>
      <c r="Q15" s="29"/>
    </row>
    <row r="16" spans="1:34" ht="12.75" x14ac:dyDescent="0.2">
      <c r="A16" s="34">
        <f>SUM(A10:A15)</f>
        <v>10406250</v>
      </c>
      <c r="B16" s="34">
        <f>SUM(B10:B15)</f>
        <v>29657812.5</v>
      </c>
      <c r="C16" s="34">
        <f>SUM(C10:C15)</f>
        <v>0</v>
      </c>
      <c r="D16" s="34">
        <f>SUM(D10:D15)</f>
        <v>0</v>
      </c>
      <c r="E16" s="39" t="s">
        <v>15</v>
      </c>
      <c r="F16" s="31"/>
      <c r="G16" s="31"/>
      <c r="H16" s="38"/>
      <c r="I16" s="31"/>
      <c r="J16" s="31"/>
      <c r="K16" s="31"/>
      <c r="L16" s="29"/>
      <c r="M16" s="30"/>
      <c r="N16" s="29"/>
      <c r="O16" s="29"/>
      <c r="P16" s="29"/>
      <c r="Q16" s="29"/>
    </row>
    <row r="17" spans="1:17" ht="12.75" x14ac:dyDescent="0.2">
      <c r="A17" s="34">
        <f>+(A16)*0.08</f>
        <v>832500</v>
      </c>
      <c r="B17" s="34"/>
      <c r="C17" s="34">
        <f>+(C16)*0.08</f>
        <v>0</v>
      </c>
      <c r="D17" s="34"/>
      <c r="E17" s="36" t="s">
        <v>43</v>
      </c>
      <c r="F17" s="31"/>
      <c r="G17" s="31"/>
      <c r="H17" s="31"/>
      <c r="I17" s="31"/>
      <c r="J17" s="31"/>
      <c r="K17" s="31"/>
      <c r="L17" s="29"/>
      <c r="M17" s="30"/>
      <c r="N17" s="29"/>
      <c r="O17" s="29"/>
      <c r="P17" s="29"/>
      <c r="Q17" s="29"/>
    </row>
    <row r="18" spans="1:17" ht="13.5" thickBot="1" x14ac:dyDescent="0.25">
      <c r="A18" s="37">
        <f>+A16*0.15*0</f>
        <v>0</v>
      </c>
      <c r="B18" s="37">
        <f>+B16*0.15</f>
        <v>4448671.875</v>
      </c>
      <c r="C18" s="37">
        <f>+C16*0.15</f>
        <v>0</v>
      </c>
      <c r="D18" s="37">
        <f>+D16*0.15</f>
        <v>0</v>
      </c>
      <c r="E18" s="36" t="s">
        <v>42</v>
      </c>
      <c r="F18" s="31"/>
      <c r="G18" s="31"/>
      <c r="H18" s="31"/>
      <c r="I18" s="31"/>
      <c r="J18" s="31"/>
      <c r="K18" s="31"/>
      <c r="L18" s="29"/>
      <c r="M18" s="30"/>
      <c r="N18" s="29"/>
      <c r="O18" s="29"/>
      <c r="P18" s="29"/>
      <c r="Q18" s="29"/>
    </row>
    <row r="19" spans="1:17" ht="12.75" x14ac:dyDescent="0.2">
      <c r="A19" s="34">
        <f>SUM(A16:A18)</f>
        <v>11238750</v>
      </c>
      <c r="B19" s="34">
        <f>SUM(B16:B18)</f>
        <v>34106484.375</v>
      </c>
      <c r="C19" s="34">
        <f>SUM(C16:C18)</f>
        <v>0</v>
      </c>
      <c r="D19" s="34">
        <f>SUM(D16:D18)</f>
        <v>0</v>
      </c>
      <c r="E19" s="36" t="s">
        <v>7</v>
      </c>
      <c r="F19" s="7"/>
      <c r="G19" s="35"/>
      <c r="H19" s="6"/>
      <c r="I19" s="31"/>
      <c r="J19" s="31"/>
      <c r="K19" s="31"/>
      <c r="L19" s="29"/>
      <c r="M19" s="30"/>
      <c r="N19" s="29"/>
      <c r="O19" s="29"/>
      <c r="P19" s="29"/>
      <c r="Q19" s="29"/>
    </row>
    <row r="20" spans="1:17" ht="12.75" x14ac:dyDescent="0.2">
      <c r="A20" s="34"/>
      <c r="B20" s="34"/>
      <c r="C20" s="34"/>
      <c r="D20" s="34"/>
      <c r="E20" s="36"/>
      <c r="F20" s="7"/>
      <c r="G20" s="35"/>
      <c r="H20" s="6"/>
      <c r="I20" s="31"/>
      <c r="J20" s="31"/>
      <c r="K20" s="31"/>
      <c r="L20" s="29"/>
      <c r="M20" s="30"/>
      <c r="N20" s="29"/>
      <c r="O20" s="29"/>
      <c r="P20" s="29"/>
      <c r="Q20" s="29"/>
    </row>
    <row r="21" spans="1:17" ht="12.75" x14ac:dyDescent="0.2">
      <c r="A21" s="34"/>
      <c r="B21" s="34"/>
      <c r="C21" s="34"/>
      <c r="D21" s="34"/>
      <c r="E21" s="33">
        <f>+A19+B19+C19+D19</f>
        <v>45345234.375</v>
      </c>
      <c r="F21" s="32" t="s">
        <v>15</v>
      </c>
      <c r="G21" s="31"/>
      <c r="H21" s="31"/>
      <c r="I21" s="31"/>
      <c r="J21" s="31"/>
      <c r="K21" s="31"/>
      <c r="L21" s="29"/>
      <c r="M21" s="30"/>
      <c r="N21" s="29"/>
      <c r="O21" s="29"/>
      <c r="P21" s="29"/>
      <c r="Q21" s="29"/>
    </row>
    <row r="22" spans="1:17" ht="12.75" x14ac:dyDescent="0.2">
      <c r="A22" s="2"/>
      <c r="B22" s="28"/>
      <c r="C22" s="4"/>
      <c r="D22" s="4"/>
      <c r="E22" s="4"/>
    </row>
    <row r="23" spans="1:17" ht="12.75" x14ac:dyDescent="0.2">
      <c r="A23" s="2"/>
      <c r="B23" s="2"/>
      <c r="C23" s="2"/>
      <c r="D23" s="15"/>
      <c r="E23" s="2"/>
      <c r="F23" s="27"/>
    </row>
    <row r="24" spans="1:17" ht="12.75" x14ac:dyDescent="0.2">
      <c r="A24" s="2"/>
      <c r="B24" s="2"/>
      <c r="C24" s="26" t="s">
        <v>41</v>
      </c>
      <c r="D24" s="25" t="s">
        <v>11</v>
      </c>
      <c r="E24" s="24"/>
      <c r="F24" s="8" t="str">
        <f>G8</f>
        <v>Percentage</v>
      </c>
    </row>
    <row r="25" spans="1:17" ht="15" x14ac:dyDescent="0.35">
      <c r="A25" s="23" t="s">
        <v>40</v>
      </c>
      <c r="B25" s="2"/>
      <c r="C25" s="22" t="s">
        <v>10</v>
      </c>
      <c r="D25" s="21" t="s">
        <v>10</v>
      </c>
      <c r="E25" s="21" t="s">
        <v>39</v>
      </c>
      <c r="F25" s="79">
        <f>G9</f>
        <v>0.23125000000000001</v>
      </c>
    </row>
    <row r="26" spans="1:17" ht="12.75" x14ac:dyDescent="0.2">
      <c r="A26" s="2"/>
      <c r="B26" s="2"/>
      <c r="C26" s="2"/>
      <c r="D26" s="15"/>
      <c r="E26" s="2"/>
      <c r="F26" s="2"/>
    </row>
    <row r="27" spans="1:17" ht="12.75" x14ac:dyDescent="0.2">
      <c r="A27" s="2" t="s">
        <v>38</v>
      </c>
      <c r="B27" s="2"/>
      <c r="C27" s="2"/>
      <c r="D27" s="15">
        <f>600000*$G$9</f>
        <v>138750</v>
      </c>
      <c r="F27" s="2" t="s">
        <v>122</v>
      </c>
    </row>
    <row r="28" spans="1:17" ht="12.75" x14ac:dyDescent="0.2">
      <c r="A28" s="2" t="s">
        <v>37</v>
      </c>
      <c r="B28" s="2"/>
      <c r="C28" s="2"/>
      <c r="D28" s="15">
        <f>1000000*$G$9</f>
        <v>231250</v>
      </c>
      <c r="F28" s="2" t="s">
        <v>123</v>
      </c>
    </row>
    <row r="29" spans="1:17" ht="12.75" x14ac:dyDescent="0.2">
      <c r="A29" s="2" t="s">
        <v>36</v>
      </c>
      <c r="B29" s="2"/>
      <c r="C29" s="2"/>
      <c r="D29" s="15">
        <f>500000*$G$9</f>
        <v>115625</v>
      </c>
      <c r="E29" s="182">
        <f>50000*$G$9</f>
        <v>11562.5</v>
      </c>
      <c r="F29" s="2" t="s">
        <v>278</v>
      </c>
    </row>
    <row r="30" spans="1:17" ht="12.75" x14ac:dyDescent="0.2">
      <c r="A30" s="2" t="s">
        <v>35</v>
      </c>
      <c r="B30" s="2"/>
      <c r="C30" s="15">
        <f>(7730000*0.98)*$G$9</f>
        <v>1751811.25</v>
      </c>
      <c r="F30" s="31" t="s">
        <v>277</v>
      </c>
    </row>
    <row r="31" spans="1:17" ht="12.75" x14ac:dyDescent="0.2">
      <c r="A31" s="2" t="s">
        <v>34</v>
      </c>
      <c r="B31" s="2"/>
      <c r="C31" s="15">
        <f>(7730000*0.02)*$G$9</f>
        <v>35751.25</v>
      </c>
      <c r="F31" s="31" t="s">
        <v>276</v>
      </c>
    </row>
    <row r="32" spans="1:17" ht="12.75" x14ac:dyDescent="0.2">
      <c r="A32" s="2" t="s">
        <v>33</v>
      </c>
      <c r="B32" s="2"/>
      <c r="C32" s="2"/>
      <c r="E32" s="15">
        <f>80000*5*$G$9</f>
        <v>92500</v>
      </c>
      <c r="F32" s="17" t="s">
        <v>32</v>
      </c>
    </row>
    <row r="33" spans="1:9" ht="12.75" x14ac:dyDescent="0.2">
      <c r="A33" s="2" t="s">
        <v>31</v>
      </c>
      <c r="B33" s="2"/>
      <c r="C33" s="15">
        <f>3000000*$G$9</f>
        <v>693750</v>
      </c>
      <c r="E33" s="15">
        <f>1000000*$G$9*0</f>
        <v>0</v>
      </c>
      <c r="F33" s="17" t="s">
        <v>283</v>
      </c>
    </row>
    <row r="34" spans="1:9" ht="12.75" x14ac:dyDescent="0.2">
      <c r="A34" s="2" t="s">
        <v>29</v>
      </c>
      <c r="B34" s="2"/>
      <c r="C34" s="2"/>
      <c r="D34" s="19"/>
      <c r="E34" s="18">
        <f>90000*1*250*$G$9</f>
        <v>5203125</v>
      </c>
      <c r="F34" s="17" t="s">
        <v>28</v>
      </c>
    </row>
    <row r="35" spans="1:9" ht="13.5" thickBot="1" x14ac:dyDescent="0.25">
      <c r="A35" s="31" t="s">
        <v>27</v>
      </c>
      <c r="B35" s="31"/>
      <c r="C35" s="56"/>
      <c r="D35" s="37">
        <f>-(125*$E$9)*0</f>
        <v>0</v>
      </c>
      <c r="E35" s="37"/>
      <c r="F35" s="31" t="s">
        <v>116</v>
      </c>
      <c r="G35" s="19"/>
      <c r="H35" s="19"/>
      <c r="I35" s="16"/>
    </row>
    <row r="36" spans="1:9" ht="12.75" x14ac:dyDescent="0.2">
      <c r="A36" s="2"/>
      <c r="B36" s="2"/>
      <c r="C36" s="15">
        <f>SUM(C27:C35)</f>
        <v>2481312.5</v>
      </c>
      <c r="D36" s="15">
        <f>SUM(D27:D35)</f>
        <v>485625</v>
      </c>
      <c r="E36" s="15">
        <f>SUM(E27:E35)</f>
        <v>5307187.5</v>
      </c>
      <c r="F36" s="2"/>
    </row>
    <row r="37" spans="1:9" ht="12.75" x14ac:dyDescent="0.2">
      <c r="A37" s="2"/>
      <c r="B37" s="2"/>
      <c r="C37" s="15"/>
      <c r="D37" s="15"/>
      <c r="E37" s="15"/>
      <c r="F37" s="2"/>
    </row>
    <row r="38" spans="1:9" ht="12.75" x14ac:dyDescent="0.2">
      <c r="A38" s="2"/>
      <c r="B38" s="2"/>
      <c r="C38" s="15"/>
      <c r="D38" s="15"/>
      <c r="E38" s="15">
        <f>E21+C36</f>
        <v>47826546.875</v>
      </c>
      <c r="F38" s="2" t="s">
        <v>26</v>
      </c>
    </row>
    <row r="39" spans="1:9" ht="13.5" thickBot="1" x14ac:dyDescent="0.25">
      <c r="A39" s="2"/>
      <c r="B39" s="2"/>
      <c r="C39" s="2"/>
      <c r="D39" s="2"/>
      <c r="E39" s="14">
        <f>D36+E36</f>
        <v>5792812.5</v>
      </c>
      <c r="F39" s="13" t="s">
        <v>25</v>
      </c>
    </row>
    <row r="40" spans="1:9" ht="12.75" x14ac:dyDescent="0.2">
      <c r="A40" s="2"/>
      <c r="B40" s="2"/>
      <c r="C40" s="2"/>
      <c r="D40" s="2"/>
      <c r="E40" s="12">
        <f>+E21+C36+D36+E36</f>
        <v>53619359.375</v>
      </c>
      <c r="F40" s="11" t="s">
        <v>24</v>
      </c>
    </row>
    <row r="41" spans="1:9" ht="12.75" x14ac:dyDescent="0.2">
      <c r="A41" s="2"/>
      <c r="B41" s="2"/>
      <c r="C41" s="2"/>
      <c r="D41" s="2"/>
      <c r="E41" s="4"/>
      <c r="F41" s="2"/>
    </row>
    <row r="42" spans="1:9" ht="12.75" x14ac:dyDescent="0.2">
      <c r="A42" s="2"/>
      <c r="B42" s="2"/>
      <c r="C42" s="2"/>
      <c r="D42" s="2"/>
      <c r="E42" s="2"/>
    </row>
    <row r="43" spans="1:9" ht="12.75" x14ac:dyDescent="0.2">
      <c r="A43" s="2" t="s">
        <v>23</v>
      </c>
      <c r="B43" s="2"/>
      <c r="C43" s="2"/>
      <c r="D43" s="2"/>
      <c r="E43" s="2"/>
    </row>
    <row r="44" spans="1:9" ht="12.75" x14ac:dyDescent="0.2">
      <c r="A44" s="2"/>
      <c r="B44" s="2"/>
      <c r="C44" s="2"/>
      <c r="D44" s="2"/>
      <c r="E44" s="2"/>
    </row>
    <row r="45" spans="1:9" ht="12.75" x14ac:dyDescent="0.2">
      <c r="A45" s="2"/>
      <c r="B45" s="2"/>
      <c r="C45" s="2"/>
      <c r="D45" s="2"/>
      <c r="E45" s="2"/>
    </row>
    <row r="46" spans="1:9" ht="12.75" x14ac:dyDescent="0.2">
      <c r="A46" s="3" t="s">
        <v>22</v>
      </c>
      <c r="B46" s="8" t="s">
        <v>12</v>
      </c>
      <c r="C46" s="8" t="s">
        <v>11</v>
      </c>
      <c r="D46" s="2"/>
      <c r="E46" s="2"/>
    </row>
    <row r="47" spans="1:9" ht="12.75" x14ac:dyDescent="0.2">
      <c r="A47" s="2" t="s">
        <v>10</v>
      </c>
      <c r="B47" s="4"/>
      <c r="C47" s="4"/>
      <c r="D47" s="2"/>
      <c r="E47" s="2"/>
    </row>
    <row r="48" spans="1:9" ht="12.75" x14ac:dyDescent="0.2">
      <c r="A48" s="2" t="s">
        <v>9</v>
      </c>
      <c r="B48" s="5"/>
      <c r="C48" s="5"/>
      <c r="D48" s="2"/>
      <c r="E48" s="2"/>
    </row>
    <row r="49" spans="1:6" ht="12.75" x14ac:dyDescent="0.2">
      <c r="A49" s="2" t="s">
        <v>17</v>
      </c>
      <c r="B49" s="4">
        <f>SUM(B47:B48)</f>
        <v>0</v>
      </c>
      <c r="C49" s="4">
        <f>SUM(C47:C48)</f>
        <v>0</v>
      </c>
      <c r="D49" s="2"/>
      <c r="E49" s="2"/>
    </row>
    <row r="50" spans="1:6" ht="12.75" x14ac:dyDescent="0.2">
      <c r="A50" s="2"/>
      <c r="B50" s="2"/>
      <c r="C50" s="2"/>
      <c r="D50" s="2"/>
      <c r="E50" s="2"/>
    </row>
    <row r="51" spans="1:6" ht="12.75" x14ac:dyDescent="0.2">
      <c r="A51" s="3" t="s">
        <v>21</v>
      </c>
      <c r="B51" s="2"/>
      <c r="C51" s="2"/>
      <c r="D51" s="2"/>
      <c r="E51" s="2"/>
    </row>
    <row r="52" spans="1:6" ht="12.75" x14ac:dyDescent="0.2">
      <c r="A52" s="2" t="s">
        <v>10</v>
      </c>
      <c r="B52" s="4">
        <f>A19+C33</f>
        <v>11932500</v>
      </c>
      <c r="C52" s="4">
        <f>C19</f>
        <v>0</v>
      </c>
      <c r="D52" s="2"/>
      <c r="E52" s="2"/>
    </row>
    <row r="53" spans="1:6" ht="12.75" x14ac:dyDescent="0.2">
      <c r="A53" s="2" t="s">
        <v>9</v>
      </c>
      <c r="B53" s="5">
        <f>B19</f>
        <v>34106484.375</v>
      </c>
      <c r="C53" s="5">
        <f>D19</f>
        <v>0</v>
      </c>
      <c r="D53" s="2"/>
      <c r="E53" s="2"/>
    </row>
    <row r="54" spans="1:6" ht="12.75" x14ac:dyDescent="0.2">
      <c r="A54" s="2" t="s">
        <v>17</v>
      </c>
      <c r="B54" s="4">
        <f>SUM(B52:B53)</f>
        <v>46038984.375</v>
      </c>
      <c r="C54" s="4">
        <f>SUM(C52:C53)</f>
        <v>0</v>
      </c>
      <c r="D54" s="2"/>
      <c r="E54" s="2"/>
    </row>
    <row r="55" spans="1:6" ht="12.75" x14ac:dyDescent="0.2">
      <c r="A55" s="2"/>
      <c r="B55" s="4"/>
      <c r="C55" s="4"/>
      <c r="D55" s="2"/>
      <c r="E55" s="2"/>
    </row>
    <row r="56" spans="1:6" ht="12.75" x14ac:dyDescent="0.2">
      <c r="A56" s="11" t="s">
        <v>20</v>
      </c>
      <c r="B56" s="4"/>
      <c r="C56" s="4"/>
      <c r="D56" s="2"/>
      <c r="E56" s="2"/>
    </row>
    <row r="57" spans="1:6" ht="12.75" x14ac:dyDescent="0.2">
      <c r="A57" s="2" t="s">
        <v>19</v>
      </c>
      <c r="B57" s="4">
        <f>C30</f>
        <v>1751811.25</v>
      </c>
      <c r="C57" s="4"/>
      <c r="D57" s="2"/>
      <c r="E57" s="2"/>
    </row>
    <row r="58" spans="1:6" ht="12.75" x14ac:dyDescent="0.2">
      <c r="A58" s="2" t="s">
        <v>18</v>
      </c>
      <c r="B58" s="5">
        <f>C31</f>
        <v>35751.25</v>
      </c>
      <c r="C58" s="4"/>
      <c r="D58" s="2"/>
      <c r="E58" s="2"/>
    </row>
    <row r="59" spans="1:6" ht="12.75" x14ac:dyDescent="0.2">
      <c r="A59" s="2" t="s">
        <v>17</v>
      </c>
      <c r="B59" s="4">
        <f>+B57+B58</f>
        <v>1787562.5</v>
      </c>
      <c r="C59" s="4"/>
      <c r="D59" s="2"/>
      <c r="E59" s="2"/>
    </row>
    <row r="60" spans="1:6" ht="12.75" x14ac:dyDescent="0.2">
      <c r="A60" s="2"/>
      <c r="B60" s="4"/>
      <c r="C60" s="4"/>
      <c r="D60" s="2"/>
      <c r="E60" s="2"/>
    </row>
    <row r="61" spans="1:6" ht="12.75" x14ac:dyDescent="0.2">
      <c r="A61" s="2"/>
      <c r="B61" s="4"/>
      <c r="C61" s="4"/>
      <c r="D61" s="2"/>
      <c r="E61" s="2"/>
    </row>
    <row r="62" spans="1:6" ht="12.75" x14ac:dyDescent="0.2">
      <c r="A62" s="2"/>
      <c r="B62" s="4"/>
      <c r="C62" s="4"/>
      <c r="D62" s="2"/>
      <c r="E62" s="2"/>
    </row>
    <row r="63" spans="1:6" ht="12.75" x14ac:dyDescent="0.2">
      <c r="A63" s="2" t="s">
        <v>16</v>
      </c>
      <c r="B63" s="4"/>
      <c r="C63" s="4"/>
      <c r="D63" s="2"/>
      <c r="E63" s="11"/>
    </row>
    <row r="64" spans="1:6" ht="12.75" x14ac:dyDescent="0.2">
      <c r="A64" s="2" t="s">
        <v>10</v>
      </c>
      <c r="B64" s="4"/>
      <c r="C64" s="4">
        <f>D36</f>
        <v>485625</v>
      </c>
      <c r="D64" s="2"/>
      <c r="E64" s="10"/>
      <c r="F64" s="69"/>
    </row>
    <row r="65" spans="1:4" ht="12.75" x14ac:dyDescent="0.2">
      <c r="A65" s="2" t="s">
        <v>9</v>
      </c>
      <c r="B65" s="5"/>
      <c r="C65" s="5">
        <f>E36</f>
        <v>5307187.5</v>
      </c>
      <c r="D65" s="2"/>
    </row>
    <row r="66" spans="1:4" ht="12.75" x14ac:dyDescent="0.2">
      <c r="A66" s="2" t="s">
        <v>15</v>
      </c>
      <c r="B66" s="4">
        <f>+B64+B65</f>
        <v>0</v>
      </c>
      <c r="C66" s="4">
        <f>+C64+C65</f>
        <v>5792812.5</v>
      </c>
      <c r="D66" s="2"/>
    </row>
    <row r="67" spans="1:4" ht="12.75" x14ac:dyDescent="0.2">
      <c r="A67" s="2"/>
      <c r="B67" s="4"/>
      <c r="C67" s="4"/>
      <c r="D67" s="2"/>
    </row>
    <row r="68" spans="1:4" ht="12.75" x14ac:dyDescent="0.2">
      <c r="A68" s="2" t="s">
        <v>7</v>
      </c>
      <c r="B68" s="4">
        <f>+B49+B54+B59+B66</f>
        <v>47826546.875</v>
      </c>
      <c r="C68" s="4">
        <f>+C49+C54+C59+C66</f>
        <v>5792812.5</v>
      </c>
      <c r="D68" s="2"/>
    </row>
    <row r="69" spans="1:4" ht="12.75" x14ac:dyDescent="0.2">
      <c r="A69" s="2"/>
      <c r="B69" s="4"/>
      <c r="C69" s="4"/>
      <c r="D69" s="2"/>
    </row>
    <row r="70" spans="1:4" ht="12.75" x14ac:dyDescent="0.2">
      <c r="A70" s="2" t="s">
        <v>14</v>
      </c>
      <c r="B70" s="4">
        <f>A19+B19+C36</f>
        <v>47826546.875</v>
      </c>
      <c r="C70" s="4">
        <f>C19+D19+D36+E36</f>
        <v>5792812.5</v>
      </c>
      <c r="D70" s="2"/>
    </row>
    <row r="71" spans="1:4" ht="12.75" x14ac:dyDescent="0.2">
      <c r="A71" s="2"/>
      <c r="B71" s="4"/>
      <c r="C71" s="4"/>
      <c r="D71" s="2"/>
    </row>
    <row r="72" spans="1:4" ht="12.75" x14ac:dyDescent="0.2">
      <c r="A72" s="2"/>
      <c r="B72" s="4"/>
      <c r="C72" s="4"/>
      <c r="D72" s="2"/>
    </row>
    <row r="73" spans="1:4" ht="12.75" x14ac:dyDescent="0.2">
      <c r="A73" s="2"/>
      <c r="B73" s="4"/>
      <c r="C73" s="4"/>
      <c r="D73" s="2"/>
    </row>
    <row r="74" spans="1:4" ht="13.5" thickBot="1" x14ac:dyDescent="0.25">
      <c r="A74" s="9" t="s">
        <v>13</v>
      </c>
      <c r="B74" s="8" t="s">
        <v>12</v>
      </c>
      <c r="C74" s="8" t="s">
        <v>11</v>
      </c>
      <c r="D74" s="2"/>
    </row>
    <row r="75" spans="1:4" ht="12.75" x14ac:dyDescent="0.2">
      <c r="A75" s="2" t="s">
        <v>10</v>
      </c>
      <c r="B75" s="4">
        <v>0</v>
      </c>
      <c r="C75" s="7">
        <f>(E34/5)*0.5</f>
        <v>520312.5</v>
      </c>
      <c r="D75" s="6"/>
    </row>
    <row r="76" spans="1:4" ht="12.75" x14ac:dyDescent="0.2">
      <c r="A76" s="2" t="s">
        <v>9</v>
      </c>
      <c r="B76" s="4">
        <v>0</v>
      </c>
      <c r="C76" s="4">
        <v>0</v>
      </c>
    </row>
    <row r="77" spans="1:4" ht="12.75" x14ac:dyDescent="0.2">
      <c r="A77" s="2" t="s">
        <v>8</v>
      </c>
      <c r="B77" s="5">
        <v>0</v>
      </c>
      <c r="C77" s="5">
        <v>0</v>
      </c>
      <c r="D77" s="2"/>
    </row>
    <row r="78" spans="1:4" ht="12.75" x14ac:dyDescent="0.2">
      <c r="A78" s="2" t="s">
        <v>7</v>
      </c>
      <c r="B78" s="4">
        <f>SUM(B75:B77)</f>
        <v>0</v>
      </c>
      <c r="C78" s="4">
        <f>SUM(C75:C77)</f>
        <v>520312.5</v>
      </c>
      <c r="D78" s="2"/>
    </row>
    <row r="79" spans="1:4" ht="12.75" x14ac:dyDescent="0.2">
      <c r="A79" s="2"/>
      <c r="B79" s="4"/>
      <c r="C79" s="4"/>
      <c r="D79" s="2"/>
    </row>
    <row r="80" spans="1:4" ht="12.75" x14ac:dyDescent="0.2">
      <c r="A80" s="2" t="s">
        <v>6</v>
      </c>
      <c r="B80" s="4"/>
      <c r="C80" s="4"/>
      <c r="D80" s="2"/>
    </row>
    <row r="81" spans="1:4" ht="12.75" x14ac:dyDescent="0.2">
      <c r="A81" s="2"/>
      <c r="B81" s="4"/>
      <c r="C81" s="4"/>
      <c r="D81" s="2"/>
    </row>
    <row r="82" spans="1:4" ht="12.75" x14ac:dyDescent="0.2">
      <c r="A82" s="2"/>
      <c r="B82" s="2"/>
      <c r="C82" s="2"/>
      <c r="D82" s="2"/>
    </row>
    <row r="83" spans="1:4" ht="12.75" x14ac:dyDescent="0.2">
      <c r="A83" s="3" t="s">
        <v>5</v>
      </c>
      <c r="B83" s="2"/>
      <c r="C83" s="2"/>
      <c r="D83" s="2"/>
    </row>
    <row r="84" spans="1:4" ht="12.75" x14ac:dyDescent="0.2">
      <c r="A84" s="2" t="s">
        <v>4</v>
      </c>
      <c r="B84" s="2"/>
      <c r="C84" s="2"/>
      <c r="D84" s="2"/>
    </row>
    <row r="85" spans="1:4" ht="12.75" x14ac:dyDescent="0.2">
      <c r="A85" s="2" t="s">
        <v>3</v>
      </c>
      <c r="B85" s="2"/>
      <c r="C85" s="2"/>
      <c r="D85" s="2"/>
    </row>
    <row r="86" spans="1:4" ht="12.75" x14ac:dyDescent="0.2">
      <c r="A86" s="2" t="s">
        <v>2</v>
      </c>
      <c r="B86" s="2"/>
      <c r="C86" s="2"/>
      <c r="D86" s="2"/>
    </row>
    <row r="87" spans="1:4" ht="12.75" x14ac:dyDescent="0.2">
      <c r="A87" s="2" t="s">
        <v>1</v>
      </c>
      <c r="B87" s="2"/>
      <c r="C87" s="2"/>
      <c r="D87" s="2"/>
    </row>
    <row r="88" spans="1:4" ht="12.75" x14ac:dyDescent="0.2">
      <c r="A88" s="2" t="s">
        <v>0</v>
      </c>
    </row>
  </sheetData>
  <pageMargins left="0.5" right="0.5" top="0.5" bottom="0.5" header="0.3" footer="0.3"/>
  <pageSetup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00F962B5-1A49-4F14-8116-A18888445885}"/>
</file>

<file path=customXml/itemProps2.xml><?xml version="1.0" encoding="utf-8"?>
<ds:datastoreItem xmlns:ds="http://schemas.openxmlformats.org/officeDocument/2006/customXml" ds:itemID="{5AABCF97-2FE7-45E0-B80F-D0B5C1260D07}"/>
</file>

<file path=customXml/itemProps3.xml><?xml version="1.0" encoding="utf-8"?>
<ds:datastoreItem xmlns:ds="http://schemas.openxmlformats.org/officeDocument/2006/customXml" ds:itemID="{0DEED358-97D0-4E14-BACF-26DFA2FD0C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23</vt:i4>
      </vt:variant>
    </vt:vector>
  </HeadingPairs>
  <TitlesOfParts>
    <vt:vector size="49" baseType="lpstr">
      <vt:lpstr>Cascade</vt:lpstr>
      <vt:lpstr>Appendix A</vt:lpstr>
      <vt:lpstr>Filed@90,000 vs Rebut@90,000</vt:lpstr>
      <vt:lpstr>Rev Req Input</vt:lpstr>
      <vt:lpstr>MATRIX SUM</vt:lpstr>
      <vt:lpstr>Percentages</vt:lpstr>
      <vt:lpstr>100% Ownership</vt:lpstr>
      <vt:lpstr>Total SD-SF-MF-DAC</vt:lpstr>
      <vt:lpstr>SD-SF-WH</vt:lpstr>
      <vt:lpstr>SD-SF-SepM</vt:lpstr>
      <vt:lpstr>SD-SF-SubM</vt:lpstr>
      <vt:lpstr>SD-MF-WH</vt:lpstr>
      <vt:lpstr>SD-MF-SepM</vt:lpstr>
      <vt:lpstr>SD-MF-SubM</vt:lpstr>
      <vt:lpstr>SD-DAC-WH</vt:lpstr>
      <vt:lpstr>SD-DAC-SepM</vt:lpstr>
      <vt:lpstr>SD-DAC-SubM</vt:lpstr>
      <vt:lpstr>CO-SF-WH</vt:lpstr>
      <vt:lpstr>CO-SF-SepM</vt:lpstr>
      <vt:lpstr>CO-SF-SubM</vt:lpstr>
      <vt:lpstr>CO-MF-WH</vt:lpstr>
      <vt:lpstr>CO-MF-SepM</vt:lpstr>
      <vt:lpstr>CO-MF-SubM</vt:lpstr>
      <vt:lpstr>CO-DAC-WH</vt:lpstr>
      <vt:lpstr>CO-DAC-SepM</vt:lpstr>
      <vt:lpstr>CO-DAC-SubM</vt:lpstr>
      <vt:lpstr>'100% Ownership'!Print_Area</vt:lpstr>
      <vt:lpstr>'Appendix A'!Print_Area</vt:lpstr>
      <vt:lpstr>Cascade!Print_Area</vt:lpstr>
      <vt:lpstr>'CO-DAC-SepM'!Print_Area</vt:lpstr>
      <vt:lpstr>'CO-DAC-SubM'!Print_Area</vt:lpstr>
      <vt:lpstr>'CO-DAC-WH'!Print_Area</vt:lpstr>
      <vt:lpstr>'CO-MF-SepM'!Print_Area</vt:lpstr>
      <vt:lpstr>'CO-MF-SubM'!Print_Area</vt:lpstr>
      <vt:lpstr>'CO-MF-WH'!Print_Area</vt:lpstr>
      <vt:lpstr>'CO-SF-SepM'!Print_Area</vt:lpstr>
      <vt:lpstr>'CO-SF-SubM'!Print_Area</vt:lpstr>
      <vt:lpstr>'CO-SF-WH'!Print_Area</vt:lpstr>
      <vt:lpstr>'Filed@90,000 vs Rebut@90,000'!Print_Area</vt:lpstr>
      <vt:lpstr>'SD-DAC-SepM'!Print_Area</vt:lpstr>
      <vt:lpstr>'SD-DAC-SubM'!Print_Area</vt:lpstr>
      <vt:lpstr>'SD-DAC-WH'!Print_Area</vt:lpstr>
      <vt:lpstr>'SD-MF-SepM'!Print_Area</vt:lpstr>
      <vt:lpstr>'SD-MF-SubM'!Print_Area</vt:lpstr>
      <vt:lpstr>'SD-MF-WH'!Print_Area</vt:lpstr>
      <vt:lpstr>'SD-SF-SepM'!Print_Area</vt:lpstr>
      <vt:lpstr>'SD-SF-SubM'!Print_Area</vt:lpstr>
      <vt:lpstr>'SD-SF-WH'!Print_Area</vt:lpstr>
      <vt:lpstr>'Total SD-SF-MF-DAC'!Print_Area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Calabrese, Mike A.</dc:creator>
  <dc:description/>
  <cp:lastModifiedBy>Schimka, Randy</cp:lastModifiedBy>
  <cp:lastPrinted>2017-09-15T17:52:34Z</cp:lastPrinted>
  <dcterms:created xsi:type="dcterms:W3CDTF">2017-06-09T04:36:53Z</dcterms:created>
  <dcterms:modified xsi:type="dcterms:W3CDTF">2017-09-18T18:01:39Z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0x0101003F4F5D1B534F4F409E43F3440FCEE6A5</vt:lpwstr>
  </property>
</Properties>
</file>