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sempra.sharepoint.com/teams/transmissionrevenue/2022/TO5-Cycle 5 Formula Rate Filing/December Filing/TO5 Cycle 5 Model/"/>
    </mc:Choice>
  </mc:AlternateContent>
  <xr:revisionPtr revIDLastSave="55" documentId="8_{269E0514-DA07-4A1B-8FD0-4507B5F2B861}" xr6:coauthVersionLast="47" xr6:coauthVersionMax="47" xr10:uidLastSave="{BDD4003D-3C41-4D6B-971B-0B544F0074E7}"/>
  <bookViews>
    <workbookView xWindow="-110" yWindow="-110" windowWidth="19420" windowHeight="11620" tabRatio="910" xr2:uid="{E2AB3D54-CA3E-46C8-B83F-4907D07FF2B5}"/>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Stmt AG" sheetId="38" r:id="rId28"/>
    <sheet name="AG-1" sheetId="109" r:id="rId29"/>
    <sheet name="AG-1A" sheetId="135" r:id="rId30"/>
    <sheet name="Stmt AH" sheetId="40" r:id="rId31"/>
    <sheet name="AH-1" sheetId="41" r:id="rId32"/>
    <sheet name="AH-2" sheetId="42" r:id="rId33"/>
    <sheet name="Stmt AI" sheetId="45" r:id="rId34"/>
    <sheet name="Stmt AJ" sheetId="46" r:id="rId35"/>
    <sheet name="AJ-1" sheetId="47" r:id="rId36"/>
    <sheet name="AJ-1A" sheetId="48" r:id="rId37"/>
    <sheet name="AJ-1B" sheetId="49" r:id="rId38"/>
    <sheet name="AJ-2" sheetId="52" r:id="rId39"/>
    <sheet name="AJ-2A" sheetId="53" r:id="rId40"/>
    <sheet name="AJ-3" sheetId="56" r:id="rId41"/>
    <sheet name="AJ-3A" sheetId="57" r:id="rId42"/>
    <sheet name="AJ-4" sheetId="59" r:id="rId43"/>
    <sheet name="AJ-4A" sheetId="61" r:id="rId44"/>
    <sheet name="AJ-5" sheetId="63" r:id="rId45"/>
    <sheet name="AJ-6" sheetId="65" r:id="rId46"/>
    <sheet name="AJ-7" sheetId="64" r:id="rId47"/>
    <sheet name="Stmt AK" sheetId="66" r:id="rId48"/>
    <sheet name="Stmt AL" sheetId="69" r:id="rId49"/>
    <sheet name="AL-1" sheetId="70" r:id="rId50"/>
    <sheet name="AL-2" sheetId="71" r:id="rId51"/>
    <sheet name="Stmt AM" sheetId="72" r:id="rId52"/>
    <sheet name="AM-1" sheetId="73" r:id="rId53"/>
    <sheet name="Stmt AQ" sheetId="74" r:id="rId54"/>
    <sheet name="Stmt AR" sheetId="75" r:id="rId55"/>
    <sheet name="AR-1" sheetId="153" r:id="rId56"/>
    <sheet name="Stmt AT" sheetId="176" r:id="rId57"/>
    <sheet name="AT-1" sheetId="177" r:id="rId58"/>
    <sheet name="Stmt AU" sheetId="77" r:id="rId59"/>
    <sheet name="AU-1" sheetId="79" r:id="rId60"/>
    <sheet name="Stmt AV" sheetId="82" r:id="rId61"/>
    <sheet name="AV-1A" sheetId="84" r:id="rId62"/>
    <sheet name="AV-1B" sheetId="113" r:id="rId63"/>
    <sheet name="Stmt Misc." sheetId="137" r:id="rId64"/>
    <sheet name="Misc.-1" sheetId="156" r:id="rId65"/>
    <sheet name="Misc.-1.1" sheetId="158" r:id="rId66"/>
    <sheet name="Order 864-1" sheetId="171" r:id="rId67"/>
    <sheet name="Order 864-2" sheetId="172" r:id="rId68"/>
    <sheet name="Order 864-3" sheetId="173" r:id="rId69"/>
    <sheet name="Order 864-4" sheetId="174" r:id="rId70"/>
    <sheet name="True-Up" sheetId="140" r:id="rId71"/>
    <sheet name="TO5 True-Up BK-1" sheetId="144" r:id="rId72"/>
    <sheet name="TO5 Stmt AF Proration" sheetId="157" r:id="rId73"/>
    <sheet name="True-Up Stmt AV" sheetId="150" r:id="rId74"/>
    <sheet name="Interest TU BP" sheetId="141" r:id="rId75"/>
    <sheet name="Interest TU CY" sheetId="142" r:id="rId76"/>
    <sheet name="HV-LV Plant Study" sheetId="86" r:id="rId77"/>
    <sheet name="Summary of HV-LV Splits" sheetId="118" r:id="rId78"/>
    <sheet name="ET Forecast Capital Additions" sheetId="116" r:id="rId79"/>
    <sheet name="General &amp; Common Plant Addition" sheetId="117" r:id="rId80"/>
    <sheet name="Incentive Transmission Plant" sheetId="119" r:id="rId81"/>
    <sheet name="Incentive CWIP-A" sheetId="120" r:id="rId82"/>
    <sheet name="Incentive CWIP-B" sheetId="121" r:id="rId83"/>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8">'AG-1'!$A$1:$E$32</definedName>
    <definedName name="_xlnm.Print_Area" localSheetId="32">'AH-2'!$A$1:$H$62</definedName>
    <definedName name="_xlnm.Print_Area" localSheetId="49">'AL-1'!$A$1:$E$33</definedName>
    <definedName name="_xlnm.Print_Titles" localSheetId="32">'AH-2'!$1:$6</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3">"3HLUHWD7UCRUUESL6DDMKVCIX"</definedName>
    <definedName name="SAPBEXwbID" localSheetId="47">"3HLUHWD7UCRUUESL6DDMKVCIX"</definedName>
    <definedName name="SAPBEXwbID" localSheetId="54">"3OI398WBFRH41IFEVHKOMVZ17"</definedName>
    <definedName name="SAPBEXwbID" localSheetId="56">"3OI398WBFRH41IFEVHKOMVZ17"</definedName>
    <definedName name="SAPBEXwbID" localSheetId="58">"3GYSU24DE0L8OAD9MMA71DS87"</definedName>
    <definedName name="SAPBEXwbID" localSheetId="60">"3OI398WBFRH41IFEVHKOMVZ17"</definedName>
    <definedName name="SAPBEXwbID" localSheetId="73">"3OI398WBFRH41IFEVHKOMVZ17"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52" l="1"/>
  <c r="E13" i="153"/>
  <c r="J27" i="173" l="1"/>
  <c r="G17" i="86"/>
  <c r="G18" i="86" s="1"/>
  <c r="G19" i="86" s="1"/>
  <c r="G36" i="150"/>
  <c r="W23" i="79"/>
  <c r="W24" i="79"/>
  <c r="W25" i="79"/>
  <c r="V23" i="79"/>
  <c r="M23" i="79"/>
  <c r="M24" i="79"/>
  <c r="L23" i="79"/>
  <c r="L24" i="79"/>
  <c r="A23" i="79"/>
  <c r="A24" i="79"/>
  <c r="E34" i="40"/>
  <c r="E25" i="40"/>
  <c r="E17" i="42" l="1"/>
  <c r="E22" i="42"/>
  <c r="E51" i="42"/>
  <c r="H51" i="42"/>
  <c r="H52" i="42"/>
  <c r="H53" i="42"/>
  <c r="A51" i="42"/>
  <c r="A52" i="42"/>
  <c r="A53" i="42"/>
  <c r="E42" i="42"/>
  <c r="E38" i="42"/>
  <c r="E16" i="42" s="1"/>
  <c r="E12" i="42"/>
  <c r="E11" i="42"/>
  <c r="J246" i="150" l="1"/>
  <c r="J247" i="150"/>
  <c r="J248" i="150"/>
  <c r="J249" i="150" s="1"/>
  <c r="J250" i="150" s="1"/>
  <c r="A246" i="150"/>
  <c r="A247" i="150"/>
  <c r="A248" i="150"/>
  <c r="A249" i="150"/>
  <c r="A250" i="150" s="1"/>
  <c r="A251" i="150" s="1"/>
  <c r="A252" i="150" s="1"/>
  <c r="C13" i="152" l="1"/>
  <c r="C28" i="158" l="1"/>
  <c r="C23" i="158"/>
  <c r="C18" i="158"/>
  <c r="H27" i="48" l="1"/>
  <c r="H28" i="48"/>
  <c r="H29" i="48"/>
  <c r="H30" i="48"/>
  <c r="H31" i="48"/>
  <c r="H32" i="48"/>
  <c r="H33" i="48"/>
  <c r="H26" i="48"/>
  <c r="H25" i="48"/>
  <c r="H18" i="48"/>
  <c r="H19" i="48"/>
  <c r="H20" i="48"/>
  <c r="H21" i="48"/>
  <c r="H17" i="48"/>
  <c r="H16" i="48"/>
  <c r="E28" i="40"/>
  <c r="E33" i="40"/>
  <c r="E32" i="40"/>
  <c r="E31" i="40"/>
  <c r="E30" i="40"/>
  <c r="E27" i="40"/>
  <c r="E26" i="40"/>
  <c r="E24" i="40"/>
  <c r="E24" i="42" l="1"/>
  <c r="E23" i="42"/>
  <c r="E21" i="42" l="1"/>
  <c r="E18" i="42"/>
  <c r="E48" i="42" l="1"/>
  <c r="E19" i="42" s="1"/>
  <c r="E33" i="42"/>
  <c r="E14" i="42" l="1"/>
  <c r="E55" i="42"/>
  <c r="E14" i="153" l="1"/>
  <c r="D34" i="86" l="1"/>
  <c r="D17" i="86"/>
  <c r="A40" i="86"/>
  <c r="K24" i="24" l="1"/>
  <c r="K25" i="24"/>
  <c r="K26" i="24"/>
  <c r="K27" i="24"/>
  <c r="K28" i="24"/>
  <c r="K29" i="24"/>
  <c r="K30" i="24"/>
  <c r="K31" i="24"/>
  <c r="K32" i="24"/>
  <c r="F23" i="140" l="1"/>
  <c r="H23" i="140" s="1"/>
  <c r="G23" i="140"/>
  <c r="N23" i="140"/>
  <c r="E119" i="144" l="1"/>
  <c r="E68" i="144"/>
  <c r="G250" i="150"/>
  <c r="G247" i="150"/>
  <c r="G237" i="150"/>
  <c r="G170" i="150"/>
  <c r="A118" i="150"/>
  <c r="J117" i="150"/>
  <c r="J118" i="150" s="1"/>
  <c r="J119" i="150" s="1"/>
  <c r="J120" i="150" s="1"/>
  <c r="J121" i="150" s="1"/>
  <c r="J122" i="150" s="1"/>
  <c r="J123" i="150" s="1"/>
  <c r="A119" i="150"/>
  <c r="A120" i="150" s="1"/>
  <c r="A121" i="150" s="1"/>
  <c r="A122" i="150" s="1"/>
  <c r="A123" i="150" s="1"/>
  <c r="E99" i="150"/>
  <c r="E86" i="150"/>
  <c r="A80" i="150"/>
  <c r="A81" i="150" s="1"/>
  <c r="A82" i="150" s="1"/>
  <c r="A83" i="150" s="1"/>
  <c r="A84" i="150" s="1"/>
  <c r="A85" i="150" s="1"/>
  <c r="A86" i="150" s="1"/>
  <c r="A87" i="150" s="1"/>
  <c r="A88" i="150" s="1"/>
  <c r="A89" i="150" s="1"/>
  <c r="A90" i="150" s="1"/>
  <c r="A91" i="150" s="1"/>
  <c r="A92" i="150" s="1"/>
  <c r="A93" i="150" s="1"/>
  <c r="A94" i="150" s="1"/>
  <c r="A95" i="150" s="1"/>
  <c r="A96" i="150" s="1"/>
  <c r="A97" i="150" s="1"/>
  <c r="A98" i="150" s="1"/>
  <c r="A99" i="150" s="1"/>
  <c r="A100" i="150" s="1"/>
  <c r="A101" i="150" s="1"/>
  <c r="A102" i="150" s="1"/>
  <c r="J79" i="150"/>
  <c r="J80" i="150" s="1"/>
  <c r="J81" i="150" s="1"/>
  <c r="J82" i="150" s="1"/>
  <c r="J83" i="150" s="1"/>
  <c r="J84" i="150" s="1"/>
  <c r="J85" i="150" s="1"/>
  <c r="J86" i="150" s="1"/>
  <c r="J87" i="150" s="1"/>
  <c r="J88" i="150" s="1"/>
  <c r="J89" i="150" s="1"/>
  <c r="J90" i="150" s="1"/>
  <c r="J91" i="150" s="1"/>
  <c r="J92" i="150" s="1"/>
  <c r="J93" i="150" s="1"/>
  <c r="J94" i="150" s="1"/>
  <c r="J95" i="150" s="1"/>
  <c r="J96" i="150" s="1"/>
  <c r="J97" i="150" s="1"/>
  <c r="J98" i="150" s="1"/>
  <c r="J99" i="150" s="1"/>
  <c r="J100" i="150" s="1"/>
  <c r="J101" i="150" s="1"/>
  <c r="J102" i="150" s="1"/>
  <c r="E187" i="144"/>
  <c r="E186" i="144"/>
  <c r="E148" i="144"/>
  <c r="E85" i="144" s="1"/>
  <c r="E144" i="144"/>
  <c r="E133" i="144"/>
  <c r="E55" i="144"/>
  <c r="B49" i="144"/>
  <c r="E38" i="144"/>
  <c r="E37" i="144"/>
  <c r="E20" i="144"/>
  <c r="E24" i="41" l="1"/>
  <c r="E19" i="41"/>
  <c r="E15" i="41"/>
  <c r="E11" i="41"/>
  <c r="C59" i="84" l="1"/>
  <c r="C58" i="84"/>
  <c r="E21" i="113"/>
  <c r="E22" i="113" s="1"/>
  <c r="E23" i="113" s="1"/>
  <c r="E24" i="113" s="1"/>
  <c r="E25" i="113" s="1"/>
  <c r="E26" i="113" s="1"/>
  <c r="E27" i="113" s="1"/>
  <c r="E28" i="113" s="1"/>
  <c r="E29" i="113" s="1"/>
  <c r="E30" i="113" s="1"/>
  <c r="E31" i="113" s="1"/>
  <c r="E32" i="113" s="1"/>
  <c r="E33" i="113" s="1"/>
  <c r="E34" i="113" s="1"/>
  <c r="A21" i="113"/>
  <c r="A22" i="113" s="1"/>
  <c r="A23" i="113" s="1"/>
  <c r="A24" i="113" s="1"/>
  <c r="A25" i="113" s="1"/>
  <c r="A26" i="113" s="1"/>
  <c r="A27" i="113" s="1"/>
  <c r="A28" i="113" s="1"/>
  <c r="A29" i="113" s="1"/>
  <c r="A30" i="113" s="1"/>
  <c r="A31" i="113" s="1"/>
  <c r="A32" i="113" s="1"/>
  <c r="A33" i="113" s="1"/>
  <c r="A34" i="113" s="1"/>
  <c r="C31" i="113"/>
  <c r="C33" i="113" s="1"/>
  <c r="C29" i="113"/>
  <c r="D59" i="84"/>
  <c r="D60" i="84"/>
  <c r="D61" i="84" s="1"/>
  <c r="D62" i="84" s="1"/>
  <c r="A59" i="84"/>
  <c r="A60" i="84"/>
  <c r="A61" i="84"/>
  <c r="V30" i="79"/>
  <c r="B26" i="73"/>
  <c r="B15" i="73"/>
  <c r="B14" i="73"/>
  <c r="B25" i="71"/>
  <c r="B14" i="71"/>
  <c r="B13" i="71"/>
  <c r="B27" i="70"/>
  <c r="B16" i="70"/>
  <c r="B15" i="70"/>
  <c r="B17" i="64"/>
  <c r="B17" i="65"/>
  <c r="B13" i="59"/>
  <c r="B15" i="56"/>
  <c r="B15" i="52"/>
  <c r="B26" i="109"/>
  <c r="B15" i="109"/>
  <c r="B14" i="109"/>
  <c r="B26" i="30"/>
  <c r="B15" i="30"/>
  <c r="B14" i="30"/>
  <c r="B17" i="27"/>
  <c r="B13" i="27"/>
  <c r="B16" i="26"/>
  <c r="B14" i="26"/>
  <c r="B16" i="25"/>
  <c r="B14" i="25"/>
  <c r="B26" i="23"/>
  <c r="B14" i="23"/>
  <c r="B15" i="23"/>
  <c r="B17" i="14"/>
  <c r="B13" i="14"/>
  <c r="B16" i="13"/>
  <c r="B14" i="13"/>
  <c r="B16" i="3"/>
  <c r="B14" i="3"/>
  <c r="B27" i="12"/>
  <c r="B16" i="12"/>
  <c r="B15" i="12"/>
  <c r="B26" i="9"/>
  <c r="B15" i="9"/>
  <c r="B14" i="9"/>
  <c r="B17" i="8"/>
  <c r="B15" i="8"/>
  <c r="B26" i="7"/>
  <c r="B15" i="7"/>
  <c r="B14" i="7"/>
  <c r="B26" i="6"/>
  <c r="B15" i="6"/>
  <c r="B14" i="6"/>
  <c r="B26" i="5"/>
  <c r="B15" i="5"/>
  <c r="B14" i="5"/>
  <c r="G15" i="177"/>
  <c r="I16" i="151"/>
  <c r="I15" i="151"/>
  <c r="I15" i="152"/>
  <c r="G15" i="153" l="1"/>
  <c r="D64" i="173" l="1"/>
  <c r="D65" i="173" s="1"/>
  <c r="D66" i="173" s="1"/>
  <c r="D67" i="173" s="1"/>
  <c r="J63" i="173" l="1"/>
  <c r="J62" i="173"/>
  <c r="D64" i="171" l="1"/>
  <c r="D65" i="171" s="1"/>
  <c r="D66" i="171" s="1"/>
  <c r="D67" i="171" s="1"/>
  <c r="J63" i="171" l="1"/>
  <c r="J62" i="171"/>
  <c r="C25" i="152" l="1"/>
  <c r="L17" i="173" l="1"/>
  <c r="J41" i="173"/>
  <c r="J37" i="173"/>
  <c r="J36" i="173"/>
  <c r="J35" i="173"/>
  <c r="J31" i="173"/>
  <c r="J30" i="173"/>
  <c r="J29" i="173"/>
  <c r="J20" i="173"/>
  <c r="J19" i="173"/>
  <c r="J18" i="173"/>
  <c r="J17" i="173"/>
  <c r="H34" i="174"/>
  <c r="F34" i="174"/>
  <c r="G34" i="174" s="1"/>
  <c r="H33" i="174"/>
  <c r="F33" i="174"/>
  <c r="G33" i="174" s="1"/>
  <c r="H32" i="174"/>
  <c r="F32" i="174"/>
  <c r="G32" i="174" s="1"/>
  <c r="E35" i="174"/>
  <c r="D35" i="174"/>
  <c r="E27" i="174"/>
  <c r="D27" i="174"/>
  <c r="H25" i="174"/>
  <c r="F25" i="174"/>
  <c r="G25" i="174" s="1"/>
  <c r="H24" i="174"/>
  <c r="F24" i="174"/>
  <c r="G24" i="174" s="1"/>
  <c r="H22" i="174"/>
  <c r="F22" i="174"/>
  <c r="G22" i="174" s="1"/>
  <c r="H20" i="174"/>
  <c r="F20" i="174"/>
  <c r="G20" i="174" s="1"/>
  <c r="H19" i="174"/>
  <c r="F19" i="174"/>
  <c r="G19" i="174" s="1"/>
  <c r="H18" i="174"/>
  <c r="F18" i="174"/>
  <c r="G18" i="174" s="1"/>
  <c r="K31" i="171"/>
  <c r="K30" i="171"/>
  <c r="K29" i="171"/>
  <c r="K22" i="171"/>
  <c r="K21" i="171"/>
  <c r="K19" i="171"/>
  <c r="K17" i="171"/>
  <c r="H20" i="172" s="1"/>
  <c r="K16" i="171"/>
  <c r="K15" i="171"/>
  <c r="L31" i="173"/>
  <c r="L30" i="173"/>
  <c r="L21" i="173"/>
  <c r="F32" i="173"/>
  <c r="G32" i="173"/>
  <c r="H32" i="173"/>
  <c r="I32" i="173"/>
  <c r="F24" i="173"/>
  <c r="G24" i="173"/>
  <c r="F34" i="172"/>
  <c r="G34" i="172" s="1"/>
  <c r="F33" i="172"/>
  <c r="G33" i="172" s="1"/>
  <c r="F32" i="172"/>
  <c r="G32" i="172" s="1"/>
  <c r="H25" i="172"/>
  <c r="F25" i="172"/>
  <c r="G25" i="172" s="1"/>
  <c r="F24" i="172"/>
  <c r="G24" i="172" s="1"/>
  <c r="F22" i="172"/>
  <c r="G22" i="172" s="1"/>
  <c r="F20" i="172"/>
  <c r="G20" i="172" s="1"/>
  <c r="F19" i="172"/>
  <c r="G19" i="172" s="1"/>
  <c r="F18" i="172"/>
  <c r="G18" i="172" s="1"/>
  <c r="E35" i="172"/>
  <c r="D35" i="172"/>
  <c r="E27" i="172"/>
  <c r="D27" i="172"/>
  <c r="E32" i="171"/>
  <c r="F32" i="171"/>
  <c r="G32" i="171"/>
  <c r="H32" i="171"/>
  <c r="I32" i="171"/>
  <c r="D32" i="171"/>
  <c r="E24" i="171"/>
  <c r="F24" i="171"/>
  <c r="G24" i="171"/>
  <c r="H24" i="171"/>
  <c r="I24" i="171"/>
  <c r="D24" i="171"/>
  <c r="G247" i="82"/>
  <c r="G237" i="82"/>
  <c r="G216" i="82"/>
  <c r="G170" i="82"/>
  <c r="H18" i="172" l="1"/>
  <c r="H24" i="172"/>
  <c r="I24" i="172" s="1"/>
  <c r="L21" i="171" s="1"/>
  <c r="H27" i="174"/>
  <c r="J32" i="171"/>
  <c r="J38" i="173"/>
  <c r="I18" i="174"/>
  <c r="I20" i="174"/>
  <c r="I24" i="174"/>
  <c r="I34" i="174"/>
  <c r="J24" i="171"/>
  <c r="J38" i="171"/>
  <c r="J28" i="173"/>
  <c r="J32" i="173" s="1"/>
  <c r="I33" i="174"/>
  <c r="I19" i="174"/>
  <c r="I22" i="174"/>
  <c r="I25" i="174"/>
  <c r="I32" i="174"/>
  <c r="G27" i="174"/>
  <c r="F27" i="174"/>
  <c r="H34" i="172"/>
  <c r="I34" i="172" s="1"/>
  <c r="L31" i="171" s="1"/>
  <c r="H33" i="172"/>
  <c r="I33" i="172" s="1"/>
  <c r="L30" i="171" s="1"/>
  <c r="H32" i="172"/>
  <c r="I25" i="172"/>
  <c r="L22" i="171" s="1"/>
  <c r="H22" i="172"/>
  <c r="I22" i="172" s="1"/>
  <c r="L19" i="171" s="1"/>
  <c r="N19" i="171" s="1"/>
  <c r="E19" i="173" s="1"/>
  <c r="H19" i="172"/>
  <c r="I19" i="172" s="1"/>
  <c r="L16" i="171" s="1"/>
  <c r="I18" i="172"/>
  <c r="L15" i="171" s="1"/>
  <c r="I20" i="172"/>
  <c r="L17" i="171" s="1"/>
  <c r="G213" i="82"/>
  <c r="M16" i="171" l="1"/>
  <c r="D16" i="173" s="1"/>
  <c r="M15" i="171"/>
  <c r="M19" i="171"/>
  <c r="D19" i="173" s="1"/>
  <c r="K19" i="173" s="1"/>
  <c r="M17" i="171"/>
  <c r="D17" i="173" s="1"/>
  <c r="N16" i="171"/>
  <c r="E16" i="173" s="1"/>
  <c r="N15" i="171"/>
  <c r="N17" i="171"/>
  <c r="E17" i="173" s="1"/>
  <c r="M22" i="171"/>
  <c r="D22" i="173" s="1"/>
  <c r="N22" i="171"/>
  <c r="E22" i="173" s="1"/>
  <c r="N21" i="171"/>
  <c r="E21" i="173" s="1"/>
  <c r="M21" i="171"/>
  <c r="D21" i="173" s="1"/>
  <c r="J43" i="173"/>
  <c r="J43" i="171"/>
  <c r="J45" i="171" s="1"/>
  <c r="I27" i="174"/>
  <c r="I32" i="172"/>
  <c r="L29" i="171" s="1"/>
  <c r="J16" i="173"/>
  <c r="E15" i="173" l="1"/>
  <c r="G13" i="152"/>
  <c r="K17" i="173"/>
  <c r="N30" i="171"/>
  <c r="E30" i="173" s="1"/>
  <c r="M31" i="171"/>
  <c r="D31" i="173" s="1"/>
  <c r="M30" i="171"/>
  <c r="D30" i="173" s="1"/>
  <c r="M29" i="171"/>
  <c r="N31" i="171"/>
  <c r="E31" i="173" s="1"/>
  <c r="N29" i="171"/>
  <c r="G28" i="152"/>
  <c r="C28" i="153"/>
  <c r="E28" i="152"/>
  <c r="K16" i="173"/>
  <c r="D15" i="173"/>
  <c r="J22" i="173"/>
  <c r="K31" i="173" l="1"/>
  <c r="K30" i="173"/>
  <c r="K22" i="173"/>
  <c r="J21" i="173"/>
  <c r="C13" i="153"/>
  <c r="G13" i="153" s="1"/>
  <c r="J15" i="173"/>
  <c r="E28" i="153"/>
  <c r="H24" i="173"/>
  <c r="I24" i="173"/>
  <c r="D29" i="173"/>
  <c r="E29" i="173"/>
  <c r="K21" i="173"/>
  <c r="K15" i="173"/>
  <c r="C33" i="177"/>
  <c r="K29" i="173" l="1"/>
  <c r="J24" i="173"/>
  <c r="J45"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G13" i="177"/>
  <c r="A13" i="177"/>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I12" i="177"/>
  <c r="I13" i="177" s="1"/>
  <c r="A11" i="176"/>
  <c r="A12" i="176" s="1"/>
  <c r="A13" i="176" s="1"/>
  <c r="A14" i="176" s="1"/>
  <c r="A15" i="176" s="1"/>
  <c r="A16" i="176" s="1"/>
  <c r="A17" i="176" s="1"/>
  <c r="A18" i="176" s="1"/>
  <c r="A19" i="176" s="1"/>
  <c r="B5" i="176"/>
  <c r="I14" i="177" l="1"/>
  <c r="I15" i="177" s="1"/>
  <c r="I16"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H11" i="176"/>
  <c r="H12" i="176" s="1"/>
  <c r="H13" i="176" s="1"/>
  <c r="H14" i="176" s="1"/>
  <c r="H15" i="176" s="1"/>
  <c r="H16" i="176" s="1"/>
  <c r="H17" i="176" s="1"/>
  <c r="H18" i="176" s="1"/>
  <c r="H19" i="176" s="1"/>
  <c r="C35" i="177"/>
  <c r="E35" i="177"/>
  <c r="G18" i="177"/>
  <c r="G33" i="177"/>
  <c r="E16" i="176" s="1"/>
  <c r="G25" i="177"/>
  <c r="E15" i="176" s="1"/>
  <c r="E14" i="176" l="1"/>
  <c r="E17" i="176" s="1"/>
  <c r="G35" i="177"/>
  <c r="H44" i="174"/>
  <c r="G44" i="174"/>
  <c r="F44" i="174"/>
  <c r="E41" i="174"/>
  <c r="D41" i="174"/>
  <c r="H40" i="174"/>
  <c r="F40" i="174"/>
  <c r="G40" i="174" s="1"/>
  <c r="H39" i="174"/>
  <c r="F39" i="174"/>
  <c r="G39" i="174" s="1"/>
  <c r="H38" i="174"/>
  <c r="F38" i="174"/>
  <c r="E46" i="174"/>
  <c r="H30" i="174"/>
  <c r="H35" i="174" s="1"/>
  <c r="F30" i="174"/>
  <c r="K17" i="174"/>
  <c r="K18" i="174" s="1"/>
  <c r="K19" i="174" s="1"/>
  <c r="K20" i="174" s="1"/>
  <c r="K21" i="174" s="1"/>
  <c r="K22" i="174" s="1"/>
  <c r="K23" i="174" s="1"/>
  <c r="K24" i="174" s="1"/>
  <c r="K25" i="174" s="1"/>
  <c r="K26" i="174" s="1"/>
  <c r="K27" i="174" s="1"/>
  <c r="K28" i="174" s="1"/>
  <c r="K29" i="174" s="1"/>
  <c r="K30" i="174" s="1"/>
  <c r="K31" i="174" s="1"/>
  <c r="K32" i="174" s="1"/>
  <c r="K33" i="174" s="1"/>
  <c r="K34" i="174" s="1"/>
  <c r="K35" i="174" s="1"/>
  <c r="K36" i="174" s="1"/>
  <c r="K37" i="174" s="1"/>
  <c r="K38" i="174" s="1"/>
  <c r="K39" i="174" s="1"/>
  <c r="K40" i="174" s="1"/>
  <c r="K41" i="174" s="1"/>
  <c r="K42" i="174" s="1"/>
  <c r="K43" i="174" s="1"/>
  <c r="K44" i="174" s="1"/>
  <c r="K45" i="174" s="1"/>
  <c r="K46" i="174" s="1"/>
  <c r="K47" i="174" s="1"/>
  <c r="K48" i="174" s="1"/>
  <c r="A17" i="174"/>
  <c r="A18" i="174" s="1"/>
  <c r="A19" i="174" s="1"/>
  <c r="A20" i="174" s="1"/>
  <c r="A21" i="174" s="1"/>
  <c r="A22" i="174" s="1"/>
  <c r="A23" i="174" s="1"/>
  <c r="A24" i="174" s="1"/>
  <c r="A25" i="174" s="1"/>
  <c r="A26" i="174" s="1"/>
  <c r="A27" i="174" s="1"/>
  <c r="A28" i="174" s="1"/>
  <c r="A29" i="174" s="1"/>
  <c r="A30" i="174" s="1"/>
  <c r="A31" i="174" s="1"/>
  <c r="A32" i="174" s="1"/>
  <c r="A33" i="174" s="1"/>
  <c r="A34" i="174" s="1"/>
  <c r="A35" i="174" s="1"/>
  <c r="A36" i="174" s="1"/>
  <c r="A37" i="174" s="1"/>
  <c r="A38" i="174" s="1"/>
  <c r="A39" i="174" s="1"/>
  <c r="A40" i="174" s="1"/>
  <c r="A41" i="174" s="1"/>
  <c r="A42" i="174" s="1"/>
  <c r="A43" i="174" s="1"/>
  <c r="A44" i="174" s="1"/>
  <c r="A45" i="174" s="1"/>
  <c r="A46" i="174" s="1"/>
  <c r="A47" i="174" s="1"/>
  <c r="A48" i="174" s="1"/>
  <c r="I38" i="173"/>
  <c r="C21" i="153" s="1"/>
  <c r="H38" i="173"/>
  <c r="E21" i="153" s="1"/>
  <c r="G38" i="173"/>
  <c r="F38" i="173"/>
  <c r="G43" i="173"/>
  <c r="P14" i="173"/>
  <c r="P15" i="173" s="1"/>
  <c r="P16" i="173" s="1"/>
  <c r="P17" i="173" s="1"/>
  <c r="P18" i="173" s="1"/>
  <c r="P19" i="173" s="1"/>
  <c r="P20" i="173" s="1"/>
  <c r="P21" i="173" s="1"/>
  <c r="P22" i="173" s="1"/>
  <c r="P23" i="173" s="1"/>
  <c r="P24" i="173" s="1"/>
  <c r="P25" i="173" s="1"/>
  <c r="P26" i="173" s="1"/>
  <c r="P27" i="173" s="1"/>
  <c r="P28" i="173" s="1"/>
  <c r="P29" i="173" s="1"/>
  <c r="P30" i="173" s="1"/>
  <c r="P31" i="173" s="1"/>
  <c r="P32" i="173" s="1"/>
  <c r="P33" i="173" s="1"/>
  <c r="P34" i="173" s="1"/>
  <c r="P35" i="173" s="1"/>
  <c r="P36" i="173" s="1"/>
  <c r="P37" i="173" s="1"/>
  <c r="P38" i="173" s="1"/>
  <c r="P39" i="173" s="1"/>
  <c r="P40" i="173" s="1"/>
  <c r="P41" i="173" s="1"/>
  <c r="P42" i="173" s="1"/>
  <c r="P43" i="173" s="1"/>
  <c r="P44" i="173" s="1"/>
  <c r="P45" i="173" s="1"/>
  <c r="A14" i="173"/>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A37" i="173" s="1"/>
  <c r="A38" i="173" s="1"/>
  <c r="A39" i="173" s="1"/>
  <c r="A40" i="173" s="1"/>
  <c r="A41" i="173" s="1"/>
  <c r="A42" i="173" s="1"/>
  <c r="A43" i="173" s="1"/>
  <c r="A44" i="173" s="1"/>
  <c r="A45" i="173" s="1"/>
  <c r="F44" i="172"/>
  <c r="G44" i="172" s="1"/>
  <c r="E41" i="172"/>
  <c r="D41" i="172"/>
  <c r="F40" i="172"/>
  <c r="G40" i="172" s="1"/>
  <c r="F39" i="172"/>
  <c r="G39" i="172" s="1"/>
  <c r="F38" i="172"/>
  <c r="G38" i="172" s="1"/>
  <c r="F35" i="172"/>
  <c r="F30" i="172"/>
  <c r="G30" i="172" s="1"/>
  <c r="K17" i="172"/>
  <c r="K18" i="172" s="1"/>
  <c r="K19" i="172" s="1"/>
  <c r="K20" i="172" s="1"/>
  <c r="K21" i="172" s="1"/>
  <c r="K22" i="172" s="1"/>
  <c r="K23" i="172" s="1"/>
  <c r="K24" i="172" s="1"/>
  <c r="K25" i="172" s="1"/>
  <c r="K26" i="172" s="1"/>
  <c r="K27" i="172" s="1"/>
  <c r="K28" i="172" s="1"/>
  <c r="K29" i="172" s="1"/>
  <c r="K30" i="172" s="1"/>
  <c r="K31" i="172" s="1"/>
  <c r="K32" i="172" s="1"/>
  <c r="K33" i="172" s="1"/>
  <c r="K34" i="172" s="1"/>
  <c r="K35" i="172" s="1"/>
  <c r="K36" i="172" s="1"/>
  <c r="K37" i="172" s="1"/>
  <c r="K38" i="172" s="1"/>
  <c r="K39" i="172" s="1"/>
  <c r="K40" i="172" s="1"/>
  <c r="K41" i="172" s="1"/>
  <c r="K42" i="172" s="1"/>
  <c r="K43" i="172" s="1"/>
  <c r="K44" i="172" s="1"/>
  <c r="K45" i="172" s="1"/>
  <c r="K46" i="172" s="1"/>
  <c r="K47" i="172" s="1"/>
  <c r="K48" i="172" s="1"/>
  <c r="A17" i="172"/>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K41" i="171"/>
  <c r="I38" i="171"/>
  <c r="H38" i="171"/>
  <c r="G38" i="171"/>
  <c r="F38" i="171"/>
  <c r="E38" i="171"/>
  <c r="D38" i="171"/>
  <c r="K37" i="171"/>
  <c r="K36" i="171"/>
  <c r="K35" i="171"/>
  <c r="K27" i="171"/>
  <c r="P14" i="171"/>
  <c r="P15" i="171" s="1"/>
  <c r="P16" i="171" s="1"/>
  <c r="P17" i="171" s="1"/>
  <c r="P18" i="171" s="1"/>
  <c r="P19" i="171" s="1"/>
  <c r="P20" i="171" s="1"/>
  <c r="P21" i="171" s="1"/>
  <c r="P22" i="171" s="1"/>
  <c r="P23" i="171" s="1"/>
  <c r="P24" i="171" s="1"/>
  <c r="P25" i="171" s="1"/>
  <c r="P26" i="171" s="1"/>
  <c r="P27" i="171" s="1"/>
  <c r="P28" i="171" s="1"/>
  <c r="P29" i="171" s="1"/>
  <c r="P30" i="171" s="1"/>
  <c r="P31" i="171" s="1"/>
  <c r="P32" i="171" s="1"/>
  <c r="P33" i="171" s="1"/>
  <c r="P34" i="171" s="1"/>
  <c r="P35" i="171" s="1"/>
  <c r="P36" i="171" s="1"/>
  <c r="P37" i="171" s="1"/>
  <c r="P38" i="171" s="1"/>
  <c r="P39" i="171" s="1"/>
  <c r="P40" i="171" s="1"/>
  <c r="P41" i="171" s="1"/>
  <c r="P42" i="171" s="1"/>
  <c r="P43" i="171" s="1"/>
  <c r="P44" i="171" s="1"/>
  <c r="P45" i="171" s="1"/>
  <c r="A14" i="17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G30" i="174" l="1"/>
  <c r="G35" i="174" s="1"/>
  <c r="F35" i="174"/>
  <c r="K32" i="171"/>
  <c r="I43" i="173"/>
  <c r="I45" i="173" s="1"/>
  <c r="H43" i="173"/>
  <c r="H45" i="173" s="1"/>
  <c r="G27" i="172"/>
  <c r="F27" i="172"/>
  <c r="K24" i="171"/>
  <c r="D46" i="172"/>
  <c r="D48" i="172" s="1"/>
  <c r="H43" i="171"/>
  <c r="H45" i="171" s="1"/>
  <c r="E46" i="172"/>
  <c r="E48" i="172" s="1"/>
  <c r="F43" i="173"/>
  <c r="F45" i="173" s="1"/>
  <c r="E19" i="176"/>
  <c r="G35" i="172"/>
  <c r="L15" i="173"/>
  <c r="F41" i="174"/>
  <c r="G38" i="174"/>
  <c r="G41" i="174" s="1"/>
  <c r="I39" i="174"/>
  <c r="L36" i="173" s="1"/>
  <c r="H41" i="174"/>
  <c r="H39" i="172"/>
  <c r="I39" i="172" s="1"/>
  <c r="L36" i="171" s="1"/>
  <c r="N36" i="171" s="1"/>
  <c r="F43" i="171"/>
  <c r="F45" i="171" s="1"/>
  <c r="G43" i="171"/>
  <c r="G45" i="171" s="1"/>
  <c r="E43" i="171"/>
  <c r="E45" i="171" s="1"/>
  <c r="I43" i="171"/>
  <c r="I45" i="171" s="1"/>
  <c r="D43" i="171"/>
  <c r="D45" i="171" s="1"/>
  <c r="K38" i="171"/>
  <c r="G41" i="172"/>
  <c r="E48" i="174"/>
  <c r="I44" i="174"/>
  <c r="L41" i="173" s="1"/>
  <c r="H38" i="172"/>
  <c r="H40" i="172"/>
  <c r="I40" i="172" s="1"/>
  <c r="L37" i="171" s="1"/>
  <c r="N37" i="171" s="1"/>
  <c r="H30" i="172"/>
  <c r="H35" i="172" s="1"/>
  <c r="G45" i="173"/>
  <c r="D46" i="174"/>
  <c r="D48" i="174" s="1"/>
  <c r="I40" i="174"/>
  <c r="L37" i="173" s="1"/>
  <c r="H44" i="172"/>
  <c r="I30" i="174"/>
  <c r="F41" i="172"/>
  <c r="G135" i="82" l="1"/>
  <c r="G135" i="150"/>
  <c r="E37" i="173"/>
  <c r="M37" i="171"/>
  <c r="I24" i="152" s="1"/>
  <c r="M36" i="171"/>
  <c r="L27" i="173"/>
  <c r="I35" i="174"/>
  <c r="L29" i="173" s="1"/>
  <c r="F46" i="174"/>
  <c r="L19" i="173"/>
  <c r="L16" i="173"/>
  <c r="M16" i="173" s="1"/>
  <c r="H27" i="172"/>
  <c r="F46" i="172"/>
  <c r="F48" i="172" s="1"/>
  <c r="I38" i="174"/>
  <c r="L35" i="173" s="1"/>
  <c r="F48" i="174"/>
  <c r="G46" i="172"/>
  <c r="G48" i="172" s="1"/>
  <c r="K43" i="171"/>
  <c r="K45" i="171" s="1"/>
  <c r="H46" i="174"/>
  <c r="H48" i="174" s="1"/>
  <c r="E36" i="173"/>
  <c r="H41" i="172"/>
  <c r="I30" i="172"/>
  <c r="L27" i="171" s="1"/>
  <c r="I38" i="172"/>
  <c r="L35" i="171" s="1"/>
  <c r="G46" i="174"/>
  <c r="G48" i="174" s="1"/>
  <c r="I44" i="172"/>
  <c r="L41" i="171" s="1"/>
  <c r="M15" i="173" l="1"/>
  <c r="N16" i="173"/>
  <c r="D36" i="173"/>
  <c r="K36" i="173" s="1"/>
  <c r="M36" i="173" s="1"/>
  <c r="I23" i="152"/>
  <c r="N35" i="171"/>
  <c r="M35" i="171"/>
  <c r="N27" i="171"/>
  <c r="E27" i="173" s="1"/>
  <c r="E32" i="173" s="1"/>
  <c r="M27" i="171"/>
  <c r="N41" i="171"/>
  <c r="M41" i="171"/>
  <c r="N19" i="173"/>
  <c r="M19" i="173"/>
  <c r="N15" i="173"/>
  <c r="N17" i="173"/>
  <c r="M17" i="173"/>
  <c r="M29" i="173"/>
  <c r="N31" i="173"/>
  <c r="M31" i="173"/>
  <c r="N29" i="173"/>
  <c r="N30" i="173"/>
  <c r="M30" i="173"/>
  <c r="I41" i="174"/>
  <c r="I46" i="174" s="1"/>
  <c r="I48" i="174" s="1"/>
  <c r="L32" i="173"/>
  <c r="L22" i="173"/>
  <c r="I35" i="172"/>
  <c r="L32" i="171"/>
  <c r="L24" i="171"/>
  <c r="I27" i="172"/>
  <c r="L38" i="173"/>
  <c r="G33" i="152"/>
  <c r="E24" i="173"/>
  <c r="L38" i="171"/>
  <c r="H46" i="172"/>
  <c r="H48" i="172" s="1"/>
  <c r="I28" i="152"/>
  <c r="I33" i="152" s="1"/>
  <c r="D37" i="173"/>
  <c r="I41" i="172"/>
  <c r="G13" i="151" l="1"/>
  <c r="E13" i="151"/>
  <c r="N36" i="173"/>
  <c r="E41" i="173"/>
  <c r="N38" i="171"/>
  <c r="G21" i="152" s="1"/>
  <c r="D35" i="173"/>
  <c r="D38" i="173" s="1"/>
  <c r="M38" i="171"/>
  <c r="E21" i="152" s="1"/>
  <c r="E25" i="152" s="1"/>
  <c r="M22" i="173"/>
  <c r="N22" i="173"/>
  <c r="N21" i="173"/>
  <c r="M21" i="173"/>
  <c r="L43" i="173"/>
  <c r="L24" i="173"/>
  <c r="M32" i="171"/>
  <c r="E14" i="152"/>
  <c r="L43" i="171"/>
  <c r="I46" i="172"/>
  <c r="I48" i="172" s="1"/>
  <c r="G14" i="152"/>
  <c r="I22" i="151"/>
  <c r="K37" i="173"/>
  <c r="M24" i="171"/>
  <c r="H62" i="171" s="1"/>
  <c r="K62" i="171" s="1"/>
  <c r="N24" i="171"/>
  <c r="D27" i="173"/>
  <c r="D32" i="173" s="1"/>
  <c r="G203" i="150"/>
  <c r="I62" i="171" l="1"/>
  <c r="L62" i="171" s="1"/>
  <c r="G25" i="152"/>
  <c r="I22" i="152"/>
  <c r="N37" i="173"/>
  <c r="M37" i="173"/>
  <c r="N24" i="173"/>
  <c r="I62" i="173" s="1"/>
  <c r="L62" i="173" s="1"/>
  <c r="M24" i="173"/>
  <c r="H62" i="173" s="1"/>
  <c r="K62" i="173" s="1"/>
  <c r="E28" i="151"/>
  <c r="G28" i="151"/>
  <c r="G33" i="151" s="1"/>
  <c r="I14" i="152"/>
  <c r="L45" i="173"/>
  <c r="N32" i="171"/>
  <c r="G18" i="152"/>
  <c r="I13" i="152"/>
  <c r="D24" i="173"/>
  <c r="D41" i="173"/>
  <c r="K41" i="173" s="1"/>
  <c r="K27" i="173"/>
  <c r="E35" i="173"/>
  <c r="L45" i="171"/>
  <c r="H39" i="117"/>
  <c r="E15" i="144"/>
  <c r="F19" i="42"/>
  <c r="F16" i="42"/>
  <c r="D26" i="42"/>
  <c r="F24" i="42"/>
  <c r="F23" i="42"/>
  <c r="F21" i="42"/>
  <c r="F20" i="42"/>
  <c r="F18" i="42"/>
  <c r="F17" i="42"/>
  <c r="F15" i="42"/>
  <c r="F13" i="42"/>
  <c r="F12" i="42"/>
  <c r="A12" i="42"/>
  <c r="A13" i="42" s="1"/>
  <c r="A14" i="42" s="1"/>
  <c r="A15" i="42" s="1"/>
  <c r="A16" i="42" s="1"/>
  <c r="H11" i="42"/>
  <c r="H12" i="42" s="1"/>
  <c r="H13" i="42" s="1"/>
  <c r="H14" i="42" s="1"/>
  <c r="H15" i="42" s="1"/>
  <c r="H16" i="42" s="1"/>
  <c r="F11" i="42"/>
  <c r="K32" i="173" l="1"/>
  <c r="M27" i="173"/>
  <c r="M32" i="173" s="1"/>
  <c r="N27" i="173"/>
  <c r="N32" i="173" s="1"/>
  <c r="M41" i="173"/>
  <c r="N41" i="173"/>
  <c r="I21" i="152"/>
  <c r="I25" i="152" s="1"/>
  <c r="G35" i="152"/>
  <c r="I28" i="151"/>
  <c r="I33" i="151" s="1"/>
  <c r="M43" i="171"/>
  <c r="N43" i="171"/>
  <c r="D43" i="173"/>
  <c r="E38" i="173"/>
  <c r="E43" i="173" s="1"/>
  <c r="E45" i="173" s="1"/>
  <c r="K35" i="173"/>
  <c r="K24" i="173"/>
  <c r="F22" i="42"/>
  <c r="E26" i="42"/>
  <c r="H17" i="42"/>
  <c r="A17" i="42"/>
  <c r="F14" i="42"/>
  <c r="F26" i="42" l="1"/>
  <c r="N45" i="171"/>
  <c r="I63" i="171"/>
  <c r="L63" i="171" s="1"/>
  <c r="M45" i="171"/>
  <c r="H63" i="171"/>
  <c r="K63" i="171" s="1"/>
  <c r="M35" i="173"/>
  <c r="M38" i="173" s="1"/>
  <c r="M43" i="173" s="1"/>
  <c r="N35" i="173"/>
  <c r="N38" i="173" s="1"/>
  <c r="N43" i="173" s="1"/>
  <c r="N46" i="171"/>
  <c r="G14" i="151"/>
  <c r="D45" i="173"/>
  <c r="E14" i="151"/>
  <c r="K38" i="173"/>
  <c r="K43" i="173" s="1"/>
  <c r="A18" i="42"/>
  <c r="A19" i="42" s="1"/>
  <c r="A20" i="42" s="1"/>
  <c r="A21" i="42" s="1"/>
  <c r="A22" i="42" s="1"/>
  <c r="A23" i="42" s="1"/>
  <c r="A24" i="42" s="1"/>
  <c r="H18" i="42"/>
  <c r="H19" i="42" s="1"/>
  <c r="H20" i="42" s="1"/>
  <c r="H21" i="42" s="1"/>
  <c r="H22" i="42" s="1"/>
  <c r="H23" i="42" s="1"/>
  <c r="H24" i="42" s="1"/>
  <c r="H25" i="42" s="1"/>
  <c r="H26" i="42" s="1"/>
  <c r="H27" i="42" s="1"/>
  <c r="H28" i="42" s="1"/>
  <c r="H29" i="42" s="1"/>
  <c r="H30" i="42" l="1"/>
  <c r="H31" i="42" s="1"/>
  <c r="H32" i="42" s="1"/>
  <c r="H33" i="42" s="1"/>
  <c r="H34" i="42" s="1"/>
  <c r="H35" i="42" s="1"/>
  <c r="N45" i="173"/>
  <c r="I63" i="173"/>
  <c r="L63" i="173" s="1"/>
  <c r="M45" i="173"/>
  <c r="H63" i="173"/>
  <c r="K63" i="173" s="1"/>
  <c r="I14" i="151"/>
  <c r="G18" i="151"/>
  <c r="K45" i="173"/>
  <c r="G26" i="42"/>
  <c r="A25" i="42"/>
  <c r="A26" i="42" s="1"/>
  <c r="A27" i="42" s="1"/>
  <c r="A28" i="42" s="1"/>
  <c r="A29" i="42" s="1"/>
  <c r="H36" i="42" l="1"/>
  <c r="H37" i="42" s="1"/>
  <c r="H38" i="42" s="1"/>
  <c r="H39" i="42" s="1"/>
  <c r="H40" i="42" s="1"/>
  <c r="H41" i="42" s="1"/>
  <c r="H42" i="42" s="1"/>
  <c r="H43" i="42" s="1"/>
  <c r="H44" i="42" s="1"/>
  <c r="H45" i="42" s="1"/>
  <c r="H46" i="42" s="1"/>
  <c r="A30" i="42"/>
  <c r="A31" i="42" s="1"/>
  <c r="A32" i="42" s="1"/>
  <c r="A33" i="42" s="1"/>
  <c r="E21" i="151"/>
  <c r="E25" i="151" s="1"/>
  <c r="G21" i="151"/>
  <c r="G25" i="151" s="1"/>
  <c r="G35" i="151" s="1"/>
  <c r="N46" i="173" s="1"/>
  <c r="I13" i="151"/>
  <c r="A34" i="42" l="1"/>
  <c r="I21" i="151"/>
  <c r="H47" i="42" l="1"/>
  <c r="H48" i="42" s="1"/>
  <c r="H49" i="42" s="1"/>
  <c r="H50" i="42" s="1"/>
  <c r="H54" i="42" s="1"/>
  <c r="H55" i="42" s="1"/>
  <c r="H56" i="42" s="1"/>
  <c r="H57" i="42" s="1"/>
  <c r="H58" i="42" s="1"/>
  <c r="H59" i="42" s="1"/>
  <c r="H60" i="42" s="1"/>
  <c r="H61" i="42" s="1"/>
  <c r="H62" i="42" s="1"/>
  <c r="A35" i="42"/>
  <c r="A36" i="42" s="1"/>
  <c r="A37" i="42" s="1"/>
  <c r="A38" i="42" s="1"/>
  <c r="E18" i="40"/>
  <c r="E16" i="40"/>
  <c r="E15" i="40"/>
  <c r="E14" i="40"/>
  <c r="A39" i="42" l="1"/>
  <c r="A40" i="42" s="1"/>
  <c r="A41" i="42" s="1"/>
  <c r="A42" i="42" s="1"/>
  <c r="A43" i="42" s="1"/>
  <c r="A44" i="42" s="1"/>
  <c r="A45" i="42" s="1"/>
  <c r="A46" i="42" s="1"/>
  <c r="A47" i="42" s="1"/>
  <c r="A48" i="42" s="1"/>
  <c r="E16" i="14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C56" i="84"/>
  <c r="A14" i="84"/>
  <c r="A15" i="84" s="1"/>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D13" i="84"/>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N44" i="79"/>
  <c r="N43" i="79"/>
  <c r="M43" i="79"/>
  <c r="N42" i="79"/>
  <c r="N41" i="79"/>
  <c r="M41" i="79"/>
  <c r="N40" i="79"/>
  <c r="N39" i="79"/>
  <c r="M39" i="79"/>
  <c r="N35" i="79"/>
  <c r="U32" i="79"/>
  <c r="T32" i="79"/>
  <c r="S32" i="79"/>
  <c r="R32" i="79"/>
  <c r="Q32" i="79"/>
  <c r="P32" i="79"/>
  <c r="K32" i="79"/>
  <c r="J32" i="79"/>
  <c r="I32" i="79"/>
  <c r="H32" i="79"/>
  <c r="G32" i="79"/>
  <c r="F32" i="79"/>
  <c r="E32" i="79"/>
  <c r="V29" i="79"/>
  <c r="V32" i="79" s="1"/>
  <c r="E21" i="77" s="1"/>
  <c r="O29" i="79"/>
  <c r="U27" i="79"/>
  <c r="T27" i="79"/>
  <c r="S27" i="79"/>
  <c r="R27" i="79"/>
  <c r="Q27" i="79"/>
  <c r="K27" i="79"/>
  <c r="J27" i="79"/>
  <c r="I27" i="79"/>
  <c r="H27" i="79"/>
  <c r="G27" i="79"/>
  <c r="F27" i="79"/>
  <c r="E27" i="79"/>
  <c r="V25" i="79"/>
  <c r="P25" i="79"/>
  <c r="O25" i="79"/>
  <c r="N25" i="79"/>
  <c r="V24" i="79"/>
  <c r="P24" i="79"/>
  <c r="O24" i="79"/>
  <c r="N24" i="79"/>
  <c r="V22" i="79"/>
  <c r="P22" i="79"/>
  <c r="O22" i="79"/>
  <c r="N22" i="79"/>
  <c r="V21" i="79"/>
  <c r="P21" i="79"/>
  <c r="O21" i="79"/>
  <c r="N21" i="79"/>
  <c r="V20" i="79"/>
  <c r="P20" i="79"/>
  <c r="O20" i="79"/>
  <c r="N20" i="79"/>
  <c r="V19" i="79"/>
  <c r="P19" i="79"/>
  <c r="O19" i="79"/>
  <c r="N19" i="79"/>
  <c r="V18" i="79"/>
  <c r="P18" i="79"/>
  <c r="O18" i="79"/>
  <c r="N18" i="79"/>
  <c r="V17" i="79"/>
  <c r="P17" i="79"/>
  <c r="O17" i="79"/>
  <c r="N17" i="79"/>
  <c r="V16" i="79"/>
  <c r="P16" i="79"/>
  <c r="O16" i="79"/>
  <c r="N16" i="79"/>
  <c r="V15" i="79"/>
  <c r="P15" i="79"/>
  <c r="O15" i="79"/>
  <c r="N15" i="79"/>
  <c r="U13" i="79"/>
  <c r="T13" i="79"/>
  <c r="S13" i="79"/>
  <c r="R13" i="79"/>
  <c r="Q13" i="79"/>
  <c r="K13" i="79"/>
  <c r="J13" i="79"/>
  <c r="I13" i="79"/>
  <c r="H13" i="79"/>
  <c r="G13" i="79"/>
  <c r="F13" i="79"/>
  <c r="E13" i="79"/>
  <c r="V11" i="79"/>
  <c r="A11" i="79"/>
  <c r="A12" i="79" s="1"/>
  <c r="V10" i="79"/>
  <c r="M10" i="79"/>
  <c r="L10" i="79"/>
  <c r="L11" i="79" s="1"/>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E27" i="41"/>
  <c r="A49" i="42" l="1"/>
  <c r="A50" i="42" s="1"/>
  <c r="A54" i="42" s="1"/>
  <c r="A55" i="42" s="1"/>
  <c r="A56" i="42" s="1"/>
  <c r="A57" i="42" s="1"/>
  <c r="A58" i="42" s="1"/>
  <c r="A59" i="42" s="1"/>
  <c r="A60" i="42" s="1"/>
  <c r="A61" i="42" s="1"/>
  <c r="A62" i="42" s="1"/>
  <c r="S35" i="79"/>
  <c r="V27" i="79"/>
  <c r="K35" i="79"/>
  <c r="G35" i="79"/>
  <c r="Q35" i="79"/>
  <c r="E35" i="79"/>
  <c r="I35" i="79"/>
  <c r="U35" i="79"/>
  <c r="C61" i="84"/>
  <c r="G124" i="82" s="1"/>
  <c r="G124" i="150" s="1"/>
  <c r="A48" i="84"/>
  <c r="A49" i="84" s="1"/>
  <c r="A50" i="84" s="1"/>
  <c r="A51" i="84" s="1"/>
  <c r="A52" i="84" s="1"/>
  <c r="A53" i="84" s="1"/>
  <c r="A54" i="84" s="1"/>
  <c r="A55" i="84" s="1"/>
  <c r="A56" i="84" s="1"/>
  <c r="A57" i="84" s="1"/>
  <c r="A58" i="84" s="1"/>
  <c r="A62" i="84" s="1"/>
  <c r="D48" i="84"/>
  <c r="D49" i="84" s="1"/>
  <c r="D50" i="84" s="1"/>
  <c r="D51" i="84" s="1"/>
  <c r="D52" i="84" s="1"/>
  <c r="D53" i="84" s="1"/>
  <c r="D54" i="84" s="1"/>
  <c r="D55" i="84" s="1"/>
  <c r="D56" i="84" s="1"/>
  <c r="D57" i="84" s="1"/>
  <c r="D58" i="84" s="1"/>
  <c r="F35" i="79"/>
  <c r="J35" i="79"/>
  <c r="H34" i="140"/>
  <c r="H25" i="140"/>
  <c r="H29" i="140"/>
  <c r="V13" i="79"/>
  <c r="H24" i="140"/>
  <c r="H33" i="140"/>
  <c r="H26" i="140"/>
  <c r="H32" i="140"/>
  <c r="H27" i="140"/>
  <c r="M11" i="79"/>
  <c r="T35" i="79"/>
  <c r="C29" i="140"/>
  <c r="H30" i="140"/>
  <c r="H35" i="79"/>
  <c r="W10" i="79"/>
  <c r="R35" i="79"/>
  <c r="C25" i="140"/>
  <c r="H28" i="140"/>
  <c r="H31" i="140"/>
  <c r="C16" i="141"/>
  <c r="G16" i="141"/>
  <c r="H16" i="141" s="1"/>
  <c r="C33" i="140"/>
  <c r="C24" i="140"/>
  <c r="C28" i="140"/>
  <c r="C32" i="140"/>
  <c r="C27" i="140"/>
  <c r="C31" i="140"/>
  <c r="C26" i="140"/>
  <c r="C30" i="140"/>
  <c r="W11" i="79"/>
  <c r="L12" i="79"/>
  <c r="A13" i="79"/>
  <c r="M12" i="79"/>
  <c r="V35" i="79" l="1"/>
  <c r="H35" i="140"/>
  <c r="C17" i="141"/>
  <c r="C21" i="141"/>
  <c r="C25" i="141"/>
  <c r="C18" i="141"/>
  <c r="C22" i="141"/>
  <c r="C26" i="141"/>
  <c r="C19" i="141"/>
  <c r="C23" i="141"/>
  <c r="C27" i="141"/>
  <c r="C20" i="141"/>
  <c r="C24" i="141"/>
  <c r="F17" i="141"/>
  <c r="L13" i="79"/>
  <c r="W12" i="79"/>
  <c r="M13" i="79"/>
  <c r="A14" i="79"/>
  <c r="G17" i="141" l="1"/>
  <c r="A15" i="79"/>
  <c r="A16" i="79" s="1"/>
  <c r="M14" i="79"/>
  <c r="W13" i="79"/>
  <c r="L14" i="79"/>
  <c r="A17" i="79" l="1"/>
  <c r="M17" i="79" s="1"/>
  <c r="M16" i="79"/>
  <c r="H17" i="141"/>
  <c r="M15" i="79"/>
  <c r="W14" i="79"/>
  <c r="L15" i="79"/>
  <c r="L16" i="79" s="1"/>
  <c r="L17" i="79" l="1"/>
  <c r="W16" i="79"/>
  <c r="F18" i="141"/>
  <c r="W15" i="79"/>
  <c r="L18" i="79" l="1"/>
  <c r="L19" i="79" s="1"/>
  <c r="L20" i="79" s="1"/>
  <c r="L21" i="79" s="1"/>
  <c r="L22" i="79" s="1"/>
  <c r="L25" i="79" s="1"/>
  <c r="L26" i="79" s="1"/>
  <c r="W17" i="79"/>
  <c r="G18" i="141"/>
  <c r="A18" i="79"/>
  <c r="M18" i="79" s="1"/>
  <c r="H18" i="141" l="1"/>
  <c r="A19" i="79"/>
  <c r="M19" i="79" s="1"/>
  <c r="F19" i="141" l="1"/>
  <c r="G19" i="141"/>
  <c r="A20" i="79"/>
  <c r="M20" i="79" s="1"/>
  <c r="W18" i="79"/>
  <c r="H19" i="141" l="1"/>
  <c r="A21" i="79"/>
  <c r="W19" i="79"/>
  <c r="F20" i="141" l="1"/>
  <c r="G20" i="141"/>
  <c r="W20" i="79"/>
  <c r="M21" i="79"/>
  <c r="A22" i="79"/>
  <c r="H20" i="141" l="1"/>
  <c r="W21" i="79"/>
  <c r="M22" i="79"/>
  <c r="F21" i="141" l="1"/>
  <c r="W22" i="79"/>
  <c r="G21" i="141" l="1"/>
  <c r="H21" i="141" s="1"/>
  <c r="A25" i="79"/>
  <c r="F22" i="141" l="1"/>
  <c r="M25" i="79"/>
  <c r="A26" i="79"/>
  <c r="G22" i="141" l="1"/>
  <c r="H22" i="141" s="1"/>
  <c r="M26" i="79"/>
  <c r="A27" i="79"/>
  <c r="F23" i="141" l="1"/>
  <c r="G23" i="141"/>
  <c r="A28" i="79"/>
  <c r="M27" i="79"/>
  <c r="W26" i="79"/>
  <c r="L27" i="79"/>
  <c r="H23" i="141" l="1"/>
  <c r="W27" i="79"/>
  <c r="L28" i="79"/>
  <c r="M28" i="79"/>
  <c r="A29" i="79"/>
  <c r="F24" i="141" l="1"/>
  <c r="G24" i="141"/>
  <c r="A30" i="79"/>
  <c r="M29" i="79"/>
  <c r="L29" i="79"/>
  <c r="W28" i="79"/>
  <c r="H24" i="141" l="1"/>
  <c r="L30" i="79"/>
  <c r="W29" i="79"/>
  <c r="A31" i="79"/>
  <c r="M30" i="79"/>
  <c r="F25" i="141" l="1"/>
  <c r="A32" i="79"/>
  <c r="M31" i="79"/>
  <c r="W30" i="79"/>
  <c r="L31" i="79"/>
  <c r="G25" i="141" l="1"/>
  <c r="H25" i="141" s="1"/>
  <c r="M32" i="79"/>
  <c r="A33" i="79"/>
  <c r="L32" i="79"/>
  <c r="W31" i="79"/>
  <c r="F26" i="141" l="1"/>
  <c r="W32" i="79"/>
  <c r="L33" i="79"/>
  <c r="M33" i="79"/>
  <c r="A34" i="79"/>
  <c r="G26" i="141" l="1"/>
  <c r="H26" i="141" s="1"/>
  <c r="M34" i="79"/>
  <c r="A35" i="79"/>
  <c r="L34" i="79"/>
  <c r="W33" i="79"/>
  <c r="F27" i="141" l="1"/>
  <c r="G27" i="141" s="1"/>
  <c r="G28" i="141" s="1"/>
  <c r="L35" i="79"/>
  <c r="W34" i="79"/>
  <c r="A36" i="79"/>
  <c r="M36" i="79" s="1"/>
  <c r="M35" i="79"/>
  <c r="H27" i="141" l="1"/>
  <c r="W35" i="79"/>
  <c r="L36" i="79"/>
  <c r="W36" i="79" s="1"/>
  <c r="B5" i="133" l="1"/>
  <c r="B5" i="22"/>
  <c r="G14" i="9"/>
  <c r="G15" i="9" s="1"/>
  <c r="G16" i="9" s="1"/>
  <c r="G17" i="9" s="1"/>
  <c r="G18" i="9" s="1"/>
  <c r="G19" i="9" s="1"/>
  <c r="G20" i="9" s="1"/>
  <c r="G21" i="9" s="1"/>
  <c r="G22" i="9" s="1"/>
  <c r="G23" i="9" s="1"/>
  <c r="G24" i="9" s="1"/>
  <c r="G25" i="9" s="1"/>
  <c r="G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E34" i="117" l="1"/>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H41" i="116"/>
  <c r="G13" i="116" s="1"/>
  <c r="J13" i="116" s="1"/>
  <c r="N13" i="116" s="1"/>
  <c r="C35" i="116"/>
  <c r="D35" i="116"/>
  <c r="E34" i="116"/>
  <c r="E12" i="116"/>
  <c r="E11" i="116"/>
  <c r="D44" i="86"/>
  <c r="E42" i="86"/>
  <c r="F42" i="86"/>
  <c r="G13" i="157"/>
  <c r="F13" i="157"/>
  <c r="F14" i="157" s="1"/>
  <c r="D16" i="142"/>
  <c r="G27" i="158"/>
  <c r="G22" i="158"/>
  <c r="G17" i="158"/>
  <c r="E99" i="82"/>
  <c r="E62" i="82"/>
  <c r="E49" i="82"/>
  <c r="G36" i="82"/>
  <c r="G39" i="82" s="1"/>
  <c r="G32" i="82"/>
  <c r="G25" i="82"/>
  <c r="G17" i="82"/>
  <c r="C33" i="153"/>
  <c r="E33" i="153"/>
  <c r="G28" i="153"/>
  <c r="C25" i="153"/>
  <c r="E25" i="153"/>
  <c r="G21" i="153"/>
  <c r="G17" i="153"/>
  <c r="G16" i="153"/>
  <c r="G14" i="153"/>
  <c r="E18" i="153"/>
  <c r="C18" i="153"/>
  <c r="E13" i="74"/>
  <c r="E35" i="144" s="1"/>
  <c r="E28" i="73"/>
  <c r="E31" i="73" s="1"/>
  <c r="C28" i="73"/>
  <c r="C31" i="73" s="1"/>
  <c r="C27" i="71"/>
  <c r="C30" i="71" s="1"/>
  <c r="C29" i="70"/>
  <c r="C32" i="70" s="1"/>
  <c r="E27" i="69"/>
  <c r="E34" i="69" s="1"/>
  <c r="E15" i="66"/>
  <c r="E19" i="66" s="1"/>
  <c r="F25" i="63"/>
  <c r="D25" i="63"/>
  <c r="D15" i="59"/>
  <c r="J33" i="48"/>
  <c r="J32" i="48"/>
  <c r="J31" i="48"/>
  <c r="J30" i="48"/>
  <c r="J29" i="48"/>
  <c r="J28" i="48"/>
  <c r="J27" i="48"/>
  <c r="J26" i="48"/>
  <c r="J25" i="48"/>
  <c r="J21" i="48"/>
  <c r="J20" i="48"/>
  <c r="J19" i="48"/>
  <c r="J18" i="48"/>
  <c r="J17" i="48"/>
  <c r="J16" i="48"/>
  <c r="I35" i="48"/>
  <c r="H35" i="48"/>
  <c r="G35" i="48"/>
  <c r="F35" i="48"/>
  <c r="E35" i="48"/>
  <c r="D35" i="48"/>
  <c r="E23" i="45"/>
  <c r="E25" i="45" s="1"/>
  <c r="E13" i="158" s="1"/>
  <c r="E22" i="40"/>
  <c r="F39" i="41"/>
  <c r="F38" i="41"/>
  <c r="F37" i="41"/>
  <c r="F36" i="41"/>
  <c r="F35" i="41"/>
  <c r="F34" i="41"/>
  <c r="F33" i="41"/>
  <c r="F32" i="41"/>
  <c r="F31" i="41"/>
  <c r="F30" i="41"/>
  <c r="E41" i="41"/>
  <c r="D41" i="41"/>
  <c r="F25" i="41"/>
  <c r="F24" i="41"/>
  <c r="F23" i="41"/>
  <c r="F22" i="41"/>
  <c r="F21" i="41"/>
  <c r="F20" i="41"/>
  <c r="F19" i="41"/>
  <c r="F18" i="41"/>
  <c r="F17" i="41"/>
  <c r="F16" i="41"/>
  <c r="F15" i="41"/>
  <c r="F14" i="41"/>
  <c r="F13" i="41"/>
  <c r="F12" i="41"/>
  <c r="F11" i="41"/>
  <c r="D27" i="41"/>
  <c r="D43" i="41" s="1"/>
  <c r="E12" i="40" s="1"/>
  <c r="E36"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20" i="24"/>
  <c r="K19" i="24"/>
  <c r="K18" i="24"/>
  <c r="K17" i="24"/>
  <c r="K16" i="24"/>
  <c r="J34" i="24"/>
  <c r="H34" i="24"/>
  <c r="G34" i="24"/>
  <c r="F34" i="24"/>
  <c r="E34" i="24"/>
  <c r="D34" i="24"/>
  <c r="K32" i="136"/>
  <c r="K31" i="136"/>
  <c r="K30" i="136"/>
  <c r="K29" i="136"/>
  <c r="K28" i="136"/>
  <c r="K27" i="136"/>
  <c r="K26" i="136"/>
  <c r="K25" i="136"/>
  <c r="K24" i="136"/>
  <c r="K20" i="136"/>
  <c r="K19" i="136"/>
  <c r="K18" i="136"/>
  <c r="K17" i="136"/>
  <c r="K16" i="136"/>
  <c r="J34" i="136"/>
  <c r="I34" i="136"/>
  <c r="H34" i="136"/>
  <c r="G34" i="136"/>
  <c r="F34" i="136"/>
  <c r="E34" i="136"/>
  <c r="D34" i="136"/>
  <c r="D22" i="136"/>
  <c r="E28" i="23"/>
  <c r="E31" i="23" s="1"/>
  <c r="I11" i="22" s="1"/>
  <c r="E172" i="144" s="1"/>
  <c r="C28" i="23"/>
  <c r="C31" i="23" s="1"/>
  <c r="C19" i="13"/>
  <c r="C19" i="3"/>
  <c r="E29" i="12"/>
  <c r="E32" i="12" s="1"/>
  <c r="C29" i="12"/>
  <c r="C32" i="12" s="1"/>
  <c r="K31" i="11"/>
  <c r="K30" i="11"/>
  <c r="K29" i="11"/>
  <c r="K28" i="11"/>
  <c r="K27" i="11"/>
  <c r="K26" i="11"/>
  <c r="K25" i="11"/>
  <c r="K24" i="11"/>
  <c r="K23" i="11"/>
  <c r="K19" i="11"/>
  <c r="K18" i="11"/>
  <c r="K17" i="11"/>
  <c r="K16" i="11"/>
  <c r="K15" i="11"/>
  <c r="J33" i="11"/>
  <c r="I33" i="11"/>
  <c r="H33" i="11"/>
  <c r="G33" i="11"/>
  <c r="D33" i="11"/>
  <c r="K31" i="10"/>
  <c r="K30" i="10"/>
  <c r="K29" i="10"/>
  <c r="K28" i="10"/>
  <c r="K27" i="10"/>
  <c r="K26" i="10"/>
  <c r="K25" i="10"/>
  <c r="K24" i="10"/>
  <c r="K23" i="10"/>
  <c r="K19" i="10"/>
  <c r="K18" i="10"/>
  <c r="K17" i="10"/>
  <c r="J33" i="10"/>
  <c r="I33" i="10"/>
  <c r="F33" i="10"/>
  <c r="F21" i="10"/>
  <c r="E33" i="10"/>
  <c r="D21" i="10"/>
  <c r="D33" i="10"/>
  <c r="C28" i="9"/>
  <c r="C31" i="9" s="1"/>
  <c r="E28" i="9"/>
  <c r="E31" i="9" s="1"/>
  <c r="E20" i="8"/>
  <c r="C20" i="8"/>
  <c r="E28" i="4"/>
  <c r="E31" i="4" s="1"/>
  <c r="C28" i="4"/>
  <c r="C31" i="4" s="1"/>
  <c r="C85" i="150" l="1"/>
  <c r="C98" i="150"/>
  <c r="D36" i="136"/>
  <c r="F35" i="10"/>
  <c r="J35" i="48"/>
  <c r="G27" i="82"/>
  <c r="E35" i="117"/>
  <c r="C35" i="153"/>
  <c r="E35" i="153"/>
  <c r="E35" i="151"/>
  <c r="M46" i="173" s="1"/>
  <c r="C35" i="152"/>
  <c r="C35" i="151"/>
  <c r="E35" i="152"/>
  <c r="M46" i="171" s="1"/>
  <c r="G14" i="157"/>
  <c r="F15" i="157"/>
  <c r="K21" i="11"/>
  <c r="K22" i="24"/>
  <c r="K34" i="24"/>
  <c r="J23" i="48"/>
  <c r="J37" i="48" s="1"/>
  <c r="K33" i="10"/>
  <c r="K33" i="11"/>
  <c r="F41" i="41"/>
  <c r="F27" i="41"/>
  <c r="K22" i="136"/>
  <c r="E14" i="158"/>
  <c r="E43" i="41"/>
  <c r="K34" i="136"/>
  <c r="G18" i="153"/>
  <c r="F43" i="41" l="1"/>
  <c r="E14" i="75"/>
  <c r="K35" i="11"/>
  <c r="K36" i="24"/>
  <c r="G15" i="157"/>
  <c r="F16" i="157"/>
  <c r="K36" i="136"/>
  <c r="C35" i="158"/>
  <c r="I11" i="158"/>
  <c r="I12" i="158" s="1"/>
  <c r="I13" i="158" s="1"/>
  <c r="I14" i="158" s="1"/>
  <c r="I15" i="158" s="1"/>
  <c r="I16" i="158" s="1"/>
  <c r="I17" i="158" s="1"/>
  <c r="I18" i="158" s="1"/>
  <c r="I19" i="158" s="1"/>
  <c r="I20" i="158" s="1"/>
  <c r="I21" i="158" s="1"/>
  <c r="I22" i="158" s="1"/>
  <c r="I23" i="158" s="1"/>
  <c r="I24" i="158" s="1"/>
  <c r="I25" i="158" s="1"/>
  <c r="I26" i="158" s="1"/>
  <c r="I27" i="158" s="1"/>
  <c r="I28" i="158" s="1"/>
  <c r="I29" i="158" s="1"/>
  <c r="A12" i="158"/>
  <c r="A13" i="158" s="1"/>
  <c r="A14" i="158" s="1"/>
  <c r="A15" i="158" s="1"/>
  <c r="A16" i="158" s="1"/>
  <c r="A17" i="158" s="1"/>
  <c r="A18" i="158" s="1"/>
  <c r="A19" i="158" s="1"/>
  <c r="A20" i="158" s="1"/>
  <c r="A21" i="158" s="1"/>
  <c r="A22" i="158" s="1"/>
  <c r="A23" i="158" s="1"/>
  <c r="A24" i="158" s="1"/>
  <c r="A25" i="158" s="1"/>
  <c r="A26" i="158" s="1"/>
  <c r="A27" i="158" s="1"/>
  <c r="A28" i="158" s="1"/>
  <c r="A29" i="158" s="1"/>
  <c r="G12" i="158"/>
  <c r="E9" i="158"/>
  <c r="C9" i="158"/>
  <c r="I12" i="156"/>
  <c r="I13" i="156"/>
  <c r="I14" i="156"/>
  <c r="I15" i="156"/>
  <c r="I16" i="156"/>
  <c r="I17" i="156"/>
  <c r="I18" i="156"/>
  <c r="I19" i="156"/>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239" i="132"/>
  <c r="H240" i="132" s="1"/>
  <c r="H241" i="132" s="1"/>
  <c r="H242" i="132" s="1"/>
  <c r="H243" i="132" s="1"/>
  <c r="H244" i="132" s="1"/>
  <c r="H245" i="132" s="1"/>
  <c r="H246" i="132" s="1"/>
  <c r="H247" i="132" s="1"/>
  <c r="H248" i="132" s="1"/>
  <c r="H249" i="132" s="1"/>
  <c r="H250" i="132" s="1"/>
  <c r="H251" i="132" s="1"/>
  <c r="H252" i="132" s="1"/>
  <c r="H253" i="132" s="1"/>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05" i="132"/>
  <c r="H206" i="132" s="1"/>
  <c r="H207" i="132" s="1"/>
  <c r="H208" i="132" s="1"/>
  <c r="H209" i="132" s="1"/>
  <c r="H210" i="132" s="1"/>
  <c r="H211" i="132" s="1"/>
  <c r="H212" i="132" s="1"/>
  <c r="H213" i="132" s="1"/>
  <c r="H214" i="132" s="1"/>
  <c r="H215" i="132" s="1"/>
  <c r="H216" i="132" s="1"/>
  <c r="H217" i="132" s="1"/>
  <c r="H218" i="132" s="1"/>
  <c r="H219" i="132" s="1"/>
  <c r="H220" i="132" s="1"/>
  <c r="H221" i="132" s="1"/>
  <c r="H222" i="132" s="1"/>
  <c r="H223" i="132" s="1"/>
  <c r="H224" i="132" s="1"/>
  <c r="H289" i="132"/>
  <c r="H290" i="132" s="1"/>
  <c r="H291" i="132" s="1"/>
  <c r="H292" i="132" s="1"/>
  <c r="H293" i="132" s="1"/>
  <c r="H294" i="132" s="1"/>
  <c r="H295" i="132" s="1"/>
  <c r="H296" i="132" s="1"/>
  <c r="H297" i="132" s="1"/>
  <c r="H298" i="132" s="1"/>
  <c r="H299" i="132" s="1"/>
  <c r="H300" i="132" s="1"/>
  <c r="H301" i="132" s="1"/>
  <c r="H302" i="132" s="1"/>
  <c r="H303" i="132" s="1"/>
  <c r="H304" i="132" s="1"/>
  <c r="H305" i="132" s="1"/>
  <c r="H306" i="132" s="1"/>
  <c r="H307" i="132" s="1"/>
  <c r="H308" i="132" s="1"/>
  <c r="H309" i="132" s="1"/>
  <c r="H310" i="132" s="1"/>
  <c r="H311" i="132" s="1"/>
  <c r="H312" i="132" s="1"/>
  <c r="H313" i="132" s="1"/>
  <c r="A290" i="132"/>
  <c r="A291" i="132" s="1"/>
  <c r="A292" i="132" s="1"/>
  <c r="A293" i="132" s="1"/>
  <c r="A294" i="132" s="1"/>
  <c r="A295" i="132" s="1"/>
  <c r="A296" i="132" s="1"/>
  <c r="A297" i="132" s="1"/>
  <c r="A240" i="132"/>
  <c r="A241" i="132" s="1"/>
  <c r="A242" i="132" s="1"/>
  <c r="A243" i="132" s="1"/>
  <c r="A244" i="132" s="1"/>
  <c r="A245" i="132" s="1"/>
  <c r="A246" i="132" s="1"/>
  <c r="A247" i="132" s="1"/>
  <c r="A248" i="132" s="1"/>
  <c r="A249" i="132" s="1"/>
  <c r="A250" i="132" s="1"/>
  <c r="A251" i="132" s="1"/>
  <c r="A252" i="132" s="1"/>
  <c r="A253" i="132" s="1"/>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H164" i="132"/>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10" i="132"/>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55" i="132"/>
  <c r="H56" i="132" s="1"/>
  <c r="H57" i="132" s="1"/>
  <c r="H58" i="132" s="1"/>
  <c r="H59" i="132" s="1"/>
  <c r="H60" i="132" s="1"/>
  <c r="H61" i="132" s="1"/>
  <c r="H62" i="132" s="1"/>
  <c r="H63" i="132" s="1"/>
  <c r="H64" i="132" s="1"/>
  <c r="H65" i="132" s="1"/>
  <c r="H66" i="132" s="1"/>
  <c r="H67" i="132" s="1"/>
  <c r="H68" i="132" s="1"/>
  <c r="H69" i="132" s="1"/>
  <c r="H70" i="132" s="1"/>
  <c r="H71" i="132" s="1"/>
  <c r="H72" i="132" s="1"/>
  <c r="H73" i="132" s="1"/>
  <c r="H74" i="132" s="1"/>
  <c r="H75" i="132" s="1"/>
  <c r="H76" i="132" s="1"/>
  <c r="H77" i="132" s="1"/>
  <c r="H78" i="132" s="1"/>
  <c r="H79" i="132" s="1"/>
  <c r="H80" i="132" s="1"/>
  <c r="H81" i="132" s="1"/>
  <c r="H82" i="132" s="1"/>
  <c r="H83" i="132" s="1"/>
  <c r="H84" i="132" s="1"/>
  <c r="H85" i="132" s="1"/>
  <c r="H86" i="132" s="1"/>
  <c r="H87" i="132" s="1"/>
  <c r="H88" i="132" s="1"/>
  <c r="H89" i="132" s="1"/>
  <c r="H90" i="132" s="1"/>
  <c r="H91" i="132" s="1"/>
  <c r="H92" i="132" s="1"/>
  <c r="H93"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H34" i="132" s="1"/>
  <c r="H35" i="132" s="1"/>
  <c r="H36" i="132" s="1"/>
  <c r="H37" i="132" s="1"/>
  <c r="H38" i="132" s="1"/>
  <c r="H39" i="132" s="1"/>
  <c r="H40" i="132" s="1"/>
  <c r="A206" i="132"/>
  <c r="A207" i="132" s="1"/>
  <c r="A208" i="132" s="1"/>
  <c r="A209" i="132" s="1"/>
  <c r="A210" i="132" s="1"/>
  <c r="A211" i="132" s="1"/>
  <c r="A212" i="132" s="1"/>
  <c r="A213" i="132" s="1"/>
  <c r="A214" i="132" s="1"/>
  <c r="A215" i="132" s="1"/>
  <c r="A216" i="132" s="1"/>
  <c r="A217" i="132" s="1"/>
  <c r="A218" i="132" s="1"/>
  <c r="A219" i="132" s="1"/>
  <c r="A220" i="132" s="1"/>
  <c r="A221" i="132" s="1"/>
  <c r="A222" i="132" s="1"/>
  <c r="A223" i="132" s="1"/>
  <c r="A224" i="132" s="1"/>
  <c r="A165" i="132"/>
  <c r="A166" i="132" s="1"/>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11" i="132"/>
  <c r="A112" i="132" s="1"/>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38" i="132" s="1"/>
  <c r="A39" i="132" s="1"/>
  <c r="A40" i="132" s="1"/>
  <c r="B49" i="132"/>
  <c r="G250" i="82"/>
  <c r="J79" i="82"/>
  <c r="C98" i="82"/>
  <c r="I11" i="156"/>
  <c r="E9" i="156"/>
  <c r="C9" i="156"/>
  <c r="C61" i="82"/>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H41" i="117" s="1"/>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40" i="86"/>
  <c r="D39" i="86"/>
  <c r="D38" i="86"/>
  <c r="D37" i="86"/>
  <c r="D36" i="86"/>
  <c r="D35" i="86"/>
  <c r="D33" i="86"/>
  <c r="D32" i="86"/>
  <c r="D31" i="86"/>
  <c r="D30" i="86"/>
  <c r="D29" i="86"/>
  <c r="D28" i="86"/>
  <c r="D27" i="86"/>
  <c r="D26" i="86"/>
  <c r="D25" i="86"/>
  <c r="D24" i="86"/>
  <c r="D23" i="86"/>
  <c r="D22" i="86"/>
  <c r="D21" i="86"/>
  <c r="D20" i="86"/>
  <c r="D19" i="86"/>
  <c r="D18" i="86"/>
  <c r="D16" i="86"/>
  <c r="D15" i="86"/>
  <c r="D14" i="86"/>
  <c r="D13" i="86"/>
  <c r="D12" i="86"/>
  <c r="A12" i="86"/>
  <c r="A13" i="86" s="1"/>
  <c r="A14" i="86" s="1"/>
  <c r="A15" i="86" s="1"/>
  <c r="A16" i="86" s="1"/>
  <c r="G11" i="86"/>
  <c r="G12" i="86" s="1"/>
  <c r="G13" i="86" s="1"/>
  <c r="G14" i="86" s="1"/>
  <c r="G15" i="86" s="1"/>
  <c r="G16" i="86" s="1"/>
  <c r="G20" i="86" s="1"/>
  <c r="G21" i="86" s="1"/>
  <c r="G22" i="86" s="1"/>
  <c r="G23" i="86" s="1"/>
  <c r="G24" i="86" s="1"/>
  <c r="G25" i="86" s="1"/>
  <c r="G26" i="86" s="1"/>
  <c r="G27" i="86" s="1"/>
  <c r="G28" i="86" s="1"/>
  <c r="G29" i="86" s="1"/>
  <c r="G30" i="86" s="1"/>
  <c r="G31" i="86" s="1"/>
  <c r="G32" i="86" s="1"/>
  <c r="G33" i="86" s="1"/>
  <c r="D11" i="86"/>
  <c r="G216" i="150"/>
  <c r="G213" i="150"/>
  <c r="A195" i="150"/>
  <c r="A196" i="150" s="1"/>
  <c r="A197" i="150" s="1"/>
  <c r="A198" i="150" s="1"/>
  <c r="A199" i="150" s="1"/>
  <c r="A200" i="150" s="1"/>
  <c r="A201" i="150" s="1"/>
  <c r="A202" i="150" s="1"/>
  <c r="A203" i="150" s="1"/>
  <c r="A204" i="150" s="1"/>
  <c r="A205" i="150" s="1"/>
  <c r="A206" i="150" s="1"/>
  <c r="A207" i="150" s="1"/>
  <c r="A208" i="150" s="1"/>
  <c r="A209" i="150" s="1"/>
  <c r="A210" i="150" s="1"/>
  <c r="A211" i="150" s="1"/>
  <c r="J194" i="150"/>
  <c r="J195" i="150" s="1"/>
  <c r="J196" i="150" s="1"/>
  <c r="J197" i="150" s="1"/>
  <c r="J198" i="150" s="1"/>
  <c r="J199" i="150" s="1"/>
  <c r="J200" i="150" s="1"/>
  <c r="J201" i="150" s="1"/>
  <c r="J202" i="150" s="1"/>
  <c r="J203" i="150" s="1"/>
  <c r="J204" i="150" s="1"/>
  <c r="J205" i="150" s="1"/>
  <c r="J206" i="150" s="1"/>
  <c r="J207" i="150" s="1"/>
  <c r="J208" i="150" s="1"/>
  <c r="J209" i="150" s="1"/>
  <c r="J210" i="150" s="1"/>
  <c r="J211" i="150" s="1"/>
  <c r="A124" i="150"/>
  <c r="A125" i="150" s="1"/>
  <c r="A126" i="150" s="1"/>
  <c r="A127" i="150" s="1"/>
  <c r="A128" i="150" s="1"/>
  <c r="A129" i="150" s="1"/>
  <c r="A130" i="150" s="1"/>
  <c r="A131" i="150" s="1"/>
  <c r="A132" i="150" s="1"/>
  <c r="A133" i="150" s="1"/>
  <c r="A134" i="150" s="1"/>
  <c r="J124" i="150"/>
  <c r="J125" i="150" s="1"/>
  <c r="J126" i="150" s="1"/>
  <c r="J127" i="150" s="1"/>
  <c r="J128" i="150" s="1"/>
  <c r="J129" i="150" s="1"/>
  <c r="J130" i="150" s="1"/>
  <c r="J131" i="150" s="1"/>
  <c r="J132" i="150" s="1"/>
  <c r="J133" i="150" s="1"/>
  <c r="J134" i="150" s="1"/>
  <c r="E62" i="150"/>
  <c r="E49" i="150"/>
  <c r="C61" i="150"/>
  <c r="A12" i="150"/>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J11" i="150"/>
  <c r="J12" i="150" s="1"/>
  <c r="J13" i="150" s="1"/>
  <c r="J14" i="150" s="1"/>
  <c r="J15" i="150" s="1"/>
  <c r="J16" i="150" s="1"/>
  <c r="J17" i="150" s="1"/>
  <c r="J18" i="150" s="1"/>
  <c r="J19" i="150" s="1"/>
  <c r="J20" i="150" s="1"/>
  <c r="J21" i="150" s="1"/>
  <c r="J22" i="150" s="1"/>
  <c r="J23" i="150" s="1"/>
  <c r="J24" i="150" s="1"/>
  <c r="J25" i="150" s="1"/>
  <c r="J26" i="150" s="1"/>
  <c r="J27" i="150" s="1"/>
  <c r="J28" i="150" s="1"/>
  <c r="J29" i="150" s="1"/>
  <c r="J30" i="150" s="1"/>
  <c r="J31" i="150" s="1"/>
  <c r="J32" i="150" s="1"/>
  <c r="J33" i="150" s="1"/>
  <c r="J34" i="150" s="1"/>
  <c r="J35" i="150" s="1"/>
  <c r="J36" i="150" s="1"/>
  <c r="J37" i="150" s="1"/>
  <c r="J38" i="150" s="1"/>
  <c r="J39" i="150" s="1"/>
  <c r="J40" i="150" s="1"/>
  <c r="J41" i="150" s="1"/>
  <c r="J42" i="150" s="1"/>
  <c r="J43" i="150" s="1"/>
  <c r="J44" i="150" s="1"/>
  <c r="J45" i="150" s="1"/>
  <c r="J46" i="150" s="1"/>
  <c r="J47" i="150" s="1"/>
  <c r="J48" i="150" s="1"/>
  <c r="J49" i="150" s="1"/>
  <c r="J50" i="150" s="1"/>
  <c r="J51" i="150" s="1"/>
  <c r="J52" i="150" s="1"/>
  <c r="J53" i="150" s="1"/>
  <c r="J54" i="150" s="1"/>
  <c r="J55" i="150" s="1"/>
  <c r="J56" i="150" s="1"/>
  <c r="J57" i="150" s="1"/>
  <c r="J58" i="150" s="1"/>
  <c r="J59" i="150" s="1"/>
  <c r="J60" i="150" s="1"/>
  <c r="J61" i="150" s="1"/>
  <c r="J62" i="150" s="1"/>
  <c r="J63" i="150" s="1"/>
  <c r="J64" i="150" s="1"/>
  <c r="J65" i="150" s="1"/>
  <c r="B5" i="150"/>
  <c r="A165" i="144"/>
  <c r="A166" i="144" s="1"/>
  <c r="A167" i="144" s="1"/>
  <c r="A168" i="144" s="1"/>
  <c r="A169" i="144" s="1"/>
  <c r="A170" i="144" s="1"/>
  <c r="A171" i="144" s="1"/>
  <c r="A172" i="144" s="1"/>
  <c r="A173" i="144" s="1"/>
  <c r="A174" i="144" s="1"/>
  <c r="A175" i="144" s="1"/>
  <c r="A176" i="144" s="1"/>
  <c r="A177" i="144" s="1"/>
  <c r="A178" i="144" s="1"/>
  <c r="A179" i="144" s="1"/>
  <c r="A180" i="144" s="1"/>
  <c r="A181" i="144" s="1"/>
  <c r="A182" i="144" s="1"/>
  <c r="A183" i="144" s="1"/>
  <c r="A184" i="144" s="1"/>
  <c r="A185" i="144" s="1"/>
  <c r="A186" i="144" s="1"/>
  <c r="A187" i="144" s="1"/>
  <c r="A188" i="144" s="1"/>
  <c r="H164" i="144"/>
  <c r="H165" i="144" s="1"/>
  <c r="H166" i="144" s="1"/>
  <c r="H167" i="144" s="1"/>
  <c r="H168" i="144" s="1"/>
  <c r="H169" i="144" s="1"/>
  <c r="H170" i="144" s="1"/>
  <c r="H171" i="144" s="1"/>
  <c r="H172" i="144" s="1"/>
  <c r="H173" i="144" s="1"/>
  <c r="H174" i="144" s="1"/>
  <c r="H175" i="144" s="1"/>
  <c r="H176" i="144" s="1"/>
  <c r="H177" i="144" s="1"/>
  <c r="H178" i="144" s="1"/>
  <c r="H179" i="144" s="1"/>
  <c r="H180" i="144" s="1"/>
  <c r="H181" i="144" s="1"/>
  <c r="H182" i="144" s="1"/>
  <c r="H183" i="144" s="1"/>
  <c r="H184" i="144" s="1"/>
  <c r="H185" i="144" s="1"/>
  <c r="H186" i="144" s="1"/>
  <c r="H187" i="144" s="1"/>
  <c r="H188" i="144" s="1"/>
  <c r="A111" i="144"/>
  <c r="A112" i="144" s="1"/>
  <c r="A113" i="144" s="1"/>
  <c r="A114" i="144" s="1"/>
  <c r="A115" i="144" s="1"/>
  <c r="A116" i="144" s="1"/>
  <c r="A117" i="144" s="1"/>
  <c r="A118" i="144" s="1"/>
  <c r="A119" i="144" s="1"/>
  <c r="A120" i="144" s="1"/>
  <c r="A121" i="144" s="1"/>
  <c r="A122" i="144" s="1"/>
  <c r="A123" i="144" s="1"/>
  <c r="A124" i="144" s="1"/>
  <c r="A125" i="144" s="1"/>
  <c r="A126" i="144" s="1"/>
  <c r="A127" i="144" s="1"/>
  <c r="A128" i="144" s="1"/>
  <c r="A129" i="144" s="1"/>
  <c r="A130" i="144" s="1"/>
  <c r="A131" i="144" s="1"/>
  <c r="A132" i="144" s="1"/>
  <c r="H110" i="144"/>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H129" i="144" s="1"/>
  <c r="H130" i="144" s="1"/>
  <c r="H131" i="144" s="1"/>
  <c r="H132" i="144" s="1"/>
  <c r="A11" i="144"/>
  <c r="A12" i="144" s="1"/>
  <c r="A13" i="144" s="1"/>
  <c r="A14" i="144" s="1"/>
  <c r="A15" i="144" s="1"/>
  <c r="H11" i="144"/>
  <c r="H12" i="144" s="1"/>
  <c r="H13" i="144" s="1"/>
  <c r="H14" i="144" s="1"/>
  <c r="H15" i="144" s="1"/>
  <c r="B158" i="144"/>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03" i="82"/>
  <c r="J195" i="82"/>
  <c r="J196" i="82" s="1"/>
  <c r="J197" i="82" s="1"/>
  <c r="J198" i="82" s="1"/>
  <c r="J199" i="82" s="1"/>
  <c r="J200" i="82" s="1"/>
  <c r="J201" i="82" s="1"/>
  <c r="J202" i="82" s="1"/>
  <c r="J203" i="82" s="1"/>
  <c r="J204" i="82" s="1"/>
  <c r="J205" i="82" s="1"/>
  <c r="J206" i="82" s="1"/>
  <c r="J207" i="82" s="1"/>
  <c r="J208" i="82" s="1"/>
  <c r="J209" i="82" s="1"/>
  <c r="J210" i="82" s="1"/>
  <c r="J211" i="82" s="1"/>
  <c r="A195" i="82"/>
  <c r="A196" i="82" s="1"/>
  <c r="A197" i="82" s="1"/>
  <c r="A198" i="82" s="1"/>
  <c r="A199" i="82" s="1"/>
  <c r="A200" i="82" s="1"/>
  <c r="A201" i="82" s="1"/>
  <c r="A202" i="82" s="1"/>
  <c r="A203" i="82" s="1"/>
  <c r="A204" i="82" s="1"/>
  <c r="A205" i="82" s="1"/>
  <c r="A206" i="82" s="1"/>
  <c r="A207" i="82" s="1"/>
  <c r="A208" i="82" s="1"/>
  <c r="A209" i="82" s="1"/>
  <c r="A210" i="82" s="1"/>
  <c r="A211" i="82" s="1"/>
  <c r="J118" i="82"/>
  <c r="J119" i="82" s="1"/>
  <c r="J120" i="82" s="1"/>
  <c r="J121" i="82" s="1"/>
  <c r="J122" i="82" s="1"/>
  <c r="J123" i="82" s="1"/>
  <c r="J124" i="82" s="1"/>
  <c r="J125" i="82" s="1"/>
  <c r="J126" i="82" s="1"/>
  <c r="J127" i="82" s="1"/>
  <c r="J128" i="82" s="1"/>
  <c r="J129" i="82" s="1"/>
  <c r="J130" i="82" s="1"/>
  <c r="J131" i="82" s="1"/>
  <c r="J132" i="82" s="1"/>
  <c r="J133" i="82" s="1"/>
  <c r="J134" i="82" s="1"/>
  <c r="A118" i="82"/>
  <c r="A119" i="82" s="1"/>
  <c r="A120" i="82" s="1"/>
  <c r="A121" i="82" s="1"/>
  <c r="A122" i="82" s="1"/>
  <c r="A123" i="82" s="1"/>
  <c r="A124" i="82" s="1"/>
  <c r="A125" i="82" s="1"/>
  <c r="A126" i="82" s="1"/>
  <c r="A127" i="82" s="1"/>
  <c r="A128" i="82" s="1"/>
  <c r="A129" i="82" s="1"/>
  <c r="A130" i="82" s="1"/>
  <c r="A131" i="82" s="1"/>
  <c r="A132" i="82" s="1"/>
  <c r="A133" i="82" s="1"/>
  <c r="A134" i="82" s="1"/>
  <c r="E86" i="82"/>
  <c r="C85" i="82"/>
  <c r="C48" i="82"/>
  <c r="C97"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J36" i="82" s="1"/>
  <c r="J37" i="82" s="1"/>
  <c r="J38" i="82" s="1"/>
  <c r="J39" i="82" s="1"/>
  <c r="J40" i="82" s="1"/>
  <c r="J41" i="82" s="1"/>
  <c r="J42" i="82" s="1"/>
  <c r="J43" i="82" s="1"/>
  <c r="J44" i="82" s="1"/>
  <c r="J45" i="82" s="1"/>
  <c r="J46" i="82" s="1"/>
  <c r="J47" i="82" s="1"/>
  <c r="J48" i="82" s="1"/>
  <c r="J49" i="82" s="1"/>
  <c r="J50" i="82" s="1"/>
  <c r="J51" i="82" s="1"/>
  <c r="J52" i="82" s="1"/>
  <c r="J53" i="82" s="1"/>
  <c r="J54" i="82" s="1"/>
  <c r="J55" i="82" s="1"/>
  <c r="J56" i="82" s="1"/>
  <c r="J57" i="82" s="1"/>
  <c r="J58" i="82" s="1"/>
  <c r="J59" i="82" s="1"/>
  <c r="J60" i="82" s="1"/>
  <c r="J61" i="82" s="1"/>
  <c r="J62" i="82" s="1"/>
  <c r="J63" i="82" s="1"/>
  <c r="J64" i="82" s="1"/>
  <c r="J65" i="82" s="1"/>
  <c r="B5" i="82"/>
  <c r="B73" i="82" s="1"/>
  <c r="E19" i="77"/>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I12" i="153"/>
  <c r="I13" i="153" s="1"/>
  <c r="A11" i="75"/>
  <c r="A12" i="75" s="1"/>
  <c r="A13" i="75" s="1"/>
  <c r="A14" i="75" s="1"/>
  <c r="A15" i="75" s="1"/>
  <c r="A16" i="75" s="1"/>
  <c r="A17" i="75" s="1"/>
  <c r="A18" i="75" s="1"/>
  <c r="A19" i="75" s="1"/>
  <c r="B5" i="75"/>
  <c r="A11" i="74"/>
  <c r="B5" i="74"/>
  <c r="E11" i="72"/>
  <c r="E148"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J38" i="69" s="1"/>
  <c r="J39" i="69" s="1"/>
  <c r="J40" i="69" s="1"/>
  <c r="J41" i="69" s="1"/>
  <c r="J42" i="69" s="1"/>
  <c r="J43" i="69" s="1"/>
  <c r="J44" i="69" s="1"/>
  <c r="B5" i="69"/>
  <c r="A12" i="66"/>
  <c r="A13" i="66" s="1"/>
  <c r="A14" i="66" s="1"/>
  <c r="A15" i="66" s="1"/>
  <c r="A16" i="66" s="1"/>
  <c r="A17" i="66" s="1"/>
  <c r="A18" i="66" s="1"/>
  <c r="A19" i="66" s="1"/>
  <c r="A20" i="66" s="1"/>
  <c r="A21" i="66" s="1"/>
  <c r="A22" i="66" s="1"/>
  <c r="A23" i="66" s="1"/>
  <c r="A24" i="66" s="1"/>
  <c r="A25" i="66" s="1"/>
  <c r="A26" i="66" s="1"/>
  <c r="A27" i="66" s="1"/>
  <c r="A28" i="66" s="1"/>
  <c r="A29" i="66" s="1"/>
  <c r="A30" i="66" s="1"/>
  <c r="H11" i="66"/>
  <c r="H12" i="66" s="1"/>
  <c r="H13" i="66" s="1"/>
  <c r="H14" i="66" s="1"/>
  <c r="H15" i="66" s="1"/>
  <c r="H16" i="66" s="1"/>
  <c r="H17" i="66" s="1"/>
  <c r="H18" i="66" s="1"/>
  <c r="H19" i="66" s="1"/>
  <c r="H20" i="66" s="1"/>
  <c r="H21" i="66" s="1"/>
  <c r="H22" i="66" s="1"/>
  <c r="H23" i="66" s="1"/>
  <c r="H24" i="66" s="1"/>
  <c r="H25" i="66" s="1"/>
  <c r="H26" i="66" s="1"/>
  <c r="H27" i="66" s="1"/>
  <c r="H28" i="66" s="1"/>
  <c r="H29" i="66" s="1"/>
  <c r="H30" i="66" s="1"/>
  <c r="B5" i="66"/>
  <c r="A18" i="64"/>
  <c r="E17" i="64"/>
  <c r="E18" i="64" s="1"/>
  <c r="A18" i="65"/>
  <c r="E17" i="65"/>
  <c r="E18" i="65" s="1"/>
  <c r="E29" i="46"/>
  <c r="A15" i="63"/>
  <c r="A16" i="63" s="1"/>
  <c r="A17" i="63" s="1"/>
  <c r="A18" i="63" s="1"/>
  <c r="A19" i="63" s="1"/>
  <c r="A20" i="63" s="1"/>
  <c r="A21" i="63" s="1"/>
  <c r="A22" i="63" s="1"/>
  <c r="A23" i="63" s="1"/>
  <c r="A24" i="63" s="1"/>
  <c r="A25" i="63" s="1"/>
  <c r="A26" i="63" s="1"/>
  <c r="H14" i="63"/>
  <c r="H15" i="63" s="1"/>
  <c r="H16" i="63" s="1"/>
  <c r="H17" i="63" s="1"/>
  <c r="H18" i="63" s="1"/>
  <c r="H19" i="63" s="1"/>
  <c r="H20" i="63" s="1"/>
  <c r="H21" i="63" s="1"/>
  <c r="H22" i="63" s="1"/>
  <c r="H23" i="63" s="1"/>
  <c r="H24" i="63" s="1"/>
  <c r="H25" i="63" s="1"/>
  <c r="H26"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37" i="48" s="1"/>
  <c r="H23" i="48"/>
  <c r="H37" i="48" s="1"/>
  <c r="G23" i="48"/>
  <c r="G37" i="48" s="1"/>
  <c r="F23" i="48"/>
  <c r="F37" i="48" s="1"/>
  <c r="E23" i="48"/>
  <c r="E37" i="48" s="1"/>
  <c r="D23" i="48"/>
  <c r="D37" i="48"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6" i="48"/>
  <c r="L17" i="48" s="1"/>
  <c r="L18" i="48" s="1"/>
  <c r="L19" i="48" s="1"/>
  <c r="L20" i="48" s="1"/>
  <c r="L21" i="48" s="1"/>
  <c r="L22" i="48" s="1"/>
  <c r="L23" i="48" s="1"/>
  <c r="L24" i="48" s="1"/>
  <c r="L25" i="48" s="1"/>
  <c r="L26" i="48" s="1"/>
  <c r="L27" i="48" s="1"/>
  <c r="L28" i="48" s="1"/>
  <c r="L29" i="48" s="1"/>
  <c r="L30" i="48" s="1"/>
  <c r="L31" i="48" s="1"/>
  <c r="L32" i="48" s="1"/>
  <c r="L33" i="48" s="1"/>
  <c r="L34" i="48" s="1"/>
  <c r="L35" i="48" s="1"/>
  <c r="L36" i="48" s="1"/>
  <c r="L37" i="48" s="1"/>
  <c r="A13" i="47"/>
  <c r="A14" i="47" s="1"/>
  <c r="A15" i="47" s="1"/>
  <c r="A16" i="47" s="1"/>
  <c r="A17" i="47" s="1"/>
  <c r="A18" i="47" s="1"/>
  <c r="A19" i="47" s="1"/>
  <c r="A20" i="47" s="1"/>
  <c r="A21" i="47" s="1"/>
  <c r="A22" i="47" s="1"/>
  <c r="A23" i="47" s="1"/>
  <c r="A24" i="47" s="1"/>
  <c r="H12" i="47"/>
  <c r="H13" i="47" s="1"/>
  <c r="H14" i="47" s="1"/>
  <c r="H15" i="47" s="1"/>
  <c r="H16" i="47" s="1"/>
  <c r="H17" i="47" s="1"/>
  <c r="H18" i="47" s="1"/>
  <c r="H19" i="47" s="1"/>
  <c r="H20" i="47" s="1"/>
  <c r="H21" i="47" s="1"/>
  <c r="H22" i="47" s="1"/>
  <c r="H23" i="47" s="1"/>
  <c r="H24" i="47" s="1"/>
  <c r="E33" i="46"/>
  <c r="E20" i="132"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55" i="4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E24" i="69"/>
  <c r="E32" i="69" s="1"/>
  <c r="E36" i="69" s="1"/>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H11" i="40"/>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B5" i="40"/>
  <c r="A13" i="135"/>
  <c r="A14" i="135" s="1"/>
  <c r="A15" i="135" s="1"/>
  <c r="A16" i="135" s="1"/>
  <c r="A17" i="135" s="1"/>
  <c r="G12" i="135"/>
  <c r="G13" i="135" s="1"/>
  <c r="G14" i="135" s="1"/>
  <c r="G15" i="135" s="1"/>
  <c r="G16" i="135" s="1"/>
  <c r="G17" i="135" s="1"/>
  <c r="E11" i="38"/>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K12" i="152"/>
  <c r="K13" i="152" s="1"/>
  <c r="K14" i="152" s="1"/>
  <c r="K15" i="152" s="1"/>
  <c r="K16" i="152" s="1"/>
  <c r="K17" i="152" s="1"/>
  <c r="G23" i="34"/>
  <c r="E23" i="34"/>
  <c r="G21" i="34"/>
  <c r="I21" i="34" s="1"/>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7" i="132"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4" i="24"/>
  <c r="J22" i="24"/>
  <c r="J36" i="24" s="1"/>
  <c r="I22" i="24"/>
  <c r="H22" i="24"/>
  <c r="H36" i="24" s="1"/>
  <c r="G22" i="24"/>
  <c r="G36" i="24" s="1"/>
  <c r="F22" i="24"/>
  <c r="F36" i="24" s="1"/>
  <c r="E22" i="24"/>
  <c r="E36" i="24" s="1"/>
  <c r="D22" i="24"/>
  <c r="D36" i="24" s="1"/>
  <c r="A17" i="24"/>
  <c r="A18" i="24" s="1"/>
  <c r="A19" i="24" s="1"/>
  <c r="A20" i="24" s="1"/>
  <c r="A21" i="24" s="1"/>
  <c r="A22" i="24" s="1"/>
  <c r="A23" i="24" s="1"/>
  <c r="A24" i="24" s="1"/>
  <c r="A25" i="24" s="1"/>
  <c r="A26" i="24" s="1"/>
  <c r="A27" i="24" s="1"/>
  <c r="A28" i="24" s="1"/>
  <c r="A29" i="24" s="1"/>
  <c r="A30" i="24" s="1"/>
  <c r="A31" i="24" s="1"/>
  <c r="A32" i="24" s="1"/>
  <c r="A33" i="24" s="1"/>
  <c r="A34" i="24" s="1"/>
  <c r="A35" i="24" s="1"/>
  <c r="A36" i="24" s="1"/>
  <c r="M16" i="24"/>
  <c r="M17" i="24" s="1"/>
  <c r="M18" i="24" s="1"/>
  <c r="M19" i="24" s="1"/>
  <c r="M20" i="24" s="1"/>
  <c r="M21" i="24" s="1"/>
  <c r="M22" i="24" s="1"/>
  <c r="M23" i="24" s="1"/>
  <c r="M24" i="24" s="1"/>
  <c r="M25" i="24" s="1"/>
  <c r="M26" i="24" s="1"/>
  <c r="M27" i="24" s="1"/>
  <c r="M28" i="24" s="1"/>
  <c r="M29" i="24" s="1"/>
  <c r="M30" i="24" s="1"/>
  <c r="M31" i="24" s="1"/>
  <c r="M32" i="24" s="1"/>
  <c r="M33" i="24" s="1"/>
  <c r="M34" i="24" s="1"/>
  <c r="M35" i="24" s="1"/>
  <c r="M36" i="24" s="1"/>
  <c r="J22" i="136"/>
  <c r="J36" i="136" s="1"/>
  <c r="I22" i="136"/>
  <c r="I36" i="136" s="1"/>
  <c r="H22" i="136"/>
  <c r="H36" i="136" s="1"/>
  <c r="G22" i="136"/>
  <c r="G36" i="136" s="1"/>
  <c r="F22" i="136"/>
  <c r="F36" i="136" s="1"/>
  <c r="E22" i="136"/>
  <c r="E36" i="136" s="1"/>
  <c r="A17" i="136"/>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M16" i="136"/>
  <c r="M17" i="136" s="1"/>
  <c r="M18" i="136" s="1"/>
  <c r="M19" i="136" s="1"/>
  <c r="M20" i="136" s="1"/>
  <c r="M21" i="136" s="1"/>
  <c r="M22" i="136" s="1"/>
  <c r="M23" i="136" s="1"/>
  <c r="M24" i="136" s="1"/>
  <c r="M25" i="136" s="1"/>
  <c r="M26" i="136" s="1"/>
  <c r="M27" i="136" s="1"/>
  <c r="M28" i="136" s="1"/>
  <c r="M29" i="136" s="1"/>
  <c r="M30" i="136" s="1"/>
  <c r="M31" i="136" s="1"/>
  <c r="M32" i="136" s="1"/>
  <c r="M33" i="136" s="1"/>
  <c r="M34" i="136" s="1"/>
  <c r="M35" i="136" s="1"/>
  <c r="M36" i="136" s="1"/>
  <c r="A15" i="23"/>
  <c r="A16" i="23" s="1"/>
  <c r="A17" i="23" s="1"/>
  <c r="A18" i="23" s="1"/>
  <c r="A19" i="23" s="1"/>
  <c r="A20" i="23" s="1"/>
  <c r="A21" i="23" s="1"/>
  <c r="A22" i="23" s="1"/>
  <c r="A23" i="23" s="1"/>
  <c r="A24" i="23" s="1"/>
  <c r="A25" i="23" s="1"/>
  <c r="A26" i="23" s="1"/>
  <c r="A27" i="23" s="1"/>
  <c r="A28" i="23" s="1"/>
  <c r="A29" i="23" s="1"/>
  <c r="A30" i="23" s="1"/>
  <c r="A31" i="23" s="1"/>
  <c r="A32" i="23" s="1"/>
  <c r="G14" i="23"/>
  <c r="G15" i="23" s="1"/>
  <c r="G16" i="23" s="1"/>
  <c r="G17" i="23" s="1"/>
  <c r="G18" i="23" s="1"/>
  <c r="G19" i="23" s="1"/>
  <c r="G20" i="23" s="1"/>
  <c r="G21" i="23" s="1"/>
  <c r="G22" i="23" s="1"/>
  <c r="G23" i="23" s="1"/>
  <c r="G24" i="23" s="1"/>
  <c r="G25" i="23" s="1"/>
  <c r="G26" i="23" s="1"/>
  <c r="G27" i="23" s="1"/>
  <c r="G28" i="23" s="1"/>
  <c r="G29" i="23" s="1"/>
  <c r="G30" i="23" s="1"/>
  <c r="G31" i="23" s="1"/>
  <c r="G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6" i="132"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3" i="11"/>
  <c r="E33" i="11"/>
  <c r="J21" i="11"/>
  <c r="J35" i="11" s="1"/>
  <c r="I21" i="11"/>
  <c r="I35" i="11" s="1"/>
  <c r="H21" i="11"/>
  <c r="H35" i="11" s="1"/>
  <c r="G21" i="11"/>
  <c r="G35" i="11" s="1"/>
  <c r="F21" i="11"/>
  <c r="E21" i="11"/>
  <c r="D21" i="11"/>
  <c r="D3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M15" i="1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H33" i="10"/>
  <c r="G33" i="10"/>
  <c r="J21" i="10"/>
  <c r="J35" i="10" s="1"/>
  <c r="I21" i="10"/>
  <c r="I35" i="10" s="1"/>
  <c r="H21" i="10"/>
  <c r="G21" i="10"/>
  <c r="E21" i="10"/>
  <c r="E35" i="10" s="1"/>
  <c r="K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M15" i="10"/>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K15" i="10"/>
  <c r="I21" i="2"/>
  <c r="A15" i="9"/>
  <c r="A16" i="9" s="1"/>
  <c r="A17" i="9" s="1"/>
  <c r="A18" i="9" s="1"/>
  <c r="A19" i="9" s="1"/>
  <c r="A20" i="9" s="1"/>
  <c r="A21" i="9" s="1"/>
  <c r="A22" i="9" s="1"/>
  <c r="A23" i="9" s="1"/>
  <c r="A24" i="9" s="1"/>
  <c r="A25" i="9" s="1"/>
  <c r="A26" i="9" s="1"/>
  <c r="A27" i="9" s="1"/>
  <c r="A28" i="9" s="1"/>
  <c r="A29" i="9" s="1"/>
  <c r="A30" i="9" s="1"/>
  <c r="A31" i="9" s="1"/>
  <c r="A32" i="9" s="1"/>
  <c r="G27" i="9"/>
  <c r="G28" i="9" s="1"/>
  <c r="G29" i="9" s="1"/>
  <c r="G30" i="9" s="1"/>
  <c r="G31" i="9" s="1"/>
  <c r="G32" i="9" s="1"/>
  <c r="A16" i="8"/>
  <c r="A17" i="8" s="1"/>
  <c r="A18" i="8" s="1"/>
  <c r="A19" i="8" s="1"/>
  <c r="A20" i="8" s="1"/>
  <c r="A21" i="8" s="1"/>
  <c r="G18" i="8"/>
  <c r="G19" i="8" s="1"/>
  <c r="G20" i="8" s="1"/>
  <c r="G21" i="8" s="1"/>
  <c r="E28" i="7"/>
  <c r="E31" i="7" s="1"/>
  <c r="I17" i="2" s="1"/>
  <c r="E53"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51"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A34" i="133" s="1"/>
  <c r="A35" i="133" s="1"/>
  <c r="A36" i="133" s="1"/>
  <c r="A37" i="133" s="1"/>
  <c r="A38" i="133" s="1"/>
  <c r="A39" i="133" s="1"/>
  <c r="A40" i="133" s="1"/>
  <c r="A41" i="133" s="1"/>
  <c r="A42" i="133" s="1"/>
  <c r="J11" i="133"/>
  <c r="J12" i="133" s="1"/>
  <c r="J13" i="133" s="1"/>
  <c r="J14" i="133" s="1"/>
  <c r="J15" i="133" s="1"/>
  <c r="J16" i="133" s="1"/>
  <c r="J17" i="133" s="1"/>
  <c r="J18" i="133" s="1"/>
  <c r="J19" i="133" s="1"/>
  <c r="J20" i="133" s="1"/>
  <c r="J21" i="133" s="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B230" i="132"/>
  <c r="E219" i="132"/>
  <c r="E253" i="132" s="1"/>
  <c r="B158" i="132"/>
  <c r="E144" i="132"/>
  <c r="E133" i="132"/>
  <c r="E119" i="132"/>
  <c r="B104" i="132"/>
  <c r="E68" i="132"/>
  <c r="E55" i="132"/>
  <c r="E38" i="132"/>
  <c r="E37" i="132"/>
  <c r="E35" i="132"/>
  <c r="E15" i="132"/>
  <c r="E13" i="133" s="1"/>
  <c r="A56" i="132"/>
  <c r="A57" i="132" s="1"/>
  <c r="A58" i="132" s="1"/>
  <c r="A59" i="132" s="1"/>
  <c r="A60" i="132" s="1"/>
  <c r="A61" i="132" s="1"/>
  <c r="A62" i="132" s="1"/>
  <c r="A63" i="132" s="1"/>
  <c r="A64" i="132" s="1"/>
  <c r="A65" i="132" s="1"/>
  <c r="A66" i="132" s="1"/>
  <c r="A67" i="132" s="1"/>
  <c r="A68" i="132" s="1"/>
  <c r="A69" i="132" s="1"/>
  <c r="A70" i="132" s="1"/>
  <c r="A71" i="132" s="1"/>
  <c r="A72" i="132" s="1"/>
  <c r="A73" i="132" s="1"/>
  <c r="A74" i="132" s="1"/>
  <c r="A75" i="132" s="1"/>
  <c r="A76" i="132" s="1"/>
  <c r="A77" i="132" s="1"/>
  <c r="A78" i="132" s="1"/>
  <c r="A79" i="132" s="1"/>
  <c r="A80" i="132" s="1"/>
  <c r="A81" i="132" s="1"/>
  <c r="A82" i="132" s="1"/>
  <c r="A83" i="132" s="1"/>
  <c r="A84" i="132" s="1"/>
  <c r="A85" i="132" s="1"/>
  <c r="A86" i="132" s="1"/>
  <c r="A87" i="132" s="1"/>
  <c r="A88" i="132" s="1"/>
  <c r="A89" i="132" s="1"/>
  <c r="A90" i="132" s="1"/>
  <c r="A91" i="132" s="1"/>
  <c r="A92" i="132" s="1"/>
  <c r="A93" i="132" s="1"/>
  <c r="E15" i="77"/>
  <c r="D19" i="142"/>
  <c r="D27" i="142"/>
  <c r="A12" i="74"/>
  <c r="A13" i="74" s="1"/>
  <c r="H11" i="74"/>
  <c r="H12" i="74" s="1"/>
  <c r="H13" i="74" s="1"/>
  <c r="F23" i="47"/>
  <c r="E11" i="46" s="1"/>
  <c r="D23" i="142"/>
  <c r="C16" i="142"/>
  <c r="C18" i="142" s="1"/>
  <c r="A42" i="82"/>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C47" i="82"/>
  <c r="C60" i="82"/>
  <c r="C99" i="82"/>
  <c r="E84" i="82"/>
  <c r="E48" i="82"/>
  <c r="C48" i="150"/>
  <c r="D35" i="10"/>
  <c r="H35" i="10"/>
  <c r="G13" i="34"/>
  <c r="E28" i="66"/>
  <c r="E30" i="66" s="1"/>
  <c r="E24" i="144" s="1"/>
  <c r="E38" i="40"/>
  <c r="I33" i="2"/>
  <c r="I19" i="22"/>
  <c r="D23" i="47"/>
  <c r="C84" i="82"/>
  <c r="E85"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49" i="82"/>
  <c r="C62" i="82"/>
  <c r="C86" i="82"/>
  <c r="J80" i="82"/>
  <c r="J81" i="82" s="1"/>
  <c r="J82" i="82" s="1"/>
  <c r="J83" i="82" s="1"/>
  <c r="J84" i="82" s="1"/>
  <c r="J85" i="82" s="1"/>
  <c r="J86" i="82" s="1"/>
  <c r="J87" i="82" s="1"/>
  <c r="J88" i="82" s="1"/>
  <c r="J89" i="82" s="1"/>
  <c r="J90" i="82" s="1"/>
  <c r="J91" i="82" s="1"/>
  <c r="J92" i="82" s="1"/>
  <c r="J93" i="82" s="1"/>
  <c r="J94" i="82" s="1"/>
  <c r="J95" i="82" s="1"/>
  <c r="J96" i="82" s="1"/>
  <c r="J97" i="82" s="1"/>
  <c r="J98" i="82" s="1"/>
  <c r="J99" i="82" s="1"/>
  <c r="J100" i="82" s="1"/>
  <c r="J101" i="82" s="1"/>
  <c r="J102" i="82" s="1"/>
  <c r="A80" i="82"/>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E124" i="132" l="1"/>
  <c r="E124" i="144"/>
  <c r="I14" i="153"/>
  <c r="I15" i="153" s="1"/>
  <c r="I16" i="153" s="1"/>
  <c r="I17" i="153" s="1"/>
  <c r="I18" i="153" s="1"/>
  <c r="I19" i="153" s="1"/>
  <c r="I20" i="153" s="1"/>
  <c r="I21" i="153" s="1"/>
  <c r="I22" i="153" s="1"/>
  <c r="I23" i="153" s="1"/>
  <c r="I24" i="153" s="1"/>
  <c r="I25" i="153" s="1"/>
  <c r="I26" i="153" s="1"/>
  <c r="I27" i="153" s="1"/>
  <c r="I28" i="153" s="1"/>
  <c r="I29" i="153" s="1"/>
  <c r="I30" i="153" s="1"/>
  <c r="I31" i="153" s="1"/>
  <c r="I32" i="153" s="1"/>
  <c r="I33" i="153" s="1"/>
  <c r="I34" i="153" s="1"/>
  <c r="I35" i="153" s="1"/>
  <c r="A14" i="153"/>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G34" i="86"/>
  <c r="G35" i="86" s="1"/>
  <c r="G36" i="86" s="1"/>
  <c r="G37" i="86" s="1"/>
  <c r="G38" i="86" s="1"/>
  <c r="G39" i="86" s="1"/>
  <c r="G40" i="86" s="1"/>
  <c r="G41" i="86" s="1"/>
  <c r="G42" i="86" s="1"/>
  <c r="G43" i="86" s="1"/>
  <c r="G44" i="86" s="1"/>
  <c r="G45" i="86" s="1"/>
  <c r="G46" i="86" s="1"/>
  <c r="G47" i="86" s="1"/>
  <c r="G48" i="86" s="1"/>
  <c r="G49" i="86" s="1"/>
  <c r="G50" i="86" s="1"/>
  <c r="G51" i="86" s="1"/>
  <c r="G52" i="86" s="1"/>
  <c r="G53" i="86" s="1"/>
  <c r="A212" i="150"/>
  <c r="A213" i="150" s="1"/>
  <c r="A214" i="150" s="1"/>
  <c r="A215" i="150" s="1"/>
  <c r="A216" i="150" s="1"/>
  <c r="A217" i="150" s="1"/>
  <c r="A218" i="150" s="1"/>
  <c r="A219" i="150" s="1"/>
  <c r="A220" i="150" s="1"/>
  <c r="A221" i="150" s="1"/>
  <c r="A222" i="150" s="1"/>
  <c r="A223" i="150" s="1"/>
  <c r="A224" i="150" s="1"/>
  <c r="A225" i="150" s="1"/>
  <c r="A226" i="150" s="1"/>
  <c r="A227" i="150" s="1"/>
  <c r="A228" i="150" s="1"/>
  <c r="A229" i="150" s="1"/>
  <c r="A230" i="150" s="1"/>
  <c r="A231" i="150" s="1"/>
  <c r="A232" i="150" s="1"/>
  <c r="A233" i="150" s="1"/>
  <c r="A234" i="150" s="1"/>
  <c r="A235" i="150" s="1"/>
  <c r="A236" i="150" s="1"/>
  <c r="A237" i="150" s="1"/>
  <c r="A238" i="150" s="1"/>
  <c r="A239" i="150" s="1"/>
  <c r="A240" i="150" s="1"/>
  <c r="A241" i="150" s="1"/>
  <c r="A242" i="150" s="1"/>
  <c r="A243" i="150" s="1"/>
  <c r="A244" i="150" s="1"/>
  <c r="A245" i="150" s="1"/>
  <c r="A253" i="150" s="1"/>
  <c r="A254" i="150" s="1"/>
  <c r="A255" i="150" s="1"/>
  <c r="A256" i="150" s="1"/>
  <c r="A257" i="150" s="1"/>
  <c r="A258" i="150" s="1"/>
  <c r="A259" i="150" s="1"/>
  <c r="J212" i="150"/>
  <c r="J213" i="150" s="1"/>
  <c r="J214" i="150" s="1"/>
  <c r="J215" i="150" s="1"/>
  <c r="J216" i="150" s="1"/>
  <c r="J217" i="150" s="1"/>
  <c r="J218" i="150" s="1"/>
  <c r="J219" i="150" s="1"/>
  <c r="J220" i="150" s="1"/>
  <c r="J221" i="150" s="1"/>
  <c r="J222" i="150" s="1"/>
  <c r="J223" i="150" s="1"/>
  <c r="J224" i="150" s="1"/>
  <c r="J225" i="150" s="1"/>
  <c r="J226" i="150" s="1"/>
  <c r="J227" i="150" s="1"/>
  <c r="J228" i="150" s="1"/>
  <c r="J229" i="150" s="1"/>
  <c r="J230" i="150" s="1"/>
  <c r="J231" i="150" s="1"/>
  <c r="J232" i="150" s="1"/>
  <c r="J233" i="150" s="1"/>
  <c r="J234" i="150" s="1"/>
  <c r="J235" i="150" s="1"/>
  <c r="J236" i="150" s="1"/>
  <c r="J237" i="150" s="1"/>
  <c r="J238" i="150" s="1"/>
  <c r="J239" i="150" s="1"/>
  <c r="J240" i="150" s="1"/>
  <c r="J241" i="150" s="1"/>
  <c r="J242" i="150" s="1"/>
  <c r="J243" i="150" s="1"/>
  <c r="J244" i="150" s="1"/>
  <c r="J245" i="150" s="1"/>
  <c r="J251" i="150" s="1"/>
  <c r="J252" i="150" s="1"/>
  <c r="J253" i="150" s="1"/>
  <c r="J254" i="150" s="1"/>
  <c r="J255" i="150" s="1"/>
  <c r="J256" i="150" s="1"/>
  <c r="J257" i="150" s="1"/>
  <c r="J258" i="150" s="1"/>
  <c r="J259" i="150" s="1"/>
  <c r="J135" i="150"/>
  <c r="J136" i="150" s="1"/>
  <c r="J137" i="150" s="1"/>
  <c r="J138" i="150" s="1"/>
  <c r="J139" i="150" s="1"/>
  <c r="J140" i="150" s="1"/>
  <c r="J141" i="150" s="1"/>
  <c r="J142" i="150" s="1"/>
  <c r="J143" i="150" s="1"/>
  <c r="J144" i="150" s="1"/>
  <c r="J145" i="150" s="1"/>
  <c r="J146" i="150" s="1"/>
  <c r="J147" i="150" s="1"/>
  <c r="J148" i="150" s="1"/>
  <c r="J149" i="150" s="1"/>
  <c r="J150" i="150" s="1"/>
  <c r="J151" i="150" s="1"/>
  <c r="J152" i="150" s="1"/>
  <c r="J153" i="150" s="1"/>
  <c r="J154" i="150" s="1"/>
  <c r="J155" i="150" s="1"/>
  <c r="J156" i="150" s="1"/>
  <c r="J157" i="150" s="1"/>
  <c r="J158" i="150" s="1"/>
  <c r="J159" i="150" s="1"/>
  <c r="J160" i="150" s="1"/>
  <c r="J161" i="150" s="1"/>
  <c r="J162" i="150" s="1"/>
  <c r="J163" i="150" s="1"/>
  <c r="J164" i="150" s="1"/>
  <c r="J165" i="150" s="1"/>
  <c r="J166" i="150" s="1"/>
  <c r="J167" i="150" s="1"/>
  <c r="J168" i="150" s="1"/>
  <c r="A135" i="150"/>
  <c r="A136" i="150" s="1"/>
  <c r="A137" i="150" s="1"/>
  <c r="A138" i="150" s="1"/>
  <c r="A139" i="150" s="1"/>
  <c r="A140" i="150" s="1"/>
  <c r="A141" i="150" s="1"/>
  <c r="A142" i="150" s="1"/>
  <c r="A143" i="150" s="1"/>
  <c r="A144" i="150" s="1"/>
  <c r="A145" i="150" s="1"/>
  <c r="A146" i="150" s="1"/>
  <c r="A147" i="150" s="1"/>
  <c r="A148" i="150" s="1"/>
  <c r="A149" i="150" s="1"/>
  <c r="A150" i="150" s="1"/>
  <c r="A151" i="150" s="1"/>
  <c r="A152" i="150" s="1"/>
  <c r="A153" i="150" s="1"/>
  <c r="A154" i="150" s="1"/>
  <c r="A155" i="150" s="1"/>
  <c r="A156" i="150" s="1"/>
  <c r="A157" i="150" s="1"/>
  <c r="A158" i="150" s="1"/>
  <c r="A159" i="150" s="1"/>
  <c r="A160" i="150" s="1"/>
  <c r="A161" i="150" s="1"/>
  <c r="A162" i="150" s="1"/>
  <c r="A163" i="150" s="1"/>
  <c r="A164" i="150" s="1"/>
  <c r="A165" i="150" s="1"/>
  <c r="A166" i="150" s="1"/>
  <c r="A167" i="150" s="1"/>
  <c r="A168" i="150" s="1"/>
  <c r="A17" i="86"/>
  <c r="A18" i="86" s="1"/>
  <c r="A19" i="86" s="1"/>
  <c r="A20" i="86" s="1"/>
  <c r="A21" i="86" s="1"/>
  <c r="A22" i="86" s="1"/>
  <c r="A23" i="86" s="1"/>
  <c r="A24" i="86" s="1"/>
  <c r="A25" i="86" s="1"/>
  <c r="A26" i="86" s="1"/>
  <c r="A27" i="86" s="1"/>
  <c r="A28" i="86" s="1"/>
  <c r="A29" i="86" s="1"/>
  <c r="A30" i="86" s="1"/>
  <c r="A31" i="86" s="1"/>
  <c r="A32" i="86" s="1"/>
  <c r="A33" i="86" s="1"/>
  <c r="K21" i="10"/>
  <c r="K35" i="10" s="1"/>
  <c r="E165" i="132"/>
  <c r="E165" i="144"/>
  <c r="E118" i="132"/>
  <c r="E118" i="144"/>
  <c r="B111" i="150"/>
  <c r="B188" i="150"/>
  <c r="G32" i="150"/>
  <c r="B73" i="150"/>
  <c r="A133" i="144"/>
  <c r="A134" i="144" s="1"/>
  <c r="A135" i="144" s="1"/>
  <c r="A136" i="144" s="1"/>
  <c r="A137" i="144" s="1"/>
  <c r="A138" i="144" s="1"/>
  <c r="A139" i="144" s="1"/>
  <c r="A140" i="144" s="1"/>
  <c r="A141" i="144" s="1"/>
  <c r="A142" i="144" s="1"/>
  <c r="A143" i="144" s="1"/>
  <c r="A144" i="144" s="1"/>
  <c r="A145" i="144" s="1"/>
  <c r="A146" i="144" s="1"/>
  <c r="A147" i="144" s="1"/>
  <c r="A148" i="144" s="1"/>
  <c r="H133" i="144"/>
  <c r="H134" i="144" s="1"/>
  <c r="H135" i="144" s="1"/>
  <c r="H136" i="144" s="1"/>
  <c r="H137" i="144" s="1"/>
  <c r="H138" i="144" s="1"/>
  <c r="H139" i="144" s="1"/>
  <c r="H140" i="144" s="1"/>
  <c r="H141" i="144" s="1"/>
  <c r="H142" i="144" s="1"/>
  <c r="H143" i="144" s="1"/>
  <c r="H144" i="144" s="1"/>
  <c r="H145" i="144" s="1"/>
  <c r="H146" i="144" s="1"/>
  <c r="H147" i="144" s="1"/>
  <c r="H148" i="144" s="1"/>
  <c r="H16" i="144"/>
  <c r="H17" i="144" s="1"/>
  <c r="H18" i="144" s="1"/>
  <c r="A16" i="144"/>
  <c r="A17" i="144" s="1"/>
  <c r="A18" i="144" s="1"/>
  <c r="C24" i="142"/>
  <c r="G35" i="10"/>
  <c r="K14" i="151"/>
  <c r="K15" i="151" s="1"/>
  <c r="A14" i="151"/>
  <c r="A15" i="151" s="1"/>
  <c r="A14" i="152"/>
  <c r="A15" i="152" s="1"/>
  <c r="A16" i="152" s="1"/>
  <c r="I36" i="24"/>
  <c r="E35" i="119"/>
  <c r="H41" i="119"/>
  <c r="A212" i="82"/>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J212" i="82"/>
  <c r="J213" i="82" s="1"/>
  <c r="J214" i="82" s="1"/>
  <c r="J215" i="82" s="1"/>
  <c r="J216" i="82" s="1"/>
  <c r="J217" i="82" s="1"/>
  <c r="J218" i="82" s="1"/>
  <c r="J219" i="82" s="1"/>
  <c r="J220" i="82" s="1"/>
  <c r="J221" i="82" s="1"/>
  <c r="J222" i="82" s="1"/>
  <c r="J223" i="82" s="1"/>
  <c r="J224" i="82" s="1"/>
  <c r="J225" i="82" s="1"/>
  <c r="J226" i="82" s="1"/>
  <c r="J227" i="82" s="1"/>
  <c r="J228" i="82" s="1"/>
  <c r="J229" i="82" s="1"/>
  <c r="J230" i="82" s="1"/>
  <c r="J231" i="82" s="1"/>
  <c r="J232" i="82" s="1"/>
  <c r="J233" i="82" s="1"/>
  <c r="J234" i="82" s="1"/>
  <c r="J235" i="82" s="1"/>
  <c r="J236" i="82" s="1"/>
  <c r="J237" i="82" s="1"/>
  <c r="J238" i="82" s="1"/>
  <c r="J239" i="82" s="1"/>
  <c r="J240" i="82" s="1"/>
  <c r="J241" i="82" s="1"/>
  <c r="J242" i="82" s="1"/>
  <c r="J243" i="82" s="1"/>
  <c r="J244" i="82" s="1"/>
  <c r="J245" i="82" s="1"/>
  <c r="C27" i="142"/>
  <c r="I27" i="2"/>
  <c r="E56" i="40" s="1"/>
  <c r="D22" i="14"/>
  <c r="C17" i="142"/>
  <c r="A26" i="41"/>
  <c r="A27" i="41" s="1"/>
  <c r="I35" i="2"/>
  <c r="E44" i="40" s="1"/>
  <c r="E50" i="40" s="1"/>
  <c r="C20" i="142"/>
  <c r="J135" i="82"/>
  <c r="J136" i="82" s="1"/>
  <c r="J137" i="82" s="1"/>
  <c r="J138" i="82" s="1"/>
  <c r="J139" i="82" s="1"/>
  <c r="J140" i="82" s="1"/>
  <c r="J141" i="82" s="1"/>
  <c r="J142" i="82" s="1"/>
  <c r="J143" i="82" s="1"/>
  <c r="J144" i="82" s="1"/>
  <c r="J145" i="82" s="1"/>
  <c r="J146" i="82" s="1"/>
  <c r="J147" i="82" s="1"/>
  <c r="J148" i="82" s="1"/>
  <c r="J149" i="82" s="1"/>
  <c r="J150" i="82" s="1"/>
  <c r="J151" i="82" s="1"/>
  <c r="J152" i="82" s="1"/>
  <c r="J153" i="82" s="1"/>
  <c r="J154" i="82" s="1"/>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A135" i="82"/>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E20" i="118"/>
  <c r="E209" i="132"/>
  <c r="E243" i="132"/>
  <c r="I25" i="2"/>
  <c r="I37" i="2" s="1"/>
  <c r="F35" i="11"/>
  <c r="H42" i="121"/>
  <c r="G24" i="121" s="1"/>
  <c r="J24" i="121" s="1"/>
  <c r="N24" i="121" s="1"/>
  <c r="A298" i="132"/>
  <c r="A299" i="132" s="1"/>
  <c r="A300" i="132" s="1"/>
  <c r="A301" i="132" s="1"/>
  <c r="A302" i="132" s="1"/>
  <c r="A303" i="132" s="1"/>
  <c r="A304" i="132" s="1"/>
  <c r="A305" i="132" s="1"/>
  <c r="A306" i="132" s="1"/>
  <c r="A307" i="132" s="1"/>
  <c r="A308" i="132" s="1"/>
  <c r="A309" i="132" s="1"/>
  <c r="A310" i="132" s="1"/>
  <c r="A311" i="132" s="1"/>
  <c r="A312" i="132" s="1"/>
  <c r="A313" i="132" s="1"/>
  <c r="E120" i="132"/>
  <c r="I13" i="22"/>
  <c r="I21" i="22" s="1"/>
  <c r="I23" i="34"/>
  <c r="E36" i="120"/>
  <c r="H42" i="120"/>
  <c r="E36" i="121"/>
  <c r="G17" i="150"/>
  <c r="C97" i="150" s="1"/>
  <c r="G39" i="150"/>
  <c r="C99" i="150" s="1"/>
  <c r="B111" i="82"/>
  <c r="B188" i="82"/>
  <c r="E85" i="132"/>
  <c r="E81" i="144"/>
  <c r="C24" i="118"/>
  <c r="E18" i="118"/>
  <c r="C22" i="142"/>
  <c r="C19" i="142"/>
  <c r="H11" i="75"/>
  <c r="H12" i="75" s="1"/>
  <c r="H13" i="75" s="1"/>
  <c r="H14" i="75" s="1"/>
  <c r="H15" i="75" s="1"/>
  <c r="H16" i="75" s="1"/>
  <c r="H17" i="75" s="1"/>
  <c r="H18" i="75" s="1"/>
  <c r="H19" i="75" s="1"/>
  <c r="I19" i="2"/>
  <c r="E54" i="40" s="1"/>
  <c r="E35" i="11"/>
  <c r="I15" i="22"/>
  <c r="I23" i="22" s="1"/>
  <c r="I19" i="34"/>
  <c r="I18" i="151"/>
  <c r="I35" i="151" s="1"/>
  <c r="D24" i="118"/>
  <c r="E210" i="132"/>
  <c r="E57" i="41"/>
  <c r="E17" i="40"/>
  <c r="E19" i="40" s="1"/>
  <c r="E11" i="144" s="1"/>
  <c r="E22" i="118"/>
  <c r="G16" i="157"/>
  <c r="F17" i="157"/>
  <c r="E29" i="2"/>
  <c r="I29" i="2" s="1"/>
  <c r="E57" i="40" s="1"/>
  <c r="A28" i="41"/>
  <c r="A29" i="41" s="1"/>
  <c r="A30" i="41" s="1"/>
  <c r="C23" i="142"/>
  <c r="E244" i="132"/>
  <c r="D22" i="27"/>
  <c r="E120" i="144"/>
  <c r="C29" i="158"/>
  <c r="C19" i="158"/>
  <c r="C24" i="158"/>
  <c r="F11" i="117"/>
  <c r="G11" i="117"/>
  <c r="D42" i="86"/>
  <c r="E50" i="86" s="1"/>
  <c r="E46" i="86" s="1"/>
  <c r="E208" i="132"/>
  <c r="E242" i="132"/>
  <c r="C100" i="82"/>
  <c r="D98" i="82" s="1"/>
  <c r="G98" i="82" s="1"/>
  <c r="C50" i="82"/>
  <c r="D47" i="82" s="1"/>
  <c r="C87" i="82"/>
  <c r="D86" i="82" s="1"/>
  <c r="G86" i="82" s="1"/>
  <c r="G25" i="150"/>
  <c r="C63" i="82"/>
  <c r="D61" i="82" s="1"/>
  <c r="G61" i="82" s="1"/>
  <c r="C25" i="142"/>
  <c r="C26" i="142"/>
  <c r="C21" i="142"/>
  <c r="G33" i="153"/>
  <c r="E16" i="75" s="1"/>
  <c r="G25" i="153"/>
  <c r="E81" i="132"/>
  <c r="E24" i="132"/>
  <c r="I18" i="152"/>
  <c r="B104" i="144"/>
  <c r="E15" i="34"/>
  <c r="I15" i="34" s="1"/>
  <c r="E13" i="34"/>
  <c r="I13" i="34" s="1"/>
  <c r="E188" i="132"/>
  <c r="E139" i="132" s="1"/>
  <c r="E188" i="144"/>
  <c r="E139" i="144" s="1"/>
  <c r="E17" i="22"/>
  <c r="I17" i="22" s="1"/>
  <c r="I25" i="2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D85" i="82"/>
  <c r="E47" i="82"/>
  <c r="E23" i="77"/>
  <c r="E35" i="40"/>
  <c r="E172" i="132"/>
  <c r="G136" i="82"/>
  <c r="G136" i="150"/>
  <c r="A31" i="41"/>
  <c r="A32" i="41" s="1"/>
  <c r="A33" i="41" s="1"/>
  <c r="A34" i="41" s="1"/>
  <c r="A35" i="41" s="1"/>
  <c r="A36" i="41" s="1"/>
  <c r="A37" i="41" s="1"/>
  <c r="A38" i="41" s="1"/>
  <c r="A39" i="41" s="1"/>
  <c r="A40" i="41" s="1"/>
  <c r="A41" i="41" s="1"/>
  <c r="G43" i="41" s="1"/>
  <c r="G34" i="121"/>
  <c r="J34" i="121" s="1"/>
  <c r="N34" i="121" s="1"/>
  <c r="G32" i="121"/>
  <c r="J32" i="121" s="1"/>
  <c r="N32" i="121" s="1"/>
  <c r="G30" i="121"/>
  <c r="J30" i="121" s="1"/>
  <c r="N30" i="121" s="1"/>
  <c r="G28" i="121"/>
  <c r="J28" i="121" s="1"/>
  <c r="N28" i="121" s="1"/>
  <c r="G26" i="121"/>
  <c r="J26" i="121" s="1"/>
  <c r="N26"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11" i="156"/>
  <c r="E23" i="158"/>
  <c r="E18" i="158"/>
  <c r="E28" i="158"/>
  <c r="E19" i="46"/>
  <c r="F34" i="120"/>
  <c r="F32" i="120"/>
  <c r="F30" i="120"/>
  <c r="F28" i="120"/>
  <c r="F26" i="120"/>
  <c r="F24" i="120"/>
  <c r="F22" i="120"/>
  <c r="F20" i="120"/>
  <c r="F18" i="120"/>
  <c r="F16" i="120"/>
  <c r="F14" i="120"/>
  <c r="F12" i="120"/>
  <c r="G35" i="120"/>
  <c r="J35" i="120" s="1"/>
  <c r="N35" i="120" s="1"/>
  <c r="G33" i="120"/>
  <c r="J33" i="120" s="1"/>
  <c r="N33" i="120" s="1"/>
  <c r="G31" i="120"/>
  <c r="J31" i="120" s="1"/>
  <c r="N31" i="120" s="1"/>
  <c r="G29" i="120"/>
  <c r="J29" i="120" s="1"/>
  <c r="N29" i="120" s="1"/>
  <c r="G27" i="120"/>
  <c r="J27" i="120" s="1"/>
  <c r="N27" i="120" s="1"/>
  <c r="G25" i="120"/>
  <c r="J25" i="120" s="1"/>
  <c r="N25" i="120" s="1"/>
  <c r="G23" i="120"/>
  <c r="J23" i="120" s="1"/>
  <c r="N23" i="120" s="1"/>
  <c r="G21" i="120"/>
  <c r="J21" i="120" s="1"/>
  <c r="N21" i="120" s="1"/>
  <c r="G19" i="120"/>
  <c r="J19" i="120" s="1"/>
  <c r="N19" i="120" s="1"/>
  <c r="G17" i="120"/>
  <c r="J17" i="120" s="1"/>
  <c r="N17" i="120" s="1"/>
  <c r="G15" i="120"/>
  <c r="J15" i="120" s="1"/>
  <c r="N15" i="120" s="1"/>
  <c r="G13" i="120"/>
  <c r="J13" i="120" s="1"/>
  <c r="N13" i="120" s="1"/>
  <c r="F35" i="120"/>
  <c r="F33" i="120"/>
  <c r="F31" i="120"/>
  <c r="F29" i="120"/>
  <c r="F27" i="120"/>
  <c r="F25" i="120"/>
  <c r="F23" i="120"/>
  <c r="F21" i="120"/>
  <c r="F19" i="120"/>
  <c r="F17" i="120"/>
  <c r="F15" i="120"/>
  <c r="F13" i="120"/>
  <c r="G34" i="120"/>
  <c r="J34" i="120" s="1"/>
  <c r="N34" i="120" s="1"/>
  <c r="G26" i="120"/>
  <c r="J26" i="120" s="1"/>
  <c r="N26" i="120" s="1"/>
  <c r="G30" i="120"/>
  <c r="J30" i="120" s="1"/>
  <c r="N30" i="120" s="1"/>
  <c r="G22" i="120"/>
  <c r="J22" i="120" s="1"/>
  <c r="N22" i="120" s="1"/>
  <c r="G14" i="120"/>
  <c r="J14" i="120" s="1"/>
  <c r="N14" i="120" s="1"/>
  <c r="G20" i="120"/>
  <c r="J20" i="120" s="1"/>
  <c r="N20" i="120" s="1"/>
  <c r="G32" i="120"/>
  <c r="J32" i="120" s="1"/>
  <c r="N32" i="120" s="1"/>
  <c r="G18" i="120"/>
  <c r="J18" i="120" s="1"/>
  <c r="N18" i="120" s="1"/>
  <c r="G28" i="120"/>
  <c r="J28" i="120" s="1"/>
  <c r="N28" i="120" s="1"/>
  <c r="G16" i="120"/>
  <c r="J16" i="120" s="1"/>
  <c r="N16" i="120" s="1"/>
  <c r="G24" i="120"/>
  <c r="J24" i="120" s="1"/>
  <c r="N24" i="120" s="1"/>
  <c r="G12" i="120"/>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E145" i="132" l="1"/>
  <c r="E146" i="132" s="1"/>
  <c r="E70" i="132" s="1"/>
  <c r="E145" i="144"/>
  <c r="E146" i="144" s="1"/>
  <c r="E140" i="132"/>
  <c r="E140" i="144"/>
  <c r="E141" i="144" s="1"/>
  <c r="G22" i="121"/>
  <c r="J22" i="121" s="1"/>
  <c r="N22" i="121" s="1"/>
  <c r="E70" i="144"/>
  <c r="E74" i="144"/>
  <c r="E76" i="144" s="1"/>
  <c r="J169" i="150"/>
  <c r="J170" i="150" s="1"/>
  <c r="J171" i="150" s="1"/>
  <c r="J172" i="150" s="1"/>
  <c r="J173" i="150" s="1"/>
  <c r="J174" i="150" s="1"/>
  <c r="J175" i="150" s="1"/>
  <c r="J176" i="150" s="1"/>
  <c r="J177" i="150" s="1"/>
  <c r="J178" i="150" s="1"/>
  <c r="J179" i="150" s="1"/>
  <c r="J180" i="150" s="1"/>
  <c r="J181" i="150" s="1"/>
  <c r="J182" i="150" s="1"/>
  <c r="A169" i="150"/>
  <c r="A170" i="150" s="1"/>
  <c r="A171" i="150" s="1"/>
  <c r="A172" i="150" s="1"/>
  <c r="A173" i="150" s="1"/>
  <c r="A174" i="150" s="1"/>
  <c r="A175" i="150" s="1"/>
  <c r="A176" i="150" s="1"/>
  <c r="A177" i="150" s="1"/>
  <c r="A178" i="150" s="1"/>
  <c r="A179" i="150" s="1"/>
  <c r="A180" i="150" s="1"/>
  <c r="A181" i="150" s="1"/>
  <c r="A182" i="150" s="1"/>
  <c r="E37" i="40"/>
  <c r="E39" i="40" s="1"/>
  <c r="E36" i="132"/>
  <c r="E36" i="144"/>
  <c r="A34" i="86"/>
  <c r="A35" i="86" s="1"/>
  <c r="A36" i="86" s="1"/>
  <c r="A37" i="86" s="1"/>
  <c r="A38" i="86" s="1"/>
  <c r="A39" i="86" s="1"/>
  <c r="A41" i="86" s="1"/>
  <c r="A42" i="86" s="1"/>
  <c r="A43" i="86" s="1"/>
  <c r="A44" i="86" s="1"/>
  <c r="A45" i="86" s="1"/>
  <c r="A46" i="86" s="1"/>
  <c r="A47" i="86" s="1"/>
  <c r="A48" i="86" s="1"/>
  <c r="A49" i="86" s="1"/>
  <c r="A50" i="86" s="1"/>
  <c r="A51" i="86" s="1"/>
  <c r="A52" i="86" s="1"/>
  <c r="A53" i="86" s="1"/>
  <c r="E175" i="132"/>
  <c r="E175" i="144"/>
  <c r="I39" i="2"/>
  <c r="E174" i="132"/>
  <c r="E174" i="144"/>
  <c r="E173" i="132"/>
  <c r="E173" i="144"/>
  <c r="E58" i="40"/>
  <c r="E166" i="132"/>
  <c r="E166" i="144"/>
  <c r="E48" i="150"/>
  <c r="E85" i="150"/>
  <c r="C49" i="150"/>
  <c r="C86" i="150"/>
  <c r="C47" i="150"/>
  <c r="C84" i="150"/>
  <c r="C100" i="150"/>
  <c r="D98" i="150" s="1"/>
  <c r="C62" i="150"/>
  <c r="A19" i="144"/>
  <c r="A20" i="144" s="1"/>
  <c r="A21" i="144" s="1"/>
  <c r="A22" i="144" s="1"/>
  <c r="A23" i="144" s="1"/>
  <c r="A24" i="144" s="1"/>
  <c r="H19" i="144"/>
  <c r="H20" i="144" s="1"/>
  <c r="H21" i="144" s="1"/>
  <c r="H22" i="144" s="1"/>
  <c r="H23" i="144" s="1"/>
  <c r="H24" i="144" s="1"/>
  <c r="A16" i="15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K18" i="152"/>
  <c r="K19" i="152" s="1"/>
  <c r="K20" i="152" s="1"/>
  <c r="K21" i="152" s="1"/>
  <c r="K22" i="152" s="1"/>
  <c r="K23" i="152" s="1"/>
  <c r="K24" i="152" s="1"/>
  <c r="K25" i="152" s="1"/>
  <c r="K26" i="152" s="1"/>
  <c r="K27" i="152" s="1"/>
  <c r="K28" i="152" s="1"/>
  <c r="K29" i="152" s="1"/>
  <c r="K30" i="152" s="1"/>
  <c r="K31" i="152" s="1"/>
  <c r="K32" i="152" s="1"/>
  <c r="K33" i="152" s="1"/>
  <c r="K34" i="152" s="1"/>
  <c r="K35" i="152" s="1"/>
  <c r="J246" i="82"/>
  <c r="J247" i="82" s="1"/>
  <c r="J248" i="82" s="1"/>
  <c r="J249" i="82" s="1"/>
  <c r="J250" i="82" s="1"/>
  <c r="J251" i="82" s="1"/>
  <c r="J252" i="82" s="1"/>
  <c r="J253" i="82" s="1"/>
  <c r="J254" i="82" s="1"/>
  <c r="J255" i="82" s="1"/>
  <c r="J256" i="82" s="1"/>
  <c r="J257" i="82" s="1"/>
  <c r="J258" i="82" s="1"/>
  <c r="J259" i="82" s="1"/>
  <c r="A246" i="82"/>
  <c r="A247" i="82" s="1"/>
  <c r="A248" i="82" s="1"/>
  <c r="A249" i="82" s="1"/>
  <c r="A250" i="82" s="1"/>
  <c r="A251" i="82" s="1"/>
  <c r="A252" i="82" s="1"/>
  <c r="A253" i="82" s="1"/>
  <c r="A254" i="82" s="1"/>
  <c r="A255" i="82" s="1"/>
  <c r="A256" i="82" s="1"/>
  <c r="A257" i="82" s="1"/>
  <c r="A258" i="82" s="1"/>
  <c r="A259" i="82" s="1"/>
  <c r="D84" i="82"/>
  <c r="G84" i="82" s="1"/>
  <c r="G27" i="150"/>
  <c r="I27" i="22"/>
  <c r="D26" i="118"/>
  <c r="C60" i="150"/>
  <c r="E24" i="118"/>
  <c r="E15" i="75"/>
  <c r="E17" i="75" s="1"/>
  <c r="G123" i="150" s="1"/>
  <c r="G35" i="153"/>
  <c r="E141" i="132"/>
  <c r="E62" i="132" s="1"/>
  <c r="F50" i="86"/>
  <c r="F46" i="86" s="1"/>
  <c r="F48" i="86" s="1"/>
  <c r="D97" i="82"/>
  <c r="G97" i="82" s="1"/>
  <c r="D48" i="86"/>
  <c r="I35" i="152"/>
  <c r="G11" i="34"/>
  <c r="G17" i="34" s="1"/>
  <c r="E11" i="34"/>
  <c r="G41" i="41"/>
  <c r="I31" i="2"/>
  <c r="I41" i="2"/>
  <c r="G17" i="157"/>
  <c r="F18" i="157"/>
  <c r="C14" i="158"/>
  <c r="C11" i="156" s="1"/>
  <c r="G13" i="158"/>
  <c r="G14" i="158" s="1"/>
  <c r="G11" i="156" s="1"/>
  <c r="E48" i="86"/>
  <c r="H26" i="133"/>
  <c r="H39" i="133" s="1"/>
  <c r="D99" i="82"/>
  <c r="G99" i="82" s="1"/>
  <c r="G102" i="82" s="1"/>
  <c r="G233" i="82" s="1"/>
  <c r="G245" i="82" s="1"/>
  <c r="D48" i="82"/>
  <c r="G48" i="82" s="1"/>
  <c r="D49" i="82"/>
  <c r="G49" i="82" s="1"/>
  <c r="G85" i="82"/>
  <c r="G89" i="82" s="1"/>
  <c r="G199" i="82" s="1"/>
  <c r="G211" i="82" s="1"/>
  <c r="D62" i="82"/>
  <c r="D60" i="82"/>
  <c r="E21" i="46"/>
  <c r="E25" i="46"/>
  <c r="E23" i="46"/>
  <c r="E22" i="69"/>
  <c r="E11" i="132"/>
  <c r="E179" i="144"/>
  <c r="E111" i="144" s="1"/>
  <c r="E179" i="132"/>
  <c r="E111" i="132" s="1"/>
  <c r="G23" i="158"/>
  <c r="G24" i="158" s="1"/>
  <c r="G15" i="156" s="1"/>
  <c r="E24" i="158"/>
  <c r="E15" i="156" s="1"/>
  <c r="G18" i="158"/>
  <c r="G19" i="158" s="1"/>
  <c r="G13" i="156" s="1"/>
  <c r="E19" i="158"/>
  <c r="E13" i="156" s="1"/>
  <c r="E29" i="158"/>
  <c r="E17" i="156" s="1"/>
  <c r="G28" i="158"/>
  <c r="G29" i="158" s="1"/>
  <c r="G17" i="156" s="1"/>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F36" i="120"/>
  <c r="H12" i="120"/>
  <c r="I20" i="121"/>
  <c r="H20" i="121"/>
  <c r="I34" i="121"/>
  <c r="H34" i="121"/>
  <c r="I32" i="121"/>
  <c r="H32" i="121"/>
  <c r="I30" i="121"/>
  <c r="H30" i="121"/>
  <c r="E180" i="132"/>
  <c r="A42" i="41"/>
  <c r="A43" i="41" s="1"/>
  <c r="A44" i="41" s="1"/>
  <c r="A45" i="41" s="1"/>
  <c r="A46" i="41" s="1"/>
  <c r="A47" i="41" s="1"/>
  <c r="A48" i="41" s="1"/>
  <c r="A49" i="41" s="1"/>
  <c r="A50" i="41" s="1"/>
  <c r="A51" i="41" s="1"/>
  <c r="A52" i="41" s="1"/>
  <c r="A53" i="41" s="1"/>
  <c r="A54" i="41" s="1"/>
  <c r="A55" i="41" s="1"/>
  <c r="A56" i="41" s="1"/>
  <c r="A57" i="41" s="1"/>
  <c r="A58"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15" i="120"/>
  <c r="H15" i="120"/>
  <c r="I23" i="120"/>
  <c r="H23" i="120"/>
  <c r="I31" i="120"/>
  <c r="H31" i="120"/>
  <c r="I14" i="120"/>
  <c r="H14" i="120"/>
  <c r="I22" i="120"/>
  <c r="H22" i="120"/>
  <c r="I30" i="120"/>
  <c r="H30" i="120"/>
  <c r="I26" i="121"/>
  <c r="H26" i="121"/>
  <c r="I24" i="121"/>
  <c r="H24" i="121"/>
  <c r="I35" i="121"/>
  <c r="H35" i="121"/>
  <c r="I22" i="121"/>
  <c r="H22" i="121"/>
  <c r="I33" i="121"/>
  <c r="H33" i="121"/>
  <c r="G47"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H17" i="120"/>
  <c r="I25" i="120"/>
  <c r="H25" i="120"/>
  <c r="I33" i="120"/>
  <c r="H33" i="120"/>
  <c r="I16" i="120"/>
  <c r="H16" i="120"/>
  <c r="I24" i="120"/>
  <c r="H24" i="120"/>
  <c r="I32" i="120"/>
  <c r="H32" i="120"/>
  <c r="I31" i="121"/>
  <c r="H31" i="121"/>
  <c r="I18" i="121"/>
  <c r="H18" i="121"/>
  <c r="I29" i="121"/>
  <c r="H29" i="121"/>
  <c r="I16" i="121"/>
  <c r="H16" i="121"/>
  <c r="I27" i="121"/>
  <c r="H27" i="121"/>
  <c r="I14" i="121"/>
  <c r="H14" i="121"/>
  <c r="I25" i="121"/>
  <c r="H25" i="121"/>
  <c r="J12" i="120"/>
  <c r="G36" i="120"/>
  <c r="C15" i="156"/>
  <c r="I12" i="119"/>
  <c r="H12" i="119"/>
  <c r="I18" i="119"/>
  <c r="H18" i="119"/>
  <c r="I11" i="119"/>
  <c r="F35" i="119"/>
  <c r="H11" i="119"/>
  <c r="I19" i="119"/>
  <c r="H19" i="119"/>
  <c r="I20" i="119"/>
  <c r="H20" i="119"/>
  <c r="I28" i="119"/>
  <c r="H28" i="119"/>
  <c r="I19" i="120"/>
  <c r="H19" i="120"/>
  <c r="I27" i="120"/>
  <c r="H27" i="120"/>
  <c r="I35" i="120"/>
  <c r="H35" i="120"/>
  <c r="I18" i="120"/>
  <c r="H18" i="120"/>
  <c r="I26" i="120"/>
  <c r="H26" i="120"/>
  <c r="I34" i="120"/>
  <c r="H34" i="120"/>
  <c r="I15" i="121"/>
  <c r="H15" i="121"/>
  <c r="I12" i="121"/>
  <c r="H12" i="121"/>
  <c r="F36" i="121"/>
  <c r="I28" i="121"/>
  <c r="H28" i="121"/>
  <c r="I21" i="121"/>
  <c r="H21" i="121"/>
  <c r="I19" i="121"/>
  <c r="H19" i="121"/>
  <c r="I17" i="121"/>
  <c r="H17" i="121"/>
  <c r="J12" i="121"/>
  <c r="G36" i="121"/>
  <c r="G202" i="150" l="1"/>
  <c r="G214" i="150" s="1"/>
  <c r="E62" i="144"/>
  <c r="G236" i="150"/>
  <c r="G248" i="150" s="1"/>
  <c r="E58" i="144"/>
  <c r="E74" i="132"/>
  <c r="E176" i="144"/>
  <c r="E176" i="132"/>
  <c r="D87" i="82"/>
  <c r="D100" i="82"/>
  <c r="D26" i="157"/>
  <c r="I43" i="2"/>
  <c r="I45" i="2" s="1"/>
  <c r="G13" i="69" s="1"/>
  <c r="G19" i="69" s="1"/>
  <c r="E168" i="144"/>
  <c r="E167" i="144"/>
  <c r="E181" i="144" s="1"/>
  <c r="E113" i="144" s="1"/>
  <c r="E46" i="40"/>
  <c r="E167" i="132"/>
  <c r="E181" i="132" s="1"/>
  <c r="E113" i="132" s="1"/>
  <c r="C63" i="150"/>
  <c r="D97" i="150"/>
  <c r="G97" i="150" s="1"/>
  <c r="E47" i="150"/>
  <c r="E84" i="150"/>
  <c r="C50" i="150"/>
  <c r="D60" i="150" s="1"/>
  <c r="D99" i="150"/>
  <c r="G99" i="150" s="1"/>
  <c r="G102" i="150" s="1"/>
  <c r="G233" i="150" s="1"/>
  <c r="C87" i="150"/>
  <c r="D85" i="150" s="1"/>
  <c r="G85" i="150" s="1"/>
  <c r="G98" i="150"/>
  <c r="H25" i="144"/>
  <c r="H26" i="144" s="1"/>
  <c r="H27" i="144" s="1"/>
  <c r="H28" i="144" s="1"/>
  <c r="H29" i="144" s="1"/>
  <c r="A25" i="144"/>
  <c r="A26" i="144" s="1"/>
  <c r="A27" i="144" s="1"/>
  <c r="A28" i="144" s="1"/>
  <c r="A29" i="144" s="1"/>
  <c r="D50" i="86"/>
  <c r="G236" i="82"/>
  <c r="G248" i="82" s="1"/>
  <c r="G52" i="82"/>
  <c r="G122" i="82" s="1"/>
  <c r="G26" i="133"/>
  <c r="G39" i="133" s="1"/>
  <c r="E168" i="132"/>
  <c r="E58" i="132"/>
  <c r="G202" i="82"/>
  <c r="I11" i="34"/>
  <c r="I17" i="34" s="1"/>
  <c r="E123" i="132" s="1"/>
  <c r="E125" i="132" s="1"/>
  <c r="E17" i="34"/>
  <c r="D13" i="157" s="1"/>
  <c r="I13" i="157" s="1"/>
  <c r="E47" i="40"/>
  <c r="E19" i="75"/>
  <c r="G123" i="82" s="1"/>
  <c r="G18" i="157"/>
  <c r="F19" i="157"/>
  <c r="C19" i="156"/>
  <c r="D50" i="82"/>
  <c r="G50" i="82"/>
  <c r="G146" i="82" s="1"/>
  <c r="G100" i="82"/>
  <c r="G257" i="82" s="1"/>
  <c r="G87" i="82"/>
  <c r="G223" i="82" s="1"/>
  <c r="G62" i="82"/>
  <c r="G65" i="82" s="1"/>
  <c r="G156" i="82" s="1"/>
  <c r="G168" i="82" s="1"/>
  <c r="D63" i="82"/>
  <c r="G60" i="82"/>
  <c r="E19" i="156"/>
  <c r="E27" i="46"/>
  <c r="E240" i="132"/>
  <c r="E206" i="132"/>
  <c r="G19" i="156"/>
  <c r="E16" i="137" s="1"/>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I47"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E112" i="132"/>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H36" i="120"/>
  <c r="K29" i="120"/>
  <c r="M29" i="120"/>
  <c r="O29" i="120" s="1"/>
  <c r="K28" i="121"/>
  <c r="M28" i="121"/>
  <c r="O28" i="121" s="1"/>
  <c r="M12" i="119"/>
  <c r="O12" i="119" s="1"/>
  <c r="K12" i="119"/>
  <c r="H11" i="118"/>
  <c r="N45" i="116"/>
  <c r="K12" i="121"/>
  <c r="I36" i="121"/>
  <c r="I46" i="121" s="1"/>
  <c r="M12" i="121"/>
  <c r="H35" i="119"/>
  <c r="M18" i="119"/>
  <c r="O18" i="119" s="1"/>
  <c r="K18" i="119"/>
  <c r="G134" i="82"/>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80" i="144"/>
  <c r="K12" i="120"/>
  <c r="I36" i="120"/>
  <c r="I46" i="120" s="1"/>
  <c r="M12" i="120"/>
  <c r="M23" i="119"/>
  <c r="O23" i="119" s="1"/>
  <c r="K23" i="119"/>
  <c r="G239" i="82" l="1"/>
  <c r="G249" i="82" s="1"/>
  <c r="E18" i="132"/>
  <c r="E18" i="144"/>
  <c r="C18" i="157"/>
  <c r="H18" i="157" s="1"/>
  <c r="C24" i="157"/>
  <c r="C14" i="157"/>
  <c r="H14" i="157" s="1"/>
  <c r="I14" i="157" s="1"/>
  <c r="C17" i="157"/>
  <c r="H17" i="157" s="1"/>
  <c r="C20" i="157"/>
  <c r="C23" i="157"/>
  <c r="C22" i="157"/>
  <c r="C16" i="157"/>
  <c r="H16" i="157" s="1"/>
  <c r="C19" i="157"/>
  <c r="C15" i="157"/>
  <c r="H15" i="157" s="1"/>
  <c r="C21" i="157"/>
  <c r="C25" i="157"/>
  <c r="E182" i="144"/>
  <c r="E114" i="144" s="1"/>
  <c r="E182" i="132"/>
  <c r="E114" i="132" s="1"/>
  <c r="E115" i="132" s="1"/>
  <c r="E48" i="40"/>
  <c r="E60" i="40" s="1"/>
  <c r="E21" i="66" s="1"/>
  <c r="E23" i="66" s="1"/>
  <c r="E22" i="132" s="1"/>
  <c r="G15" i="69"/>
  <c r="E129" i="132"/>
  <c r="E129" i="144"/>
  <c r="E134" i="132"/>
  <c r="E134" i="144"/>
  <c r="G245" i="150"/>
  <c r="G239" i="150"/>
  <c r="D62" i="150"/>
  <c r="G62" i="150" s="1"/>
  <c r="G100" i="150"/>
  <c r="G257" i="150" s="1"/>
  <c r="D84" i="150"/>
  <c r="D100" i="150"/>
  <c r="D86" i="150"/>
  <c r="G86" i="150" s="1"/>
  <c r="G89" i="150" s="1"/>
  <c r="G199" i="150" s="1"/>
  <c r="G60" i="150"/>
  <c r="D61" i="150"/>
  <c r="G61" i="150" s="1"/>
  <c r="D48" i="150"/>
  <c r="G48" i="150" s="1"/>
  <c r="D49" i="150"/>
  <c r="G49" i="150" s="1"/>
  <c r="D47" i="150"/>
  <c r="G84" i="150"/>
  <c r="A55" i="144"/>
  <c r="A56" i="144" s="1"/>
  <c r="A57" i="144" s="1"/>
  <c r="A58" i="144" s="1"/>
  <c r="A59" i="144" s="1"/>
  <c r="A30" i="144"/>
  <c r="A31" i="144" s="1"/>
  <c r="A32" i="144" s="1"/>
  <c r="A33" i="144" s="1"/>
  <c r="A34" i="144" s="1"/>
  <c r="A35" i="144" s="1"/>
  <c r="A36" i="144" s="1"/>
  <c r="A37" i="144" s="1"/>
  <c r="A38" i="144" s="1"/>
  <c r="A39" i="144" s="1"/>
  <c r="A40" i="144" s="1"/>
  <c r="H55" i="144"/>
  <c r="H56" i="144" s="1"/>
  <c r="H57" i="144" s="1"/>
  <c r="H58" i="144" s="1"/>
  <c r="H59" i="144" s="1"/>
  <c r="H30" i="144"/>
  <c r="H31" i="144" s="1"/>
  <c r="H32" i="144" s="1"/>
  <c r="H33" i="144" s="1"/>
  <c r="H34" i="144" s="1"/>
  <c r="H35" i="144" s="1"/>
  <c r="H36" i="144" s="1"/>
  <c r="H37" i="144" s="1"/>
  <c r="H38" i="144" s="1"/>
  <c r="H39" i="144" s="1"/>
  <c r="H40" i="144" s="1"/>
  <c r="E169" i="132"/>
  <c r="G205" i="82"/>
  <c r="G215" i="82" s="1"/>
  <c r="G214" i="82"/>
  <c r="E26" i="133"/>
  <c r="G19" i="157"/>
  <c r="F20" i="157"/>
  <c r="N45" i="117"/>
  <c r="G63" i="82"/>
  <c r="G180" i="82" s="1"/>
  <c r="E169" i="144"/>
  <c r="J47" i="116"/>
  <c r="K47" i="116" s="1"/>
  <c r="N47" i="116"/>
  <c r="M35" i="117"/>
  <c r="M45" i="117" s="1"/>
  <c r="O11" i="117"/>
  <c r="O35" i="117" s="1"/>
  <c r="O45" i="117" s="1"/>
  <c r="K36" i="120"/>
  <c r="K46" i="120" s="1"/>
  <c r="K35" i="117"/>
  <c r="K45" i="117" s="1"/>
  <c r="I47" i="117" s="1"/>
  <c r="H15" i="118"/>
  <c r="I11" i="118"/>
  <c r="M36" i="120"/>
  <c r="O12" i="120"/>
  <c r="O36" i="120" s="1"/>
  <c r="O46" i="120" s="1"/>
  <c r="K36" i="121"/>
  <c r="K46" i="121" s="1"/>
  <c r="I48" i="121" s="1"/>
  <c r="N45" i="119"/>
  <c r="H18" i="118"/>
  <c r="M45" i="116"/>
  <c r="M47" i="116" s="1"/>
  <c r="I48" i="120"/>
  <c r="M35" i="119"/>
  <c r="O11" i="119"/>
  <c r="O35" i="119" s="1"/>
  <c r="O45" i="119" s="1"/>
  <c r="N46" i="121"/>
  <c r="H22" i="118"/>
  <c r="O12" i="121"/>
  <c r="O36" i="121" s="1"/>
  <c r="O46" i="121" s="1"/>
  <c r="M36" i="121"/>
  <c r="N46" i="120"/>
  <c r="H20" i="118"/>
  <c r="E112" i="144"/>
  <c r="K35" i="119"/>
  <c r="K45" i="119" s="1"/>
  <c r="J47" i="119" s="1"/>
  <c r="J48" i="120"/>
  <c r="G252" i="82" l="1"/>
  <c r="G255" i="82" s="1"/>
  <c r="G259" i="82" s="1"/>
  <c r="E61" i="132" s="1"/>
  <c r="E63" i="132" s="1"/>
  <c r="N47" i="117"/>
  <c r="G249" i="150"/>
  <c r="G252" i="150"/>
  <c r="G255" i="150" s="1"/>
  <c r="G259" i="150" s="1"/>
  <c r="E61" i="144" s="1"/>
  <c r="E63" i="144" s="1"/>
  <c r="E40" i="40"/>
  <c r="E41" i="40" s="1"/>
  <c r="E13" i="144" s="1"/>
  <c r="E16" i="144" s="1"/>
  <c r="E115" i="144"/>
  <c r="E183" i="144"/>
  <c r="G65" i="150"/>
  <c r="I15" i="157"/>
  <c r="I16" i="157" s="1"/>
  <c r="I17" i="157" s="1"/>
  <c r="I18" i="157" s="1"/>
  <c r="D14" i="157"/>
  <c r="D15" i="157" s="1"/>
  <c r="D16" i="157" s="1"/>
  <c r="D17" i="157" s="1"/>
  <c r="D18" i="157" s="1"/>
  <c r="D19" i="157" s="1"/>
  <c r="D20" i="157" s="1"/>
  <c r="D21" i="157" s="1"/>
  <c r="D22" i="157" s="1"/>
  <c r="D23" i="157" s="1"/>
  <c r="D24" i="157" s="1"/>
  <c r="D25" i="157" s="1"/>
  <c r="H19" i="157"/>
  <c r="E183" i="132"/>
  <c r="E213" i="132" s="1"/>
  <c r="E22" i="144"/>
  <c r="E128" i="132"/>
  <c r="E128" i="144"/>
  <c r="D87" i="150"/>
  <c r="G63" i="150"/>
  <c r="G87" i="150"/>
  <c r="G223" i="150" s="1"/>
  <c r="D50" i="150"/>
  <c r="G47" i="150"/>
  <c r="G50" i="150" s="1"/>
  <c r="G146" i="150" s="1"/>
  <c r="G52" i="150"/>
  <c r="D63" i="150"/>
  <c r="H60" i="144"/>
  <c r="H61" i="144" s="1"/>
  <c r="H62" i="144" s="1"/>
  <c r="H63" i="144" s="1"/>
  <c r="H64" i="144" s="1"/>
  <c r="H65" i="144" s="1"/>
  <c r="H66" i="144" s="1"/>
  <c r="H67" i="144" s="1"/>
  <c r="H68" i="144" s="1"/>
  <c r="H69" i="144" s="1"/>
  <c r="H70" i="144" s="1"/>
  <c r="H71" i="144" s="1"/>
  <c r="H72" i="144" s="1"/>
  <c r="A60" i="144"/>
  <c r="A61" i="144" s="1"/>
  <c r="A62" i="144" s="1"/>
  <c r="A63" i="144" s="1"/>
  <c r="A64" i="144" s="1"/>
  <c r="A65" i="144" s="1"/>
  <c r="A66" i="144" s="1"/>
  <c r="A67" i="144" s="1"/>
  <c r="A68" i="144" s="1"/>
  <c r="A69" i="144" s="1"/>
  <c r="A70" i="144" s="1"/>
  <c r="A71" i="144" s="1"/>
  <c r="A72" i="144" s="1"/>
  <c r="G218" i="82"/>
  <c r="G221" i="82" s="1"/>
  <c r="G225" i="82" s="1"/>
  <c r="E57" i="132" s="1"/>
  <c r="E59" i="132" s="1"/>
  <c r="E65" i="132" s="1"/>
  <c r="G20" i="157"/>
  <c r="H20" i="157" s="1"/>
  <c r="F21" i="157"/>
  <c r="N48" i="120"/>
  <c r="M47" i="117"/>
  <c r="O47" i="117" s="1"/>
  <c r="O47" i="116"/>
  <c r="J48" i="121"/>
  <c r="K48" i="121" s="1"/>
  <c r="N48" i="121"/>
  <c r="J47" i="117"/>
  <c r="K47" i="117" s="1"/>
  <c r="G13" i="118"/>
  <c r="I13" i="118" s="1"/>
  <c r="I15" i="118" s="1"/>
  <c r="H24" i="118"/>
  <c r="H26" i="118" s="1"/>
  <c r="K48" i="120"/>
  <c r="M46" i="121"/>
  <c r="M48" i="121" s="1"/>
  <c r="G22" i="118"/>
  <c r="I22" i="118" s="1"/>
  <c r="G18" i="118"/>
  <c r="M45" i="119"/>
  <c r="M47" i="119" s="1"/>
  <c r="N47" i="119"/>
  <c r="I47" i="119"/>
  <c r="K47" i="119" s="1"/>
  <c r="M46" i="120"/>
  <c r="M48" i="120" s="1"/>
  <c r="G20" i="118"/>
  <c r="I20" i="118" s="1"/>
  <c r="E13" i="132" l="1"/>
  <c r="E241" i="132" s="1"/>
  <c r="E23" i="69"/>
  <c r="E25" i="69" s="1"/>
  <c r="E29" i="69" s="1"/>
  <c r="E130" i="144" s="1"/>
  <c r="E131" i="144" s="1"/>
  <c r="G156" i="150"/>
  <c r="G168" i="150" s="1"/>
  <c r="E25" i="144"/>
  <c r="E247" i="132"/>
  <c r="G211" i="150"/>
  <c r="G205" i="150"/>
  <c r="G215" i="150" s="1"/>
  <c r="I19" i="157"/>
  <c r="I20" i="157" s="1"/>
  <c r="G180" i="150"/>
  <c r="G122" i="150"/>
  <c r="G134" i="150" s="1"/>
  <c r="A73" i="144"/>
  <c r="A74" i="144" s="1"/>
  <c r="A75" i="144" s="1"/>
  <c r="A76" i="144" s="1"/>
  <c r="A77" i="144" s="1"/>
  <c r="A78" i="144" s="1"/>
  <c r="A79" i="144" s="1"/>
  <c r="A80" i="144" s="1"/>
  <c r="A81" i="144" s="1"/>
  <c r="A82" i="144" s="1"/>
  <c r="A83" i="144" s="1"/>
  <c r="A84" i="144" s="1"/>
  <c r="A85" i="144" s="1"/>
  <c r="A86" i="144" s="1"/>
  <c r="A87" i="144" s="1"/>
  <c r="A88" i="144" s="1"/>
  <c r="A89" i="144" s="1"/>
  <c r="A90" i="144" s="1"/>
  <c r="A91" i="144" s="1"/>
  <c r="A92" i="144" s="1"/>
  <c r="A93" i="144" s="1"/>
  <c r="H73" i="144"/>
  <c r="H74" i="144" s="1"/>
  <c r="H75" i="144" s="1"/>
  <c r="H76" i="144" s="1"/>
  <c r="H77" i="144" s="1"/>
  <c r="H78" i="144" s="1"/>
  <c r="H79" i="144" s="1"/>
  <c r="H80" i="144" s="1"/>
  <c r="H81" i="144" s="1"/>
  <c r="H82" i="144" s="1"/>
  <c r="H83" i="144" s="1"/>
  <c r="H84" i="144" s="1"/>
  <c r="H85" i="144" s="1"/>
  <c r="H86" i="144" s="1"/>
  <c r="H87" i="144" s="1"/>
  <c r="H88" i="144" s="1"/>
  <c r="H89" i="144" s="1"/>
  <c r="H90" i="144" s="1"/>
  <c r="H91" i="144" s="1"/>
  <c r="H92" i="144" s="1"/>
  <c r="H93" i="144" s="1"/>
  <c r="O48" i="120"/>
  <c r="G21" i="157"/>
  <c r="H21" i="157" s="1"/>
  <c r="F22" i="157"/>
  <c r="G15" i="118"/>
  <c r="O48" i="121"/>
  <c r="G24" i="118"/>
  <c r="O47" i="119"/>
  <c r="I18" i="118"/>
  <c r="I24" i="118" s="1"/>
  <c r="I26" i="118" s="1"/>
  <c r="E217" i="132"/>
  <c r="E261" i="132"/>
  <c r="E267" i="132"/>
  <c r="G26" i="118" l="1"/>
  <c r="E16" i="132"/>
  <c r="E25" i="132" s="1"/>
  <c r="E130" i="132"/>
  <c r="E131" i="132" s="1"/>
  <c r="E136" i="132" s="1"/>
  <c r="G159" i="82" s="1"/>
  <c r="E207" i="132"/>
  <c r="G218" i="150"/>
  <c r="G221" i="150" s="1"/>
  <c r="G225" i="150" s="1"/>
  <c r="E57" i="144" s="1"/>
  <c r="E59" i="144" s="1"/>
  <c r="E65" i="144" s="1"/>
  <c r="I21" i="157"/>
  <c r="F23" i="157"/>
  <c r="G22" i="157"/>
  <c r="H22" i="157" s="1"/>
  <c r="G29" i="118"/>
  <c r="H29" i="118"/>
  <c r="E220" i="132"/>
  <c r="E222" i="132" s="1"/>
  <c r="E251" i="132"/>
  <c r="E28" i="132" l="1"/>
  <c r="E32" i="132"/>
  <c r="G125" i="82"/>
  <c r="G128" i="82" s="1"/>
  <c r="G138" i="82" s="1"/>
  <c r="I22" i="157"/>
  <c r="G23" i="157"/>
  <c r="H23" i="157" s="1"/>
  <c r="F24" i="157"/>
  <c r="G171" i="82"/>
  <c r="G162" i="82"/>
  <c r="G172" i="82" s="1"/>
  <c r="I29" i="118"/>
  <c r="H30" i="133"/>
  <c r="E254" i="132"/>
  <c r="E256" i="132" s="1"/>
  <c r="E76" i="132"/>
  <c r="G137" i="82" l="1"/>
  <c r="G141" i="82" s="1"/>
  <c r="G144" i="82" s="1"/>
  <c r="G148" i="82" s="1"/>
  <c r="G175" i="82"/>
  <c r="G178" i="82" s="1"/>
  <c r="G182" i="82" s="1"/>
  <c r="I23" i="157"/>
  <c r="G24" i="157"/>
  <c r="H24" i="157" s="1"/>
  <c r="F25" i="157"/>
  <c r="G25" i="157" s="1"/>
  <c r="H25" i="157" s="1"/>
  <c r="G30" i="133"/>
  <c r="I24" i="157" l="1"/>
  <c r="I25" i="157" s="1"/>
  <c r="E27" i="132"/>
  <c r="E29" i="132" s="1"/>
  <c r="E71" i="132"/>
  <c r="E72" i="132" s="1"/>
  <c r="E78" i="132" s="1"/>
  <c r="E38" i="69"/>
  <c r="E40" i="69" s="1"/>
  <c r="E15" i="133" s="1"/>
  <c r="E82" i="132"/>
  <c r="E83" i="132" s="1"/>
  <c r="E263" i="132"/>
  <c r="E265" i="132" s="1"/>
  <c r="E31" i="132"/>
  <c r="E33" i="132" s="1"/>
  <c r="E86" i="132"/>
  <c r="E87" i="132" s="1"/>
  <c r="E269" i="132"/>
  <c r="E271" i="132" s="1"/>
  <c r="E42" i="69"/>
  <c r="E44" i="69" s="1"/>
  <c r="E17" i="133" s="1"/>
  <c r="E30" i="133"/>
  <c r="E273" i="132" l="1"/>
  <c r="E302" i="132" s="1"/>
  <c r="E89" i="132"/>
  <c r="E91" i="132" s="1"/>
  <c r="E292" i="132" s="1"/>
  <c r="E40" i="132"/>
  <c r="E205" i="132" s="1"/>
  <c r="E211" i="132" s="1"/>
  <c r="E215" i="132" s="1"/>
  <c r="E224" i="132" s="1"/>
  <c r="E298" i="132" s="1"/>
  <c r="E93" i="132" l="1"/>
  <c r="E290" i="132"/>
  <c r="E239" i="132"/>
  <c r="E245" i="132" s="1"/>
  <c r="E249" i="132" s="1"/>
  <c r="E258" i="132" s="1"/>
  <c r="E300" i="132" s="1"/>
  <c r="E31" i="133" s="1"/>
  <c r="E123" i="144"/>
  <c r="E125" i="144" s="1"/>
  <c r="E136" i="144" l="1"/>
  <c r="E32" i="144" s="1"/>
  <c r="H31" i="133"/>
  <c r="G31" i="133"/>
  <c r="E28" i="144" l="1"/>
  <c r="G125" i="150"/>
  <c r="G128" i="150" s="1"/>
  <c r="G138" i="150" s="1"/>
  <c r="G159" i="150"/>
  <c r="G171" i="150" l="1"/>
  <c r="G162" i="150"/>
  <c r="G172" i="150" s="1"/>
  <c r="G137" i="150"/>
  <c r="G175" i="150" l="1"/>
  <c r="G178" i="150" s="1"/>
  <c r="G182" i="150" s="1"/>
  <c r="G141" i="150"/>
  <c r="G144" i="150" s="1"/>
  <c r="G148" i="150" s="1"/>
  <c r="E16" i="142"/>
  <c r="E82" i="144" l="1"/>
  <c r="E83" i="144" s="1"/>
  <c r="E71" i="144"/>
  <c r="E72" i="144" s="1"/>
  <c r="E78" i="144" s="1"/>
  <c r="E27" i="144"/>
  <c r="E29" i="144" s="1"/>
  <c r="E86" i="144"/>
  <c r="E87" i="144" s="1"/>
  <c r="E31" i="144"/>
  <c r="E33" i="144" s="1"/>
  <c r="F27" i="142"/>
  <c r="F23" i="142"/>
  <c r="F19" i="142"/>
  <c r="F24" i="142"/>
  <c r="F16" i="142"/>
  <c r="F26" i="142"/>
  <c r="F22" i="142"/>
  <c r="F18" i="142"/>
  <c r="F20" i="142"/>
  <c r="H16" i="142"/>
  <c r="F25" i="142"/>
  <c r="F21" i="142"/>
  <c r="F17" i="142"/>
  <c r="E89" i="144" l="1"/>
  <c r="E91" i="144" s="1"/>
  <c r="E40" i="144"/>
  <c r="G16" i="142"/>
  <c r="I16" i="142" s="1"/>
  <c r="E17" i="142" s="1"/>
  <c r="E93" i="144" l="1"/>
  <c r="E10" i="140" s="1"/>
  <c r="H17" i="142"/>
  <c r="E12" i="140" l="1"/>
  <c r="E11" i="140"/>
  <c r="G17" i="142"/>
  <c r="E13" i="140" l="1"/>
  <c r="D34" i="140" s="1"/>
  <c r="I34" i="140" s="1"/>
  <c r="I17" i="142"/>
  <c r="E18" i="142" s="1"/>
  <c r="H18" i="142" s="1"/>
  <c r="D26" i="140" l="1"/>
  <c r="I26" i="140" s="1"/>
  <c r="D27" i="140"/>
  <c r="I27" i="140" s="1"/>
  <c r="D32" i="140"/>
  <c r="I32" i="140" s="1"/>
  <c r="D33" i="140"/>
  <c r="I33" i="140" s="1"/>
  <c r="D28" i="140"/>
  <c r="I28" i="140" s="1"/>
  <c r="D29" i="140"/>
  <c r="I29" i="140" s="1"/>
  <c r="D23" i="140"/>
  <c r="I23" i="140" s="1"/>
  <c r="K23" i="140" s="1"/>
  <c r="D24" i="140"/>
  <c r="I24" i="140" s="1"/>
  <c r="D25" i="140"/>
  <c r="I25" i="140" s="1"/>
  <c r="D30" i="140"/>
  <c r="I30" i="140" s="1"/>
  <c r="D31" i="140"/>
  <c r="I31"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L23" i="140" l="1"/>
  <c r="M23" i="140" s="1"/>
  <c r="I35" i="140"/>
  <c r="D35" i="140"/>
  <c r="K24" i="140"/>
  <c r="L24" i="140" s="1"/>
  <c r="M24" i="140" s="1"/>
  <c r="H26" i="142"/>
  <c r="G26" i="142" s="1"/>
  <c r="I26" i="142" s="1"/>
  <c r="E27" i="142" s="1"/>
  <c r="K25" i="140" l="1"/>
  <c r="L25" i="140" s="1"/>
  <c r="M25" i="140" s="1"/>
  <c r="H27" i="142"/>
  <c r="H28" i="142" s="1"/>
  <c r="K26" i="140" l="1"/>
  <c r="L26" i="140" s="1"/>
  <c r="M26" i="140" s="1"/>
  <c r="G27" i="142"/>
  <c r="I27" i="142" s="1"/>
  <c r="D31" i="142"/>
  <c r="E296"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294" i="132" l="1"/>
  <c r="E304" i="132" s="1"/>
  <c r="D30" i="142"/>
  <c r="D32" i="142" s="1"/>
  <c r="E306" i="132" l="1"/>
  <c r="E11" i="133"/>
  <c r="E21" i="133" s="1"/>
  <c r="E27" i="133" s="1"/>
  <c r="E307" i="132"/>
  <c r="E309" i="132" l="1"/>
  <c r="E35" i="133"/>
  <c r="G27" i="133"/>
  <c r="G35" i="133" s="1"/>
  <c r="G36" i="133" s="1"/>
  <c r="H27" i="133"/>
  <c r="H35" i="133" s="1"/>
  <c r="H36" i="133" s="1"/>
  <c r="H37" i="133" s="1"/>
  <c r="H42" i="133" s="1"/>
  <c r="E313" i="132" l="1"/>
  <c r="G37" i="133"/>
  <c r="G42" i="133" s="1"/>
  <c r="E36" i="133"/>
  <c r="E37" i="133" s="1"/>
  <c r="E42" i="133" l="1"/>
</calcChain>
</file>

<file path=xl/sharedStrings.xml><?xml version="1.0" encoding="utf-8"?>
<sst xmlns="http://schemas.openxmlformats.org/spreadsheetml/2006/main" count="5103" uniqueCount="1833">
  <si>
    <t>SAN DIEGO GAS AND ELECTRIC COMPANY</t>
  </si>
  <si>
    <t>Cost of Plant</t>
  </si>
  <si>
    <t>($1,000)</t>
  </si>
  <si>
    <t>Line</t>
  </si>
  <si>
    <t>(a)</t>
  </si>
  <si>
    <t>(b)</t>
  </si>
  <si>
    <t>(c) = [(a)+(b)]/2</t>
  </si>
  <si>
    <t>No</t>
  </si>
  <si>
    <t>Average Balance</t>
  </si>
  <si>
    <t>Reference</t>
  </si>
  <si>
    <t xml:space="preserve"> </t>
  </si>
  <si>
    <t xml:space="preserve">     Total Plant in Service </t>
  </si>
  <si>
    <t>Transmission Wages and Salaries Allocation Factor</t>
  </si>
  <si>
    <t>Transmission Related Electric Miscellaneous Intangible Plant</t>
  </si>
  <si>
    <t>Transmission Related General Plant</t>
  </si>
  <si>
    <t xml:space="preserve">Transmission Related Common Plant </t>
  </si>
  <si>
    <t xml:space="preserve">     Transmission Related Total Plant in Service </t>
  </si>
  <si>
    <t>Used to allocate all elements of working capital, other than working cash.</t>
  </si>
  <si>
    <t>SAN DIEGO GAS &amp; ELECTRIC COMPANY</t>
  </si>
  <si>
    <t>STATEMENT AD</t>
  </si>
  <si>
    <t>COST OF PLANT</t>
  </si>
  <si>
    <t>ELECTRIC MISCELLANEOUS INTANGIBLE PLANT</t>
  </si>
  <si>
    <t>Adjusted FERC</t>
  </si>
  <si>
    <t>Month</t>
  </si>
  <si>
    <t>Intangible Plant</t>
  </si>
  <si>
    <t>No.</t>
  </si>
  <si>
    <t>Balance</t>
  </si>
  <si>
    <t>Beginning and End Period Average</t>
  </si>
  <si>
    <t>STEAM PRODUCTION</t>
  </si>
  <si>
    <t>(1)</t>
  </si>
  <si>
    <t>(2)</t>
  </si>
  <si>
    <t>Total</t>
  </si>
  <si>
    <t>Steam</t>
  </si>
  <si>
    <t>Production</t>
  </si>
  <si>
    <t>Factor</t>
  </si>
  <si>
    <t>Ratemaking</t>
  </si>
  <si>
    <t>Per Book</t>
  </si>
  <si>
    <t>Feb</t>
  </si>
  <si>
    <t>Mar</t>
  </si>
  <si>
    <t>Apr</t>
  </si>
  <si>
    <t>May</t>
  </si>
  <si>
    <t>Jun</t>
  </si>
  <si>
    <t>Jul</t>
  </si>
  <si>
    <t>Aug</t>
  </si>
  <si>
    <t>Sep</t>
  </si>
  <si>
    <t>Oct</t>
  </si>
  <si>
    <t>Nov</t>
  </si>
  <si>
    <t>Total 13 Months</t>
  </si>
  <si>
    <t>13-Month Average Balance</t>
  </si>
  <si>
    <t>NUCLEAR PRODUCTION</t>
  </si>
  <si>
    <t>Nuclear</t>
  </si>
  <si>
    <t>Adjusted Book</t>
  </si>
  <si>
    <t>HYDRAULIC PRODUCTION PLANT</t>
  </si>
  <si>
    <t>Hydraulic</t>
  </si>
  <si>
    <t>OTHER PRODUCTION</t>
  </si>
  <si>
    <t>Other</t>
  </si>
  <si>
    <t>DISTRIBUTION PLANT</t>
  </si>
  <si>
    <t>Distribution</t>
  </si>
  <si>
    <t>Plant</t>
  </si>
  <si>
    <t>TRANSMISSION PLANT</t>
  </si>
  <si>
    <t xml:space="preserve">Transmission </t>
  </si>
  <si>
    <t>Transmission</t>
  </si>
  <si>
    <t>TRANSMISSION FUNCTIONALIZATION STUDY</t>
  </si>
  <si>
    <t>DERIVATION OF TRANSMISSION RELATED PLANT DOLLARS</t>
  </si>
  <si>
    <t>(3)</t>
  </si>
  <si>
    <t>(4)</t>
  </si>
  <si>
    <t>(5)</t>
  </si>
  <si>
    <t>(6)</t>
  </si>
  <si>
    <t>(7)</t>
  </si>
  <si>
    <t>(8)</t>
  </si>
  <si>
    <t>Generation</t>
  </si>
  <si>
    <t>Account 101</t>
  </si>
  <si>
    <t>Plant Reclass</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</si>
  <si>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</si>
  <si>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</si>
  <si>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</si>
  <si>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</si>
  <si>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</si>
  <si>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</si>
  <si>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</si>
  <si>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</si>
  <si>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</si>
  <si>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</si>
  <si>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</si>
  <si>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</si>
  <si>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</si>
  <si>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</si>
  <si>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</si>
  <si>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</si>
  <si>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</si>
  <si>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</si>
  <si>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</si>
  <si>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</si>
  <si>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</si>
  <si>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</si>
  <si>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</si>
  <si>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INCENTIVE TRANSMISSION PLANT</t>
  </si>
  <si>
    <t>Incentive</t>
  </si>
  <si>
    <t>GENERAL PLANT</t>
  </si>
  <si>
    <t>General Plant</t>
  </si>
  <si>
    <t>COMMON PLANT</t>
  </si>
  <si>
    <t>Retirements</t>
  </si>
  <si>
    <t>Land and Land Rights</t>
  </si>
  <si>
    <t>Structures and Improvements</t>
  </si>
  <si>
    <t>Roads and Trails</t>
  </si>
  <si>
    <t xml:space="preserve">     Total Transmission Related Depreciation Reserve</t>
  </si>
  <si>
    <t>Transmission Related Common Plant Depreciation Reserve</t>
  </si>
  <si>
    <t>Transmission Related General Plant Depreciation Reserve</t>
  </si>
  <si>
    <t>Transmission Related Electric Misc. Intangible Plant Amortization Reserve</t>
  </si>
  <si>
    <t>Accumulated Depreciation and Amortization</t>
  </si>
  <si>
    <t>Reserves</t>
  </si>
  <si>
    <t>ACCUMULATED DEPRECIATION AND AMORTIZATION</t>
  </si>
  <si>
    <t>STATEMENT AE</t>
  </si>
  <si>
    <t>as Nuclear</t>
  </si>
  <si>
    <t>as Other Prod.</t>
  </si>
  <si>
    <t>as Steam Prod.</t>
  </si>
  <si>
    <t>Account 108</t>
  </si>
  <si>
    <t>Reserves Reclass</t>
  </si>
  <si>
    <t xml:space="preserve">DERIVATION OF TRANSMISSION RELATED </t>
  </si>
  <si>
    <t>Intangible Reserve</t>
  </si>
  <si>
    <t>General Reserve</t>
  </si>
  <si>
    <t>Total Incentive</t>
  </si>
  <si>
    <t>DEPRECIATION RESERVE</t>
  </si>
  <si>
    <t>Deferred Credits</t>
  </si>
  <si>
    <t>Incentive Transmission Plant ADIT</t>
  </si>
  <si>
    <t>Transmission Plant Abandoned ADIT</t>
  </si>
  <si>
    <t>Incentive Transmission Plant Abandoned Project Cost ADIT</t>
  </si>
  <si>
    <t>Specified Plant Account (Other than Plant in Service) and Deferred Debits</t>
  </si>
  <si>
    <t>1</t>
  </si>
  <si>
    <t>STATEMENT AG</t>
  </si>
  <si>
    <t>SPECIFIED PLANT ACCOUNTS (OTHER THAN PLANT IN SERVICE)</t>
  </si>
  <si>
    <t>AND DEFERRED DEBITS</t>
  </si>
  <si>
    <t>Transmission Plant</t>
  </si>
  <si>
    <t>13-Month Average</t>
  </si>
  <si>
    <t>Operation and Maintenance Expenses</t>
  </si>
  <si>
    <t>Amounts</t>
  </si>
  <si>
    <t>Derivation of Transmission Operation and Maintenance Expense:</t>
  </si>
  <si>
    <t>Total Transmission O&amp;M Expense</t>
  </si>
  <si>
    <t xml:space="preserve">   Other Transmission O&amp;M Exclusion Adjustments </t>
  </si>
  <si>
    <t>Derivation of Administrative and General Expense:</t>
  </si>
  <si>
    <t>Total Administrative &amp; General Expense</t>
  </si>
  <si>
    <t xml:space="preserve">   CPUC Intervenor Funding Expense - Distribution</t>
  </si>
  <si>
    <t xml:space="preserve">   CPUC reimbursement fees</t>
  </si>
  <si>
    <t xml:space="preserve">   Litigation expenses - Litigation Cost Memorandum Account (LCMA)</t>
  </si>
  <si>
    <t xml:space="preserve">   CPUC energy efficiency programs</t>
  </si>
  <si>
    <t xml:space="preserve">   Hazardous substances - Hazardous Substance Cleanup Cost Account</t>
  </si>
  <si>
    <t xml:space="preserve">   Other A&amp;G Exclusion Adjustments</t>
  </si>
  <si>
    <t>Total Adjusted A&amp;G Expenses Excluding Property Insurance</t>
  </si>
  <si>
    <t>Transmission Related Administrative &amp; General Expenses</t>
  </si>
  <si>
    <t>Derivation of Transmission Plant Property Insurance Allocation Factor:</t>
  </si>
  <si>
    <t>Transmission Plant &amp; Incentive Transmission Plant</t>
  </si>
  <si>
    <t>Shall be Zero</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</si>
  <si>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</si>
  <si>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</si>
  <si>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</si>
  <si>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</si>
  <si>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</si>
  <si>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</si>
  <si>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</si>
  <si>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</si>
  <si>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</si>
  <si>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</si>
  <si>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Electric Transmission O&amp;M Expenses</t>
  </si>
  <si>
    <t>(c) = (a) - (b)</t>
  </si>
  <si>
    <t>FERC</t>
  </si>
  <si>
    <t>Excluded</t>
  </si>
  <si>
    <t>Acct</t>
  </si>
  <si>
    <t>Per Books</t>
  </si>
  <si>
    <t>Expenses</t>
  </si>
  <si>
    <t>Adjusted</t>
  </si>
  <si>
    <t>Electric Transmission Operation</t>
  </si>
  <si>
    <t>Operation Supervision and Engineering</t>
  </si>
  <si>
    <t>Load Dispatch - Reliability</t>
  </si>
  <si>
    <t>Load Dispatch - Monitor and Operate Transmission System</t>
  </si>
  <si>
    <t>Load Dispatch - Transmission Service and Scheduling</t>
  </si>
  <si>
    <t xml:space="preserve">Scheduling, System Control and Dispatch Services </t>
  </si>
  <si>
    <t>Reliability, Planning and Standards Development</t>
  </si>
  <si>
    <t>Transmission Service Studies</t>
  </si>
  <si>
    <t>Generation Interconnection Studies</t>
  </si>
  <si>
    <t xml:space="preserve">Reliability, Planning and Standards Development Services </t>
  </si>
  <si>
    <t>Station Expenses</t>
  </si>
  <si>
    <r>
      <t xml:space="preserve">Overhead Line Expenses </t>
    </r>
    <r>
      <rPr>
        <b/>
        <sz val="12"/>
        <rFont val="Times New Roman"/>
        <family val="1"/>
      </rPr>
      <t xml:space="preserve"> </t>
    </r>
  </si>
  <si>
    <t>Underground Line Expenses</t>
  </si>
  <si>
    <t>Transmission of Electricity by Others</t>
  </si>
  <si>
    <t>Misc. Transmission Expenses</t>
  </si>
  <si>
    <t>Rents</t>
  </si>
  <si>
    <t>Electric Transmission Maintenance</t>
  </si>
  <si>
    <t>Maintenance Supervision and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</si>
  <si>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</si>
  <si>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</si>
  <si>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</si>
  <si>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</si>
  <si>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</si>
  <si>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</si>
  <si>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Underground Lines</t>
  </si>
  <si>
    <t>Maintenance of Misc. Transmission Plant</t>
  </si>
  <si>
    <t>Total Electric Transmission O&amp;M Expenses</t>
  </si>
  <si>
    <t xml:space="preserve">561.4 </t>
  </si>
  <si>
    <t>Scheduling, System Control and Dispatch Services (ERRA)</t>
  </si>
  <si>
    <t>Reliability, Planning and Standards Development Services (ERRA)</t>
  </si>
  <si>
    <t>Transmission of Electricity by Others (ERRA)</t>
  </si>
  <si>
    <t>566</t>
  </si>
  <si>
    <t>Total Excluded Expenses</t>
  </si>
  <si>
    <t>Administrative &amp; General Expenses</t>
  </si>
  <si>
    <t>Administrative &amp; General</t>
  </si>
  <si>
    <t>A&amp;G Salaries</t>
  </si>
  <si>
    <t>Less: Administrative Expenses Transferred-Credit</t>
  </si>
  <si>
    <t xml:space="preserve">Franchise Requirements </t>
  </si>
  <si>
    <r>
      <t xml:space="preserve">Regulatory Commission Expenses </t>
    </r>
    <r>
      <rPr>
        <vertAlign val="superscript"/>
        <sz val="12"/>
        <rFont val="Times New Roman"/>
        <family val="1"/>
      </rPr>
      <t xml:space="preserve"> </t>
    </r>
  </si>
  <si>
    <t>Less: Duplicate Charges (Company Energy Use)</t>
  </si>
  <si>
    <t>General Advertising Expenses</t>
  </si>
  <si>
    <t>Maintenance of General Plant</t>
  </si>
  <si>
    <t>Total Administrative &amp; General Expenses</t>
  </si>
  <si>
    <t>Excluded Expenses:</t>
  </si>
  <si>
    <t>CPUC Intervenor Funding Expense - Transmission</t>
  </si>
  <si>
    <t>CPUC Intervenor Funding Expense - Distribution</t>
  </si>
  <si>
    <t>Abandoned Projects</t>
  </si>
  <si>
    <t xml:space="preserve">Hazardous Substances-Hazardous Substance Cleanup Cost Account </t>
  </si>
  <si>
    <t>San Diego Gas &amp; Electric Company</t>
  </si>
  <si>
    <t>Production Wages &amp; Salaries (Includes Steam &amp; Other Power Supply)</t>
  </si>
  <si>
    <t>Transmission Wages &amp; Salaries</t>
  </si>
  <si>
    <t>Distribution Wages &amp; Salaries</t>
  </si>
  <si>
    <t>Customer Accounts Wages &amp; Salaries</t>
  </si>
  <si>
    <t>Customer Services and Informational Wages &amp; Salaries</t>
  </si>
  <si>
    <t>Sales Wages &amp; Salaries</t>
  </si>
  <si>
    <t>Statement AJ - Workpapers</t>
  </si>
  <si>
    <t>STATEMENT AJ</t>
  </si>
  <si>
    <t>DEPRECIATION &amp; AMORTIZATION EXPENSE RELATED TO TRANSMISSION</t>
  </si>
  <si>
    <t>Expense</t>
  </si>
  <si>
    <t>Land and  Land Rights</t>
  </si>
  <si>
    <t>Overhead Conductors &amp; Devices</t>
  </si>
  <si>
    <t>Underground Conductors &amp; Devices</t>
  </si>
  <si>
    <t>DERIVATION OF RECLASSIFIED</t>
  </si>
  <si>
    <t>DEPRECIATION AND AMORTIZATION EXPENSE</t>
  </si>
  <si>
    <t>Net</t>
  </si>
  <si>
    <t>SWPL</t>
  </si>
  <si>
    <t>Accounts 403-405</t>
  </si>
  <si>
    <t>Total Trans</t>
  </si>
  <si>
    <t>Accounts 403,</t>
  </si>
  <si>
    <t>Expense Reclass</t>
  </si>
  <si>
    <t>Adj.</t>
  </si>
  <si>
    <t>to Generation</t>
  </si>
  <si>
    <t>to Distribution</t>
  </si>
  <si>
    <t>403-405</t>
  </si>
  <si>
    <t>Sum 1:4</t>
  </si>
  <si>
    <t>Valley Rainbow Ratemaking Adj.</t>
  </si>
  <si>
    <t>SWPL Ratemaking Adj. Amort.</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</si>
  <si>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</si>
  <si>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</si>
  <si>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</si>
  <si>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</si>
  <si>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</si>
  <si>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</si>
  <si>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</si>
  <si>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</si>
  <si>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</si>
  <si>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</si>
  <si>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</si>
  <si>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</si>
  <si>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</si>
  <si>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</si>
  <si>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</si>
  <si>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</si>
  <si>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</si>
  <si>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</si>
  <si>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</si>
  <si>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</si>
  <si>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</si>
  <si>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</si>
  <si>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</si>
  <si>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</si>
  <si>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</si>
  <si>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</si>
  <si>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</si>
  <si>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</si>
  <si>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</si>
  <si>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</si>
  <si>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</si>
  <si>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</si>
  <si>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</si>
  <si>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</si>
  <si>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</si>
  <si>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</si>
  <si>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</si>
  <si>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</si>
  <si>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</si>
  <si>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</si>
  <si>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</si>
  <si>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</si>
  <si>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</si>
  <si>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</si>
  <si>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</si>
  <si>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Composite Depreciation Rate</t>
  </si>
  <si>
    <t>Intangible</t>
  </si>
  <si>
    <t xml:space="preserve"> Amortization </t>
  </si>
  <si>
    <t>Acct No</t>
  </si>
  <si>
    <t>DESCRIPTION</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</si>
  <si>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</si>
  <si>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</si>
  <si>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</si>
  <si>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</si>
  <si>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</si>
  <si>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</si>
  <si>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</si>
  <si>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</si>
  <si>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</si>
  <si>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</si>
  <si>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</si>
  <si>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Year</t>
  </si>
  <si>
    <t>Amortization</t>
  </si>
  <si>
    <t>General</t>
  </si>
  <si>
    <t>E0139000</t>
  </si>
  <si>
    <t>Struct. and Improv.</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</si>
  <si>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</si>
  <si>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</si>
  <si>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</si>
  <si>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</si>
  <si>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</si>
  <si>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</si>
  <si>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</si>
  <si>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</si>
  <si>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</si>
  <si>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</si>
  <si>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</si>
  <si>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</si>
  <si>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</si>
  <si>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</si>
  <si>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</si>
  <si>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</si>
  <si>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E0139810</t>
  </si>
  <si>
    <t>Misc. Equip. - Other</t>
  </si>
  <si>
    <t>C1839010</t>
  </si>
  <si>
    <t>Struct &amp; Imprv-Other</t>
  </si>
  <si>
    <t>C1839110</t>
  </si>
  <si>
    <t>Offc Furn &amp; Eq-Other</t>
  </si>
  <si>
    <t>C1839120</t>
  </si>
  <si>
    <t>Offc Furn &amp; Eq-Cmptr</t>
  </si>
  <si>
    <t>C1839220</t>
  </si>
  <si>
    <t>C1839310</t>
  </si>
  <si>
    <t>C1839411</t>
  </si>
  <si>
    <t>C1839421</t>
  </si>
  <si>
    <t>Shop Equip. - Other</t>
  </si>
  <si>
    <t>C1839431</t>
  </si>
  <si>
    <t>Garage Equip.-Other</t>
  </si>
  <si>
    <t>C1839510</t>
  </si>
  <si>
    <t>C1839710</t>
  </si>
  <si>
    <t>C1839810</t>
  </si>
  <si>
    <t>DEPRECIATION &amp; AMORTIZATION EXPENSE</t>
  </si>
  <si>
    <t>Per Ratemaking</t>
  </si>
  <si>
    <t>Total Incentive Transmission Plant Depreciation Exp.</t>
  </si>
  <si>
    <t xml:space="preserve">TRANSMISSION PLANT ABANDONED PROJECT COST </t>
  </si>
  <si>
    <t>Abandoned Project</t>
  </si>
  <si>
    <t xml:space="preserve">Cost </t>
  </si>
  <si>
    <t>Amortization Exp.</t>
  </si>
  <si>
    <t xml:space="preserve">INCENTIVE TRANSMISSION PLANT ABANDONED PROJECT COST </t>
  </si>
  <si>
    <t>Taxes Other Than Income Taxes</t>
  </si>
  <si>
    <t>Net Property Taxes</t>
  </si>
  <si>
    <t>Total Property Taxes Expense</t>
  </si>
  <si>
    <t>Transmission Related Property Taxes Expense</t>
  </si>
  <si>
    <t>Transmission Related Payroll Taxes Expense</t>
  </si>
  <si>
    <t>Working Capital</t>
  </si>
  <si>
    <t>Working</t>
  </si>
  <si>
    <t>Cash</t>
  </si>
  <si>
    <t>Transmission Plant Allocation Factor</t>
  </si>
  <si>
    <t>C. Derivation of Transmission Related Cash Working Capital - Retail:</t>
  </si>
  <si>
    <t>FERC Method = 1/8 of O&amp;M Expense</t>
  </si>
  <si>
    <t>D. Adj. to Back Out CPUC Intervenor Funding Exp. Embedded in Retail Working Cash:</t>
  </si>
  <si>
    <t>Adj. to Transmission Related Cash Working Capital - Wholesale Customers</t>
  </si>
  <si>
    <t>The balances for Materials &amp; Supplies and Prepayments are derived based on a 13-month average balance.</t>
  </si>
  <si>
    <t>STATEMENT AL</t>
  </si>
  <si>
    <t>WORKING CAPITAL</t>
  </si>
  <si>
    <t>ELECTRIC ALLOWABLE PER FERC FORMULA</t>
  </si>
  <si>
    <t>Electric Plant</t>
  </si>
  <si>
    <t>Materials</t>
  </si>
  <si>
    <t>&amp; Supplies</t>
  </si>
  <si>
    <t>Prepayments</t>
  </si>
  <si>
    <t>Construction Work In Progress (CWIP)</t>
  </si>
  <si>
    <t>CWIP</t>
  </si>
  <si>
    <t>INCENTIVE TRANSMISSION CONSTRUCTION WORK IN PROGRESS</t>
  </si>
  <si>
    <t>STATEMENT AM</t>
  </si>
  <si>
    <t>Federal Income Tax Deductions, Other Than Interest</t>
  </si>
  <si>
    <t xml:space="preserve">South Georgia Income Tax Adjustment </t>
  </si>
  <si>
    <t>Federal Tax Adjustments</t>
  </si>
  <si>
    <t xml:space="preserve">   Total</t>
  </si>
  <si>
    <t>Revenue Credits</t>
  </si>
  <si>
    <t>(453) Sales of Water and Water Power</t>
  </si>
  <si>
    <t>(455) Interdepartmental Rents</t>
  </si>
  <si>
    <t>(411.6 &amp; 411.7) Gain or Loss From Sale of Plant Held for Future Use</t>
  </si>
  <si>
    <t>Statement AU</t>
  </si>
  <si>
    <t>SAP</t>
  </si>
  <si>
    <t>(c)</t>
  </si>
  <si>
    <t>(d)</t>
  </si>
  <si>
    <t>(e)</t>
  </si>
  <si>
    <t>(f)</t>
  </si>
  <si>
    <t>(g)</t>
  </si>
  <si>
    <t>(h)</t>
  </si>
  <si>
    <t>(i)</t>
  </si>
  <si>
    <t>(j)</t>
  </si>
  <si>
    <t>(k)</t>
  </si>
  <si>
    <t>(l)</t>
  </si>
  <si>
    <t>(m)</t>
  </si>
  <si>
    <t>Account #</t>
  </si>
  <si>
    <t>SAP Account Description</t>
  </si>
  <si>
    <t>Rent - Electric Property</t>
  </si>
  <si>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</si>
  <si>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</si>
  <si>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</si>
  <si>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</si>
  <si>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</si>
  <si>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</si>
  <si>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</si>
  <si>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</si>
  <si>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</si>
  <si>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</si>
  <si>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</si>
  <si>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</si>
  <si>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</si>
  <si>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</si>
  <si>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</si>
  <si>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</si>
  <si>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4371082</t>
  </si>
  <si>
    <t>Other Elec Rev-SDGE Gen</t>
  </si>
  <si>
    <t>4371806</t>
  </si>
  <si>
    <t>Elec-Trans Fees/Rev</t>
  </si>
  <si>
    <t>Various</t>
  </si>
  <si>
    <t>Total Miscellaneous Revenue</t>
  </si>
  <si>
    <t>Statement AV</t>
  </si>
  <si>
    <t>Cost of Capital and Fair Rate of Return</t>
  </si>
  <si>
    <t>Long-Term Debt Component - Denominator:</t>
  </si>
  <si>
    <t>Long-Term Debt Component - Numerator:</t>
  </si>
  <si>
    <t>Cost of Long-Term Debt:</t>
  </si>
  <si>
    <t>Preferred Equity Component:</t>
  </si>
  <si>
    <t>Cost of Preferred Equity</t>
  </si>
  <si>
    <t>Common Equity Component:</t>
  </si>
  <si>
    <t>CS = Common Stock</t>
  </si>
  <si>
    <t>(d) = (b) x (c)</t>
  </si>
  <si>
    <t>Cap. Struct.</t>
  </si>
  <si>
    <t>Weighted</t>
  </si>
  <si>
    <t>Weighted Cost of Capital:</t>
  </si>
  <si>
    <t>Ratio</t>
  </si>
  <si>
    <t>Cost of Capital</t>
  </si>
  <si>
    <t>Long-Term Debt</t>
  </si>
  <si>
    <t>Preferred Equity</t>
  </si>
  <si>
    <t>Common Equity</t>
  </si>
  <si>
    <t>Total Capital</t>
  </si>
  <si>
    <t>a. Federal Income Tax Component:</t>
  </si>
  <si>
    <t>Where:</t>
  </si>
  <si>
    <t xml:space="preserve">     A = Sum of Preferred Stock and Return on Equity Component</t>
  </si>
  <si>
    <t xml:space="preserve">     C = Equity AFUDC Component of Transmission Depreciation Expense</t>
  </si>
  <si>
    <t xml:space="preserve">     D = Transmission Rate Base</t>
  </si>
  <si>
    <t>Federal Income Tax Rate</t>
  </si>
  <si>
    <t>B. State Income Tax Component:</t>
  </si>
  <si>
    <t>State Income Tax Rate</t>
  </si>
  <si>
    <t>C. Total Federal &amp; State Income Tax Rate:</t>
  </si>
  <si>
    <t>Return on Common Equity:</t>
  </si>
  <si>
    <t>Cost of</t>
  </si>
  <si>
    <t>Capital</t>
  </si>
  <si>
    <t>Cost of Equity Component (Preferred &amp; Common):</t>
  </si>
  <si>
    <t>Incentive Cost of Equity Component (Preferred &amp; Common):</t>
  </si>
  <si>
    <t>Amount is based upon December 31 balances.</t>
  </si>
  <si>
    <t>Federal Income Tax Expense</t>
  </si>
  <si>
    <t xml:space="preserve">     FT = Federal Income Tax Expense</t>
  </si>
  <si>
    <t>State Income Tax Expense</t>
  </si>
  <si>
    <t>D. Total Weighted Cost of Capital:</t>
  </si>
  <si>
    <t>Shall be Zero for Incentive ROE Projects</t>
  </si>
  <si>
    <t xml:space="preserve">Federal Income Tax Expense </t>
  </si>
  <si>
    <t>D. Total Incentive Weighted Cost of Capital:</t>
  </si>
  <si>
    <t>Non-Incentive Equity AFUDC Component of Transmission Depreciation Expense</t>
  </si>
  <si>
    <t>AFUDC Equity Depreciation Expense - Net of AFUDC Equity Depreciation Expense on Assets Leased to Citizens Sunrise</t>
  </si>
  <si>
    <t>SUMMARY OF HV - LV TRANSMISSION PLANT ALLOCATION STUDY</t>
  </si>
  <si>
    <t>$'s in TRANSMISSION</t>
  </si>
  <si>
    <t>&lt; 200 kv</t>
  </si>
  <si>
    <t>&gt; 200 kv</t>
  </si>
  <si>
    <t>IMPERIAL VALLEY SUBSTATION 500&gt;230KV</t>
  </si>
  <si>
    <t>SUNCREST SUBSTATION 500&gt;230KV</t>
  </si>
  <si>
    <t>SAN ONOFRE 230KV SUBSTATION</t>
  </si>
  <si>
    <t>MIGUEL 500/230/138/69KV SUBSTATION</t>
  </si>
  <si>
    <t>SYCAMORE CANYON 230/69KV SUBSTATION</t>
  </si>
  <si>
    <t>ESCONDIDO 230/138/69/12KV SUBSTATION</t>
  </si>
  <si>
    <t>OLD TOWN 230KV SUBSTATION</t>
  </si>
  <si>
    <t>OLD TOWN 69/12/4KV SUBSTATION</t>
  </si>
  <si>
    <t>MISSION 230KV SUBSTATION</t>
  </si>
  <si>
    <t>MISSION 138/69/12KV SUBSTATION</t>
  </si>
  <si>
    <t>TALEGA 230/138KV SUBSTATION (230 PORTION ONLY)</t>
  </si>
  <si>
    <t>TALEGA 230/138 KV SUBSTATION</t>
  </si>
  <si>
    <t>PENASQUITOS 230KV SUBSTATION</t>
  </si>
  <si>
    <t>PENASQUITOS 138/69KV SUBSTATION</t>
  </si>
  <si>
    <t>ENCINA 230KV SUBSTATION</t>
  </si>
  <si>
    <t>ENCINA PP 138/12KV SUBSTATION</t>
  </si>
  <si>
    <t>NO GILA 500KV SUBSTATION</t>
  </si>
  <si>
    <t>PALO VERDE 500KV SUBSTATION</t>
  </si>
  <si>
    <t>SAN LUIS REY 230/69/12KV SUBSTATION</t>
  </si>
  <si>
    <t>PALOMAR ENERGY 230KV SWITCHYARD</t>
  </si>
  <si>
    <t>PALA 230KV SUBSTATION</t>
  </si>
  <si>
    <t>OTAY MESA 230KV SWITCHYARD</t>
  </si>
  <si>
    <t>SILVERGATE 230/69KV SUBSTATION</t>
  </si>
  <si>
    <t>DESERT STAR ENERGY CENTER</t>
  </si>
  <si>
    <t>LV SUBSTATIONS</t>
  </si>
  <si>
    <t>TOTAL SUBSTATIONS</t>
  </si>
  <si>
    <t>TOTAL TRANSMISSION PLANT</t>
  </si>
  <si>
    <t>PERCENTAGES</t>
  </si>
  <si>
    <t>Depreciation and Amortization Expense</t>
  </si>
  <si>
    <t>Electric Miscellaneous Intangible Plant Amortization Expense</t>
  </si>
  <si>
    <t xml:space="preserve">General Plant Depreciation Expense </t>
  </si>
  <si>
    <t xml:space="preserve">Common Plant Depreciation Expense </t>
  </si>
  <si>
    <t>Transmission Related Electric Misc. Intangible Plant Amortization Expense</t>
  </si>
  <si>
    <t>Transmission Related General Plant Depreciation Expense</t>
  </si>
  <si>
    <t>Transmission Related Common Plant Depreciation Expense</t>
  </si>
  <si>
    <t>Incentive Transmission Plant Depreciation Expense</t>
  </si>
  <si>
    <t>Transmission Plant Abandoned Project Cost Amortization Expense</t>
  </si>
  <si>
    <t>Incentive Transmission Plant Abandoned Project Cost Amortization Expense</t>
  </si>
  <si>
    <t>Total Common Reserves to Electric Per Book</t>
  </si>
  <si>
    <t>Total Common Expense to Electric Per Book</t>
  </si>
  <si>
    <t>Injuries &amp; Damages</t>
  </si>
  <si>
    <t>Wages and Salaries</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</si>
  <si>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</si>
  <si>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</si>
  <si>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</si>
  <si>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</si>
  <si>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</si>
  <si>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</si>
  <si>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</si>
  <si>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Derivation of Weighted Plant Additions</t>
  </si>
  <si>
    <t>Summary of Weighted Transmission Plant Additions</t>
  </si>
  <si>
    <t>Net Forecast Plant Additions</t>
  </si>
  <si>
    <t>Weighting</t>
  </si>
  <si>
    <t>Weighted Net Forecast Plant Additions</t>
  </si>
  <si>
    <t>Date</t>
  </si>
  <si>
    <t>HV</t>
  </si>
  <si>
    <t>LV</t>
  </si>
  <si>
    <t>Summary of Transmission Plant Additions:</t>
  </si>
  <si>
    <t>Unweighted</t>
  </si>
  <si>
    <t>Wtd-HV</t>
  </si>
  <si>
    <t>Wtd-LV</t>
  </si>
  <si>
    <t>Wtd-Total</t>
  </si>
  <si>
    <t>Net - Electric Transmission Plant</t>
  </si>
  <si>
    <t xml:space="preserve">Summary of Weighted Transmission Related Common, General and Electric Miscellaneous Intangible Plant Additions </t>
  </si>
  <si>
    <t>Summary of Transmission Related Common, General, &amp; Electric</t>
  </si>
  <si>
    <t>Intangible Plant Additions:</t>
  </si>
  <si>
    <t>Gross</t>
  </si>
  <si>
    <t>Non-Incentive Projects:</t>
  </si>
  <si>
    <t>Forecast Period - Transmission Plant Additions</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</si>
  <si>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</si>
  <si>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</si>
  <si>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</si>
  <si>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</si>
  <si>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</si>
  <si>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</si>
  <si>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 xml:space="preserve">     Sub-Total Incentive Projects Forecast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</si>
  <si>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</si>
  <si>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</si>
  <si>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</si>
  <si>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</si>
  <si>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</si>
  <si>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</si>
  <si>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</si>
  <si>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</si>
  <si>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</si>
  <si>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</si>
  <si>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</si>
  <si>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</si>
  <si>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</si>
  <si>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</si>
  <si>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</si>
  <si>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</si>
  <si>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</si>
  <si>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</si>
  <si>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</si>
  <si>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</si>
  <si>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Total Transmission Rate Base</t>
  </si>
  <si>
    <t>`</t>
  </si>
  <si>
    <t>NV-MERCHANT 230 KV SWITCHYARD</t>
  </si>
  <si>
    <t>NON-UNITIZED</t>
  </si>
  <si>
    <t>Statement BK-1</t>
  </si>
  <si>
    <r>
      <t xml:space="preserve">Derivation of End Use Prior Year Revenue Requirements (PYRR </t>
    </r>
    <r>
      <rPr>
        <b/>
        <vertAlign val="subscript"/>
        <sz val="12"/>
        <rFont val="Times New Roman"/>
        <family val="1"/>
      </rPr>
      <t>EU</t>
    </r>
    <r>
      <rPr>
        <b/>
        <sz val="12"/>
        <rFont val="Times New Roman"/>
        <family val="1"/>
      </rPr>
      <t>)</t>
    </r>
  </si>
  <si>
    <t>A. Revenues:</t>
  </si>
  <si>
    <t>Transmission Operation &amp; Maintenance Expense</t>
  </si>
  <si>
    <t>Transmission Related A&amp;G Expense</t>
  </si>
  <si>
    <t xml:space="preserve">     Total O&amp;M Expenses</t>
  </si>
  <si>
    <t>Transmission, General, Common Plant Depn. Exp., and Electric Misc. Intangible Plant Amort. Exp.</t>
  </si>
  <si>
    <t xml:space="preserve">     Sub-Total Expense</t>
  </si>
  <si>
    <t>Transmission Rate Base</t>
  </si>
  <si>
    <t>Transmission Related Revenue Credits</t>
  </si>
  <si>
    <t>(Gains)/Losses from Sale of Plant Held for Future Use</t>
  </si>
  <si>
    <r>
      <t xml:space="preserve">End of Prior Year Revenues (PYRR </t>
    </r>
    <r>
      <rPr>
        <vertAlign val="subscript"/>
        <sz val="12"/>
        <rFont val="Times New Roman"/>
        <family val="1"/>
      </rPr>
      <t>EU</t>
    </r>
    <r>
      <rPr>
        <sz val="12"/>
        <rFont val="Times New Roman"/>
        <family val="1"/>
      </rPr>
      <t>) Excluding FF&amp;U</t>
    </r>
  </si>
  <si>
    <t>Total Incentive ROE Project Transmission Rate Base</t>
  </si>
  <si>
    <t>Total Incentive Transmission Plant Abandoned Project Cost Rate Base</t>
  </si>
  <si>
    <t>Blank lines that show up in the Formula Rate Spreadsheet will not be populated with any numbers absent a Section 205 filing to approve the blank lines.</t>
  </si>
  <si>
    <t>A. Transmission Rate Base:</t>
  </si>
  <si>
    <t xml:space="preserve">Incentive Transmission Plant Accum. Def. Income Taxes </t>
  </si>
  <si>
    <t xml:space="preserve">     Total Incentive ROE Project Transmission Rate Base</t>
  </si>
  <si>
    <t>Incentive Transmission Plant Abandoned Project Cost</t>
  </si>
  <si>
    <t>Incentive Transmission Plant Abandoned Project Cost Accum. Def. Inc. Taxes</t>
  </si>
  <si>
    <t>A.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</si>
  <si>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</si>
  <si>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</si>
  <si>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</si>
  <si>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</si>
  <si>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</si>
  <si>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</si>
  <si>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</si>
  <si>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 xml:space="preserve">     Total Net Incentive Transmission Plant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</si>
  <si>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</si>
  <si>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</si>
  <si>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</si>
  <si>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</si>
  <si>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</si>
  <si>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</si>
  <si>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50% of Transmission Related A&amp;G Expense</t>
  </si>
  <si>
    <r>
      <t xml:space="preserve">Annual Fix Charge Rate (AFCR </t>
    </r>
    <r>
      <rPr>
        <vertAlign val="subscript"/>
        <sz val="12"/>
        <rFont val="Times New Roman"/>
        <family val="1"/>
      </rPr>
      <t>EU</t>
    </r>
    <r>
      <rPr>
        <sz val="12"/>
        <rFont val="Times New Roman"/>
        <family val="1"/>
      </rPr>
      <t>)</t>
    </r>
  </si>
  <si>
    <t xml:space="preserve">Weighted Forecast Plant Additions </t>
  </si>
  <si>
    <t>Forecast Period Capital Addition Revenue Requirements</t>
  </si>
  <si>
    <t>ANNUAL FIXED CHARGES APPLICABLE TO INCENTIVE</t>
  </si>
  <si>
    <t>CAPITAL PROJECTS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</si>
  <si>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</si>
  <si>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</si>
  <si>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</si>
  <si>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1</t>
    </r>
  </si>
  <si>
    <t xml:space="preserve">Incentive Weighted Forecast Plant Additions </t>
  </si>
  <si>
    <t>B. Derivation of Incentive Forecast Transmission CWIP Revenues:</t>
  </si>
  <si>
    <t xml:space="preserve">Incentive Weighted Forecast Transmission Construction Work In Progress </t>
  </si>
  <si>
    <t>Incentive Transmission Forecast CWIP Projects Revenue Requirements</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</si>
  <si>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</si>
  <si>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</si>
  <si>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</si>
  <si>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</si>
  <si>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</si>
  <si>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Retail Interest True-Up Adjustment</t>
  </si>
  <si>
    <r>
      <t xml:space="preserve">Forecast Period Incentive Capital Additions Revenue Requirements (FC </t>
    </r>
    <r>
      <rPr>
        <vertAlign val="subscript"/>
        <sz val="12"/>
        <rFont val="Times New Roman"/>
        <family val="1"/>
      </rPr>
      <t>EU-IR-ROE</t>
    </r>
    <r>
      <rPr>
        <sz val="12"/>
        <rFont val="Times New Roman"/>
        <family val="1"/>
      </rPr>
      <t>)</t>
    </r>
  </si>
  <si>
    <t>Transmission Related Municipal Franchise Fees Expenses</t>
  </si>
  <si>
    <t>Transmission Related Uncollectible Expense</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</si>
  <si>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</si>
  <si>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</si>
  <si>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A. Derivation of Revenues Related With Total Transmission Facilities:</t>
  </si>
  <si>
    <t xml:space="preserve">1. Percent Split Between HV &amp; LV for Recorded Non-Incentive &amp; Incentive </t>
  </si>
  <si>
    <t>High Voltage</t>
  </si>
  <si>
    <t>Low Voltage</t>
  </si>
  <si>
    <t xml:space="preserve">    Gross Transmission Plant Facilities and Incentive CWIP:</t>
  </si>
  <si>
    <t>C. Summary of CAISO Transmission Facilities by</t>
  </si>
  <si>
    <t xml:space="preserve"> High Voltage and Low Voltage Classification:</t>
  </si>
  <si>
    <t xml:space="preserve">Base franchise fees are applicable to all SDG&amp;E customers. </t>
  </si>
  <si>
    <t>Project</t>
  </si>
  <si>
    <t>($)</t>
  </si>
  <si>
    <t>CPUC</t>
  </si>
  <si>
    <t>Total Project</t>
  </si>
  <si>
    <t xml:space="preserve"> Abandoned Projects</t>
  </si>
  <si>
    <t>Page; Line; Col.</t>
  </si>
  <si>
    <t>SDG&amp;E Records</t>
  </si>
  <si>
    <t>FERC Form 1</t>
  </si>
  <si>
    <t xml:space="preserve">Total Retirement </t>
  </si>
  <si>
    <t>Total Gross Plant</t>
  </si>
  <si>
    <t xml:space="preserve">Miscellaneous Statement </t>
  </si>
  <si>
    <t>FERC Account 283</t>
  </si>
  <si>
    <t xml:space="preserve">STATEMENT AF </t>
  </si>
  <si>
    <t>Account 190</t>
  </si>
  <si>
    <t>Account 282</t>
  </si>
  <si>
    <t>Account 283</t>
  </si>
  <si>
    <t>ACCUMULATED DEFERRED INCOME TAXES - ELECTRIC TRANSMISSION</t>
  </si>
  <si>
    <r>
      <rPr>
        <sz val="12"/>
        <color rgb="FFFF0000"/>
        <rFont val="Times New Roman"/>
        <family val="1"/>
      </rPr>
      <t xml:space="preserve">   </t>
    </r>
    <r>
      <rPr>
        <sz val="12"/>
        <rFont val="Times New Roman"/>
        <family val="1"/>
      </rPr>
      <t>Scheduling, System Control &amp; Dispatch Services</t>
    </r>
  </si>
  <si>
    <r>
      <rPr>
        <sz val="12"/>
        <color rgb="FFFF0000"/>
        <rFont val="Times New Roman"/>
        <family val="1"/>
      </rPr>
      <t xml:space="preserve">   </t>
    </r>
    <r>
      <rPr>
        <sz val="12"/>
        <rFont val="Times New Roman"/>
        <family val="1"/>
      </rPr>
      <t>Reliability, Planning &amp; Standards Development</t>
    </r>
  </si>
  <si>
    <r>
      <rPr>
        <sz val="12"/>
        <color rgb="FFFF0000"/>
        <rFont val="Times New Roman"/>
        <family val="1"/>
      </rPr>
      <t xml:space="preserve">   </t>
    </r>
    <r>
      <rPr>
        <sz val="12"/>
        <rFont val="Times New Roman"/>
        <family val="1"/>
      </rPr>
      <t>Transmission of Electricity by Others</t>
    </r>
  </si>
  <si>
    <r>
      <rPr>
        <sz val="12"/>
        <color rgb="FFFF0000"/>
        <rFont val="Times New Roman"/>
        <family val="1"/>
      </rPr>
      <t xml:space="preserve">   </t>
    </r>
    <r>
      <rPr>
        <sz val="12"/>
        <rFont val="Times New Roman"/>
        <family val="1"/>
      </rPr>
      <t xml:space="preserve">Miscellaneous Transmission Expense </t>
    </r>
  </si>
  <si>
    <t xml:space="preserve">   General Advertising Expenses </t>
  </si>
  <si>
    <t>Retail BTRR Excluding FF&amp;U</t>
  </si>
  <si>
    <r>
      <t xml:space="preserve">Transmission Facilities (BTRR </t>
    </r>
    <r>
      <rPr>
        <vertAlign val="subscript"/>
        <sz val="12"/>
        <rFont val="Times New Roman"/>
        <family val="1"/>
      </rPr>
      <t>CAISO</t>
    </r>
    <r>
      <rPr>
        <sz val="12"/>
        <rFont val="Times New Roman"/>
        <family val="1"/>
      </rPr>
      <t>) Excluding Franchise Fees</t>
    </r>
  </si>
  <si>
    <t>DEFERRED CREDITS</t>
  </si>
  <si>
    <r>
      <t xml:space="preserve">B. Subtotal BTRR </t>
    </r>
    <r>
      <rPr>
        <b/>
        <u/>
        <vertAlign val="subscript"/>
        <sz val="12"/>
        <rFont val="Times New Roman"/>
        <family val="1"/>
      </rPr>
      <t>EU</t>
    </r>
    <r>
      <rPr>
        <b/>
        <u/>
        <sz val="12"/>
        <rFont val="Times New Roman"/>
        <family val="1"/>
      </rPr>
      <t xml:space="preserve"> Excluding FF&amp;U:</t>
    </r>
  </si>
  <si>
    <t xml:space="preserve">   Franchise Requirements</t>
  </si>
  <si>
    <t>Calculations:</t>
  </si>
  <si>
    <t>Cumulative</t>
  </si>
  <si>
    <t>Monthly</t>
  </si>
  <si>
    <t>in Revenue</t>
  </si>
  <si>
    <t>Interest</t>
  </si>
  <si>
    <t>True Up</t>
  </si>
  <si>
    <t>Revenues</t>
  </si>
  <si>
    <t>with Interest</t>
  </si>
  <si>
    <t>January</t>
  </si>
  <si>
    <t>February</t>
  </si>
  <si>
    <t>March</t>
  </si>
  <si>
    <t>April</t>
  </si>
  <si>
    <t xml:space="preserve">June </t>
  </si>
  <si>
    <t>July</t>
  </si>
  <si>
    <t>August</t>
  </si>
  <si>
    <t>September</t>
  </si>
  <si>
    <t>October</t>
  </si>
  <si>
    <t>November</t>
  </si>
  <si>
    <t>December</t>
  </si>
  <si>
    <t>Prior Cycle</t>
  </si>
  <si>
    <t>Beginning</t>
  </si>
  <si>
    <t>Ending</t>
  </si>
  <si>
    <t>Principal</t>
  </si>
  <si>
    <t>June</t>
  </si>
  <si>
    <t>True Up Adjustment</t>
  </si>
  <si>
    <t>Less: CPUC Intervenor Funding Expense - Transmission</t>
  </si>
  <si>
    <t>Less: South Georgia Income Tax Adjustment</t>
  </si>
  <si>
    <t>Maintenance of Overhead Lines</t>
  </si>
  <si>
    <t>Substation</t>
  </si>
  <si>
    <t>(c) = (a) + (b)</t>
  </si>
  <si>
    <t>(f) = (d) + (e)</t>
  </si>
  <si>
    <t>Retirement Rate:</t>
  </si>
  <si>
    <t>Net HV</t>
  </si>
  <si>
    <t>Net LV</t>
  </si>
  <si>
    <t>Unamortized Premium on Long-Term Debt (Acct 225)</t>
  </si>
  <si>
    <t>Less: Unamortized Discount on Long-Term Debt-Debit (Acct 226)</t>
  </si>
  <si>
    <t>LTD = Long Term Debt</t>
  </si>
  <si>
    <t>i = LTD interest</t>
  </si>
  <si>
    <t>Proprietary Capital</t>
  </si>
  <si>
    <t xml:space="preserve">     B = Trans. Amount of Other Federal Tax Adjustments</t>
  </si>
  <si>
    <t>(454) Rent from Electric Property</t>
  </si>
  <si>
    <t>(456) Other Electric Revenues</t>
  </si>
  <si>
    <t>13-Months</t>
  </si>
  <si>
    <t>Transmission Plant Depreciation Expense</t>
  </si>
  <si>
    <t>Total of Federal Income Tax Deductions, Other Than Interest</t>
  </si>
  <si>
    <t>Net of Incentive Transmission Plant Depreciation Expense.</t>
  </si>
  <si>
    <t>These represent plant transfers to comply with FERC Order No. 888 and reflect the adjusted plant accumulated depreciation and amortization balances.</t>
  </si>
  <si>
    <t>The balances for Electric Miscellaneous Intangible, Distribution, General and Common plant are derived based on a simple average balance using beginning and ending year balances.</t>
  </si>
  <si>
    <t>Total Prior Year Revenues (PYRR) or Base Period Revenue is for 12 months ending the applicable cycle base period.</t>
  </si>
  <si>
    <r>
      <t>Ratemaking</t>
    </r>
    <r>
      <rPr>
        <b/>
        <vertAlign val="superscript"/>
        <sz val="12"/>
        <rFont val="Times New Roman"/>
        <family val="1"/>
      </rPr>
      <t xml:space="preserve"> 1</t>
    </r>
  </si>
  <si>
    <r>
      <t xml:space="preserve">Transmission Plant Held for Future Use </t>
    </r>
    <r>
      <rPr>
        <b/>
        <vertAlign val="superscript"/>
        <sz val="12"/>
        <rFont val="Times New Roman"/>
        <family val="1"/>
      </rPr>
      <t>1</t>
    </r>
  </si>
  <si>
    <r>
      <t xml:space="preserve">Gross Forecast Plant Additions </t>
    </r>
    <r>
      <rPr>
        <b/>
        <vertAlign val="superscript"/>
        <sz val="12"/>
        <rFont val="Times New Roman"/>
        <family val="1"/>
      </rPr>
      <t>1</t>
    </r>
  </si>
  <si>
    <r>
      <t xml:space="preserve">C. Subtotal Retail BTRR </t>
    </r>
    <r>
      <rPr>
        <b/>
        <u/>
        <vertAlign val="subscript"/>
        <sz val="12"/>
        <rFont val="Times New Roman"/>
        <family val="1"/>
      </rPr>
      <t>EU</t>
    </r>
    <r>
      <rPr>
        <b/>
        <u/>
        <sz val="12"/>
        <rFont val="Times New Roman"/>
        <family val="1"/>
      </rPr>
      <t xml:space="preserve"> With FF&amp;U:</t>
    </r>
  </si>
  <si>
    <r>
      <t xml:space="preserve">E. 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</si>
  <si>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</si>
  <si>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 xml:space="preserve">     FT = Federal Income Tax Rate</t>
  </si>
  <si>
    <t>E0139210</t>
  </si>
  <si>
    <t>Transprtn Eq-Autos</t>
  </si>
  <si>
    <t>E0139770</t>
  </si>
  <si>
    <t>Telecommunications Equip</t>
  </si>
  <si>
    <t>C1839210</t>
  </si>
  <si>
    <t>This column represents the monthly ratemaking depreciation reserve balances for the base &amp; true-up periods. These depreciation reserve balances reflect the amounts shifted between</t>
  </si>
  <si>
    <t>The amounts stated above are ratemaking utility plant in service and a result of implementing the “Seven-Element Adjustment Factor” which reflects transfers between core electric functional areas.</t>
  </si>
  <si>
    <t>Cost Adjustment Workpapers</t>
  </si>
  <si>
    <t>Franchise Fees</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</si>
  <si>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</si>
  <si>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</si>
  <si>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</si>
  <si>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</si>
  <si>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</si>
  <si>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</si>
  <si>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</si>
  <si>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</si>
  <si>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</si>
  <si>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</si>
  <si>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FERC Account 190</t>
  </si>
  <si>
    <t xml:space="preserve">   Injuries &amp; Damages</t>
  </si>
  <si>
    <t xml:space="preserve">(a) = (b) + (c) </t>
  </si>
  <si>
    <t xml:space="preserve">(c) </t>
  </si>
  <si>
    <t>Bonds (Acct 221)</t>
  </si>
  <si>
    <t>Less: Reacquired Bonds (Acct 222)</t>
  </si>
  <si>
    <t>Other Long-Term Debt (Acct 224)</t>
  </si>
  <si>
    <t>Interest on Long-Term Debt (Acct 427)</t>
  </si>
  <si>
    <t>Amort. of Debt Disc. and Expense (Acct 428)</t>
  </si>
  <si>
    <t>Amortization of Loss on Reacquired Debt (Acct 428.1)</t>
  </si>
  <si>
    <t>Less: Amort. of Premium on Debt-Credit (Acct 429)</t>
  </si>
  <si>
    <t>Less: Amortization of Gain on Reacquired Debt-Credit (Acct 429.1)</t>
  </si>
  <si>
    <t>PF = Preferred Stock (Acct 204)</t>
  </si>
  <si>
    <t>d(pf) = Total Dividends Declared-Preferred Stocks (Acct 437)</t>
  </si>
  <si>
    <t>Less: Unappropriated Undistributed Subsidiary Earnings (Acct 216.1)</t>
  </si>
  <si>
    <t>Accumulated Other Comprehensive Income (Acct 219)</t>
  </si>
  <si>
    <t>Less: Preferred Stock (Acct 204)</t>
  </si>
  <si>
    <r>
      <t xml:space="preserve">   CPUC Intervenor Funding Expense - Transmission </t>
    </r>
    <r>
      <rPr>
        <b/>
        <vertAlign val="superscript"/>
        <sz val="12"/>
        <rFont val="Times New Roman"/>
        <family val="1"/>
      </rPr>
      <t>1</t>
    </r>
  </si>
  <si>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</si>
  <si>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r>
      <t xml:space="preserve">Total Property Taxes </t>
    </r>
    <r>
      <rPr>
        <b/>
        <vertAlign val="superscript"/>
        <sz val="12"/>
        <rFont val="Times New Roman"/>
        <family val="1"/>
      </rPr>
      <t>1</t>
    </r>
  </si>
  <si>
    <r>
      <t>D. Incentive Transmission Construction Work In Progress</t>
    </r>
    <r>
      <rPr>
        <b/>
        <sz val="12"/>
        <rFont val="Times New Roman"/>
        <family val="1"/>
      </rPr>
      <t xml:space="preserve"> </t>
    </r>
    <r>
      <rPr>
        <b/>
        <vertAlign val="superscript"/>
        <sz val="12"/>
        <rFont val="Times New Roman"/>
        <family val="1"/>
      </rPr>
      <t>2</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</si>
  <si>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</si>
  <si>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r>
      <t>Incentive Return on Common Equity:</t>
    </r>
    <r>
      <rPr>
        <sz val="12"/>
        <rFont val="Times New Roman"/>
        <family val="1"/>
      </rPr>
      <t xml:space="preserve"> </t>
    </r>
    <r>
      <rPr>
        <b/>
        <vertAlign val="superscript"/>
        <sz val="12"/>
        <rFont val="Times New Roman"/>
        <family val="1"/>
      </rPr>
      <t>2</t>
    </r>
  </si>
  <si>
    <t>ECO 500/230/138KV SUBSTATION</t>
  </si>
  <si>
    <t>21%</t>
  </si>
  <si>
    <t>8.84%</t>
  </si>
  <si>
    <t>PALA 69/12V SUBSTATION</t>
  </si>
  <si>
    <t>LOW VOLTAGE</t>
  </si>
  <si>
    <t>HIGH VOLTAGE</t>
  </si>
  <si>
    <t>BAY BOULEVARD 230/69/12KV SUBSTATION</t>
  </si>
  <si>
    <t>OCOTILLO 500KV SWITCHYARD</t>
  </si>
  <si>
    <t>Office Supplies &amp; Expenses</t>
  </si>
  <si>
    <t>Outside Services Employed</t>
  </si>
  <si>
    <t>Property Insurance</t>
  </si>
  <si>
    <t>Miscellaneous General Expenses</t>
  </si>
  <si>
    <r>
      <t>B. Derivation of Split Between HV and LV:</t>
    </r>
    <r>
      <rPr>
        <b/>
        <sz val="12"/>
        <rFont val="Times New Roman"/>
        <family val="1"/>
      </rPr>
      <t xml:space="preserve"> </t>
    </r>
    <r>
      <rPr>
        <b/>
        <vertAlign val="superscript"/>
        <sz val="12"/>
        <rFont val="Times New Roman"/>
        <family val="1"/>
      </rPr>
      <t>1</t>
    </r>
  </si>
  <si>
    <r>
      <t xml:space="preserve">Transmission Plant </t>
    </r>
    <r>
      <rPr>
        <b/>
        <vertAlign val="superscript"/>
        <sz val="12"/>
        <rFont val="Times New Roman"/>
        <family val="1"/>
      </rPr>
      <t>1, 3</t>
    </r>
  </si>
  <si>
    <r>
      <t xml:space="preserve">Common Plant Depreciation Reserve </t>
    </r>
    <r>
      <rPr>
        <b/>
        <vertAlign val="superscript"/>
        <sz val="12"/>
        <rFont val="Times New Roman"/>
        <family val="1"/>
      </rPr>
      <t>2, 4</t>
    </r>
  </si>
  <si>
    <r>
      <t xml:space="preserve">General Plant Depreciation Reserve </t>
    </r>
    <r>
      <rPr>
        <b/>
        <vertAlign val="superscript"/>
        <sz val="12"/>
        <rFont val="Times New Roman"/>
        <family val="1"/>
      </rPr>
      <t>2, 4</t>
    </r>
  </si>
  <si>
    <r>
      <t xml:space="preserve">Electric Misc. Intangible Plant Amortization Reserve </t>
    </r>
    <r>
      <rPr>
        <b/>
        <vertAlign val="superscript"/>
        <sz val="12"/>
        <rFont val="Times New Roman"/>
        <family val="1"/>
      </rPr>
      <t>2, 4</t>
    </r>
  </si>
  <si>
    <r>
      <t xml:space="preserve">Transmission Plant Depreciation Reserve </t>
    </r>
    <r>
      <rPr>
        <b/>
        <vertAlign val="superscript"/>
        <sz val="12"/>
        <rFont val="Times New Roman"/>
        <family val="1"/>
      </rPr>
      <t>1, 3</t>
    </r>
  </si>
  <si>
    <t xml:space="preserve"> Period (Yrs)</t>
  </si>
  <si>
    <r>
      <t xml:space="preserve">A. Plant Materials and Operating Supplies </t>
    </r>
    <r>
      <rPr>
        <b/>
        <vertAlign val="superscript"/>
        <sz val="12"/>
        <rFont val="Times New Roman"/>
        <family val="1"/>
      </rPr>
      <t>1</t>
    </r>
  </si>
  <si>
    <r>
      <t xml:space="preserve">Incentive Transmission Construction Work In Progress </t>
    </r>
    <r>
      <rPr>
        <b/>
        <vertAlign val="superscript"/>
        <sz val="12"/>
        <rFont val="Times New Roman"/>
        <family val="1"/>
      </rPr>
      <t>1</t>
    </r>
  </si>
  <si>
    <r>
      <t xml:space="preserve">Vintages of Plant </t>
    </r>
    <r>
      <rPr>
        <b/>
        <vertAlign val="superscript"/>
        <sz val="12"/>
        <rFont val="Times New Roman"/>
        <family val="1"/>
      </rPr>
      <t>1</t>
    </r>
  </si>
  <si>
    <t>Total True-Up Cost of Service</t>
  </si>
  <si>
    <t>Cost of Service</t>
  </si>
  <si>
    <t>Prior</t>
  </si>
  <si>
    <t>Interest True Up Adjustment</t>
  </si>
  <si>
    <t>Undercollection (+) in Revenue</t>
  </si>
  <si>
    <t>Cumulative Overcollection (-) or</t>
  </si>
  <si>
    <t>Overcollection (-) or</t>
  </si>
  <si>
    <t>Undercollection (+)</t>
  </si>
  <si>
    <t>Adjusted Monthly</t>
  </si>
  <si>
    <t>SUM 5:6</t>
  </si>
  <si>
    <t xml:space="preserve">     Subtotal Wholesale BTRR With Franchise Fees</t>
  </si>
  <si>
    <t xml:space="preserve">Reflects the years that were taken into consideration to develop the table. The table </t>
  </si>
  <si>
    <t>begins in 2001 because all the data needed was not available until 2001 in SAP</t>
  </si>
  <si>
    <t>(SDG&amp;E's general accounting system).</t>
  </si>
  <si>
    <t>Total Depreciation and Amortization Expense</t>
  </si>
  <si>
    <r>
      <t xml:space="preserve">404 &amp; 405 </t>
    </r>
    <r>
      <rPr>
        <b/>
        <vertAlign val="superscript"/>
        <sz val="12"/>
        <rFont val="Times New Roman"/>
        <family val="1"/>
      </rPr>
      <t>1</t>
    </r>
  </si>
  <si>
    <r>
      <t xml:space="preserve">Expense </t>
    </r>
    <r>
      <rPr>
        <b/>
        <vertAlign val="superscript"/>
        <sz val="12"/>
        <rFont val="Times New Roman"/>
        <family val="1"/>
      </rPr>
      <t>3</t>
    </r>
  </si>
  <si>
    <r>
      <t xml:space="preserve">Ratemaking </t>
    </r>
    <r>
      <rPr>
        <b/>
        <vertAlign val="superscript"/>
        <sz val="12"/>
        <rFont val="Times New Roman"/>
        <family val="1"/>
      </rPr>
      <t>2</t>
    </r>
  </si>
  <si>
    <t>Transmission Property Insurance and Tax Allocation Factor</t>
  </si>
  <si>
    <r>
      <t xml:space="preserve">(451) Miscellaneous Service Revenues </t>
    </r>
    <r>
      <rPr>
        <b/>
        <vertAlign val="superscript"/>
        <sz val="12"/>
        <rFont val="Times New Roman"/>
        <family val="1"/>
      </rPr>
      <t>1</t>
    </r>
  </si>
  <si>
    <t>Electric Transmission Revenues from Citizens</t>
  </si>
  <si>
    <t>FERC Accounts 411.6 and 411.7</t>
  </si>
  <si>
    <r>
      <t xml:space="preserve">Total Rent from Electric Property </t>
    </r>
    <r>
      <rPr>
        <b/>
        <vertAlign val="superscript"/>
        <sz val="12"/>
        <rFont val="Times New Roman"/>
        <family val="1"/>
      </rPr>
      <t>1</t>
    </r>
  </si>
  <si>
    <t>Federal Income Tax    =    (((A) + (C / D)) * FT) - (B / D)</t>
  </si>
  <si>
    <t xml:space="preserve">                                                         (1 - FT)</t>
  </si>
  <si>
    <t xml:space="preserve">                                                               (1 - ST)</t>
  </si>
  <si>
    <t xml:space="preserve">Federal Income Tax    =    (((A) + (C / D)) * FT) - (B / D) </t>
  </si>
  <si>
    <t>Plant Held for</t>
  </si>
  <si>
    <t>Future Use</t>
  </si>
  <si>
    <t>Less: Property Insurance (Due to different allocation factor)</t>
  </si>
  <si>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</si>
  <si>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</si>
  <si>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</si>
  <si>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Total Common Plant Per Book</t>
  </si>
  <si>
    <t>Electric Split of Common Utility Plant</t>
  </si>
  <si>
    <t>Total Common Plant to Electric Per Book</t>
  </si>
  <si>
    <t>amortization life of the line, ending in 2023.</t>
  </si>
  <si>
    <t>difference is recorded in deferred debit FERC Acct 186 and the amortization of the difference is included in Acct 406. The amortization is considered a ratemaking adjustment with the annual expense continuing over the 30 year</t>
  </si>
  <si>
    <t xml:space="preserve">Workpapers will be included in each Annual Information Filing that will calculate the annual composite </t>
  </si>
  <si>
    <t>The above Common Plant depreciation rates are applicable to SDG&amp;E's base period recorded</t>
  </si>
  <si>
    <t xml:space="preserve">depreciation. </t>
  </si>
  <si>
    <t>each applicable project.</t>
  </si>
  <si>
    <t>The balance for Incentive Transmission Construction Work In Progress is derived based on a 13-month average balance. A line will be shown for</t>
  </si>
  <si>
    <t>Franchise Fees. Part of the Franchise Fees reported are Transmission-related, however, they are excluded in Statement AU because they are collected as a part of the</t>
  </si>
  <si>
    <t>BTRR in the BK Cost Statements.</t>
  </si>
  <si>
    <t>applicable data field will be filled.</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</si>
  <si>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</si>
  <si>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</si>
  <si>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</si>
  <si>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</si>
  <si>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These periods may not be changed absent a section 205 or 206 filing.</t>
  </si>
  <si>
    <t>establishes new General Plant and Common Plant depreciation rates and Intangible Plant</t>
  </si>
  <si>
    <t>amortization periods.</t>
  </si>
  <si>
    <t>The Annual Information Filing will reference the docket number of the FERC proceeding that</t>
  </si>
  <si>
    <t xml:space="preserve">     Total Working Capital</t>
  </si>
  <si>
    <t xml:space="preserve">     Total Incentive Transmission Plant Abandoned Project Cost Rate Base</t>
  </si>
  <si>
    <r>
      <t xml:space="preserve">     Adjusted Total (PYRR</t>
    </r>
    <r>
      <rPr>
        <vertAlign val="subscript"/>
        <sz val="12"/>
        <rFont val="Times New Roman"/>
        <family val="1"/>
      </rPr>
      <t xml:space="preserve"> EU</t>
    </r>
    <r>
      <rPr>
        <sz val="12"/>
        <rFont val="Times New Roman"/>
        <family val="1"/>
      </rPr>
      <t xml:space="preserve">) Excluding FF&amp;U </t>
    </r>
  </si>
  <si>
    <r>
      <t xml:space="preserve">     Adjusted Total (PYRR</t>
    </r>
    <r>
      <rPr>
        <vertAlign val="subscript"/>
        <sz val="12"/>
        <rFont val="Times New Roman"/>
        <family val="1"/>
      </rPr>
      <t xml:space="preserve"> EU-IR-ROE</t>
    </r>
    <r>
      <rPr>
        <sz val="12"/>
        <rFont val="Times New Roman"/>
        <family val="1"/>
      </rPr>
      <t xml:space="preserve">) Excluding FF&amp;U </t>
    </r>
  </si>
  <si>
    <t xml:space="preserve">     Total of Account 190</t>
  </si>
  <si>
    <t xml:space="preserve">     Total of Account 282</t>
  </si>
  <si>
    <t xml:space="preserve">     Total of Account 283</t>
  </si>
  <si>
    <t xml:space="preserve">   Net Operating Loss</t>
  </si>
  <si>
    <t xml:space="preserve">     Total Electric Transmission Operation </t>
  </si>
  <si>
    <t xml:space="preserve">     Total Electric Transmission Maintenance</t>
  </si>
  <si>
    <t xml:space="preserve">     Transmission Related Materials and Supplies </t>
  </si>
  <si>
    <t xml:space="preserve">     Transmission Related Prepayments </t>
  </si>
  <si>
    <t xml:space="preserve">     Total Federal Income Tax Deductions Other Than Interest</t>
  </si>
  <si>
    <t xml:space="preserve">     Transmission Related Revenue Credits</t>
  </si>
  <si>
    <t>2. Percent Split Between HV &amp; LV Forecast Plant Additions:</t>
  </si>
  <si>
    <t xml:space="preserve">    Total HV/LV Transmission Plant Facilities Revenues </t>
  </si>
  <si>
    <t xml:space="preserve">    HV/LV Plant Allocation Ratios Based on Forecast Plant Additions</t>
  </si>
  <si>
    <t xml:space="preserve">    Total HV/LV Transmission Forecast Plant Additions Revenues</t>
  </si>
  <si>
    <t>Summary of HV/LV Splits for Forecast Plant Additions</t>
  </si>
  <si>
    <t>HV/LV Ratio (Weighted Transmission Forecast Plant Additions)</t>
  </si>
  <si>
    <t>Century Energy Systems Balancing Account (CES-21BA)</t>
  </si>
  <si>
    <t>Hazardous Substance Cleanup Cost Memo Account (HSCCMA)</t>
  </si>
  <si>
    <t>ISO Grid Management Costs (ERRA)</t>
  </si>
  <si>
    <t>Reliability Services (RS rates)</t>
  </si>
  <si>
    <t xml:space="preserve">Other (TRBAA, TACBAA) </t>
  </si>
  <si>
    <r>
      <t xml:space="preserve">Less: Other Taxes (Business license taxes) </t>
    </r>
    <r>
      <rPr>
        <b/>
        <vertAlign val="superscript"/>
        <sz val="12"/>
        <rFont val="Times New Roman"/>
        <family val="1"/>
      </rPr>
      <t>2</t>
    </r>
  </si>
  <si>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</si>
  <si>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</si>
  <si>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</si>
  <si>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</si>
  <si>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</si>
  <si>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 xml:space="preserve">     Transmission Related Cash Working Capital - Retail Customers</t>
  </si>
  <si>
    <t xml:space="preserve">   FERC Account 190</t>
  </si>
  <si>
    <t xml:space="preserve">   FERC Account 282</t>
  </si>
  <si>
    <t xml:space="preserve">   FERC Account 283</t>
  </si>
  <si>
    <r>
      <t xml:space="preserve">     End of Prior Year Revenues (PYRR </t>
    </r>
    <r>
      <rPr>
        <vertAlign val="subscript"/>
        <sz val="12"/>
        <rFont val="Times New Roman"/>
        <family val="1"/>
      </rPr>
      <t>EU</t>
    </r>
    <r>
      <rPr>
        <sz val="12"/>
        <rFont val="Times New Roman"/>
        <family val="1"/>
      </rPr>
      <t>) Excluding FF&amp;U</t>
    </r>
  </si>
  <si>
    <t xml:space="preserve">     Total Incentive ROE Project Transmission Revenue</t>
  </si>
  <si>
    <t xml:space="preserve">     Total Incentive Transmission Plant Abandoned Project Revenue</t>
  </si>
  <si>
    <r>
      <t xml:space="preserve">     Total Incentive End of Prior Year Revenues (PYRR </t>
    </r>
    <r>
      <rPr>
        <vertAlign val="subscript"/>
        <sz val="12"/>
        <rFont val="Times New Roman"/>
        <family val="1"/>
      </rPr>
      <t>EU-IR</t>
    </r>
    <r>
      <rPr>
        <sz val="12"/>
        <rFont val="Times New Roman"/>
        <family val="1"/>
      </rPr>
      <t>) Excluding FF&amp;U</t>
    </r>
  </si>
  <si>
    <t xml:space="preserve">     Total Transmission Rate Base</t>
  </si>
  <si>
    <t xml:space="preserve">     Forecast Period Capital Addition Revenue Requirements</t>
  </si>
  <si>
    <t xml:space="preserve">     Total Adjusted Transmission O&amp;M Expenses </t>
  </si>
  <si>
    <t xml:space="preserve">     Total Adjusted A&amp;G Expenses Including Property Insurance</t>
  </si>
  <si>
    <t xml:space="preserve">     Transmission Related Property Taxes Expense</t>
  </si>
  <si>
    <t xml:space="preserve">     Transmission Related Payroll Taxes Expense</t>
  </si>
  <si>
    <t xml:space="preserve">     LTD = Long Term Debt</t>
  </si>
  <si>
    <t xml:space="preserve">     i = LTD interest</t>
  </si>
  <si>
    <t xml:space="preserve">     Cost of Preferred Equity</t>
  </si>
  <si>
    <t xml:space="preserve">     CS = Common Stock</t>
  </si>
  <si>
    <t xml:space="preserve">     Total Capital</t>
  </si>
  <si>
    <t xml:space="preserve">     Total Wholesale BTRR Excluding Franchise Fees</t>
  </si>
  <si>
    <r>
      <t xml:space="preserve">     Forecast Period Incentive Capital Addition Revenue Requirements (FC </t>
    </r>
    <r>
      <rPr>
        <vertAlign val="subscript"/>
        <sz val="12"/>
        <rFont val="Times New Roman"/>
        <family val="1"/>
      </rPr>
      <t>EU-IR-ROE</t>
    </r>
    <r>
      <rPr>
        <sz val="12"/>
        <rFont val="Times New Roman"/>
        <family val="1"/>
      </rPr>
      <t>)</t>
    </r>
  </si>
  <si>
    <r>
      <t xml:space="preserve">Transmission Related Regulatory Debits/Credits </t>
    </r>
    <r>
      <rPr>
        <b/>
        <vertAlign val="superscript"/>
        <sz val="12"/>
        <rFont val="Times New Roman"/>
        <family val="1"/>
      </rPr>
      <t>1</t>
    </r>
  </si>
  <si>
    <t>Transmission Related Regulatory Debits/Credits</t>
  </si>
  <si>
    <t xml:space="preserve">     FT = Federal Income Tax Rate for Rate Effective Period</t>
  </si>
  <si>
    <t xml:space="preserve">     ST = State Income Tax Rate for Rate Effective Period</t>
  </si>
  <si>
    <t xml:space="preserve">    HV/LV Plant Allocation Ratios</t>
  </si>
  <si>
    <r>
      <t xml:space="preserve">Franchise Fee </t>
    </r>
    <r>
      <rPr>
        <b/>
        <vertAlign val="superscript"/>
        <sz val="12"/>
        <rFont val="Times New Roman"/>
        <family val="1"/>
      </rPr>
      <t>2</t>
    </r>
  </si>
  <si>
    <t>Net Incentive Transmission Plant</t>
  </si>
  <si>
    <r>
      <t>B. Incentive Project Transmission Plant:</t>
    </r>
    <r>
      <rPr>
        <b/>
        <vertAlign val="superscript"/>
        <sz val="12"/>
        <rFont val="Times New Roman"/>
        <family val="1"/>
      </rPr>
      <t xml:space="preserve"> 1</t>
    </r>
  </si>
  <si>
    <t>Incentive Transmission Plant</t>
  </si>
  <si>
    <t>Incentive Transmission Plant Depreciation Reserve</t>
  </si>
  <si>
    <r>
      <t>B. Incentive Project Transmission Plant:</t>
    </r>
    <r>
      <rPr>
        <b/>
        <sz val="12"/>
        <rFont val="Times New Roman"/>
        <family val="1"/>
      </rPr>
      <t xml:space="preserve"> </t>
    </r>
    <r>
      <rPr>
        <b/>
        <vertAlign val="superscript"/>
        <sz val="12"/>
        <rFont val="Times New Roman"/>
        <family val="1"/>
      </rPr>
      <t>1</t>
    </r>
  </si>
  <si>
    <r>
      <t xml:space="preserve">Transmission Plant Abandoned Project Cost Amortization Expense </t>
    </r>
    <r>
      <rPr>
        <b/>
        <vertAlign val="superscript"/>
        <sz val="12"/>
        <rFont val="Times New Roman"/>
        <family val="1"/>
      </rPr>
      <t>1</t>
    </r>
  </si>
  <si>
    <t xml:space="preserve">     B = Transmission Total Federal Tax Adjustments</t>
  </si>
  <si>
    <t>SDG&amp;E has followed the CAISO's guidelines to separate all elements of its Transmission facilities into HV and LV components as outlined in Appendix F; Schedule 3; Section 12 of the CAISO tariff.</t>
  </si>
  <si>
    <t>The balances for Steam, Nuclear, Hydraulic, Other Production, Transmission, and Incentive Transmission plant are derived based on a 13-month average balance.</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</si>
  <si>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</si>
  <si>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</si>
  <si>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These represent plant transfers to comply with FERC Order No. 888 and reflect the adjusted Transmission plant balances.</t>
  </si>
  <si>
    <t>The amounts stated above are ratemaking utility plant in service and a result of implementing the "Seven-Element Adjustment Factor" which reflects transfers between core electric functional areas.</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</si>
  <si>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</si>
  <si>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</si>
  <si>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Excluded Expenses (recovery method in parentheses):</t>
  </si>
  <si>
    <r>
      <t>Employee Pensions &amp; Benefits</t>
    </r>
    <r>
      <rPr>
        <b/>
        <vertAlign val="superscript"/>
        <sz val="12"/>
        <rFont val="Times New Roman"/>
        <family val="1"/>
      </rPr>
      <t xml:space="preserve"> 1</t>
    </r>
  </si>
  <si>
    <t xml:space="preserve">     Total Transmission, General, Common, and Electric Misc. Intangible Exp.</t>
  </si>
  <si>
    <t>These represent plant depreciation and amortization expense transfers to comply with FERC Order No. 888 and reflect the adjusted Transmission plant depreciation and amortization expense.</t>
  </si>
  <si>
    <t>Incentive Weighted Cost of Capital:</t>
  </si>
  <si>
    <t>functions (Transmission to Distribution, Transmission to Generation, Distribution to Transmission, etc.) as required by FERC Order 888: Seven-Element Adjustment Factor.</t>
  </si>
  <si>
    <r>
      <t xml:space="preserve">Total Common Plant </t>
    </r>
    <r>
      <rPr>
        <b/>
        <vertAlign val="superscript"/>
        <sz val="12"/>
        <rFont val="Times New Roman"/>
        <family val="1"/>
      </rPr>
      <t>2, 4</t>
    </r>
  </si>
  <si>
    <r>
      <t>Total Electric Miscellaneous Intangible Plant</t>
    </r>
    <r>
      <rPr>
        <b/>
        <sz val="12"/>
        <rFont val="Times New Roman"/>
        <family val="1"/>
      </rPr>
      <t xml:space="preserve"> </t>
    </r>
    <r>
      <rPr>
        <b/>
        <vertAlign val="superscript"/>
        <sz val="12"/>
        <rFont val="Times New Roman"/>
        <family val="1"/>
      </rPr>
      <t>2, 4</t>
    </r>
  </si>
  <si>
    <r>
      <t>Total General Plant</t>
    </r>
    <r>
      <rPr>
        <b/>
        <sz val="12"/>
        <rFont val="Times New Roman"/>
        <family val="1"/>
      </rPr>
      <t xml:space="preserve"> </t>
    </r>
    <r>
      <rPr>
        <b/>
        <vertAlign val="superscript"/>
        <sz val="12"/>
        <rFont val="Times New Roman"/>
        <family val="1"/>
      </rPr>
      <t>2, 4</t>
    </r>
  </si>
  <si>
    <t>Not affected by the "Seven-Element Adjustment Factor".</t>
  </si>
  <si>
    <t>FERC Account 282</t>
  </si>
  <si>
    <t>This column represents the monthly ratemaking depreciation expense balances for the base &amp; true-up periods. These depreciation expense balances reflect the amounts shifted between</t>
  </si>
  <si>
    <t>The FERC approved incentives for each project will be tracked and shown separately by repeating the applicable lines. As a result, the data on this page may carryover to the next page.</t>
  </si>
  <si>
    <t>ACCOUNT 154 PLANT MATERIALS AND OPERATING SUPPLIES</t>
  </si>
  <si>
    <t>ACCOUNT 165 PREPAYMENTS  -  ELECTRIC</t>
  </si>
  <si>
    <t>DEPRECIATION AND AMORTIZATION EXPENSE AND RECLASSIFICATION FACTOR</t>
  </si>
  <si>
    <t>Adjustments to Per Book Transmission O&amp;M Expense:</t>
  </si>
  <si>
    <t>Adjustments to Per Book A&amp;G Expense:</t>
  </si>
  <si>
    <t xml:space="preserve">     Transmission Related A&amp;G Expense Including Property Insurance Expense</t>
  </si>
  <si>
    <r>
      <t xml:space="preserve">Incentive Transmission Plant Depreciation Reserve </t>
    </r>
    <r>
      <rPr>
        <b/>
        <vertAlign val="superscript"/>
        <sz val="12"/>
        <rFont val="Times New Roman"/>
        <family val="1"/>
      </rPr>
      <t>1</t>
    </r>
  </si>
  <si>
    <t>Working Capital Revenue, and Franchise Fees.</t>
  </si>
  <si>
    <t>The Electric Transmission Revenue for Citizens in this statement is to provide ratepayers a credit for Citizens' share of Transmission-related Common and General Plant, Transmission-related</t>
  </si>
  <si>
    <r>
      <t xml:space="preserve">Amounts </t>
    </r>
    <r>
      <rPr>
        <b/>
        <vertAlign val="superscript"/>
        <sz val="12"/>
        <rFont val="Times New Roman"/>
        <family val="1"/>
      </rPr>
      <t>1</t>
    </r>
  </si>
  <si>
    <t>Non-Incentive Equity AFUDC</t>
  </si>
  <si>
    <t>Component of Transmission</t>
  </si>
  <si>
    <t>Depn Exp.</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</si>
  <si>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</si>
  <si>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</si>
  <si>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r>
      <t>C. Incentive Transmission Plant Abandoned Project Revenue:</t>
    </r>
    <r>
      <rPr>
        <b/>
        <sz val="12"/>
        <rFont val="Times New Roman"/>
        <family val="1"/>
      </rPr>
      <t xml:space="preserve"> </t>
    </r>
    <r>
      <rPr>
        <b/>
        <vertAlign val="superscript"/>
        <sz val="12"/>
        <rFont val="Times New Roman"/>
        <family val="1"/>
      </rPr>
      <t>1, 2</t>
    </r>
  </si>
  <si>
    <r>
      <t>B. Incentive ROE Project Transmission Revenue:</t>
    </r>
    <r>
      <rPr>
        <b/>
        <sz val="12"/>
        <rFont val="Times New Roman"/>
        <family val="1"/>
      </rPr>
      <t xml:space="preserve"> </t>
    </r>
    <r>
      <rPr>
        <b/>
        <vertAlign val="superscript"/>
        <sz val="12"/>
        <rFont val="Times New Roman"/>
        <family val="1"/>
      </rPr>
      <t>1, 2</t>
    </r>
  </si>
  <si>
    <r>
      <t xml:space="preserve">Total Prior Year Revenue Requirements Excluding FF&amp;U </t>
    </r>
    <r>
      <rPr>
        <b/>
        <vertAlign val="superscript"/>
        <sz val="12"/>
        <rFont val="Times New Roman"/>
        <family val="1"/>
      </rPr>
      <t>1</t>
    </r>
  </si>
  <si>
    <t>wo Interest</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</si>
  <si>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</si>
  <si>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</si>
  <si>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Rates specified on the FERC website pursuant to Section 35.19a of the Commission regulation.</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</si>
  <si>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</si>
  <si>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</si>
  <si>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t>
    </r>
    <r>
      <rPr>
        <b/>
        <sz val="12"/>
        <rFont val="Times New Roman"/>
        <family val="1"/>
      </rPr>
      <t xml:space="preserve"> </t>
    </r>
    <r>
      <rPr>
        <b/>
        <vertAlign val="superscript"/>
        <sz val="12"/>
        <rFont val="Times New Roman"/>
        <family val="1"/>
      </rPr>
      <t>1</t>
    </r>
  </si>
  <si>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</si>
  <si>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</si>
  <si>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Column 6 and the current month balance from Column 4.</t>
  </si>
  <si>
    <t>Interest is calculated using an average of beginning and ending balances: 1) January uses the entire balance from Column 4; and 2) subsequent months use the average of the prior month balance in</t>
  </si>
  <si>
    <t>Rate is an average of the base period FERC Rates presented in the True-Up workpaper in Column 7 to derive a more accurate and consistent amortization amount (Column 4).</t>
  </si>
  <si>
    <t>Amortization reduces the beginning balance to zero by the end of December and is derived as follows:</t>
  </si>
  <si>
    <t>Beginning Balance/{[(1+Rate)^12-1]/[Rate*(1+Rate)^12]}.</t>
  </si>
  <si>
    <t>subsequent months.</t>
  </si>
  <si>
    <t>The Beginning Balance  is: 1) the balance in Column 6; Line 18 from the Interest True-Up Base Period for January; and 2) the balance from previous month in Column 7 of this workpaper for all</t>
  </si>
  <si>
    <r>
      <t>Rate</t>
    </r>
    <r>
      <rPr>
        <b/>
        <sz val="12"/>
        <rFont val="Times New Roman"/>
        <family val="1"/>
      </rPr>
      <t xml:space="preserve"> </t>
    </r>
    <r>
      <rPr>
        <b/>
        <vertAlign val="superscript"/>
        <sz val="12"/>
        <rFont val="Times New Roman"/>
        <family val="1"/>
      </rPr>
      <t>1</t>
    </r>
  </si>
  <si>
    <r>
      <t xml:space="preserve">Incentive Transmission Plant </t>
    </r>
    <r>
      <rPr>
        <b/>
        <vertAlign val="superscript"/>
        <sz val="12"/>
        <rFont val="Times New Roman"/>
        <family val="1"/>
      </rPr>
      <t>1</t>
    </r>
  </si>
  <si>
    <t>Prior Other</t>
  </si>
  <si>
    <r>
      <t>BTRR Adjustments</t>
    </r>
    <r>
      <rPr>
        <b/>
        <sz val="12"/>
        <rFont val="Times New Roman"/>
        <family val="1"/>
      </rPr>
      <t xml:space="preserve"> </t>
    </r>
    <r>
      <rPr>
        <b/>
        <vertAlign val="superscript"/>
        <sz val="12"/>
        <rFont val="Times New Roman"/>
        <family val="1"/>
      </rPr>
      <t>4</t>
    </r>
  </si>
  <si>
    <r>
      <t>Rate</t>
    </r>
    <r>
      <rPr>
        <b/>
        <sz val="12"/>
        <rFont val="Times New Roman"/>
        <family val="1"/>
      </rPr>
      <t xml:space="preserve"> </t>
    </r>
    <r>
      <rPr>
        <b/>
        <vertAlign val="superscript"/>
        <sz val="12"/>
        <rFont val="Times New Roman"/>
        <family val="1"/>
      </rPr>
      <t>5</t>
    </r>
  </si>
  <si>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</si>
  <si>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</si>
  <si>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Col. a = Cost Adjustment Workpapers</t>
  </si>
  <si>
    <t>True-Up</t>
  </si>
  <si>
    <t>Net Transmission Plant</t>
  </si>
  <si>
    <t>Net Transmission Plant &amp; Incentive Transmission Plant</t>
  </si>
  <si>
    <t>Adjustment to back-out the prior year true-up adjustment that is included in the recorded monthly true-up revenues in Column 3.</t>
  </si>
  <si>
    <r>
      <t xml:space="preserve">Total Steam Production Plant </t>
    </r>
    <r>
      <rPr>
        <b/>
        <vertAlign val="superscript"/>
        <sz val="12"/>
        <rFont val="Times New Roman"/>
        <family val="1"/>
      </rPr>
      <t>1,3</t>
    </r>
  </si>
  <si>
    <r>
      <t xml:space="preserve">Total Nuclear Production Plant </t>
    </r>
    <r>
      <rPr>
        <b/>
        <vertAlign val="superscript"/>
        <sz val="12"/>
        <rFont val="Times New Roman"/>
        <family val="1"/>
      </rPr>
      <t>1,3</t>
    </r>
  </si>
  <si>
    <r>
      <t xml:space="preserve">Total Hydraulic Production Plant </t>
    </r>
    <r>
      <rPr>
        <b/>
        <vertAlign val="superscript"/>
        <sz val="12"/>
        <rFont val="Times New Roman"/>
        <family val="1"/>
      </rPr>
      <t>1,3</t>
    </r>
  </si>
  <si>
    <r>
      <t xml:space="preserve">Total Other Production Plant </t>
    </r>
    <r>
      <rPr>
        <b/>
        <vertAlign val="superscript"/>
        <sz val="12"/>
        <rFont val="Times New Roman"/>
        <family val="1"/>
      </rPr>
      <t>1,3</t>
    </r>
  </si>
  <si>
    <r>
      <t xml:space="preserve">Total Distribution Plant </t>
    </r>
    <r>
      <rPr>
        <b/>
        <vertAlign val="superscript"/>
        <sz val="12"/>
        <rFont val="Times New Roman"/>
        <family val="1"/>
      </rPr>
      <t>2,3</t>
    </r>
  </si>
  <si>
    <t xml:space="preserve">The following HV/LV Wholesale Base Transmission Revenue Requirements will be used by the CAISO to develop the TAC rates for the applicable rate effective period. </t>
  </si>
  <si>
    <t>The above General Plant depreciation rates are applicable to SDG&amp;E's base period recorded</t>
  </si>
  <si>
    <t>Col. 1</t>
  </si>
  <si>
    <t>Col. 2</t>
  </si>
  <si>
    <t>Col. 3</t>
  </si>
  <si>
    <t>Col. 4</t>
  </si>
  <si>
    <t>Col. 5</t>
  </si>
  <si>
    <t>Col. 6</t>
  </si>
  <si>
    <t>Col. 7</t>
  </si>
  <si>
    <t>Col. 8</t>
  </si>
  <si>
    <t>Col. 9</t>
  </si>
  <si>
    <t>Col. 10</t>
  </si>
  <si>
    <t>Col. 11</t>
  </si>
  <si>
    <t>(c) = (a)+(b)</t>
  </si>
  <si>
    <t>The CPUC Intervenor Expense for Transmission shall be treated as an exclusion in A&amp;G but added back to the Retail BTRR on BK-1; Page 1; Line 5. This expense will be</t>
  </si>
  <si>
    <t>excluded in Wholesale BTRR on BK-2; Line 3.</t>
  </si>
  <si>
    <t>Ratemaking Total Transmission Depreciation Expense (Col. 7) is the sum of Total Transmission Depreciation Expense plus the SWPL Adjustment referred to in Footnote 3 below.</t>
  </si>
  <si>
    <t>Statement AH; Line 50</t>
  </si>
  <si>
    <t>Line 1 x Franchise Fee Rate</t>
  </si>
  <si>
    <t>Line 1 x Uncollectible Rate</t>
  </si>
  <si>
    <t>= Line 4 / 12</t>
  </si>
  <si>
    <t>= Col. 4; Line 26 / 12</t>
  </si>
  <si>
    <t>= Sum Col. 3 thru Col. 5</t>
  </si>
  <si>
    <t>= Col. 2 - Col. 6</t>
  </si>
  <si>
    <t>See Footnote 6</t>
  </si>
  <si>
    <t>See Footnote 7</t>
  </si>
  <si>
    <t>= Col. 9 + Col. 10</t>
  </si>
  <si>
    <t>See Footnote 2</t>
  </si>
  <si>
    <t>See Footnote 3</t>
  </si>
  <si>
    <t>See Footnote 4</t>
  </si>
  <si>
    <t>= Col. 4 + Col. 5</t>
  </si>
  <si>
    <t>= - (Col. 4 + Col. 6)</t>
  </si>
  <si>
    <t>= Col. 2 x Col. 3</t>
  </si>
  <si>
    <t>= Col. 3 - Col. 5</t>
  </si>
  <si>
    <t>Base Period True-Up Adjustment Calculation; Line 25; Col. 11</t>
  </si>
  <si>
    <t>Interest True-Up Adjustment - Base Period; Line 19; Col. 5 + Interest True-Up Adjustment - Current Year; Line 19; Col. 6</t>
  </si>
  <si>
    <t>Ties to Statement AD Workpapers; AD-6, Line 13; Ratemaking. That is, Line 38; Col. a shown above ties to the ratemaking plant in service.</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</si>
  <si>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</si>
  <si>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</si>
  <si>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</si>
  <si>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</si>
  <si>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</si>
  <si>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See Footnote 1</t>
  </si>
  <si>
    <t>Line 1 + Line 3</t>
  </si>
  <si>
    <t>See Footnote 5</t>
  </si>
  <si>
    <t>Sum Lines 8 thru 12</t>
  </si>
  <si>
    <t>Line 5 + Line 14</t>
  </si>
  <si>
    <t>HV = Line 16; Col. d / Line 16; Col. f</t>
  </si>
  <si>
    <t>LV = Line 16; Col. e / Line 16; Col. f</t>
  </si>
  <si>
    <r>
      <t xml:space="preserve">TRANSMISSION TOWERS and LAND </t>
    </r>
    <r>
      <rPr>
        <b/>
        <vertAlign val="superscript"/>
        <sz val="12"/>
        <rFont val="Times New Roman"/>
        <family val="1"/>
      </rPr>
      <t>2</t>
    </r>
  </si>
  <si>
    <t>Line 38; Col. b / Line 38; Col. a</t>
  </si>
  <si>
    <t>Line 38; Col. c / Line 38; Col. a</t>
  </si>
  <si>
    <t>Sum Lines 2 thru 6</t>
  </si>
  <si>
    <t>Sum Lines 10 thru 14</t>
  </si>
  <si>
    <t>Line 15 / Line 7</t>
  </si>
  <si>
    <t>Line 21 / Line 20</t>
  </si>
  <si>
    <t>Sum Lines 25 thru 28</t>
  </si>
  <si>
    <t>Col. c = Line 17 Above</t>
  </si>
  <si>
    <t>Col. c = Line 22 Above</t>
  </si>
  <si>
    <t>Col. c = Line 32 Above</t>
  </si>
  <si>
    <t>Sum Lines 37 thru 39</t>
  </si>
  <si>
    <t>Line 38 + Line 39; Col. d</t>
  </si>
  <si>
    <t>Col. c = Line 45 Above</t>
  </si>
  <si>
    <t>Sum Lines 50 thru 52</t>
  </si>
  <si>
    <t>Line 6 Above</t>
  </si>
  <si>
    <t>Line 8 Above</t>
  </si>
  <si>
    <t>Line 9 Above</t>
  </si>
  <si>
    <t>Line 12 Above</t>
  </si>
  <si>
    <t>Line 27 + Line 29</t>
  </si>
  <si>
    <t>Sum Lines 1 thru 5</t>
  </si>
  <si>
    <t>Statement AH; Line 9</t>
  </si>
  <si>
    <t>Statement AH; Line 31</t>
  </si>
  <si>
    <t>Negative of Statement AH; Line 16</t>
  </si>
  <si>
    <t>Statement AJ; Line 17</t>
  </si>
  <si>
    <t>Statement AJ; Line 23</t>
  </si>
  <si>
    <t>Statement AK; Line 13</t>
  </si>
  <si>
    <t>Statement AK; Line 20</t>
  </si>
  <si>
    <t>Statement AU; Line 13</t>
  </si>
  <si>
    <t>Statement Misc; Line 1</t>
  </si>
  <si>
    <t>Statement AU; Line 15</t>
  </si>
  <si>
    <t>Statement AJ; Line 19</t>
  </si>
  <si>
    <t>Statement AJ; Line 21</t>
  </si>
  <si>
    <t>Sum Lines 2 thru 5</t>
  </si>
  <si>
    <t>Statement Misc; Line 3</t>
  </si>
  <si>
    <t>Line 9 + Line 10</t>
  </si>
  <si>
    <t>Line 14 + Line 15</t>
  </si>
  <si>
    <t>Statement AL; Line 5</t>
  </si>
  <si>
    <t>Statement AL; Line 9</t>
  </si>
  <si>
    <t>Statement AL; Line 19</t>
  </si>
  <si>
    <t>Sum Lines 19 thru 21</t>
  </si>
  <si>
    <t>Statement Misc; Line 5</t>
  </si>
  <si>
    <t>Line 29 + Line 30</t>
  </si>
  <si>
    <t>Statement Misc; Line 7</t>
  </si>
  <si>
    <t>Statement AM; Line 1</t>
  </si>
  <si>
    <t>Statement AD; Line 11</t>
  </si>
  <si>
    <t>Statement AD; Line 27</t>
  </si>
  <si>
    <t>Statement AD; Line 29</t>
  </si>
  <si>
    <t>Statement AD; Line 31</t>
  </si>
  <si>
    <t>Statement AE; Line 1</t>
  </si>
  <si>
    <t>Statement AE; Line 11</t>
  </si>
  <si>
    <t>Statement AE; Line 13</t>
  </si>
  <si>
    <t>Statement AE; Line 15</t>
  </si>
  <si>
    <t>Sum Lines 9 thru 12</t>
  </si>
  <si>
    <t>Line 2 Minus Line 9</t>
  </si>
  <si>
    <t>Line 3 Minus Line 10</t>
  </si>
  <si>
    <t>Line 4 Minus Line 11</t>
  </si>
  <si>
    <t>Line 5 Minus Line 12</t>
  </si>
  <si>
    <t>Sum Lines 16 thru 19</t>
  </si>
  <si>
    <t>Statement AD; Line 13</t>
  </si>
  <si>
    <t>Statement AE; Line 19</t>
  </si>
  <si>
    <t>Line 23 Minus Line 24</t>
  </si>
  <si>
    <t>The Incentive ROE Transmission Plant and depreciation reserve will be tracked and shown for each incentive project and lines 23 through 25 will be repeated for each project.</t>
  </si>
  <si>
    <t>Line 1 x Line 3</t>
  </si>
  <si>
    <t>Line 5 x Line 7</t>
  </si>
  <si>
    <t>Negative of Line 20 Above</t>
  </si>
  <si>
    <t>AU-1; Page 2; Line 4; Col. m</t>
  </si>
  <si>
    <t>Sum Lines 1 thru 11</t>
  </si>
  <si>
    <t>Sum Lines 4 thru 6</t>
  </si>
  <si>
    <t>AM-1; Line 18</t>
  </si>
  <si>
    <t>AL-1; Line 18</t>
  </si>
  <si>
    <t>Statement AD; Line 35</t>
  </si>
  <si>
    <t>AL-2; Line 18</t>
  </si>
  <si>
    <t>Line 3 x Line 7</t>
  </si>
  <si>
    <t>Sum Lines 12 thru 14</t>
  </si>
  <si>
    <t>Line 15 x Line 17</t>
  </si>
  <si>
    <t>Line 14 Above</t>
  </si>
  <si>
    <t>Line 17 Above</t>
  </si>
  <si>
    <t>Line 22 x Line 24</t>
  </si>
  <si>
    <t>Line 26 x Line 28</t>
  </si>
  <si>
    <t>Line 5 + Line 7</t>
  </si>
  <si>
    <t>Line 9 x Line 11</t>
  </si>
  <si>
    <t>Statement AI; Line 15</t>
  </si>
  <si>
    <t>Line 16 x Line 18</t>
  </si>
  <si>
    <t>AJ-1A; Line 22; Col. 7</t>
  </si>
  <si>
    <t>AJ-1; Line 12</t>
  </si>
  <si>
    <t>AJ-2; Line 1</t>
  </si>
  <si>
    <t>AJ-3; Line 1</t>
  </si>
  <si>
    <t>AJ-4; Line 3</t>
  </si>
  <si>
    <t>Line 3 x Line 9</t>
  </si>
  <si>
    <t>Line 5 x Line 9</t>
  </si>
  <si>
    <t>Line 7 x Line 9</t>
  </si>
  <si>
    <t>Line 1 + (Sum Lines 11 thru 15)</t>
  </si>
  <si>
    <t>AJ-5; Line 12</t>
  </si>
  <si>
    <t>AJ-6; Line 1</t>
  </si>
  <si>
    <t>AJ-7; Line 1</t>
  </si>
  <si>
    <t>Line 3 /  Line 13</t>
  </si>
  <si>
    <t>AH-1; Line 33; Col. a</t>
  </si>
  <si>
    <t>Negative of AH-1; Line 37; Col. b</t>
  </si>
  <si>
    <t>Negative of AH-1; Line 38; Col. b</t>
  </si>
  <si>
    <t>Negative of AH-1; Line 39; Col. b</t>
  </si>
  <si>
    <t>Sum Lines 2 thru 8</t>
  </si>
  <si>
    <t>AH-2; Line 16; Col. a</t>
  </si>
  <si>
    <t>Sum Lines 12 thru 24</t>
  </si>
  <si>
    <t>Negative of AH-2; Line 5; Col. c</t>
  </si>
  <si>
    <t>Line 25 + Line 26</t>
  </si>
  <si>
    <t>Line 27 x Line 28</t>
  </si>
  <si>
    <t>Negative of Line 26 x Line 50</t>
  </si>
  <si>
    <t>Statement AD; Line 25</t>
  </si>
  <si>
    <t>Sum Lines 34 thru 37</t>
  </si>
  <si>
    <t>Line 34 Above</t>
  </si>
  <si>
    <t>Statement AD; Line 1</t>
  </si>
  <si>
    <t>Statement AD; Line 7</t>
  </si>
  <si>
    <t>Statement AD; Line 9</t>
  </si>
  <si>
    <t>Statement AD; Line 17</t>
  </si>
  <si>
    <t>Statement AD; Line 19</t>
  </si>
  <si>
    <t>Sum Lines 40 thru 47</t>
  </si>
  <si>
    <t>Line 38 / Line 48</t>
  </si>
  <si>
    <t>Sum Lines 1 thru 13</t>
  </si>
  <si>
    <t>AG-1; Line 18</t>
  </si>
  <si>
    <t>Average of Lines 1 thru 13</t>
  </si>
  <si>
    <t>Line 1 x Line 2</t>
  </si>
  <si>
    <t>Line 5 x Line 6</t>
  </si>
  <si>
    <t>Average of Line 3 and Line 7</t>
  </si>
  <si>
    <t>Average of Line 1 and Line 3</t>
  </si>
  <si>
    <t>AE-1; Line 18</t>
  </si>
  <si>
    <t>AE-2; Line 6</t>
  </si>
  <si>
    <t>AE-3; Line 6</t>
  </si>
  <si>
    <t>AE-4; Line 10</t>
  </si>
  <si>
    <t>AE-5; Line 18</t>
  </si>
  <si>
    <t>Sum Lines 9 thru 17</t>
  </si>
  <si>
    <t>Line 7 + Line 19</t>
  </si>
  <si>
    <t>Sum Lines 1 thru 6</t>
  </si>
  <si>
    <t>Sum Lines 10 thru 18</t>
  </si>
  <si>
    <t>Line 8 + Line 20</t>
  </si>
  <si>
    <t>AD-1; Line 18</t>
  </si>
  <si>
    <t>AD-2; Line 18</t>
  </si>
  <si>
    <t>AD-3; Line 18</t>
  </si>
  <si>
    <t>AD-4; Line 18</t>
  </si>
  <si>
    <t>AD-5; Line 6</t>
  </si>
  <si>
    <t>AD-6; Line 18</t>
  </si>
  <si>
    <t>AD-7; Line 18</t>
  </si>
  <si>
    <t>AD-8; Line 6</t>
  </si>
  <si>
    <t>AD-9; Line 6</t>
  </si>
  <si>
    <t>AD-10; Line 10</t>
  </si>
  <si>
    <t>Sum Lines 1 thru 19</t>
  </si>
  <si>
    <t>Line 11 + Line 13</t>
  </si>
  <si>
    <t>Line 15 x Line 23</t>
  </si>
  <si>
    <t>Line 17 x Line 23</t>
  </si>
  <si>
    <t>Line 19 x Line 23</t>
  </si>
  <si>
    <t>Sum Lines 25 thru 31</t>
  </si>
  <si>
    <t>Line 33 / Line 21</t>
  </si>
  <si>
    <r>
      <t>Transmission Plant Allocation Factor</t>
    </r>
    <r>
      <rPr>
        <b/>
        <vertAlign val="superscript"/>
        <sz val="12"/>
        <rFont val="Times New Roman"/>
        <family val="1"/>
      </rPr>
      <t xml:space="preserve">  5</t>
    </r>
  </si>
  <si>
    <t>Negative of Statement BK-1; Page 1; Line 5</t>
  </si>
  <si>
    <t>Negative of Statement AL; Line 30</t>
  </si>
  <si>
    <t>Negative of Statement AQ; Line 1</t>
  </si>
  <si>
    <t>Summary of HV/LV Plant Allocation Study; Line 40; Col. c and b</t>
  </si>
  <si>
    <t>Summary of HV/LV Splits for Forecast Plant Additions; Line 19; Col. d and e</t>
  </si>
  <si>
    <t>Sum Lines 6 thru 14</t>
  </si>
  <si>
    <t>Line 17 x Line 18</t>
  </si>
  <si>
    <t>Statement AG; Line 1</t>
  </si>
  <si>
    <t>Statement AF; Line 7</t>
  </si>
  <si>
    <t>Statement AF; Line 11</t>
  </si>
  <si>
    <t>Statement AF; Line 9</t>
  </si>
  <si>
    <t>Statement AF; Line 13</t>
  </si>
  <si>
    <t>Negative of Page 1; Line 1 x 50%</t>
  </si>
  <si>
    <t>Negative of Page 1; Line 3 x 50%</t>
  </si>
  <si>
    <t>Negative of Page 1; Line 5</t>
  </si>
  <si>
    <t>Summary of HV/LV Splits for Forecast Plant Additions; Line 5; Col. f</t>
  </si>
  <si>
    <t>Summary of HV/LV Splits for Forecast Plant Additions; Line 8; Col. f</t>
  </si>
  <si>
    <t>Summary of HV/LV Splits for Forecast Plant Additions; Line 10 + Line 12; Col. f</t>
  </si>
  <si>
    <t>True-Up; Line 25; Col. 11</t>
  </si>
  <si>
    <t>Interest True-Up CY; Line 22; Col. 2</t>
  </si>
  <si>
    <t>Page 4; Line 17</t>
  </si>
  <si>
    <t>The Incentive ROE Transmission plant and depreciation reserve will be tracked and shown for each incentive project and lines 23 through 25 will be repeated for each project.</t>
  </si>
  <si>
    <t>Sum Lines 1 thru 3</t>
  </si>
  <si>
    <t>AJ-1A; Line 22; Col. 1</t>
  </si>
  <si>
    <t>Sum Lines 1 thru 10</t>
  </si>
  <si>
    <t>rates shown on line 33 pursuant to Term 53 in Appendix VIII.</t>
  </si>
  <si>
    <t>Line 27 / Line 29</t>
  </si>
  <si>
    <t>Weighted Forecast Plant Additions Depreciation Expense</t>
  </si>
  <si>
    <t>Net Weighted Forecast Plant Additions</t>
  </si>
  <si>
    <t>Statement AJ; Page AJ-1B; Line 33; Col. c</t>
  </si>
  <si>
    <t>D. Other BTRR Adjustments with Franchise Fees</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</si>
  <si>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3</t>
    </r>
  </si>
  <si>
    <t>(d) = [Sum (a) thru (c)]</t>
  </si>
  <si>
    <t xml:space="preserve">Remeasured </t>
  </si>
  <si>
    <t>Amount</t>
  </si>
  <si>
    <t>Sum Lines 10 thru 13</t>
  </si>
  <si>
    <t>Sum Lines 17 thru 21</t>
  </si>
  <si>
    <t>AF-1 and AF-2; Line 7; Col. d</t>
  </si>
  <si>
    <t>AF-1 and AF-2; Line 14; Col. d</t>
  </si>
  <si>
    <t>AF-1 and AF-2; Line 22; Col. d</t>
  </si>
  <si>
    <t>AF-3; Line 1; Col. c</t>
  </si>
  <si>
    <t>AF-3; Line 3, Col. c</t>
  </si>
  <si>
    <t>AF-3; Line 5; Col. c</t>
  </si>
  <si>
    <t>STATEMENT AR</t>
  </si>
  <si>
    <t>(c) = [(a) + (b)]</t>
  </si>
  <si>
    <t>AR-1; Line 7; Col. c</t>
  </si>
  <si>
    <t>AR-1; Line 14; Col. c</t>
  </si>
  <si>
    <t>AR-1; Line 22; Col. c</t>
  </si>
  <si>
    <r>
      <t xml:space="preserve">Total Other Electric Revenues </t>
    </r>
    <r>
      <rPr>
        <b/>
        <vertAlign val="superscript"/>
        <sz val="12"/>
        <rFont val="Times New Roman"/>
        <family val="1"/>
      </rPr>
      <t>2</t>
    </r>
  </si>
  <si>
    <r>
      <t xml:space="preserve">Citizens Border-East Line </t>
    </r>
    <r>
      <rPr>
        <b/>
        <vertAlign val="superscript"/>
        <sz val="12"/>
        <rFont val="Times New Roman"/>
        <family val="1"/>
      </rPr>
      <t>3</t>
    </r>
  </si>
  <si>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</si>
  <si>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</si>
  <si>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 xml:space="preserve">     Total Operating &amp; Maintenance Wages &amp; Salaries Excl. A&amp;G</t>
  </si>
  <si>
    <t>Shall be Zero for ROE Adder</t>
  </si>
  <si>
    <t>Line 21 x Line 22</t>
  </si>
  <si>
    <t>Line 15 + Line 19 + Line 23 + (Sum Lines 25 thru 28)</t>
  </si>
  <si>
    <t>Page 1; Line 30</t>
  </si>
  <si>
    <t>Negative of Page 1; Line 25</t>
  </si>
  <si>
    <t>Negative of Page 1; Line 28</t>
  </si>
  <si>
    <t xml:space="preserve">     Total Unfunded Reserves</t>
  </si>
  <si>
    <t>Unfunded Reserves</t>
  </si>
  <si>
    <t>Sum Lines 6, 11, 16, 22, 24, 25</t>
  </si>
  <si>
    <t>Page 2; Line 37</t>
  </si>
  <si>
    <t>Statement Misc; Line 9</t>
  </si>
  <si>
    <t>Line 30 + Line 31</t>
  </si>
  <si>
    <t>Line 35 + Line 36</t>
  </si>
  <si>
    <t>Order No. 679, 116 FERC ¶ 61,057 at P 326</t>
  </si>
  <si>
    <t>Cost of Common Equity Component (CAISO Participation ROE Adder):</t>
  </si>
  <si>
    <t>Line 52; Col. d</t>
  </si>
  <si>
    <r>
      <t xml:space="preserve">Amounts </t>
    </r>
    <r>
      <rPr>
        <b/>
        <vertAlign val="superscript"/>
        <sz val="12"/>
        <rFont val="Times New Roman"/>
        <family val="1"/>
      </rPr>
      <t>2</t>
    </r>
  </si>
  <si>
    <t>Col. c = Line 1 Above</t>
  </si>
  <si>
    <t>Sum Lines 6 thru 8</t>
  </si>
  <si>
    <t>Line 7 + Line 8; Col. d</t>
  </si>
  <si>
    <t>Col. c = Line 14 Above</t>
  </si>
  <si>
    <t>Line 21; Col. d</t>
  </si>
  <si>
    <t xml:space="preserve">     A = Cost of Common Equity Component - CAISO Participation ROE Adder</t>
  </si>
  <si>
    <t>D. Total Weighted Cost of Common Equity - CAISO Participation ROE Adder:</t>
  </si>
  <si>
    <t xml:space="preserve">     Return and Associated Income Taxes - Base ROE</t>
  </si>
  <si>
    <t xml:space="preserve">     Return and Associated Income Taxes - CAISO Participation ROE Adder</t>
  </si>
  <si>
    <t xml:space="preserve">     Total Incentive CWIP Revenue</t>
  </si>
  <si>
    <t xml:space="preserve">     Incentive CWIP Return and Associated Income Taxes - CAISO Participation ROE Adder</t>
  </si>
  <si>
    <t xml:space="preserve">     Incentive ROE Project Return and Associated Income Taxes - Base ROE</t>
  </si>
  <si>
    <t xml:space="preserve">     Incentive CWIP Return and Associated Income Taxes - Base ROE</t>
  </si>
  <si>
    <t>Page 3; Line 27</t>
  </si>
  <si>
    <t>Page 3; Line 32</t>
  </si>
  <si>
    <t>Page 3; Line 37</t>
  </si>
  <si>
    <t>Page 3; Line 39</t>
  </si>
  <si>
    <t>Page 4; Line 16</t>
  </si>
  <si>
    <t>Page 4; Line 18</t>
  </si>
  <si>
    <t>Page 4; Line 19</t>
  </si>
  <si>
    <t>Page 4; Line 25</t>
  </si>
  <si>
    <t>Page 4; Line 20</t>
  </si>
  <si>
    <t>Page 4; (Line 20 + Line 25)</t>
  </si>
  <si>
    <t>Line 3 x Line 4</t>
  </si>
  <si>
    <t>Line 7 x Line 8</t>
  </si>
  <si>
    <t>Line 1 + Line 5 + Line 9</t>
  </si>
  <si>
    <t>Line 16 x Line 17</t>
  </si>
  <si>
    <t>Line 20 x Line 21</t>
  </si>
  <si>
    <t>Line 14 + Line 18 + Line 22</t>
  </si>
  <si>
    <t>Line 31 x Line 32</t>
  </si>
  <si>
    <t>Line 29 + Line 33</t>
  </si>
  <si>
    <t>Sum Lines 11, 24, 35</t>
  </si>
  <si>
    <t>Page 1; Line 30 + Line 37</t>
  </si>
  <si>
    <t>Page 5; Line 20</t>
  </si>
  <si>
    <t>Page 6; Line 20</t>
  </si>
  <si>
    <t>Sum Lines 2 thru 14</t>
  </si>
  <si>
    <t>Line 16 x Franchise Fee Rate</t>
  </si>
  <si>
    <t>Line 16 x Uncollectible Rate</t>
  </si>
  <si>
    <t>Line 21 + Line 23</t>
  </si>
  <si>
    <t>Line 7 / Line 9</t>
  </si>
  <si>
    <t>Line 13 x Line 15</t>
  </si>
  <si>
    <t>Line 13 minus Line 16</t>
  </si>
  <si>
    <t>Line 11 x Line 18</t>
  </si>
  <si>
    <t>Line 23 x Line 25</t>
  </si>
  <si>
    <t/>
  </si>
  <si>
    <t>Page 5; Line 15</t>
  </si>
  <si>
    <t>Line 26 x Line 32</t>
  </si>
  <si>
    <t>Less: CPUC Intervenor Funding Expense Revenue Adjustment - Base ROE</t>
  </si>
  <si>
    <t>Less: CPUC Intervenor Funding Expense Revenue Adjustment - CAISO Participation ROE Adder</t>
  </si>
  <si>
    <t>Negative of Statement AL; Line 34</t>
  </si>
  <si>
    <t>Sum Lines 1 thru 9</t>
  </si>
  <si>
    <t>Col. a = Line 11 minus Line 21</t>
  </si>
  <si>
    <t>Col. b and c = Line 16 x (Line 17; Col. a)</t>
  </si>
  <si>
    <t>Statement BK-1; Page 7; Line 16</t>
  </si>
  <si>
    <t>Col. a = Statement BK-1; Page 7; 
Sum Lines 10 thru 14</t>
  </si>
  <si>
    <t>Col. b and c = Line 20 x (Line 21; Col. a)</t>
  </si>
  <si>
    <t>Line 17 + Line 21</t>
  </si>
  <si>
    <t>Line 25 x Franchise Fee Rate</t>
  </si>
  <si>
    <t>Col. b and c = Line 16 x (Line 29; Col. a)</t>
  </si>
  <si>
    <t>A. Federal Income Tax Component:</t>
  </si>
  <si>
    <t xml:space="preserve">     Incentive Trans. Plant Aband. Proj. Return &amp; Assoc. Inc. Taxes - Base ROE</t>
  </si>
  <si>
    <t xml:space="preserve">     Incentive Trans. Plant Aband. Proj. Return &amp; Assoc. Inc. Taxes - CAISO Participation ROE Adder</t>
  </si>
  <si>
    <t xml:space="preserve">     Incentive Transmission Forecast CWIP Projects Revenue Requirements - Base ROE</t>
  </si>
  <si>
    <t>Line 29 x Line 31</t>
  </si>
  <si>
    <t xml:space="preserve">     Incentive Transmission Forecast CWIP Projects Revenue Requirements - CAISO Participation ROE Adder</t>
  </si>
  <si>
    <t>Line 27 + Line 33</t>
  </si>
  <si>
    <t xml:space="preserve">     Total Incentive Transmission Forecast CWIP Projects Revenue Requirements</t>
  </si>
  <si>
    <t>Page 6; Line 35</t>
  </si>
  <si>
    <t>Page 1; Line 30 + Page 2; Line 11</t>
  </si>
  <si>
    <t>Working Capital Adjustment to show that Wholesale customers do not pay for CPUC Intervenor Funding Expense.</t>
  </si>
  <si>
    <t xml:space="preserve">     D = Total Incentive ROE Project Transmission Rate Base</t>
  </si>
  <si>
    <t>Statement AD</t>
  </si>
  <si>
    <t>Statement AE</t>
  </si>
  <si>
    <t>Statement AF</t>
  </si>
  <si>
    <t>Statement AG</t>
  </si>
  <si>
    <t>Statement AH</t>
  </si>
  <si>
    <t>Statement AI</t>
  </si>
  <si>
    <t>Statement AJ</t>
  </si>
  <si>
    <t>Statement AK</t>
  </si>
  <si>
    <t>Statement AL</t>
  </si>
  <si>
    <t>Statement AM</t>
  </si>
  <si>
    <t>Statement AQ</t>
  </si>
  <si>
    <t>Statement AR</t>
  </si>
  <si>
    <t>Mthly Deferred</t>
  </si>
  <si>
    <t xml:space="preserve">Deferred </t>
  </si>
  <si>
    <t>Number of Days</t>
  </si>
  <si>
    <t>Prorata</t>
  </si>
  <si>
    <t xml:space="preserve">Monthly </t>
  </si>
  <si>
    <t>Annual Accumulated</t>
  </si>
  <si>
    <t>Future Test Period</t>
  </si>
  <si>
    <t>Days in Month</t>
  </si>
  <si>
    <t>Left in Period</t>
  </si>
  <si>
    <t>Percentages</t>
  </si>
  <si>
    <t>Prorata Amounts</t>
  </si>
  <si>
    <t>Prorata Calculation</t>
  </si>
  <si>
    <t>Col. 5 / Tot. Days</t>
  </si>
  <si>
    <t>= Col. 2 * Col. 6</t>
  </si>
  <si>
    <t>The monthly deferred tax amounts are equal to the ending ADIT balance minus the beginning ADIT balance, divided by 12 months.</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</si>
  <si>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</si>
  <si>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</si>
  <si>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January through December equals previous month balance plus amount in Column 2.</t>
  </si>
  <si>
    <t>Statement AF - Proration</t>
  </si>
  <si>
    <t>Misc.-1; Line 9; Col. c</t>
  </si>
  <si>
    <t>Line 1</t>
  </si>
  <si>
    <t>Statement AQ; Line 3</t>
  </si>
  <si>
    <t>Line 1 + Line 7</t>
  </si>
  <si>
    <t xml:space="preserve">     Total Federal Tax Adjustments</t>
  </si>
  <si>
    <t>Negative of Statement AR; Line 9</t>
  </si>
  <si>
    <t>Stmt AF Proration; Line 13; Col. 8</t>
  </si>
  <si>
    <t>UNFUNDED RESERVES</t>
  </si>
  <si>
    <t xml:space="preserve">   Allocation Factor</t>
  </si>
  <si>
    <t xml:space="preserve">     Total Injuries and Damages</t>
  </si>
  <si>
    <t>Line 2 x Line 3</t>
  </si>
  <si>
    <t>Workers' Compensation</t>
  </si>
  <si>
    <t>Injuries and Damages</t>
  </si>
  <si>
    <t xml:space="preserve">   Injuries and Damages - Acct. 228</t>
  </si>
  <si>
    <t xml:space="preserve">   Workers' Compensation - Acct. 228</t>
  </si>
  <si>
    <t xml:space="preserve">     Total Workers' Compensation</t>
  </si>
  <si>
    <t>Supplemental Executive Retirement Plan (SERP)</t>
  </si>
  <si>
    <t>Accrued Vacation</t>
  </si>
  <si>
    <t xml:space="preserve">   Accrued Vacation - Acct. 232</t>
  </si>
  <si>
    <t xml:space="preserve">     Total SERP</t>
  </si>
  <si>
    <t xml:space="preserve">     Total Accrued Vacation</t>
  </si>
  <si>
    <t>Misc.-1.1; Line 4</t>
  </si>
  <si>
    <t>Misc.-1.1; Line 9</t>
  </si>
  <si>
    <t>Misc.-1.1; Line 14</t>
  </si>
  <si>
    <t>Misc.-1.1; Line 19</t>
  </si>
  <si>
    <t>Sum Lines 1 thru 7</t>
  </si>
  <si>
    <t>Line 12 x Line 13</t>
  </si>
  <si>
    <t>MISCELLANEOUS STATEMENT</t>
  </si>
  <si>
    <t>Executive ICP</t>
  </si>
  <si>
    <t>560</t>
  </si>
  <si>
    <t>Negative of AH-1; Line 40; Col. b</t>
  </si>
  <si>
    <t>Negative of AH-1; Line 45; Col. b</t>
  </si>
  <si>
    <t>Electric Ratio</t>
  </si>
  <si>
    <t>Col. (b); AD-10; Line 6 x AI; Line 15</t>
  </si>
  <si>
    <t>a</t>
  </si>
  <si>
    <t>b</t>
  </si>
  <si>
    <t>c</t>
  </si>
  <si>
    <t>Line a x Line b</t>
  </si>
  <si>
    <t>The Prior Year's Allocation Factor shown on lines 3, 8, 13 and 18 is derived as follows based on recorded data:</t>
  </si>
  <si>
    <t>Input value from FERC Form 1 should be entered as a negative.</t>
  </si>
  <si>
    <r>
      <t xml:space="preserve">Cost of Capital Rate </t>
    </r>
    <r>
      <rPr>
        <vertAlign val="subscript"/>
        <sz val="12"/>
        <rFont val="Times New Roman"/>
        <family val="1"/>
      </rPr>
      <t>(COCR)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</si>
  <si>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CAISO Participation ROE Adder</t>
    </r>
  </si>
  <si>
    <r>
      <t xml:space="preserve">Incentive Cost of Capital Rate </t>
    </r>
    <r>
      <rPr>
        <vertAlign val="subscript"/>
        <sz val="12"/>
        <rFont val="Times New Roman"/>
        <family val="1"/>
      </rPr>
      <t>(ICOCR)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</si>
  <si>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</si>
  <si>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CAISO Participation ROE Adder:</t>
    </r>
  </si>
  <si>
    <t>Base Return on Common Equity:</t>
  </si>
  <si>
    <r>
      <t>CAISO Participation ROE Adder:</t>
    </r>
    <r>
      <rPr>
        <sz val="12"/>
        <rFont val="Times New Roman"/>
        <family val="1"/>
      </rPr>
      <t xml:space="preserve"> </t>
    </r>
  </si>
  <si>
    <r>
      <t>Incentive Return on Common Equity:</t>
    </r>
    <r>
      <rPr>
        <sz val="12"/>
        <rFont val="Times New Roman"/>
        <family val="1"/>
      </rPr>
      <t xml:space="preserve"> </t>
    </r>
    <r>
      <rPr>
        <b/>
        <vertAlign val="superscript"/>
        <sz val="12"/>
        <rFont val="Times New Roman"/>
        <family val="1"/>
      </rPr>
      <t>1</t>
    </r>
  </si>
  <si>
    <t>Col. c = Page 1, Line 17</t>
  </si>
  <si>
    <t>Col. c = Page 1, Line 22</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</si>
  <si>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</si>
  <si>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</si>
  <si>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</si>
  <si>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Statement BK-1; Page 3; Line 27</t>
  </si>
  <si>
    <t>Page 1; Line 40</t>
  </si>
  <si>
    <r>
      <t xml:space="preserve">E. Cost of Capital Rate </t>
    </r>
    <r>
      <rPr>
        <u/>
        <vertAlign val="subscript"/>
        <sz val="12"/>
        <rFont val="Times New Roman"/>
        <family val="1"/>
      </rPr>
      <t>(COCR)</t>
    </r>
    <r>
      <rPr>
        <u/>
        <sz val="12"/>
        <rFont val="Times New Roman"/>
        <family val="1"/>
      </rPr>
      <t xml:space="preserve"> - Base ROE:</t>
    </r>
  </si>
  <si>
    <r>
      <t xml:space="preserve">Cost of Capital Rate </t>
    </r>
    <r>
      <rPr>
        <u/>
        <vertAlign val="subscript"/>
        <sz val="12"/>
        <rFont val="Times New Roman"/>
        <family val="1"/>
      </rPr>
      <t>(COCR)</t>
    </r>
    <r>
      <rPr>
        <u/>
        <sz val="12"/>
        <rFont val="Times New Roman"/>
        <family val="1"/>
      </rPr>
      <t xml:space="preserve"> Calculation - CAISO Participation ROE Adder:</t>
    </r>
  </si>
  <si>
    <t>Page 1; Line 55</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</si>
  <si>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</si>
  <si>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</si>
  <si>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</si>
  <si>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</si>
  <si>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</si>
  <si>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</si>
  <si>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</si>
  <si>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</si>
  <si>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Statement BK-1; Page 3; Line 32</t>
  </si>
  <si>
    <t>Page 2; Line 22</t>
  </si>
  <si>
    <r>
      <t xml:space="preserve">(a) </t>
    </r>
    <r>
      <rPr>
        <b/>
        <vertAlign val="superscript"/>
        <sz val="12"/>
        <rFont val="Times New Roman"/>
        <family val="1"/>
      </rPr>
      <t>1</t>
    </r>
  </si>
  <si>
    <r>
      <rPr>
        <b/>
        <vertAlign val="superscript"/>
        <sz val="12"/>
        <rFont val="Times New Roman"/>
        <family val="1"/>
      </rPr>
      <t>1</t>
    </r>
  </si>
  <si>
    <t>TO5 - Annual Transmission Plant Depreciation Rates</t>
  </si>
  <si>
    <t>The rates in these subaccounts will not change during the term of the TO5 Formula.</t>
  </si>
  <si>
    <t>TO5 - Annual Intangible Plant Authorized Amortization Period</t>
  </si>
  <si>
    <t>TO5 - Annual General Plant Depreciation Rates</t>
  </si>
  <si>
    <t>TO5 - Annual Common Plant Depreciation Rates</t>
  </si>
  <si>
    <t>Page 3; Line 27 - Line 10</t>
  </si>
  <si>
    <t>E0139820</t>
  </si>
  <si>
    <t>Misc. Equip. - EVSE</t>
  </si>
  <si>
    <t>C1839230</t>
  </si>
  <si>
    <t>Transprtn Eq-Aviation</t>
  </si>
  <si>
    <t>4371049</t>
  </si>
  <si>
    <t>4371050</t>
  </si>
  <si>
    <t>Dec-20</t>
  </si>
  <si>
    <t>Col. 12</t>
  </si>
  <si>
    <t>Line No.</t>
  </si>
  <si>
    <t>FERC Acct</t>
  </si>
  <si>
    <t>Beginning Deficient ADIT - Acct 182.3</t>
  </si>
  <si>
    <t>Beginning (Excess) ADIT - Acct 254</t>
  </si>
  <si>
    <t>ADIT Amortization Acct 410.1</t>
  </si>
  <si>
    <t>ADIT Amortization Acct 411.1</t>
  </si>
  <si>
    <t>Net (Excess)/ Deficient ADIT at Current Tax Rate</t>
  </si>
  <si>
    <t>Adjustment for New Tax Rate - Acct 182.3 / 254</t>
  </si>
  <si>
    <t>Ending Deficient ADIT - Acct 182.3</t>
  </si>
  <si>
    <t>Ending (Excess) ADIT - Acct 254</t>
  </si>
  <si>
    <t>Sub-Total</t>
  </si>
  <si>
    <t xml:space="preserve">  AFUDC Debt</t>
  </si>
  <si>
    <t xml:space="preserve">  Repairs</t>
  </si>
  <si>
    <t xml:space="preserve">  Other</t>
  </si>
  <si>
    <t>Notes:</t>
  </si>
  <si>
    <t>New Tax Rate?</t>
  </si>
  <si>
    <t>New Rate ("NR"):</t>
  </si>
  <si>
    <t>= Col. 3 x (NR)</t>
  </si>
  <si>
    <t>= Col. 4 - Col. 5</t>
  </si>
  <si>
    <t>= Col. 6 - Col. 7</t>
  </si>
  <si>
    <t>Net (Excess)/ Deficient ADIT at New Tax Rate</t>
  </si>
  <si>
    <t>Net (Excess)/ Deficient ADIT at Prior Tax Rate</t>
  </si>
  <si>
    <t>Adjustment for New Tax Rate</t>
  </si>
  <si>
    <t>Instructions:</t>
  </si>
  <si>
    <t>New Tax Rate Adjustment Calculation</t>
  </si>
  <si>
    <t>FERC Order 864 Worksheet - Order 864-1</t>
  </si>
  <si>
    <t>Year:</t>
  </si>
  <si>
    <t>= Order 864-2 Col. 8</t>
  </si>
  <si>
    <t>FERC Order 864 Worksheet - Order 864-2</t>
  </si>
  <si>
    <t xml:space="preserve">New Tax Rate Adjustment Calculation </t>
  </si>
  <si>
    <t>= Order 864-1 Col. 9</t>
  </si>
  <si>
    <t>FERC Order 864 Worksheet - Order 864-3</t>
  </si>
  <si>
    <t>= Order 864-4 Col. 8</t>
  </si>
  <si>
    <t>FERC Order 864 Worksheet - Order 864-4</t>
  </si>
  <si>
    <t>= Order 864-3 Col. 9</t>
  </si>
  <si>
    <t>STATEMENT AT</t>
  </si>
  <si>
    <t>Statement AT</t>
  </si>
  <si>
    <t>AT-1; Line 7; Col. c</t>
  </si>
  <si>
    <t>AT-1; Line 14; Col. c</t>
  </si>
  <si>
    <t>AT-1; Line 22; Col. c</t>
  </si>
  <si>
    <t xml:space="preserve">Total Federal Amortization </t>
  </si>
  <si>
    <t xml:space="preserve">Total State Amortization </t>
  </si>
  <si>
    <t>Line 7 + Line 14 + Line 22</t>
  </si>
  <si>
    <t>Negative of Statement AT; Line 9</t>
  </si>
  <si>
    <t xml:space="preserve">                                                                     (1 - ST)</t>
  </si>
  <si>
    <t>Line 28 + Line 30</t>
  </si>
  <si>
    <t>(Excess)/Deficient Accumulated Deferred Income Taxes ("ADIT")</t>
  </si>
  <si>
    <t>Total Transmission Related Amortization of (Excess)/Deficient Deferred Taxes</t>
  </si>
  <si>
    <t>Transmission Related Amortization of (Excess)/Deficient Deferred Taxes</t>
  </si>
  <si>
    <t>AMORTIZATION OF TRANSMISSION RELATED (EXCESS)/DEFICIENT DEFERRED TAXES</t>
  </si>
  <si>
    <t>Account 182.3</t>
  </si>
  <si>
    <t>Account 254</t>
  </si>
  <si>
    <t xml:space="preserve">     B = Transmission Total State Tax Adjustments</t>
  </si>
  <si>
    <t>State Income Tax    =    (((A) + (C / D) + Federal Income Tax) * (ST)) - (B / D)</t>
  </si>
  <si>
    <t xml:space="preserve">  Cost of Removal - Book Accrual</t>
  </si>
  <si>
    <t>FERC Order No. 864 worksheets are included in this formula rate spreadsheet to report all components of (excess)/deficient ADIT resulting from a change in tax rate.</t>
  </si>
  <si>
    <t xml:space="preserve">Represents Transmission Related Net ADIT (Liab)/Asset and Net (Excess)/Deficient ADIT. </t>
  </si>
  <si>
    <t>State and Local Tax Adjustments</t>
  </si>
  <si>
    <t xml:space="preserve">     Total State and Local Tax Adjustments</t>
  </si>
  <si>
    <t>Statement AV; Page 3; Line 32</t>
  </si>
  <si>
    <t>Statement AV; Page 3; Line 66</t>
  </si>
  <si>
    <t>Statement AV; Page 4; Line 32</t>
  </si>
  <si>
    <t>Statement AV; Page 4; Line 66</t>
  </si>
  <si>
    <r>
      <t>B. Incentive ROE Project Transmission Rate Base:</t>
    </r>
    <r>
      <rPr>
        <b/>
        <sz val="12"/>
        <rFont val="Times New Roman"/>
        <family val="1"/>
      </rPr>
      <t xml:space="preserve"> </t>
    </r>
    <r>
      <rPr>
        <b/>
        <vertAlign val="superscript"/>
        <sz val="12"/>
        <rFont val="Times New Roman"/>
        <family val="1"/>
      </rPr>
      <t>2</t>
    </r>
  </si>
  <si>
    <r>
      <t>C. Incentive Transmission Plant Abandoned Project Rate Base:</t>
    </r>
    <r>
      <rPr>
        <b/>
        <vertAlign val="superscript"/>
        <sz val="12"/>
        <rFont val="Times New Roman"/>
        <family val="1"/>
      </rPr>
      <t xml:space="preserve"> 2</t>
    </r>
  </si>
  <si>
    <r>
      <t xml:space="preserve">     Total Transmission Related ADIT</t>
    </r>
    <r>
      <rPr>
        <b/>
        <vertAlign val="superscript"/>
        <sz val="12"/>
        <rFont val="Times New Roman"/>
        <family val="1"/>
      </rPr>
      <t xml:space="preserve"> 1, 2</t>
    </r>
  </si>
  <si>
    <t>Line 12 + Line 25</t>
  </si>
  <si>
    <t>Line 40 Above</t>
  </si>
  <si>
    <t>Line 42 Above</t>
  </si>
  <si>
    <t>Line 43 Above</t>
  </si>
  <si>
    <t>Line 46 Above</t>
  </si>
  <si>
    <t>Line 46 + Line 59</t>
  </si>
  <si>
    <t>Line 62 + Line 64</t>
  </si>
  <si>
    <t>Page 3; Line 23</t>
  </si>
  <si>
    <t>Page 3; Line 44</t>
  </si>
  <si>
    <t>Page 3; Line 57</t>
  </si>
  <si>
    <t>The Incentive Cost of Capital Rate calculation will be tracked and shown separately for each project. As a result, lines 1 through 66 will be repeated for each project.</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</si>
  <si>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</si>
  <si>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</si>
  <si>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</si>
  <si>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</si>
  <si>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</si>
  <si>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</si>
  <si>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</si>
  <si>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</si>
  <si>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</si>
  <si>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</si>
  <si>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 xml:space="preserve">   Accumulated Depreciation Timing Differences:</t>
  </si>
  <si>
    <t xml:space="preserve">        Depreciable Plant - Method/Life</t>
  </si>
  <si>
    <t xml:space="preserve">        CIAC</t>
  </si>
  <si>
    <t xml:space="preserve">        Capitalized Interest</t>
  </si>
  <si>
    <t>Gross Accumulated Schedule M Adjustments</t>
  </si>
  <si>
    <t>ADIT Balances at New Tax Rate</t>
  </si>
  <si>
    <t>Cumulative Amortization of Excess/Deficient ADIT</t>
  </si>
  <si>
    <t>Col. 13</t>
  </si>
  <si>
    <t>= Col. 10 + Col. 11</t>
  </si>
  <si>
    <t>Sum Lines 2 thru 10</t>
  </si>
  <si>
    <t>Sum Lines 15 thru 19</t>
  </si>
  <si>
    <t>Sum Lines 23 thru 25</t>
  </si>
  <si>
    <t>Line 20 + Line 26 + Line 29</t>
  </si>
  <si>
    <t>Line 12 + Line 31</t>
  </si>
  <si>
    <t>Ending ADIT Balances at Prior Tax Rate</t>
  </si>
  <si>
    <t>Return to Provision and Other Adjustments Acct 182.3</t>
  </si>
  <si>
    <t>Return to Provision and Other Adjustments Acct 254</t>
  </si>
  <si>
    <r>
      <rPr>
        <sz val="10"/>
        <rFont val="Calibri"/>
        <family val="2"/>
      </rPr>
      <t>Ʃ</t>
    </r>
    <r>
      <rPr>
        <sz val="10"/>
        <rFont val="Times New Roman"/>
        <family val="1"/>
      </rPr>
      <t xml:space="preserve"> Col. 3 thru Col. 8</t>
    </r>
  </si>
  <si>
    <t>Unprotected - Non-Property Related - (Note 2)</t>
  </si>
  <si>
    <t>Description (Note 1)</t>
  </si>
  <si>
    <t>Total Non-Property Related (Note 3)</t>
  </si>
  <si>
    <t>Protected - Property Related - (Note 4)</t>
  </si>
  <si>
    <t>Unprotected - Property Related - (Note 4)</t>
  </si>
  <si>
    <t xml:space="preserve"> is allocated to transmission based on the proportion of the historical cost of electric transmission plant in service and CWIP to total system-wide taxable plant and CWIP.</t>
  </si>
  <si>
    <t>Total Property Related (Note 5)</t>
  </si>
  <si>
    <t>Grand Total (Note 6)</t>
  </si>
  <si>
    <t>New Tax Rate</t>
  </si>
  <si>
    <t>Federal Tax Rate</t>
  </si>
  <si>
    <t>California Tax Rate</t>
  </si>
  <si>
    <t>Fed Offset of State Benefit</t>
  </si>
  <si>
    <t>c = -a x b</t>
  </si>
  <si>
    <t>Combined Statutory Tax Rate (net of state benefit)</t>
  </si>
  <si>
    <t>d = a+b+c</t>
  </si>
  <si>
    <t>Net of Tax Rate</t>
  </si>
  <si>
    <t>e = 1 - d</t>
  </si>
  <si>
    <t>Gross-up Rate</t>
  </si>
  <si>
    <t>f = 1/e</t>
  </si>
  <si>
    <t>Calculation of Gross-up Rate</t>
  </si>
  <si>
    <t>g</t>
  </si>
  <si>
    <t>Total Non-Property Related (Line No. 12)</t>
  </si>
  <si>
    <t>Total Property Related (Line No. 31)</t>
  </si>
  <si>
    <t>h</t>
  </si>
  <si>
    <t>i = f - 1</t>
  </si>
  <si>
    <t>Gross-up on Deficient Deferred Taxes - Acct 182.3</t>
  </si>
  <si>
    <t>Gross-up on (Excess) Deferred Taxes - Acct 254</t>
  </si>
  <si>
    <t>j = g x i</t>
  </si>
  <si>
    <t>k = h x i</t>
  </si>
  <si>
    <t>1) In the event of future tax rate changes, transmission-related temporary differences can be added or removed to/from this worksheet without a Section 205 filing.</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</si>
  <si>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</si>
  <si>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CIAC, capitalized interest, and AFUDC Debt, which are posted as basis adjustments in PowerTax and allocated to transmission in the system. In addition, like the non-plant ADIT,</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</si>
  <si>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</si>
  <si>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</si>
  <si>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2) Non-plant related ADIT related to future tax rate changes will be amortized into rates over one year. Non-plant related ADIT attributable to the 2017 Tax Cuts and Jobs Act will be fully amortized by December 31, 2021.</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</si>
  <si>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</si>
  <si>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</si>
  <si>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Deficient amounts reported in column (b) are sourced from Order 864-1; Col. 12. Total ADIT calculated on Line 24; column (b) agrees to the Grand Total calculated Order 864-1; Line 33; Col. 12.</t>
  </si>
  <si>
    <t>(Excess) amounts reported in column (c) are sourced from Order 864-1; Col. 13. Total ADIT calculated on Line 24; column (c) agrees to the Grand Total calculated on Order 864-1; Line 33; Col. 13.</t>
  </si>
  <si>
    <t xml:space="preserve">   Property Related</t>
  </si>
  <si>
    <t xml:space="preserve">   Non-Property Related</t>
  </si>
  <si>
    <t>Deficient amounts reported in column (b) are sourced from Order 864-3; Col. 12. Total ADIT calculated on Line 24; column (b) agrees to the Grand Total calculated Order 864-3; Line 33; Col. 12.</t>
  </si>
  <si>
    <t>(Excess) amounts reported in column (c) are sourced from Order 864-3; Col. 13. Total ADIT calculated on Line 24; column (c) agrees to the Grand Total calculated on Order 864-3; Line 33; Col. 13.</t>
  </si>
  <si>
    <t>4) Amortized into rates under average rate assumption method (ARAM) over book life.</t>
  </si>
  <si>
    <t>For the Base Period &amp; True-Up Period Ending December 31, 2021</t>
  </si>
  <si>
    <t>For the Forecast Period January 1, 2023 - December 31, 2023</t>
  </si>
  <si>
    <t>For the Rate Effective Period January 1, 2023 - December 31, 2023</t>
  </si>
  <si>
    <t>Base Period &amp; True-Up Period 12 - Months Ending December 31, 2021</t>
  </si>
  <si>
    <t>BASE PERIOD / TRUE UP PERIOD - 12/31/2021 PER BOOK</t>
  </si>
  <si>
    <t>Jan-21</t>
  </si>
  <si>
    <t>Dec-21</t>
  </si>
  <si>
    <t>BALANCES AS OF 12/31/2020</t>
  </si>
  <si>
    <t>BALANCES AS OF 12/31/2021</t>
  </si>
  <si>
    <t>2020 Form 1; Page 356.1; Electric</t>
  </si>
  <si>
    <t>2021 Form 1; Page 356; Accts 303 to 398; EOY</t>
  </si>
  <si>
    <t>2020 Form 1; Page 450.1; Sch. Pg. 200; Line 33; Col. b</t>
  </si>
  <si>
    <t>2020 Form 1; Page 356.1; Accts 303 to 398</t>
  </si>
  <si>
    <t>Base Period 12 Months Ending December 31, 2020</t>
  </si>
  <si>
    <t>Base Period 12 Months Ending December 31, 2021</t>
  </si>
  <si>
    <r>
      <t xml:space="preserve">Total ADIT </t>
    </r>
    <r>
      <rPr>
        <b/>
        <vertAlign val="superscript"/>
        <sz val="12"/>
        <rFont val="Times New Roman"/>
        <family val="1"/>
      </rPr>
      <t>4</t>
    </r>
  </si>
  <si>
    <t>Not Applicable to 2021 Base Period</t>
  </si>
  <si>
    <t>BASE PERIOD / TRUE UP PERIOD - 12/31/2021</t>
  </si>
  <si>
    <t xml:space="preserve"> 12 Months Ending December 31, 2021</t>
  </si>
  <si>
    <t>For Use During the 12-Months Period from January 1 to December 31, 2021</t>
  </si>
  <si>
    <t>2021 Common Rates</t>
  </si>
  <si>
    <t>2021 General Rates</t>
  </si>
  <si>
    <t>BASE PERIOD / TRUE-UP PERIOD - 12/31/2021 PER BOOK</t>
  </si>
  <si>
    <r>
      <t xml:space="preserve">Less: SONGS Property Taxes </t>
    </r>
    <r>
      <rPr>
        <b/>
        <vertAlign val="superscript"/>
        <sz val="12"/>
        <rFont val="Times New Roman"/>
        <family val="1"/>
      </rPr>
      <t>3</t>
    </r>
  </si>
  <si>
    <r>
      <t xml:space="preserve">Total Payroll Taxes Expense </t>
    </r>
    <r>
      <rPr>
        <b/>
        <vertAlign val="superscript"/>
        <sz val="12"/>
        <rFont val="Times New Roman"/>
        <family val="1"/>
      </rPr>
      <t>4</t>
    </r>
  </si>
  <si>
    <t>As of July 1, 2018, SDG&amp;E is no longer assessed property taxes on SONGS.</t>
  </si>
  <si>
    <t>12 Months Ending December 31, 2021</t>
  </si>
  <si>
    <t>Feb-21</t>
  </si>
  <si>
    <t>Mar-21</t>
  </si>
  <si>
    <t>Apr-21</t>
  </si>
  <si>
    <t>May-21</t>
  </si>
  <si>
    <t>Jun-21</t>
  </si>
  <si>
    <t>Jul-21</t>
  </si>
  <si>
    <t>Aug-21</t>
  </si>
  <si>
    <t>Sep-21</t>
  </si>
  <si>
    <t>Oct-21</t>
  </si>
  <si>
    <t>Nov-21</t>
  </si>
  <si>
    <r>
      <t xml:space="preserve">Citizens Sycamore-Penasquitos Line </t>
    </r>
    <r>
      <rPr>
        <b/>
        <vertAlign val="superscript"/>
        <sz val="12"/>
        <rFont val="Times New Roman"/>
        <family val="1"/>
      </rPr>
      <t>3</t>
    </r>
  </si>
  <si>
    <t>TO5 Offer of Settlement; Section II.A.1.5.1</t>
  </si>
  <si>
    <t>Applicable to the 2021 TO5-Cycle 5 Base Period &amp; True-Up Period</t>
  </si>
  <si>
    <t>Citizens Sunrise Adjustment (see w/p AV-1B)</t>
  </si>
  <si>
    <t>Citizens SX-PQ Adjustment (see w/p AV-1B)</t>
  </si>
  <si>
    <t xml:space="preserve">AFUDC embedded in the Lease Payment on the SX-PQ Line </t>
  </si>
  <si>
    <t>AFUDC Equity Percentage as of November 2018</t>
  </si>
  <si>
    <t>AFUDC Equity Embedded in the SX-PQ Line</t>
  </si>
  <si>
    <t>Line 19 x Line 21</t>
  </si>
  <si>
    <t>None of the above items apply to SDG&amp;E's TO5 Cycle 5 filing. However, as one or more of these items apply, subject to FERC approval, the</t>
  </si>
  <si>
    <t>Base Period &amp; True-Up Period Ending December 31, 2021</t>
  </si>
  <si>
    <t>Base Period &amp; True-Up Period Ending December 31, 2020</t>
  </si>
  <si>
    <t>TO5-Cycle 5 True-Up Adjustment</t>
  </si>
  <si>
    <t>For 12-Month True-Up Period January 1, 2021 Through December 31, 2021</t>
  </si>
  <si>
    <t>TO5-Cycle 5 Interest True-Up Adjustment</t>
  </si>
  <si>
    <t>TRANSMISSION PLANT BALANCE AS OF DECEMBER 31, 2021</t>
  </si>
  <si>
    <t>24-Month Forecast Period (January 1, 2022 - December 31, 2023)</t>
  </si>
  <si>
    <t>The HV/LV Gross Forecast Plant Additions from January 2022 through December 2023 comes from the Forecast Transmission Capital Additions Work Papers.</t>
  </si>
  <si>
    <t>The HV/LV Gross Forecast Plant Additions information from January 2022 through December 2023 comes from the Summary of Monthly Common, General, and Electric Intangible Forecast Plant Additions Work Papers.</t>
  </si>
  <si>
    <t>TO5 True-Up BK-1; Page 2; Line 39</t>
  </si>
  <si>
    <t>Beginning Balance (TO5 Stmt AF; Line 7; Col. a)</t>
  </si>
  <si>
    <t xml:space="preserve">     End of Prior Year Revenues (PYRR EU) Excluding FF&amp;U</t>
  </si>
  <si>
    <t>Ending Balance (TO5 Stmt AF; Line 7; Col. b)</t>
  </si>
  <si>
    <t>TO5 True-Up BK-1; Page 3; Line 27</t>
  </si>
  <si>
    <t>TO5 True-Up BK-1; Page 3; Line 32</t>
  </si>
  <si>
    <t>AV-1A; Line 49</t>
  </si>
  <si>
    <t>Cycle 5, For 12 - Months Ending December 31, 2021</t>
  </si>
  <si>
    <t>For Completed Transmission Capital Projects from 2001 Through 2021</t>
  </si>
  <si>
    <t>Statement AI; Line 15; TO5-Cycle 4</t>
  </si>
  <si>
    <t>TO5-Cycle 5 Annual Transmission Formula Filing</t>
  </si>
  <si>
    <r>
      <t xml:space="preserve">SDG&amp;E Records </t>
    </r>
    <r>
      <rPr>
        <b/>
        <vertAlign val="superscript"/>
        <sz val="12"/>
        <rFont val="Times New Roman"/>
        <family val="1"/>
      </rPr>
      <t>1</t>
    </r>
  </si>
  <si>
    <t>Line 1 above is the correct amount.</t>
  </si>
  <si>
    <t xml:space="preserve">The Accumulated Amortization for ratemaking included on 2020 FERC Form 1; Page 450.1; Sch. Pg. 200; Line 33; Col b. is incorrect. </t>
  </si>
  <si>
    <t>FERC Acct 926, Employee Pensions &amp; Benefits, does not include any PBOP costs for base period 2021.</t>
  </si>
  <si>
    <r>
      <t xml:space="preserve">     Total of Account 190 </t>
    </r>
    <r>
      <rPr>
        <b/>
        <vertAlign val="superscript"/>
        <sz val="12"/>
        <rFont val="Times New Roman"/>
        <family val="1"/>
      </rPr>
      <t>4</t>
    </r>
  </si>
  <si>
    <t xml:space="preserve">   Property Related </t>
  </si>
  <si>
    <t>shown in line 7 excludes the portion of Account 190 attributable to Citizens in the amount of $71K which is recovered separately in the Appendix X Citizens Sunrise rate filing.</t>
  </si>
  <si>
    <t>Customer Information System</t>
  </si>
  <si>
    <t>Covid-19 Pandemic Protections</t>
  </si>
  <si>
    <t>Residential Disconnect Protections</t>
  </si>
  <si>
    <t>CSI Transition, Stabilization, &amp; OCM</t>
  </si>
  <si>
    <r>
      <t xml:space="preserve">Other Exclusion - FERC Audit Adjustments (Finding #3) </t>
    </r>
    <r>
      <rPr>
        <b/>
        <vertAlign val="superscript"/>
        <sz val="12"/>
        <rFont val="Times New Roman"/>
        <family val="1"/>
      </rPr>
      <t>2</t>
    </r>
  </si>
  <si>
    <t xml:space="preserve">   SERP - Acct. 228 / Acct. 242 </t>
  </si>
  <si>
    <t>2020 FERC Form 1; Common Utility Plant and Expenses; Page 356.1</t>
  </si>
  <si>
    <t>adjustments and corresponding refunds will be accounted for in a separate refund analysis filed with FERC.</t>
  </si>
  <si>
    <t>Adjusting journal entries related to prior year A&amp;G costs (2016-2019) that resulted from the 2020 FERC Audit are excluded from TO5 Cycle 5.</t>
  </si>
  <si>
    <t>The impacts of the adjusting entries is reflected in the per book amount and were excluded from the adjusted 2021 total. The impact of FERC Audit</t>
  </si>
  <si>
    <t>Litigation expenses - Litigation Cost Memorandum Account (LCMA)</t>
  </si>
  <si>
    <t>Electric Power Research Institute (EPRI) Dues</t>
  </si>
  <si>
    <t xml:space="preserve">Amounts </t>
  </si>
  <si>
    <r>
      <t xml:space="preserve">Transmission Related Accum. Def. Inc. Taxes </t>
    </r>
    <r>
      <rPr>
        <b/>
        <vertAlign val="superscript"/>
        <sz val="12"/>
        <rFont val="Times New Roman"/>
        <family val="1"/>
      </rPr>
      <t>1</t>
    </r>
  </si>
  <si>
    <t>2020 Form 1; Page 356; Accts 303 to 398; BOY</t>
  </si>
  <si>
    <t>Energy Efficiency</t>
  </si>
  <si>
    <t>Negative of AH-2; Line 40; Col. a</t>
  </si>
  <si>
    <t>Negative of AH-2; Line 37; Col. a</t>
  </si>
  <si>
    <t>Negative of AH-2; Line 38; Col. a</t>
  </si>
  <si>
    <t>Negative of AH-2; Line 34; Col. a</t>
  </si>
  <si>
    <t>Negative of AH-2; Line 33; Col. b</t>
  </si>
  <si>
    <t>Negative of AH-2; Line 43; Col. b</t>
  </si>
  <si>
    <t>Negative of AH-2; Line 35; Col. b</t>
  </si>
  <si>
    <t xml:space="preserve">Negative of AH-2; Sum Lines (23, 25, 26, 27, 28, 30, 31, 32); Col. a </t>
  </si>
  <si>
    <t>AU-1; Page 2; Line 18; Col. m</t>
  </si>
  <si>
    <t>AU-1; Page 2; Line 23; Col. m</t>
  </si>
  <si>
    <t>4371076</t>
  </si>
  <si>
    <t>Environmental Lab - Elec Tran</t>
  </si>
  <si>
    <t>The 13-Month Avg. included in TO5 Cycle 5 is the correct amount.</t>
  </si>
  <si>
    <t>During the preparation of the TO5 Cycle 5 filing, an error was identified in the allocation used to prepare the footnote.</t>
  </si>
  <si>
    <r>
      <t xml:space="preserve">B. Prepayments </t>
    </r>
    <r>
      <rPr>
        <b/>
        <vertAlign val="superscript"/>
        <sz val="12"/>
        <rFont val="Times New Roman"/>
        <family val="1"/>
      </rPr>
      <t>1, 2</t>
    </r>
  </si>
  <si>
    <r>
      <t xml:space="preserve">     CPUC Intervenor Funding Expense Revenue Adj. - Base ROE </t>
    </r>
    <r>
      <rPr>
        <b/>
        <vertAlign val="superscript"/>
        <sz val="12"/>
        <rFont val="Times New Roman"/>
        <family val="1"/>
      </rPr>
      <t>3</t>
    </r>
  </si>
  <si>
    <t>was identified in the allocation used to prepare the footnote. The 13-Month Avg. included in TO5 Cycle 5 is the correct amount.</t>
  </si>
  <si>
    <r>
      <t xml:space="preserve">     CPUC Intervenor Funding Expense Revenue Adj. - CAISO Participation ROE Adder </t>
    </r>
    <r>
      <rPr>
        <b/>
        <vertAlign val="superscript"/>
        <sz val="12"/>
        <rFont val="Times New Roman"/>
        <family val="1"/>
      </rPr>
      <t>3</t>
    </r>
  </si>
  <si>
    <t>Rates based on 12/31/2020 Plant Balances</t>
  </si>
  <si>
    <t>Commission for a previous year. There is no "Other BTRR Adjustment" applicable in the instant true-up.</t>
  </si>
  <si>
    <t>True-Up Stmt AV; Page 3; Line 32</t>
  </si>
  <si>
    <t>True-Up Stmt AV; Page 3; Line 66</t>
  </si>
  <si>
    <t>True-Up Stmt AV; Page 4; Line 32</t>
  </si>
  <si>
    <t>True-Up Stmt AV; Page 4; Line 66</t>
  </si>
  <si>
    <t>Negative of AH-2; Line 39; Col. b</t>
  </si>
  <si>
    <r>
      <t xml:space="preserve">Uncollectible Expense </t>
    </r>
    <r>
      <rPr>
        <b/>
        <vertAlign val="superscript"/>
        <sz val="12"/>
        <color theme="1"/>
        <rFont val="Times New Roman"/>
        <family val="1"/>
      </rPr>
      <t>8</t>
    </r>
  </si>
  <si>
    <t>Based on the actual uncollectible expense rate of 0.1730% for the 2021 True Up Period, instead of the 0.169% uncollectible expense rate from the TO5 Cycle 3 Annual Informational Filing.</t>
  </si>
  <si>
    <t>From revised TO5 Cycle 4 adjustment on unfunded reserves error.</t>
  </si>
  <si>
    <t>Adjustment to back-out Other BTRR Adjustments from a prior year BK-1; Page 7, which is included in the recorded monthly true-up revenues in Column 3. Such adjustments include, but are not limited to, error adjustments and out-of-cycle recovery or refunds ordered by the</t>
  </si>
  <si>
    <t>CPUC reimbursement fees</t>
  </si>
  <si>
    <t>204-207; Footnote Data (a)</t>
  </si>
  <si>
    <t>204-207; Footnote Data (a); BOY and EOY</t>
  </si>
  <si>
    <t xml:space="preserve">Form 1; Page 204-207; Footnote Data (a); BOY </t>
  </si>
  <si>
    <t xml:space="preserve">Form 1; Page 204-207; Footnote Data (a); EOY </t>
  </si>
  <si>
    <t>Form 1; Page 204-207; Footnote Data (a)</t>
  </si>
  <si>
    <t>2021 Form 1; Page 356; Electric</t>
  </si>
  <si>
    <t>200-201; Footnote Data (b)</t>
  </si>
  <si>
    <t>2021 Form 1; Page 200-201; Footnote Data (b)</t>
  </si>
  <si>
    <t>During preparation of the TO5 Cycle 4 filing, a ($27K) error was identified in the footnote. The Dec-20 amount presented on</t>
  </si>
  <si>
    <t>2021 Form 1; Page 356; Accts 303 to 398</t>
  </si>
  <si>
    <t xml:space="preserve">234; Footnote Data (c) and (d) </t>
  </si>
  <si>
    <t xml:space="preserve">274-275; Footnote Data (a) and (b) </t>
  </si>
  <si>
    <t xml:space="preserve">276-277; Footnote Data (a) and (b) </t>
  </si>
  <si>
    <t>The allocated general and common accumulated deferred income taxes are included in the total transmission related accumulated deferred income taxes. See FERC Form 1; Page 274-275; Footnote Data (a) and (b)</t>
  </si>
  <si>
    <t xml:space="preserve">2021 Form 1; Page 234; Footnote Data (c) </t>
  </si>
  <si>
    <t>2021 Form 1; Page 276-277; Footnote Data (a)</t>
  </si>
  <si>
    <t>2021 Form 1; Page 234; Footnote Data (d)</t>
  </si>
  <si>
    <t>2021 Form 1; Page 276-277; Footnote Data (b)</t>
  </si>
  <si>
    <t>There is no balance in FERC Form 1 Page 214 in 2021.</t>
  </si>
  <si>
    <t xml:space="preserve">The balances for Transmission Plant Held for Future Use are derived based on a 13-month average balance. </t>
  </si>
  <si>
    <t>320-323; 112; b</t>
  </si>
  <si>
    <t>320-323; 197; b</t>
  </si>
  <si>
    <t>Form 1; Page 320-323; Line 83</t>
  </si>
  <si>
    <t>Form 1; Page 320-323; Line 85</t>
  </si>
  <si>
    <t>Form 1; Page 320-323; Line 86</t>
  </si>
  <si>
    <t>Form 1; Page 320-323; Line 87</t>
  </si>
  <si>
    <t>Form 1; Page 320-323; Line 88</t>
  </si>
  <si>
    <t>Form 1; Page 320-323; Line 89</t>
  </si>
  <si>
    <t>Form 1; Page 320-323; Line 90</t>
  </si>
  <si>
    <t>Form 1; Page 320-323; Line 91</t>
  </si>
  <si>
    <t>Form 1; Page 320-323; Line 92</t>
  </si>
  <si>
    <t>Form 1; Page 320-323; Line 93</t>
  </si>
  <si>
    <t>Form 1; Page 320-323; Line 94</t>
  </si>
  <si>
    <t>Form 1; Page 320-323; Line 95</t>
  </si>
  <si>
    <t>Form 1; Page 320-323; Line 96</t>
  </si>
  <si>
    <t>Form 1; Page 320-323; Line 97</t>
  </si>
  <si>
    <t>Form 1; Page 320-323; Line 98</t>
  </si>
  <si>
    <t>Form 1; Page 320-323; Line 101</t>
  </si>
  <si>
    <t>Form 1; Page 320-323; Line 102</t>
  </si>
  <si>
    <t>Form 1; Page 320-323; Line 103</t>
  </si>
  <si>
    <t>Form 1; Page 320-323; Line 104</t>
  </si>
  <si>
    <t>Form 1; Page 320-323; Line 105</t>
  </si>
  <si>
    <t>Form 1; Page 320-323; Line 106</t>
  </si>
  <si>
    <t>Form 1; Page 320-323; Line 107</t>
  </si>
  <si>
    <t>Form 1; Page 320-323; Line 108</t>
  </si>
  <si>
    <t>Form 1; Page 320-323; Line 109</t>
  </si>
  <si>
    <t>Form 1; Page 320-323; Line 110</t>
  </si>
  <si>
    <t>Form 1; Page 320-323; Line 181</t>
  </si>
  <si>
    <t>Form 1; Page 320-323; Line 182</t>
  </si>
  <si>
    <t>Form 1; Page 320-323; Line 183</t>
  </si>
  <si>
    <t>Form 1; Page 320-323; Line 184</t>
  </si>
  <si>
    <t>Form 1; Page 320-323; Line 185</t>
  </si>
  <si>
    <t>Form 1; Page 320-323; Line 186</t>
  </si>
  <si>
    <t>Form 1; Page 320-323; Line 187</t>
  </si>
  <si>
    <t>Form 1; Page 320-323; Line 188</t>
  </si>
  <si>
    <t>Form 1; Page 320-323; Line 189</t>
  </si>
  <si>
    <t>Form 1; Page 320-323; Line 190</t>
  </si>
  <si>
    <t>Form 1; Page 320-323; Line 191</t>
  </si>
  <si>
    <t>Form 1; Page 320-323; Line 192</t>
  </si>
  <si>
    <t>Form 1; Page 320-323; Line 193</t>
  </si>
  <si>
    <t>Form 1; Page 320-323; Line 196</t>
  </si>
  <si>
    <t>354-355; 20; b</t>
  </si>
  <si>
    <t>354-355; 21; b</t>
  </si>
  <si>
    <t>354-355; 23; b</t>
  </si>
  <si>
    <t>354-355; 24; b</t>
  </si>
  <si>
    <t>354-355; 25; b</t>
  </si>
  <si>
    <t>354-355; 26; b</t>
  </si>
  <si>
    <t>336-337; 1; f</t>
  </si>
  <si>
    <t>336-337; 10; f</t>
  </si>
  <si>
    <t>336-337; 11; f</t>
  </si>
  <si>
    <t>Per Books Total Transmission Depreciation Expense (Col. 1) can be found in the FERC Form 1; Page 336-337; Line 7; Col. f.</t>
  </si>
  <si>
    <t xml:space="preserve">The $15,744 in expense on FERC Form 1; Page 114-117; Line 9; Col. g, represents the annual amortization expense of the capitalized difference between CPUC &amp; FERC's recognized in-service dates for the Southwest Powerlink. The </t>
  </si>
  <si>
    <t>Form 1; Page 336-337; Line 1; Col. f</t>
  </si>
  <si>
    <t>Form 1; Page 336-337; Line 10; Col. f</t>
  </si>
  <si>
    <t>(Line 1 x Line 2); Form 1; Page 336-337; Line 11; Col. f</t>
  </si>
  <si>
    <t>262-263; 12; l</t>
  </si>
  <si>
    <t>262-263; 2,3,4,8; l</t>
  </si>
  <si>
    <t>Property tax expense excludes Citizens property taxes as shown in FERC Form 1; Page 262-263; Footnote Data (d).</t>
  </si>
  <si>
    <t>Business license taxes are no longer recorded in Total Property Taxes and are separately shown in FERC Form 1; Page 262-263; Line 14; Col. l.</t>
  </si>
  <si>
    <t>Payroll tax expense excludes Citizens payroll taxes as shown in FERC Form 1; Page 262-263; Footnote Data (e).</t>
  </si>
  <si>
    <t>110-111; Footnote Data (b)</t>
  </si>
  <si>
    <t>The 13-Month Avg. for Electric Plant Prepayments included on FERC Form 1; Page 110-111; Footnote Data (b) is slightly incorrect. During the preparation of the TO5 Cycle 5 filing, an error</t>
  </si>
  <si>
    <t>The 13-Month Avg. for Electric Plant Prepayments included on FERC Form 1; Page 110-111; Footnote Data (b) is slightly incorrect.</t>
  </si>
  <si>
    <t>261; Footnote Data (a)</t>
  </si>
  <si>
    <t>266-267; Footnote Data (a)</t>
  </si>
  <si>
    <t>The total year-end Account 190 electric balance reported on FERC Form 1; Page 234; Footnote Data (b) is $1,839,074. The amortization of Account 190 at $1,768K</t>
  </si>
  <si>
    <t>300-301; 17; b</t>
  </si>
  <si>
    <t>300-301; 18; b</t>
  </si>
  <si>
    <t>300-301; Footnote Data (b)</t>
  </si>
  <si>
    <t>300-301; 20; b</t>
  </si>
  <si>
    <t>300-301; Footnote Data (c)</t>
  </si>
  <si>
    <t>Confirmed the amounts reported for Acct 451 on FERC Form 1; Page 300-301; Line 17; Col. b are not Transmission-related with an exception for</t>
  </si>
  <si>
    <t>The total Rent from Electric Property in FERC Form 1; Page 300-301; Line 19; Col. b includes both Distribution and Transmission rents. The Total Transmission-related Rents from Electric</t>
  </si>
  <si>
    <t>Property is reflected in Col. (m) of this schedule and ties to the footnotes on FERC Form 1; Page 300-301; Footnote Data (b).</t>
  </si>
  <si>
    <t>The total Other Electric Revenues in FERC Form 1; Page 300-301; Line 21; Col. b includes other revenues for both Distribution and Transmission. The Total Transmission-related piece of Other</t>
  </si>
  <si>
    <t>Revenues is reflected in Col. (m) of this schedule and ties to the footnotes on FERC Form 1; Page 300-301; Footnote Data (c).</t>
  </si>
  <si>
    <t>112-113; 18; c</t>
  </si>
  <si>
    <t>112-113; 19; c</t>
  </si>
  <si>
    <t>112-113; 21; c</t>
  </si>
  <si>
    <t>112-113; 22; c</t>
  </si>
  <si>
    <t>112-113; 23; c</t>
  </si>
  <si>
    <t>114-117; 62; c</t>
  </si>
  <si>
    <t>114-117; 63; c</t>
  </si>
  <si>
    <t>114-117; 64; c</t>
  </si>
  <si>
    <t>114-117; 65; c</t>
  </si>
  <si>
    <t>114-117; 66; c</t>
  </si>
  <si>
    <t>112-113; 3; c</t>
  </si>
  <si>
    <t>118-119; 29; c</t>
  </si>
  <si>
    <t>112-113; 16; c</t>
  </si>
  <si>
    <t>112-113; 12; c</t>
  </si>
  <si>
    <t>112-113; 15; c</t>
  </si>
  <si>
    <t>Form 1; Page 204-207; Line 58; Col. d</t>
  </si>
  <si>
    <t>Form 1; Page 204-207; Line 58; Col. g</t>
  </si>
  <si>
    <t xml:space="preserve">Negative of AH-2; Sum Lines (20, 21, 42); Col. b; and Sum Lines (22, 24, 29, 36, 41); Col. a </t>
  </si>
  <si>
    <t>Total Transmission Depreciation Expense for Ratemaking (Col. 7) = (FERC Form 1; Page 336-337; Footnote Data (a); Transmission Plant Total) + (FERC Form 1; Page 114-117; Line 9; Col. g).</t>
  </si>
  <si>
    <t>2) If no change in Tax Rate, enter "No" at top of Schedule (New Tax Rate Yes/No).</t>
  </si>
  <si>
    <t xml:space="preserve"> Statement AV</t>
  </si>
  <si>
    <r>
      <t xml:space="preserve">Deficient Reserve </t>
    </r>
    <r>
      <rPr>
        <b/>
        <vertAlign val="superscript"/>
        <sz val="12"/>
        <rFont val="Times New Roman"/>
        <family val="1"/>
      </rPr>
      <t>1, 2</t>
    </r>
  </si>
  <si>
    <r>
      <t xml:space="preserve">(Excess) Reserve </t>
    </r>
    <r>
      <rPr>
        <b/>
        <vertAlign val="superscript"/>
        <sz val="12"/>
        <rFont val="Times New Roman"/>
        <family val="1"/>
      </rPr>
      <t>1, 3</t>
    </r>
  </si>
  <si>
    <r>
      <t xml:space="preserve">Transmission Related Amortization of Investment Tax Credits </t>
    </r>
    <r>
      <rPr>
        <b/>
        <vertAlign val="superscript"/>
        <sz val="12"/>
        <rFont val="Times New Roman"/>
        <family val="1"/>
      </rPr>
      <t>1</t>
    </r>
  </si>
  <si>
    <r>
      <t xml:space="preserve">Deficient Reserve </t>
    </r>
    <r>
      <rPr>
        <b/>
        <vertAlign val="superscript"/>
        <sz val="12"/>
        <rFont val="Times New Roman"/>
        <family val="1"/>
      </rPr>
      <t>1</t>
    </r>
  </si>
  <si>
    <r>
      <t xml:space="preserve">(Excess) Reserve </t>
    </r>
    <r>
      <rPr>
        <b/>
        <vertAlign val="superscript"/>
        <sz val="12"/>
        <rFont val="Times New Roman"/>
        <family val="1"/>
      </rPr>
      <t>1</t>
    </r>
  </si>
  <si>
    <t>Deficient amounts reported in column (b) are sourced from Order 864-3; Col. 7.</t>
  </si>
  <si>
    <t>(Excess) amounts reported in column (a) are sourced from Order 864-3; Col. 8.</t>
  </si>
  <si>
    <t xml:space="preserve">Remeasured amount reported in column (a) includes ($88.2) million in state related deferred tax liabilities. </t>
  </si>
  <si>
    <t>Remeasured amount reported in column (a) includes ($109.9) million in state related deferred tax liabilities. Deficient reserve amount in column (b) and the Grand Total calculated on Order 864-3; Line 33; Col. 12 for federal taxes</t>
  </si>
  <si>
    <t xml:space="preserve">includes $12.1M related to Federal Benefit of State Taxes.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</si>
</sst>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0000"/>
    <numFmt numFmtId="184" formatCode="0_);\(0\)"/>
    <numFmt numFmtId="185" formatCode="&quot;$&quot;#,##0"/>
    <numFmt numFmtId="186" formatCode="0.0%"/>
    <numFmt numFmtId="187" formatCode="&quot;$&quot;#,##0,_);[Red]\(&quot;$&quot;#,##0,\)"/>
    <numFmt numFmtId="188" formatCode="_(&quot;$&quot;* #,##0,_);_(&quot;$&quot;* \(#,##0,\);_(&quot;$&quot;* &quot;-&quot;??_);_(@_)"/>
    <numFmt numFmtId="189" formatCode="_(&quot;$&quot;* #,##0.0000000_);_(&quot;$&quot;* \(#,##0.0000000\);_(&quot;$&quot;* &quot;-&quot;??_);_(@_)"/>
    <numFmt numFmtId="190" formatCode="_(&quot;$&quot;* #,##0.00000_);_(&quot;$&quot;* \(#,##0.00000\);_(&quot;$&quot;* &quot;-&quot;??_);_(@_)"/>
    <numFmt numFmtId="191" formatCode="#,##0.0000_);\(#,##0.0000\)"/>
    <numFmt numFmtId="192" formatCode="0.000000000%"/>
    <numFmt numFmtId="193" formatCode="&quot;$&quot;#,##0.00"/>
    <numFmt numFmtId="194" formatCode="0.00000000000000000%"/>
    <numFmt numFmtId="195" formatCode="_(* #,##0.0000000_);_(* \(#,##0.0000000\);_(* &quot;-&quot;???????_);_(@_)"/>
    <numFmt numFmtId="196" formatCode="0.000"/>
    <numFmt numFmtId="197" formatCode="_(* #,##0.0000_);_(* \(#,##0.0000\);_(* &quot;-&quot;_);_(@_)"/>
    <numFmt numFmtId="198" formatCode="0.00000000%"/>
    <numFmt numFmtId="199" formatCode="0.0000000000"/>
    <numFmt numFmtId="200" formatCode="0.000000000000000%"/>
    <numFmt numFmtId="201" formatCode="&quot;$&quot;#,##0.000,_);[Red]\(&quot;$&quot;#,##0.000,\)"/>
  </numFmts>
  <fonts count="60"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
      <sz val="11"/>
      <color theme="1"/>
      <name val="Calibri"/>
      <family val="2"/>
      <scheme val="minor"/>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98">
    <border>
      <left/>
      <right/>
      <top/>
      <bottom/>
      <diagonal/>
    </border>
    <border>
      <left/>
      <right/>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medium">
        <color auto="1"/>
      </right>
      <top/>
      <bottom style="medium">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8">
    <xf numFmtId="0" fontId="0" fillId="0" borderId="0"/>
    <xf numFmtId="44" fontId="58" fillId="0" borderId="0" applyFont="0" applyFill="0" applyBorder="0" applyAlignment="0" applyProtection="0"/>
    <xf numFmtId="9" fontId="58" fillId="0" borderId="0" applyFont="0" applyFill="0" applyBorder="0" applyAlignment="0" applyProtection="0"/>
    <xf numFmtId="0" fontId="59" fillId="0" borderId="0"/>
    <xf numFmtId="43" fontId="59" fillId="0" borderId="0" applyFont="0" applyFill="0" applyBorder="0" applyAlignment="0" applyProtection="0"/>
    <xf numFmtId="43" fontId="58" fillId="0" borderId="0" applyFont="0" applyFill="0" applyBorder="0" applyAlignment="0" applyProtection="0"/>
    <xf numFmtId="0" fontId="59" fillId="0" borderId="0"/>
    <xf numFmtId="9" fontId="59" fillId="0" borderId="0" applyFont="0" applyFill="0" applyBorder="0" applyAlignment="0" applyProtection="0"/>
  </cellStyleXfs>
  <cellXfs count="2339">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3" fillId="0" borderId="0" xfId="0" applyNumberFormat="1" applyFont="1" applyAlignment="1">
      <alignment vertical="center"/>
    </xf>
    <xf numFmtId="0" fontId="2" fillId="0" borderId="0" xfId="0" applyFont="1" applyBorder="1" applyAlignment="1">
      <alignment horizontal="center" vertical="center"/>
    </xf>
    <xf numFmtId="0" fontId="16" fillId="0" borderId="0" xfId="0" applyFont="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43"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2" borderId="1" xfId="0" applyNumberFormat="1" applyFont="1" applyFill="1" applyBorder="1" applyAlignment="1">
      <alignment horizontal="right" vertical="center"/>
    </xf>
    <xf numFmtId="165" fontId="2" fillId="0" borderId="0" xfId="0" applyNumberFormat="1" applyFont="1" applyFill="1" applyAlignment="1" applyProtection="1">
      <alignment horizontal="right" vertical="center"/>
    </xf>
    <xf numFmtId="166"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pplyProtection="1">
      <alignment horizontal="center" vertical="center"/>
    </xf>
    <xf numFmtId="166" fontId="2" fillId="2" borderId="0" xfId="0" applyNumberFormat="1" applyFont="1" applyFill="1" applyAlignment="1">
      <alignment vertical="center"/>
    </xf>
    <xf numFmtId="166" fontId="2" fillId="0"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1"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2" borderId="0" xfId="0" applyNumberFormat="1" applyFont="1" applyFill="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2" xfId="0" quotePrefix="1" applyNumberFormat="1" applyFont="1" applyFill="1" applyBorder="1" applyAlignment="1">
      <alignment horizontal="right" vertical="center"/>
    </xf>
    <xf numFmtId="165" fontId="2" fillId="0" borderId="0" xfId="0" quotePrefix="1" applyNumberFormat="1" applyFont="1" applyFill="1" applyBorder="1" applyAlignment="1">
      <alignment horizontal="right" vertical="center"/>
    </xf>
    <xf numFmtId="0" fontId="2" fillId="0" borderId="0" xfId="0" applyFont="1" applyFill="1" applyAlignment="1">
      <alignment horizontal="center" vertical="center"/>
    </xf>
    <xf numFmtId="165" fontId="2" fillId="2" borderId="0" xfId="0" quotePrefix="1" applyNumberFormat="1" applyFont="1" applyFill="1" applyBorder="1" applyAlignment="1">
      <alignment horizontal="right" vertical="center"/>
    </xf>
    <xf numFmtId="165" fontId="2" fillId="0" borderId="4"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2" borderId="0" xfId="0" applyNumberFormat="1" applyFont="1" applyFill="1" applyBorder="1" applyAlignment="1" applyProtection="1">
      <alignment horizontal="right" vertical="center"/>
    </xf>
    <xf numFmtId="43" fontId="2" fillId="0" borderId="0" xfId="0" applyNumberFormat="1" applyFont="1" applyFill="1" applyBorder="1" applyAlignment="1" applyProtection="1">
      <alignment horizontal="right" vertical="center"/>
    </xf>
    <xf numFmtId="167" fontId="2" fillId="2" borderId="1" xfId="0" applyNumberFormat="1" applyFont="1" applyFill="1" applyBorder="1" applyAlignment="1">
      <alignment horizontal="right" vertical="center"/>
    </xf>
    <xf numFmtId="167" fontId="2" fillId="2" borderId="0" xfId="0" quotePrefix="1" applyNumberFormat="1" applyFont="1" applyFill="1" applyBorder="1" applyAlignment="1">
      <alignment horizontal="right" vertical="center"/>
    </xf>
    <xf numFmtId="165" fontId="2" fillId="0" borderId="4" xfId="0" quotePrefix="1" applyNumberFormat="1" applyFont="1" applyFill="1" applyBorder="1" applyAlignment="1">
      <alignment horizontal="right" vertical="center"/>
    </xf>
    <xf numFmtId="165" fontId="3" fillId="0" borderId="0" xfId="0" quotePrefix="1" applyNumberFormat="1" applyFont="1" applyFill="1" applyBorder="1" applyAlignment="1">
      <alignment horizontal="right" vertical="center"/>
    </xf>
    <xf numFmtId="165" fontId="2" fillId="2" borderId="0" xfId="0" applyNumberFormat="1" applyFont="1" applyFill="1" applyBorder="1" applyAlignment="1" applyProtection="1">
      <alignment horizontal="righ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horizontal="right" vertical="center"/>
      <protection locked="0"/>
    </xf>
    <xf numFmtId="165" fontId="2" fillId="2" borderId="0" xfId="0" applyNumberFormat="1"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right" vertical="center"/>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5" fontId="2" fillId="0" borderId="16" xfId="0" applyNumberFormat="1" applyFont="1" applyFill="1" applyBorder="1" applyAlignment="1" applyProtection="1">
      <alignment horizontal="right" vertical="center"/>
    </xf>
    <xf numFmtId="166" fontId="2" fillId="0" borderId="1"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65" fontId="2" fillId="2" borderId="1" xfId="0" applyNumberFormat="1" applyFont="1" applyFill="1" applyBorder="1" applyAlignment="1" applyProtection="1">
      <alignment horizontal="right" vertical="center"/>
    </xf>
    <xf numFmtId="6" fontId="2" fillId="0" borderId="0" xfId="0" applyNumberFormat="1" applyFont="1" applyFill="1" applyAlignment="1" applyProtection="1">
      <alignment horizontal="right" vertical="center"/>
    </xf>
    <xf numFmtId="167"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5" fontId="2" fillId="2" borderId="1" xfId="0" applyNumberFormat="1" applyFont="1" applyFill="1" applyBorder="1" applyAlignment="1">
      <alignment vertical="center"/>
    </xf>
    <xf numFmtId="165" fontId="2" fillId="2" borderId="0" xfId="0" applyNumberFormat="1" applyFont="1" applyFill="1" applyBorder="1" applyAlignment="1" applyProtection="1">
      <alignment vertical="center"/>
    </xf>
    <xf numFmtId="167" fontId="2" fillId="2" borderId="1" xfId="0" applyNumberFormat="1" applyFont="1" applyFill="1" applyBorder="1" applyAlignment="1" applyProtection="1">
      <alignment horizontal="right" vertical="center"/>
    </xf>
    <xf numFmtId="0" fontId="2" fillId="0" borderId="0" xfId="0" applyFont="1" applyFill="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0" xfId="0" applyNumberFormat="1" applyFont="1" applyBorder="1" applyAlignment="1">
      <alignment vertical="center"/>
    </xf>
    <xf numFmtId="166" fontId="2" fillId="2" borderId="65" xfId="0" applyNumberFormat="1" applyFont="1" applyFill="1" applyBorder="1" applyAlignment="1">
      <alignment horizontal="right" vertical="center"/>
    </xf>
    <xf numFmtId="165" fontId="2" fillId="0" borderId="0" xfId="0" applyNumberFormat="1" applyFont="1" applyFill="1" applyAlignment="1">
      <alignment horizontal="right" vertical="center"/>
    </xf>
    <xf numFmtId="165" fontId="2" fillId="0" borderId="0" xfId="0" applyNumberFormat="1" applyFont="1" applyFill="1" applyAlignment="1" applyProtection="1">
      <alignment horizontal="right" vertical="center"/>
    </xf>
    <xf numFmtId="166" fontId="2" fillId="0" borderId="1" xfId="0" applyNumberFormat="1" applyFont="1" applyFill="1" applyBorder="1" applyAlignment="1" applyProtection="1">
      <alignment horizontal="right" vertical="center"/>
    </xf>
    <xf numFmtId="6" fontId="3" fillId="0" borderId="0" xfId="0" applyNumberFormat="1" applyFont="1" applyBorder="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Border="1" applyAlignment="1">
      <alignment vertical="center"/>
    </xf>
    <xf numFmtId="166" fontId="2" fillId="2" borderId="0" xfId="0" applyNumberFormat="1" applyFont="1" applyFill="1" applyAlignment="1">
      <alignment horizontal="right" vertical="center"/>
    </xf>
    <xf numFmtId="166" fontId="2" fillId="2" borderId="6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2" fillId="0" borderId="0" xfId="0" quotePrefix="1"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3" fillId="0" borderId="0" xfId="0" applyFont="1" applyFill="1" applyAlignment="1">
      <alignment vertical="center"/>
    </xf>
    <xf numFmtId="165" fontId="2" fillId="0" borderId="0" xfId="0" applyNumberFormat="1" applyFont="1" applyFill="1" applyAlignment="1">
      <alignment vertical="center"/>
    </xf>
    <xf numFmtId="10" fontId="2" fillId="0" borderId="0" xfId="0" applyNumberFormat="1" applyFont="1" applyFill="1" applyAlignment="1">
      <alignment horizontal="right" vertical="center"/>
    </xf>
    <xf numFmtId="165" fontId="2" fillId="0" borderId="4" xfId="0" applyNumberFormat="1" applyFont="1" applyFill="1" applyBorder="1" applyAlignment="1">
      <alignment horizontal="right" vertical="center"/>
    </xf>
    <xf numFmtId="165" fontId="2" fillId="0" borderId="0" xfId="0" applyNumberFormat="1" applyFont="1" applyFill="1" applyAlignment="1">
      <alignment vertical="center"/>
    </xf>
    <xf numFmtId="0" fontId="0" fillId="0" borderId="0" xfId="0" applyAlignment="1">
      <alignment vertical="center"/>
    </xf>
    <xf numFmtId="166" fontId="2" fillId="0" borderId="65"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66" fontId="2" fillId="0" borderId="0" xfId="0" applyNumberFormat="1" applyFont="1" applyFill="1" applyBorder="1" applyAlignment="1">
      <alignment vertical="center"/>
    </xf>
    <xf numFmtId="165" fontId="2" fillId="0" borderId="2" xfId="0" applyNumberFormat="1" applyFont="1" applyFill="1" applyBorder="1" applyAlignment="1">
      <alignment vertical="center"/>
    </xf>
    <xf numFmtId="0" fontId="2" fillId="0" borderId="0" xfId="0" applyFont="1" applyFill="1" applyAlignment="1">
      <alignment horizontal="right" vertical="center"/>
    </xf>
    <xf numFmtId="0" fontId="16" fillId="0" borderId="0" xfId="0" applyFont="1" applyFill="1" applyAlignment="1">
      <alignment vertical="center"/>
    </xf>
    <xf numFmtId="166" fontId="2" fillId="0" borderId="1" xfId="0" applyNumberFormat="1" applyFont="1" applyFill="1" applyBorder="1" applyAlignment="1">
      <alignment horizontal="righ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6" fontId="2" fillId="0" borderId="0" xfId="0" applyNumberFormat="1" applyFont="1" applyBorder="1" applyAlignment="1" applyProtection="1">
      <alignment vertical="center"/>
      <protection locked="0"/>
    </xf>
    <xf numFmtId="0" fontId="3" fillId="0" borderId="0" xfId="0" applyFont="1" applyBorder="1" applyAlignment="1">
      <alignment vertical="center"/>
    </xf>
    <xf numFmtId="166" fontId="2" fillId="0" borderId="0" xfId="0" applyNumberFormat="1" applyFont="1" applyBorder="1" applyAlignment="1" applyProtection="1">
      <alignment horizontal="center" vertical="center"/>
      <protection locked="0"/>
    </xf>
    <xf numFmtId="166" fontId="2" fillId="3" borderId="0" xfId="0" applyNumberFormat="1" applyFont="1" applyFill="1" applyBorder="1" applyAlignment="1" applyProtection="1">
      <alignment vertical="center"/>
      <protection locked="0"/>
    </xf>
    <xf numFmtId="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165" fontId="3" fillId="0" borderId="0" xfId="0" applyNumberFormat="1" applyFont="1" applyBorder="1" applyAlignment="1">
      <alignment vertical="center"/>
    </xf>
    <xf numFmtId="166" fontId="2" fillId="3" borderId="0" xfId="0" applyNumberFormat="1" applyFont="1" applyFill="1" applyAlignment="1" applyProtection="1">
      <alignment vertical="center"/>
      <protection locked="0"/>
    </xf>
    <xf numFmtId="166" fontId="2" fillId="3" borderId="0" xfId="0" applyNumberFormat="1" applyFont="1" applyFill="1" applyBorder="1" applyAlignment="1" applyProtection="1">
      <alignment vertical="center"/>
      <protection locked="0"/>
    </xf>
    <xf numFmtId="166" fontId="2" fillId="0" borderId="1" xfId="0" applyNumberFormat="1" applyFont="1" applyBorder="1" applyAlignment="1" applyProtection="1">
      <alignment vertical="center"/>
      <protection locked="0"/>
    </xf>
    <xf numFmtId="165" fontId="2" fillId="0" borderId="0" xfId="0" applyNumberFormat="1" applyFont="1" applyBorder="1" applyAlignment="1">
      <alignment vertical="center"/>
    </xf>
    <xf numFmtId="165" fontId="3" fillId="0" borderId="0" xfId="0" applyNumberFormat="1" applyFont="1" applyBorder="1" applyAlignment="1">
      <alignment vertical="center"/>
    </xf>
    <xf numFmtId="165" fontId="2" fillId="0" borderId="0" xfId="0" applyNumberFormat="1" applyFont="1" applyAlignment="1">
      <alignment horizontal="center" vertical="center"/>
    </xf>
    <xf numFmtId="165" fontId="2" fillId="0" borderId="2" xfId="0" applyNumberFormat="1" applyFont="1" applyBorder="1" applyAlignment="1">
      <alignment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0" fontId="2" fillId="2" borderId="1" xfId="0" applyNumberFormat="1" applyFont="1" applyFill="1" applyBorder="1" applyAlignment="1">
      <alignment horizontal="right" vertical="center"/>
    </xf>
    <xf numFmtId="166" fontId="2" fillId="0" borderId="0" xfId="0" applyNumberFormat="1" applyFont="1" applyBorder="1" applyAlignment="1">
      <alignment vertical="center"/>
    </xf>
    <xf numFmtId="166" fontId="2" fillId="0" borderId="0" xfId="0" applyNumberFormat="1" applyFont="1" applyBorder="1" applyAlignment="1">
      <alignment horizontal="center" vertical="center"/>
    </xf>
    <xf numFmtId="165" fontId="2" fillId="0" borderId="0" xfId="0" applyNumberFormat="1" applyFont="1" applyFill="1" applyBorder="1" applyAlignment="1" applyProtection="1">
      <alignment vertical="center"/>
      <protection locked="0"/>
    </xf>
    <xf numFmtId="5" fontId="2" fillId="0" borderId="0" xfId="0" applyNumberFormat="1" applyFont="1" applyBorder="1" applyAlignment="1">
      <alignment vertical="center"/>
    </xf>
    <xf numFmtId="166" fontId="2" fillId="0" borderId="0" xfId="0" applyNumberFormat="1" applyFont="1" applyAlignment="1">
      <alignment vertical="center"/>
    </xf>
    <xf numFmtId="166" fontId="2" fillId="0" borderId="0" xfId="0" applyNumberFormat="1" applyFont="1" applyBorder="1" applyAlignment="1">
      <alignment horizontal="right" vertical="center"/>
    </xf>
    <xf numFmtId="5" fontId="2" fillId="0" borderId="0" xfId="0" applyNumberFormat="1" applyFont="1" applyBorder="1" applyAlignment="1">
      <alignment horizontal="right" vertical="center"/>
    </xf>
    <xf numFmtId="166" fontId="2" fillId="0" borderId="0" xfId="0" applyNumberFormat="1" applyFont="1" applyAlignment="1">
      <alignment horizontal="right" vertical="center"/>
    </xf>
    <xf numFmtId="166" fontId="2" fillId="0" borderId="1" xfId="0" applyNumberFormat="1" applyFont="1" applyBorder="1" applyAlignment="1">
      <alignment horizontal="right" vertical="center"/>
    </xf>
    <xf numFmtId="166" fontId="2" fillId="0" borderId="0" xfId="0" applyNumberFormat="1" applyFont="1" applyAlignment="1" applyProtection="1">
      <alignment vertical="center"/>
    </xf>
    <xf numFmtId="0" fontId="2" fillId="0" borderId="0" xfId="0" applyFont="1" applyAlignment="1" applyProtection="1">
      <alignment vertical="center"/>
    </xf>
    <xf numFmtId="5" fontId="2" fillId="0" borderId="0" xfId="0" applyNumberFormat="1" applyFont="1" applyAlignment="1" applyProtection="1">
      <alignment horizontal="center" vertical="center"/>
    </xf>
    <xf numFmtId="166" fontId="2" fillId="0" borderId="0" xfId="0" applyNumberFormat="1" applyFont="1" applyAlignment="1" applyProtection="1">
      <alignment horizontal="right" vertical="center"/>
    </xf>
    <xf numFmtId="10" fontId="2" fillId="0" borderId="0" xfId="0" applyNumberFormat="1" applyFont="1" applyAlignment="1" applyProtection="1">
      <alignment horizontal="center" vertical="center"/>
    </xf>
    <xf numFmtId="165" fontId="2" fillId="0" borderId="2" xfId="0" applyNumberFormat="1" applyFont="1" applyBorder="1" applyAlignment="1" applyProtection="1">
      <alignment horizontal="right" vertical="center"/>
    </xf>
    <xf numFmtId="5" fontId="2" fillId="0" borderId="0" xfId="0" applyNumberFormat="1" applyFont="1" applyAlignment="1" applyProtection="1">
      <alignment vertical="center"/>
    </xf>
    <xf numFmtId="5" fontId="2" fillId="0" borderId="0" xfId="0" applyNumberFormat="1" applyFont="1" applyAlignment="1" applyProtection="1">
      <alignment horizontal="right" vertical="center"/>
    </xf>
    <xf numFmtId="10" fontId="2" fillId="0" borderId="0" xfId="0" applyNumberFormat="1" applyFont="1" applyAlignment="1" applyProtection="1">
      <alignment vertical="center"/>
    </xf>
    <xf numFmtId="10" fontId="2" fillId="0" borderId="2" xfId="0" applyNumberFormat="1" applyFont="1" applyBorder="1" applyAlignment="1" applyProtection="1">
      <alignment horizontal="right" vertical="center"/>
    </xf>
    <xf numFmtId="166" fontId="2" fillId="0" borderId="9" xfId="0" applyNumberFormat="1" applyFont="1" applyBorder="1" applyAlignment="1">
      <alignment vertical="center"/>
    </xf>
    <xf numFmtId="166" fontId="2" fillId="0" borderId="68" xfId="0" applyNumberFormat="1" applyFont="1" applyFill="1" applyBorder="1" applyAlignment="1">
      <alignment vertical="center"/>
    </xf>
    <xf numFmtId="0" fontId="3" fillId="0" borderId="8" xfId="0" applyFont="1" applyBorder="1" applyAlignment="1">
      <alignment vertical="center"/>
    </xf>
    <xf numFmtId="165" fontId="3" fillId="0" borderId="9" xfId="0" applyNumberFormat="1" applyFont="1" applyBorder="1" applyAlignment="1">
      <alignment vertical="center"/>
    </xf>
    <xf numFmtId="165" fontId="3" fillId="0" borderId="68" xfId="0" applyNumberFormat="1" applyFont="1" applyBorder="1" applyAlignment="1">
      <alignment vertical="center"/>
    </xf>
    <xf numFmtId="0" fontId="3" fillId="0" borderId="9" xfId="0" applyFont="1" applyBorder="1" applyAlignment="1">
      <alignment vertical="center"/>
    </xf>
    <xf numFmtId="165" fontId="2" fillId="0" borderId="9" xfId="0" applyNumberFormat="1" applyFont="1" applyBorder="1" applyAlignment="1">
      <alignment vertical="center"/>
    </xf>
    <xf numFmtId="166" fontId="2" fillId="0" borderId="9" xfId="0" applyNumberFormat="1" applyFont="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3" fillId="0" borderId="8" xfId="0" applyNumberFormat="1" applyFont="1" applyBorder="1" applyAlignment="1">
      <alignment vertical="center"/>
    </xf>
    <xf numFmtId="165" fontId="3" fillId="0" borderId="9"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165" fontId="3" fillId="0" borderId="9" xfId="0" applyNumberFormat="1" applyFont="1" applyFill="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2" fillId="0" borderId="9" xfId="0" applyNumberFormat="1" applyFont="1" applyFill="1" applyBorder="1" applyAlignment="1">
      <alignment vertical="center"/>
    </xf>
    <xf numFmtId="166" fontId="3" fillId="0" borderId="68" xfId="0" applyNumberFormat="1" applyFont="1" applyFill="1" applyBorder="1" applyAlignment="1">
      <alignment vertical="center"/>
    </xf>
    <xf numFmtId="165" fontId="2" fillId="0" borderId="11" xfId="0" applyNumberFormat="1" applyFont="1" applyFill="1" applyBorder="1" applyAlignment="1">
      <alignment vertical="center"/>
    </xf>
    <xf numFmtId="165" fontId="2"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14" xfId="0" applyNumberFormat="1" applyFont="1" applyBorder="1" applyAlignment="1">
      <alignment vertical="center"/>
    </xf>
    <xf numFmtId="166" fontId="2" fillId="0" borderId="10" xfId="0" applyNumberFormat="1" applyFont="1" applyFill="1" applyBorder="1" applyAlignment="1">
      <alignment vertical="center"/>
    </xf>
    <xf numFmtId="165" fontId="3" fillId="0"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6" fontId="2" fillId="0" borderId="10" xfId="0" applyNumberFormat="1" applyFont="1" applyBorder="1" applyAlignment="1">
      <alignment vertical="center"/>
    </xf>
    <xf numFmtId="0" fontId="2" fillId="0" borderId="0" xfId="0" applyFont="1" applyAlignment="1">
      <alignment horizontal="center" vertical="center"/>
    </xf>
    <xf numFmtId="165" fontId="2" fillId="0" borderId="9" xfId="0" applyNumberFormat="1" applyFont="1" applyBorder="1" applyAlignment="1">
      <alignment horizontal="center" vertical="center"/>
    </xf>
    <xf numFmtId="166" fontId="2" fillId="0" borderId="9" xfId="0" applyNumberFormat="1" applyFont="1" applyBorder="1" applyAlignment="1">
      <alignment horizontal="center" vertical="center"/>
    </xf>
    <xf numFmtId="166" fontId="3" fillId="0" borderId="10" xfId="0" applyNumberFormat="1" applyFont="1" applyBorder="1" applyAlignment="1">
      <alignment vertical="center"/>
    </xf>
    <xf numFmtId="3" fontId="2" fillId="0" borderId="11" xfId="0" applyNumberFormat="1" applyFont="1" applyFill="1" applyBorder="1" applyAlignment="1">
      <alignment vertical="center"/>
    </xf>
    <xf numFmtId="3" fontId="3" fillId="0" borderId="64" xfId="0" applyNumberFormat="1" applyFont="1" applyFill="1" applyBorder="1" applyAlignment="1">
      <alignment vertical="center"/>
    </xf>
    <xf numFmtId="3" fontId="3" fillId="0" borderId="11" xfId="0" applyNumberFormat="1" applyFont="1" applyBorder="1" applyAlignment="1">
      <alignment horizontal="right" vertical="center"/>
    </xf>
    <xf numFmtId="165" fontId="3" fillId="0" borderId="11" xfId="0" applyNumberFormat="1" applyFont="1" applyBorder="1" applyAlignment="1">
      <alignment vertical="center"/>
    </xf>
    <xf numFmtId="165" fontId="3" fillId="0" borderId="64" xfId="0" applyNumberFormat="1" applyFont="1" applyBorder="1" applyAlignment="1">
      <alignment vertical="center"/>
    </xf>
    <xf numFmtId="165" fontId="3" fillId="0" borderId="11" xfId="0" applyNumberFormat="1" applyFont="1" applyFill="1" applyBorder="1" applyAlignment="1">
      <alignment vertical="center"/>
    </xf>
    <xf numFmtId="165" fontId="3" fillId="0" borderId="64" xfId="0" applyNumberFormat="1" applyFont="1" applyFill="1" applyBorder="1" applyAlignment="1">
      <alignment vertical="center"/>
    </xf>
    <xf numFmtId="165" fontId="2" fillId="0" borderId="11" xfId="0" applyNumberFormat="1" applyFont="1" applyBorder="1" applyAlignment="1">
      <alignment horizontal="center" vertical="center"/>
    </xf>
    <xf numFmtId="166" fontId="2" fillId="0" borderId="11" xfId="0" applyNumberFormat="1" applyFont="1" applyBorder="1" applyAlignment="1">
      <alignment horizontal="center" vertical="center"/>
    </xf>
    <xf numFmtId="166" fontId="2" fillId="0" borderId="64" xfId="0" applyNumberFormat="1" applyFont="1" applyFill="1" applyBorder="1" applyAlignment="1">
      <alignment horizontal="center" vertical="center"/>
    </xf>
    <xf numFmtId="166" fontId="3" fillId="0" borderId="11" xfId="0" applyNumberFormat="1" applyFont="1" applyBorder="1" applyAlignment="1">
      <alignment vertical="center"/>
    </xf>
    <xf numFmtId="16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5" fontId="2" fillId="0" borderId="0" xfId="0" applyNumberFormat="1" applyFont="1" applyAlignment="1" applyProtection="1">
      <alignment vertical="center"/>
      <protection locked="0"/>
    </xf>
    <xf numFmtId="165" fontId="2" fillId="0" borderId="0" xfId="0" applyNumberFormat="1" applyFont="1" applyBorder="1" applyAlignment="1" applyProtection="1">
      <alignment horizontal="center" vertical="center"/>
      <protection locked="0"/>
    </xf>
    <xf numFmtId="5" fontId="3" fillId="0" borderId="0" xfId="0" applyNumberFormat="1" applyFont="1" applyAlignment="1" applyProtection="1">
      <alignment horizontal="center" vertical="center"/>
      <protection locked="0"/>
    </xf>
    <xf numFmtId="5" fontId="2" fillId="0" borderId="0" xfId="0" applyNumberFormat="1" applyFont="1" applyBorder="1" applyAlignment="1" applyProtection="1">
      <alignment vertical="center"/>
      <protection locked="0"/>
    </xf>
    <xf numFmtId="10" fontId="2" fillId="0" borderId="0" xfId="0" applyNumberFormat="1" applyFont="1" applyBorder="1" applyAlignment="1" applyProtection="1">
      <alignment vertical="center"/>
      <protection locked="0"/>
    </xf>
    <xf numFmtId="10" fontId="2" fillId="0" borderId="0" xfId="0" applyNumberFormat="1" applyFont="1" applyAlignment="1" applyProtection="1">
      <alignment horizontal="center" vertical="center"/>
      <protection locked="0"/>
    </xf>
    <xf numFmtId="10" fontId="2" fillId="2" borderId="1" xfId="0" applyNumberFormat="1" applyFont="1" applyFill="1" applyBorder="1" applyAlignment="1" applyProtection="1">
      <alignment horizontal="right"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5" fontId="2" fillId="0" borderId="0"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Border="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6" fontId="2" fillId="0" borderId="1" xfId="0" applyNumberFormat="1" applyFont="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5" fontId="2" fillId="0" borderId="2" xfId="0" applyNumberFormat="1" applyFont="1" applyBorder="1" applyAlignment="1" applyProtection="1">
      <alignment horizontal="right" vertical="center"/>
      <protection locked="0"/>
    </xf>
    <xf numFmtId="165" fontId="2" fillId="0" borderId="0" xfId="0" applyNumberFormat="1" applyFont="1" applyBorder="1" applyAlignment="1" applyProtection="1">
      <alignment vertical="center"/>
      <protection locked="0"/>
    </xf>
    <xf numFmtId="165" fontId="2" fillId="3" borderId="2" xfId="0" applyNumberFormat="1" applyFont="1" applyFill="1" applyBorder="1" applyAlignment="1" applyProtection="1">
      <alignment vertical="center"/>
      <protection locked="0"/>
    </xf>
    <xf numFmtId="165" fontId="3" fillId="0" borderId="9" xfId="0" applyNumberFormat="1" applyFont="1" applyFill="1" applyBorder="1" applyAlignment="1">
      <alignment vertical="center"/>
    </xf>
    <xf numFmtId="165" fontId="3" fillId="0" borderId="68" xfId="0" applyNumberFormat="1" applyFont="1" applyFill="1" applyBorder="1" applyAlignment="1">
      <alignment vertical="center"/>
    </xf>
    <xf numFmtId="37" fontId="3" fillId="0" borderId="9" xfId="0" applyNumberFormat="1" applyFont="1" applyBorder="1" applyAlignment="1">
      <alignment vertical="center"/>
    </xf>
    <xf numFmtId="0" fontId="2" fillId="0" borderId="0" xfId="0" applyFont="1" applyAlignment="1">
      <alignment vertical="center"/>
    </xf>
    <xf numFmtId="166" fontId="2" fillId="0" borderId="11"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166" fontId="2" fillId="0" borderId="11" xfId="0" applyNumberFormat="1" applyFont="1" applyFill="1" applyBorder="1" applyAlignment="1">
      <alignment vertical="center"/>
    </xf>
    <xf numFmtId="166" fontId="2" fillId="0" borderId="9" xfId="0" applyNumberFormat="1" applyFont="1" applyBorder="1" applyAlignment="1">
      <alignment vertical="center"/>
    </xf>
    <xf numFmtId="171" fontId="2" fillId="0" borderId="9" xfId="0" applyNumberFormat="1" applyFont="1" applyBorder="1" applyAlignment="1">
      <alignment vertical="center"/>
    </xf>
    <xf numFmtId="0" fontId="2" fillId="0" borderId="0" xfId="0" applyFont="1" applyFill="1" applyAlignment="1">
      <alignment vertical="center"/>
    </xf>
    <xf numFmtId="165" fontId="2" fillId="0" borderId="9" xfId="0" applyNumberFormat="1" applyFont="1" applyFill="1" applyBorder="1" applyAlignment="1">
      <alignment vertical="center"/>
    </xf>
    <xf numFmtId="0" fontId="16" fillId="0" borderId="0" xfId="0" applyFont="1" applyFill="1" applyAlignment="1">
      <alignment vertical="center"/>
    </xf>
    <xf numFmtId="3" fontId="2" fillId="0" borderId="64" xfId="0" applyNumberFormat="1" applyFont="1" applyFill="1" applyBorder="1" applyAlignment="1">
      <alignment vertical="center"/>
    </xf>
    <xf numFmtId="3" fontId="3" fillId="0" borderId="64" xfId="0" applyNumberFormat="1" applyFont="1" applyBorder="1" applyAlignment="1">
      <alignment horizontal="right" vertical="center"/>
    </xf>
    <xf numFmtId="165" fontId="2" fillId="3" borderId="0" xfId="0" applyNumberFormat="1" applyFont="1" applyFill="1" applyAlignment="1">
      <alignment horizontal="left" vertical="center"/>
    </xf>
    <xf numFmtId="165" fontId="2" fillId="3" borderId="0" xfId="0" applyNumberFormat="1" applyFont="1" applyFill="1" applyAlignment="1">
      <alignment vertical="center"/>
    </xf>
    <xf numFmtId="0" fontId="2" fillId="0" borderId="0" xfId="0" applyFont="1" applyAlignment="1">
      <alignment horizontal="center" vertical="center"/>
    </xf>
    <xf numFmtId="165" fontId="2" fillId="0" borderId="0" xfId="0" applyNumberFormat="1" applyFont="1" applyBorder="1" applyAlignment="1">
      <alignment vertical="center"/>
    </xf>
    <xf numFmtId="0" fontId="2" fillId="0" borderId="0" xfId="0" applyFont="1" applyAlignment="1" applyProtection="1">
      <alignment horizontal="center"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6" fontId="2" fillId="3" borderId="65" xfId="0" applyNumberFormat="1" applyFont="1" applyFill="1" applyBorder="1" applyAlignment="1">
      <alignment vertical="center"/>
    </xf>
    <xf numFmtId="166" fontId="2" fillId="3" borderId="65" xfId="0" applyNumberFormat="1" applyFont="1" applyFill="1" applyBorder="1" applyAlignment="1">
      <alignment vertical="center"/>
    </xf>
    <xf numFmtId="41" fontId="2" fillId="0" borderId="65" xfId="0" applyNumberFormat="1" applyFont="1" applyBorder="1" applyAlignment="1">
      <alignment vertical="center"/>
    </xf>
    <xf numFmtId="165" fontId="2" fillId="0" borderId="0" xfId="0" applyNumberFormat="1" applyFont="1" applyAlignment="1">
      <alignment vertical="center"/>
    </xf>
    <xf numFmtId="165" fontId="6" fillId="0" borderId="0" xfId="0" applyNumberFormat="1" applyFont="1" applyFill="1" applyAlignment="1">
      <alignment horizontal="center" vertical="center"/>
    </xf>
    <xf numFmtId="165" fontId="2" fillId="3" borderId="0" xfId="0" applyNumberFormat="1" applyFont="1" applyFill="1" applyBorder="1" applyAlignment="1">
      <alignment vertical="center"/>
    </xf>
    <xf numFmtId="165" fontId="2" fillId="0" borderId="2" xfId="0" applyNumberFormat="1" applyFont="1" applyBorder="1" applyAlignment="1">
      <alignment vertical="center"/>
    </xf>
    <xf numFmtId="0" fontId="3" fillId="0" borderId="0" xfId="0" applyFont="1" applyBorder="1" applyAlignment="1">
      <alignment vertical="center"/>
    </xf>
    <xf numFmtId="166" fontId="3" fillId="0" borderId="0" xfId="0" applyNumberFormat="1" applyFont="1" applyBorder="1" applyAlignment="1">
      <alignment vertical="center"/>
    </xf>
    <xf numFmtId="166" fontId="3" fillId="0" borderId="0" xfId="0" applyNumberFormat="1" applyFont="1" applyAlignment="1">
      <alignment vertical="center"/>
    </xf>
    <xf numFmtId="165" fontId="2" fillId="0" borderId="0" xfId="0" applyNumberFormat="1" applyFont="1" applyFill="1" applyAlignment="1">
      <alignment vertical="center"/>
    </xf>
    <xf numFmtId="189" fontId="2" fillId="0" borderId="0" xfId="0" applyNumberFormat="1" applyFont="1" applyFill="1" applyAlignment="1">
      <alignment vertical="center"/>
    </xf>
    <xf numFmtId="166" fontId="2" fillId="0" borderId="0" xfId="0" applyNumberFormat="1" applyFont="1" applyFill="1" applyAlignment="1">
      <alignment vertical="center"/>
    </xf>
    <xf numFmtId="165" fontId="3" fillId="0" borderId="27" xfId="0" applyNumberFormat="1" applyFont="1" applyBorder="1" applyAlignment="1">
      <alignment vertical="center"/>
    </xf>
    <xf numFmtId="41" fontId="2" fillId="0" borderId="0" xfId="0" applyNumberFormat="1" applyFont="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Border="1" applyAlignment="1">
      <alignment vertical="center"/>
    </xf>
    <xf numFmtId="165" fontId="2" fillId="3" borderId="2" xfId="0" applyNumberFormat="1" applyFont="1" applyFill="1" applyBorder="1" applyAlignment="1">
      <alignment vertical="center"/>
    </xf>
    <xf numFmtId="165" fontId="2" fillId="0" borderId="11" xfId="0" applyNumberFormat="1" applyFont="1" applyBorder="1" applyAlignment="1">
      <alignment vertical="center"/>
    </xf>
    <xf numFmtId="37" fontId="3" fillId="0" borderId="7" xfId="0" applyNumberFormat="1" applyFont="1" applyBorder="1" applyAlignment="1">
      <alignment horizontal="center" vertical="center"/>
    </xf>
    <xf numFmtId="165" fontId="3" fillId="0" borderId="11" xfId="0" applyNumberFormat="1" applyFont="1" applyBorder="1" applyAlignment="1">
      <alignment vertical="center"/>
    </xf>
    <xf numFmtId="166" fontId="3" fillId="0" borderId="64" xfId="0" applyNumberFormat="1" applyFont="1" applyBorder="1" applyAlignment="1">
      <alignment vertical="center"/>
    </xf>
    <xf numFmtId="165" fontId="3" fillId="0" borderId="7" xfId="0" applyNumberFormat="1" applyFont="1" applyBorder="1" applyAlignment="1">
      <alignment vertical="center"/>
    </xf>
    <xf numFmtId="165" fontId="3"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64" xfId="0" applyNumberFormat="1" applyFont="1" applyFill="1" applyBorder="1" applyAlignment="1">
      <alignment vertical="center"/>
    </xf>
    <xf numFmtId="166" fontId="2" fillId="0" borderId="64" xfId="0" applyNumberFormat="1" applyFont="1" applyBorder="1" applyAlignment="1">
      <alignment vertical="center"/>
    </xf>
    <xf numFmtId="165" fontId="2" fillId="0" borderId="0" xfId="0" applyNumberFormat="1" applyFont="1" applyFill="1" applyAlignment="1" applyProtection="1">
      <alignment vertical="center"/>
      <protection locked="0"/>
    </xf>
    <xf numFmtId="165" fontId="2" fillId="0" borderId="4" xfId="0" applyNumberFormat="1" applyFont="1" applyBorder="1" applyAlignment="1">
      <alignment vertical="center"/>
    </xf>
    <xf numFmtId="166" fontId="2" fillId="0" borderId="0" xfId="0" applyNumberFormat="1" applyFont="1" applyBorder="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0" xfId="0" applyNumberFormat="1" applyFont="1" applyFill="1" applyBorder="1" applyAlignment="1" applyProtection="1">
      <alignment vertical="center"/>
      <protection locked="0"/>
    </xf>
    <xf numFmtId="10" fontId="2" fillId="2" borderId="1" xfId="0" applyNumberFormat="1" applyFont="1" applyFill="1" applyBorder="1" applyAlignment="1" applyProtection="1">
      <alignment horizontal="right" vertical="center"/>
    </xf>
    <xf numFmtId="165" fontId="2" fillId="0" borderId="4" xfId="0" applyNumberFormat="1" applyFont="1" applyBorder="1" applyAlignment="1">
      <alignment horizontal="right" vertical="center"/>
    </xf>
    <xf numFmtId="166" fontId="2" fillId="0" borderId="65"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165" fontId="2" fillId="0" borderId="0" xfId="0" applyNumberFormat="1" applyFont="1" applyBorder="1" applyAlignment="1">
      <alignment horizontal="right" vertical="center"/>
    </xf>
    <xf numFmtId="5" fontId="2" fillId="0" borderId="0" xfId="0" applyNumberFormat="1" applyFont="1" applyAlignment="1">
      <alignment horizontal="right" vertical="center"/>
    </xf>
    <xf numFmtId="166" fontId="2" fillId="4" borderId="0" xfId="0" applyNumberFormat="1" applyFont="1" applyFill="1" applyAlignment="1">
      <alignment horizontal="right" vertical="center"/>
    </xf>
    <xf numFmtId="165" fontId="2" fillId="0" borderId="27" xfId="0" applyNumberFormat="1" applyFont="1" applyBorder="1" applyAlignment="1">
      <alignment horizontal="right" vertical="center"/>
    </xf>
    <xf numFmtId="166" fontId="2" fillId="2" borderId="1" xfId="0" applyNumberFormat="1" applyFont="1" applyFill="1" applyBorder="1" applyAlignment="1">
      <alignment vertical="center"/>
    </xf>
    <xf numFmtId="165" fontId="2" fillId="0" borderId="27" xfId="0" applyNumberFormat="1" applyFont="1" applyBorder="1" applyAlignment="1">
      <alignment vertical="center"/>
    </xf>
    <xf numFmtId="5" fontId="2" fillId="0" borderId="0"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6" fontId="2" fillId="0" borderId="0" xfId="0" applyNumberFormat="1" applyFont="1" applyFill="1" applyBorder="1" applyAlignment="1">
      <alignment vertical="center"/>
    </xf>
    <xf numFmtId="166" fontId="2" fillId="0" borderId="64" xfId="0" applyNumberFormat="1" applyFont="1" applyFill="1" applyBorder="1" applyAlignment="1">
      <alignment vertical="center"/>
    </xf>
    <xf numFmtId="165" fontId="2" fillId="0" borderId="62" xfId="0" applyNumberFormat="1" applyFont="1" applyFill="1" applyBorder="1" applyAlignment="1">
      <alignment vertical="center"/>
    </xf>
    <xf numFmtId="165" fontId="2" fillId="0" borderId="23" xfId="0" applyNumberFormat="1" applyFont="1" applyFill="1" applyBorder="1" applyAlignment="1">
      <alignment vertical="center"/>
    </xf>
    <xf numFmtId="173" fontId="2" fillId="0" borderId="11" xfId="0" applyNumberFormat="1" applyFont="1" applyFill="1" applyBorder="1" applyAlignment="1">
      <alignment vertical="center"/>
    </xf>
    <xf numFmtId="173"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3" fillId="0" borderId="7" xfId="0" applyNumberFormat="1" applyFont="1" applyFill="1" applyBorder="1" applyAlignment="1">
      <alignment vertical="center"/>
    </xf>
    <xf numFmtId="165" fontId="3" fillId="0" borderId="70"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0" xfId="0" applyFont="1" applyBorder="1" applyAlignment="1">
      <alignment vertical="center"/>
    </xf>
    <xf numFmtId="173" fontId="3" fillId="0" borderId="0" xfId="0" applyNumberFormat="1" applyFont="1" applyFill="1" applyBorder="1" applyAlignment="1">
      <alignment vertical="center"/>
    </xf>
    <xf numFmtId="166" fontId="2" fillId="0" borderId="0" xfId="0" applyNumberFormat="1" applyFont="1" applyBorder="1" applyAlignment="1">
      <alignment vertical="center"/>
    </xf>
    <xf numFmtId="165" fontId="3" fillId="0" borderId="2" xfId="0" applyNumberFormat="1" applyFont="1" applyFill="1" applyBorder="1" applyAlignment="1">
      <alignment vertical="center"/>
    </xf>
    <xf numFmtId="165" fontId="3" fillId="0" borderId="70" xfId="0" applyNumberFormat="1" applyFont="1" applyBorder="1" applyAlignment="1">
      <alignment vertical="center"/>
    </xf>
    <xf numFmtId="165" fontId="3" fillId="0" borderId="26" xfId="0" applyNumberFormat="1" applyFont="1" applyFill="1" applyBorder="1" applyAlignment="1">
      <alignment vertical="center"/>
    </xf>
    <xf numFmtId="37" fontId="2" fillId="0" borderId="62" xfId="0" applyNumberFormat="1" applyFont="1" applyBorder="1" applyAlignment="1">
      <alignment vertical="center"/>
    </xf>
    <xf numFmtId="0" fontId="3" fillId="0" borderId="34" xfId="0" applyFont="1" applyBorder="1" applyAlignment="1">
      <alignment horizontal="center" vertical="center"/>
    </xf>
    <xf numFmtId="37" fontId="2" fillId="0" borderId="0" xfId="0" applyNumberFormat="1" applyFont="1" applyFill="1" applyBorder="1" applyAlignment="1">
      <alignment vertical="center"/>
    </xf>
    <xf numFmtId="37" fontId="2" fillId="0" borderId="0" xfId="0" applyNumberFormat="1" applyFont="1" applyBorder="1" applyAlignment="1">
      <alignment horizontal="center" vertical="center"/>
    </xf>
    <xf numFmtId="37" fontId="2" fillId="0" borderId="0" xfId="0" applyNumberFormat="1" applyFont="1" applyBorder="1" applyAlignment="1">
      <alignment vertical="center"/>
    </xf>
    <xf numFmtId="43" fontId="4" fillId="0" borderId="0" xfId="0" applyNumberFormat="1" applyFont="1" applyFill="1" applyBorder="1" applyAlignment="1">
      <alignment horizontal="right" vertical="center"/>
    </xf>
    <xf numFmtId="0" fontId="4" fillId="0" borderId="0" xfId="0" applyFont="1" applyBorder="1" applyAlignment="1">
      <alignment horizontal="left" vertical="center"/>
    </xf>
    <xf numFmtId="5" fontId="2" fillId="0" borderId="0" xfId="0" applyNumberFormat="1" applyFont="1" applyAlignment="1" applyProtection="1">
      <alignment vertical="center"/>
      <protection locked="0"/>
    </xf>
    <xf numFmtId="166" fontId="2" fillId="0" borderId="0" xfId="0" applyNumberFormat="1" applyFont="1" applyAlignment="1" applyProtection="1">
      <alignment vertical="center"/>
      <protection locked="0"/>
    </xf>
    <xf numFmtId="166" fontId="2" fillId="0" borderId="0" xfId="0" applyNumberFormat="1" applyFont="1" applyFill="1" applyBorder="1" applyAlignment="1" applyProtection="1">
      <alignment vertical="center"/>
      <protection locked="0"/>
    </xf>
    <xf numFmtId="165" fontId="2" fillId="0" borderId="0" xfId="0" applyNumberFormat="1" applyFont="1" applyBorder="1" applyAlignment="1" applyProtection="1">
      <alignment vertical="center"/>
      <protection locked="0"/>
    </xf>
    <xf numFmtId="10" fontId="2" fillId="0" borderId="2" xfId="0" applyNumberFormat="1" applyFont="1" applyBorder="1" applyAlignment="1" applyProtection="1">
      <alignment horizontal="right" vertical="center"/>
      <protection locked="0"/>
    </xf>
    <xf numFmtId="10" fontId="2" fillId="0" borderId="0" xfId="0" applyNumberFormat="1" applyFont="1" applyBorder="1" applyAlignment="1" applyProtection="1">
      <alignment vertical="center"/>
      <protection locked="0"/>
    </xf>
    <xf numFmtId="165" fontId="2" fillId="3" borderId="0" xfId="0" applyNumberFormat="1" applyFont="1" applyFill="1" applyBorder="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vertical="center"/>
      <protection locked="0"/>
    </xf>
    <xf numFmtId="10" fontId="2" fillId="2" borderId="65" xfId="0" applyNumberFormat="1" applyFont="1" applyFill="1" applyBorder="1" applyAlignment="1" applyProtection="1">
      <alignment horizontal="right" vertical="center"/>
      <protection locked="0"/>
    </xf>
    <xf numFmtId="10" fontId="2" fillId="0" borderId="0" xfId="0" applyNumberFormat="1" applyFont="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10" fontId="2" fillId="0" borderId="0" xfId="0" applyNumberFormat="1" applyFont="1" applyBorder="1" applyAlignment="1" applyProtection="1">
      <alignment horizontal="right" vertical="center"/>
      <protection locked="0"/>
    </xf>
    <xf numFmtId="166" fontId="2" fillId="0" borderId="0"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protection locked="0"/>
    </xf>
    <xf numFmtId="165" fontId="2" fillId="0" borderId="2"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vertical="center"/>
      <protection locked="0"/>
    </xf>
    <xf numFmtId="0" fontId="3" fillId="0" borderId="8" xfId="0" applyFont="1" applyFill="1" applyBorder="1" applyAlignment="1">
      <alignment vertical="center"/>
    </xf>
    <xf numFmtId="0" fontId="2" fillId="0" borderId="68" xfId="0" applyFont="1" applyBorder="1" applyAlignment="1">
      <alignment vertical="center"/>
    </xf>
    <xf numFmtId="165" fontId="16" fillId="0" borderId="11" xfId="0" applyNumberFormat="1" applyFont="1" applyFill="1" applyBorder="1" applyAlignment="1">
      <alignment vertical="center"/>
    </xf>
    <xf numFmtId="0" fontId="16" fillId="0" borderId="0" xfId="0"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16" fillId="0" borderId="11" xfId="0" applyFont="1" applyFill="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2" fillId="0" borderId="7" xfId="0" applyFont="1" applyBorder="1" applyAlignment="1">
      <alignment vertical="center"/>
    </xf>
    <xf numFmtId="166" fontId="2" fillId="0" borderId="64" xfId="0" applyNumberFormat="1" applyFont="1" applyBorder="1" applyAlignment="1">
      <alignment vertical="center"/>
    </xf>
    <xf numFmtId="10" fontId="2" fillId="0" borderId="15" xfId="0" applyNumberFormat="1" applyFont="1" applyBorder="1" applyAlignment="1">
      <alignment horizontal="center" vertical="center"/>
    </xf>
    <xf numFmtId="10" fontId="3" fillId="3" borderId="15"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2" fillId="0" borderId="16" xfId="0" applyNumberFormat="1" applyFont="1" applyFill="1" applyBorder="1" applyAlignment="1">
      <alignment horizontal="center" vertical="center"/>
    </xf>
    <xf numFmtId="0" fontId="2" fillId="0" borderId="0" xfId="0" applyFont="1" applyBorder="1" applyAlignment="1">
      <alignment horizontal="center"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5" fontId="2" fillId="0" borderId="1" xfId="0" applyNumberFormat="1" applyFont="1" applyBorder="1" applyAlignment="1">
      <alignment vertical="center"/>
    </xf>
    <xf numFmtId="10" fontId="2" fillId="3" borderId="16" xfId="0" applyNumberFormat="1" applyFont="1" applyFill="1" applyBorder="1" applyAlignment="1">
      <alignment horizontal="center" vertical="center"/>
    </xf>
    <xf numFmtId="10" fontId="2" fillId="3" borderId="12"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16" fillId="3" borderId="16" xfId="0" applyNumberFormat="1" applyFont="1" applyFill="1" applyBorder="1" applyAlignment="1">
      <alignment horizontal="center" vertical="center"/>
    </xf>
    <xf numFmtId="10" fontId="16" fillId="3" borderId="12" xfId="0" applyNumberFormat="1" applyFont="1" applyFill="1" applyBorder="1" applyAlignment="1">
      <alignment horizontal="center" vertical="center"/>
    </xf>
    <xf numFmtId="10" fontId="16" fillId="0" borderId="12" xfId="0" applyNumberFormat="1" applyFont="1" applyFill="1" applyBorder="1" applyAlignment="1">
      <alignment horizontal="center" vertical="center"/>
    </xf>
    <xf numFmtId="166" fontId="2" fillId="0" borderId="64" xfId="0" applyNumberFormat="1" applyFont="1" applyBorder="1" applyAlignment="1">
      <alignment vertical="center"/>
    </xf>
    <xf numFmtId="41" fontId="3"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0" fontId="3" fillId="0" borderId="11" xfId="0" applyFont="1" applyFill="1" applyBorder="1" applyAlignment="1">
      <alignment vertical="center"/>
    </xf>
    <xf numFmtId="0" fontId="3" fillId="0" borderId="64" xfId="0" applyFont="1" applyFill="1" applyBorder="1" applyAlignment="1">
      <alignment vertical="center"/>
    </xf>
    <xf numFmtId="165" fontId="2" fillId="0" borderId="11" xfId="0" applyNumberFormat="1" applyFont="1" applyBorder="1" applyAlignment="1">
      <alignment horizontal="center" vertical="center"/>
    </xf>
    <xf numFmtId="165" fontId="2" fillId="3" borderId="0" xfId="0" applyNumberFormat="1" applyFont="1" applyFill="1" applyAlignment="1" applyProtection="1">
      <alignment vertical="center"/>
      <protection locked="0"/>
    </xf>
    <xf numFmtId="165" fontId="2" fillId="0" borderId="0" xfId="0" applyNumberFormat="1" applyFont="1" applyFill="1" applyAlignment="1" applyProtection="1">
      <alignment vertical="center"/>
      <protection locked="0"/>
    </xf>
    <xf numFmtId="166" fontId="2" fillId="0" borderId="0" xfId="0" applyNumberFormat="1" applyFont="1" applyFill="1" applyAlignment="1" applyProtection="1">
      <alignment vertical="center"/>
      <protection locked="0"/>
    </xf>
    <xf numFmtId="166" fontId="2" fillId="0" borderId="4"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0" fontId="2" fillId="0" borderId="23" xfId="0" applyFont="1" applyBorder="1" applyAlignment="1">
      <alignment vertical="center"/>
    </xf>
    <xf numFmtId="0" fontId="2" fillId="0" borderId="0" xfId="0" applyFont="1" applyAlignment="1" applyProtection="1">
      <alignment horizontal="center" vertical="center"/>
    </xf>
    <xf numFmtId="165" fontId="2" fillId="3" borderId="1"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vertical="center"/>
      <protection locked="0"/>
    </xf>
    <xf numFmtId="165" fontId="2" fillId="0" borderId="0" xfId="0" applyNumberFormat="1" applyFont="1" applyAlignment="1">
      <alignment horizontal="right" vertical="center"/>
    </xf>
    <xf numFmtId="10" fontId="2" fillId="3" borderId="1" xfId="0" applyNumberFormat="1" applyFont="1" applyFill="1" applyBorder="1" applyAlignment="1">
      <alignment vertical="center"/>
    </xf>
    <xf numFmtId="165" fontId="3" fillId="0" borderId="0" xfId="0" applyNumberFormat="1" applyFont="1" applyFill="1" applyAlignment="1" applyProtection="1">
      <alignment vertical="center"/>
      <protection locked="0"/>
    </xf>
    <xf numFmtId="10" fontId="2" fillId="0" borderId="1" xfId="0" applyNumberFormat="1" applyFont="1" applyFill="1" applyBorder="1" applyAlignment="1">
      <alignment vertical="center"/>
    </xf>
    <xf numFmtId="10" fontId="2" fillId="0" borderId="0" xfId="0" applyNumberFormat="1" applyFont="1" applyBorder="1" applyAlignment="1">
      <alignment vertical="center"/>
    </xf>
    <xf numFmtId="165" fontId="2" fillId="0" borderId="2" xfId="0" applyNumberFormat="1" applyFont="1" applyBorder="1" applyAlignment="1" applyProtection="1">
      <alignment horizontal="right" vertical="center"/>
      <protection locked="0"/>
    </xf>
    <xf numFmtId="166" fontId="31" fillId="0" borderId="7" xfId="0" applyNumberFormat="1" applyFont="1" applyBorder="1" applyAlignment="1">
      <alignment vertical="center"/>
    </xf>
    <xf numFmtId="166" fontId="3" fillId="0" borderId="64" xfId="0" applyNumberFormat="1" applyFont="1" applyBorder="1" applyAlignment="1">
      <alignment vertical="center"/>
    </xf>
    <xf numFmtId="166" fontId="3" fillId="0" borderId="7" xfId="0" applyNumberFormat="1" applyFont="1" applyBorder="1" applyAlignment="1">
      <alignment vertical="center"/>
    </xf>
    <xf numFmtId="166" fontId="3" fillId="0" borderId="7"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5" fontId="2" fillId="0" borderId="0" xfId="0" applyNumberFormat="1" applyFont="1" applyFill="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2" xfId="0" applyNumberFormat="1" applyFont="1" applyBorder="1" applyAlignment="1" applyProtection="1">
      <alignment vertical="center"/>
      <protection locked="0"/>
    </xf>
    <xf numFmtId="165" fontId="2" fillId="0" borderId="5" xfId="0" applyNumberFormat="1" applyFont="1" applyBorder="1" applyAlignment="1">
      <alignment vertical="center"/>
    </xf>
    <xf numFmtId="165" fontId="2" fillId="0" borderId="31" xfId="0" applyNumberFormat="1" applyFont="1" applyBorder="1" applyAlignment="1">
      <alignment vertical="center"/>
    </xf>
    <xf numFmtId="166" fontId="2" fillId="0" borderId="69" xfId="0" applyNumberFormat="1" applyFont="1" applyBorder="1" applyAlignment="1">
      <alignment vertical="center"/>
    </xf>
    <xf numFmtId="166" fontId="2" fillId="0" borderId="82" xfId="0" applyNumberFormat="1" applyFont="1" applyBorder="1" applyAlignment="1">
      <alignment vertical="center"/>
    </xf>
    <xf numFmtId="166" fontId="3" fillId="0" borderId="64" xfId="0" applyNumberFormat="1" applyFont="1" applyFill="1" applyBorder="1" applyAlignment="1">
      <alignment vertical="center"/>
    </xf>
    <xf numFmtId="166" fontId="3" fillId="0" borderId="68" xfId="0" applyNumberFormat="1" applyFont="1" applyFill="1" applyBorder="1" applyAlignment="1">
      <alignment vertical="center"/>
    </xf>
    <xf numFmtId="166" fontId="3" fillId="0" borderId="80"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9" xfId="0" applyNumberFormat="1" applyFont="1" applyBorder="1" applyAlignment="1">
      <alignment vertical="center"/>
    </xf>
    <xf numFmtId="166" fontId="2" fillId="0" borderId="5" xfId="0" applyNumberFormat="1" applyFont="1" applyFill="1" applyBorder="1" applyAlignment="1">
      <alignment vertical="center"/>
    </xf>
    <xf numFmtId="166" fontId="2" fillId="0" borderId="5" xfId="0" applyNumberFormat="1" applyFont="1" applyFill="1" applyBorder="1" applyAlignment="1">
      <alignment vertical="center" wrapText="1"/>
    </xf>
    <xf numFmtId="166" fontId="2" fillId="0" borderId="69" xfId="0" applyNumberFormat="1" applyFont="1" applyFill="1" applyBorder="1" applyAlignment="1">
      <alignment vertical="center"/>
    </xf>
    <xf numFmtId="166" fontId="2" fillId="0" borderId="82" xfId="0" applyNumberFormat="1" applyFont="1" applyFill="1" applyBorder="1" applyAlignment="1">
      <alignment vertical="center"/>
    </xf>
    <xf numFmtId="166" fontId="3" fillId="0" borderId="82" xfId="0" applyNumberFormat="1" applyFont="1" applyFill="1" applyBorder="1" applyAlignment="1">
      <alignment vertical="center"/>
    </xf>
    <xf numFmtId="165" fontId="3" fillId="0" borderId="84" xfId="0" applyNumberFormat="1" applyFont="1" applyFill="1" applyBorder="1" applyAlignment="1">
      <alignment vertical="center"/>
    </xf>
    <xf numFmtId="166" fontId="2" fillId="0" borderId="22" xfId="0" applyNumberFormat="1" applyFont="1" applyFill="1" applyBorder="1" applyAlignment="1">
      <alignment vertical="center"/>
    </xf>
    <xf numFmtId="166" fontId="2" fillId="0" borderId="18" xfId="0" applyNumberFormat="1" applyFont="1" applyBorder="1" applyAlignment="1">
      <alignment vertical="center"/>
    </xf>
    <xf numFmtId="166" fontId="2" fillId="0" borderId="31" xfId="0" applyNumberFormat="1" applyFont="1" applyBorder="1" applyAlignment="1">
      <alignment vertical="center"/>
    </xf>
    <xf numFmtId="0" fontId="2" fillId="0" borderId="23" xfId="0" applyFont="1" applyBorder="1" applyAlignment="1">
      <alignment vertical="center"/>
    </xf>
    <xf numFmtId="0" fontId="3" fillId="0" borderId="37" xfId="0" applyFont="1" applyBorder="1" applyAlignment="1">
      <alignment horizontal="center" vertical="center"/>
    </xf>
    <xf numFmtId="166" fontId="2" fillId="0" borderId="83" xfId="0" applyNumberFormat="1" applyFont="1" applyBorder="1" applyAlignment="1">
      <alignment vertical="center"/>
    </xf>
    <xf numFmtId="165" fontId="2" fillId="0" borderId="16"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5" fontId="2" fillId="3" borderId="65" xfId="0" applyNumberFormat="1" applyFont="1" applyFill="1" applyBorder="1" applyAlignment="1" applyProtection="1">
      <alignment vertical="center"/>
      <protection locked="0"/>
    </xf>
    <xf numFmtId="166" fontId="2" fillId="0" borderId="0" xfId="0" applyNumberFormat="1" applyFont="1" applyFill="1" applyAlignment="1" applyProtection="1">
      <alignment vertical="center"/>
      <protection locked="0"/>
    </xf>
    <xf numFmtId="165" fontId="2" fillId="0" borderId="27" xfId="0" applyNumberFormat="1" applyFont="1" applyBorder="1" applyAlignment="1" applyProtection="1">
      <alignment vertical="center"/>
    </xf>
    <xf numFmtId="10" fontId="2" fillId="3" borderId="2" xfId="0" applyNumberFormat="1" applyFont="1" applyFill="1" applyBorder="1" applyAlignment="1">
      <alignment vertical="center"/>
    </xf>
    <xf numFmtId="0" fontId="2" fillId="0" borderId="0" xfId="0" quotePrefix="1"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right" vertical="center"/>
    </xf>
    <xf numFmtId="10" fontId="2" fillId="0" borderId="1" xfId="0" applyNumberFormat="1" applyFont="1" applyBorder="1" applyAlignment="1">
      <alignment horizontal="right" vertical="center"/>
    </xf>
    <xf numFmtId="10" fontId="2" fillId="0" borderId="0" xfId="0" applyNumberFormat="1" applyFont="1" applyFill="1" applyAlignment="1">
      <alignment horizontal="right" vertical="center"/>
    </xf>
    <xf numFmtId="10" fontId="2" fillId="0" borderId="0" xfId="0" applyNumberFormat="1" applyFont="1" applyFill="1" applyAlignment="1">
      <alignment horizontal="right" vertical="center"/>
    </xf>
    <xf numFmtId="10" fontId="2" fillId="0" borderId="1" xfId="0" applyNumberFormat="1" applyFont="1" applyFill="1" applyBorder="1" applyAlignment="1">
      <alignment horizontal="right" vertical="center"/>
    </xf>
    <xf numFmtId="10" fontId="2" fillId="0" borderId="0" xfId="0" applyNumberFormat="1" applyFont="1" applyFill="1" applyBorder="1" applyAlignment="1">
      <alignment vertical="center"/>
    </xf>
    <xf numFmtId="165" fontId="2" fillId="0" borderId="27" xfId="0" applyNumberFormat="1" applyFont="1" applyFill="1" applyBorder="1" applyAlignment="1">
      <alignment vertical="center"/>
    </xf>
    <xf numFmtId="10" fontId="2" fillId="0" borderId="2" xfId="0" applyNumberFormat="1" applyFont="1" applyFill="1" applyBorder="1" applyAlignment="1">
      <alignment horizontal="right" vertical="center"/>
    </xf>
    <xf numFmtId="165" fontId="2" fillId="0" borderId="27" xfId="0" applyNumberFormat="1" applyFont="1" applyBorder="1" applyAlignment="1">
      <alignment vertical="center"/>
    </xf>
    <xf numFmtId="10" fontId="2" fillId="2" borderId="0" xfId="0" applyNumberFormat="1" applyFont="1" applyFill="1" applyAlignment="1">
      <alignment horizontal="right" vertical="center"/>
    </xf>
    <xf numFmtId="165" fontId="2" fillId="2" borderId="0" xfId="0" applyNumberFormat="1" applyFont="1" applyFill="1" applyAlignment="1">
      <alignment horizontal="center" vertical="center"/>
    </xf>
    <xf numFmtId="165" fontId="2" fillId="3" borderId="0" xfId="0" applyNumberFormat="1" applyFont="1" applyFill="1" applyAlignment="1">
      <alignment horizontal="center" vertical="center"/>
    </xf>
    <xf numFmtId="0" fontId="2" fillId="3" borderId="65" xfId="0" applyNumberFormat="1" applyFont="1" applyFill="1" applyBorder="1" applyAlignment="1">
      <alignment horizontal="right" vertical="center"/>
    </xf>
    <xf numFmtId="167" fontId="2" fillId="0" borderId="0" xfId="0" applyNumberFormat="1" applyFont="1" applyAlignment="1">
      <alignment horizontal="right" vertical="center"/>
    </xf>
    <xf numFmtId="182" fontId="2" fillId="0" borderId="0" xfId="0" applyNumberFormat="1" applyFont="1" applyAlignment="1">
      <alignment horizontal="center" vertical="center"/>
    </xf>
    <xf numFmtId="165" fontId="2" fillId="0" borderId="0" xfId="0" applyNumberFormat="1" applyFont="1" applyFill="1" applyAlignment="1">
      <alignment horizontal="center" vertical="center"/>
    </xf>
    <xf numFmtId="165" fontId="2" fillId="0" borderId="0" xfId="0" applyNumberFormat="1" applyFont="1" applyFill="1" applyAlignment="1">
      <alignment horizontal="right" vertical="center"/>
    </xf>
    <xf numFmtId="167" fontId="2" fillId="0" borderId="0" xfId="0" applyNumberFormat="1" applyFont="1" applyFill="1" applyAlignment="1">
      <alignment horizontal="right" vertical="center"/>
    </xf>
    <xf numFmtId="9" fontId="2" fillId="0" borderId="0" xfId="0" applyNumberFormat="1" applyFont="1" applyAlignment="1">
      <alignment horizontal="right" vertical="center"/>
    </xf>
    <xf numFmtId="167" fontId="2" fillId="0" borderId="65" xfId="0" applyNumberFormat="1" applyFont="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Border="1" applyAlignment="1">
      <alignment horizontal="right" vertical="center"/>
    </xf>
    <xf numFmtId="165" fontId="2" fillId="4" borderId="0" xfId="0" applyNumberFormat="1" applyFont="1" applyFill="1" applyAlignment="1">
      <alignment horizontal="right" vertical="center"/>
    </xf>
    <xf numFmtId="9" fontId="2" fillId="2" borderId="65" xfId="0" applyNumberFormat="1" applyFont="1" applyFill="1" applyBorder="1" applyAlignment="1">
      <alignment horizontal="right" vertical="center"/>
    </xf>
    <xf numFmtId="10" fontId="2" fillId="0" borderId="0" xfId="0" applyNumberFormat="1" applyFont="1" applyFill="1" applyBorder="1" applyAlignment="1">
      <alignment horizontal="right" vertical="center"/>
    </xf>
    <xf numFmtId="10" fontId="2" fillId="2" borderId="65"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18" fillId="0" borderId="84" xfId="0" applyNumberFormat="1" applyFont="1" applyBorder="1" applyAlignment="1">
      <alignment vertical="center"/>
    </xf>
    <xf numFmtId="165" fontId="16" fillId="0" borderId="11" xfId="0" applyNumberFormat="1" applyFont="1" applyBorder="1" applyAlignment="1">
      <alignment vertical="center"/>
    </xf>
    <xf numFmtId="6" fontId="16" fillId="0" borderId="11" xfId="0" applyNumberFormat="1" applyFont="1" applyBorder="1" applyAlignment="1">
      <alignment vertical="center"/>
    </xf>
    <xf numFmtId="10" fontId="16" fillId="0" borderId="64" xfId="0" applyNumberFormat="1" applyFont="1" applyBorder="1" applyAlignment="1">
      <alignment vertical="center"/>
    </xf>
    <xf numFmtId="10" fontId="16" fillId="0" borderId="11" xfId="0" applyNumberFormat="1" applyFont="1" applyBorder="1" applyAlignment="1">
      <alignment vertical="center"/>
    </xf>
    <xf numFmtId="165" fontId="16" fillId="0" borderId="70" xfId="0" applyNumberFormat="1" applyFont="1" applyBorder="1" applyAlignment="1">
      <alignment vertical="center"/>
    </xf>
    <xf numFmtId="165" fontId="2" fillId="3" borderId="2" xfId="0" applyNumberFormat="1" applyFont="1" applyFill="1" applyBorder="1" applyAlignment="1">
      <alignment vertical="center"/>
    </xf>
    <xf numFmtId="165" fontId="16" fillId="2" borderId="0" xfId="0" applyNumberFormat="1" applyFont="1" applyFill="1" applyAlignment="1">
      <alignment vertical="center"/>
    </xf>
    <xf numFmtId="165" fontId="16" fillId="0" borderId="0" xfId="0" applyNumberFormat="1" applyFont="1" applyFill="1" applyAlignment="1">
      <alignment horizontal="right" vertical="center"/>
    </xf>
    <xf numFmtId="165" fontId="16" fillId="0" borderId="0" xfId="0" applyNumberFormat="1" applyFont="1" applyFill="1" applyAlignment="1">
      <alignment vertical="center"/>
    </xf>
    <xf numFmtId="165" fontId="2" fillId="0" borderId="0" xfId="0" applyNumberFormat="1" applyFont="1" applyFill="1" applyBorder="1" applyAlignment="1">
      <alignment horizontal="righ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5" fontId="16" fillId="0" borderId="0" xfId="0" applyNumberFormat="1" applyFont="1" applyAlignment="1">
      <alignment horizontal="right" vertical="center"/>
    </xf>
    <xf numFmtId="166" fontId="16" fillId="0" borderId="0" xfId="0" applyNumberFormat="1" applyFont="1" applyFill="1" applyAlignment="1">
      <alignment horizontal="right" vertical="center"/>
    </xf>
    <xf numFmtId="166" fontId="2" fillId="0" borderId="0" xfId="0" applyNumberFormat="1" applyFont="1" applyFill="1" applyBorder="1" applyAlignment="1">
      <alignment horizontal="right" vertical="center"/>
    </xf>
    <xf numFmtId="166"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65" xfId="0" applyNumberFormat="1" applyFont="1" applyFill="1" applyBorder="1" applyAlignment="1">
      <alignment horizontal="right" vertical="center"/>
    </xf>
    <xf numFmtId="166" fontId="16" fillId="0" borderId="65" xfId="0" applyNumberFormat="1" applyFont="1" applyFill="1" applyBorder="1" applyAlignment="1">
      <alignment vertical="center"/>
    </xf>
    <xf numFmtId="165" fontId="16" fillId="0" borderId="27" xfId="0" applyNumberFormat="1" applyFont="1" applyFill="1" applyBorder="1" applyAlignment="1">
      <alignment vertical="center"/>
    </xf>
    <xf numFmtId="165" fontId="16" fillId="3" borderId="27" xfId="0" applyNumberFormat="1" applyFont="1" applyFill="1" applyBorder="1" applyAlignment="1">
      <alignment vertical="center"/>
    </xf>
    <xf numFmtId="188" fontId="16" fillId="0" borderId="27" xfId="0" applyNumberFormat="1" applyFont="1" applyBorder="1" applyAlignment="1">
      <alignment vertical="center"/>
    </xf>
    <xf numFmtId="188" fontId="16" fillId="0" borderId="0" xfId="0" applyNumberFormat="1" applyFont="1" applyAlignment="1">
      <alignment vertical="center"/>
    </xf>
    <xf numFmtId="165" fontId="2" fillId="3" borderId="0" xfId="0" applyNumberFormat="1" applyFont="1" applyFill="1" applyBorder="1" applyAlignment="1">
      <alignment horizontal="right" vertical="center"/>
    </xf>
    <xf numFmtId="10" fontId="16" fillId="2" borderId="0" xfId="0" applyNumberFormat="1" applyFont="1" applyFill="1" applyAlignment="1">
      <alignment vertical="center"/>
    </xf>
    <xf numFmtId="185" fontId="2" fillId="0" borderId="0" xfId="0" applyNumberFormat="1" applyFont="1" applyFill="1" applyAlignment="1">
      <alignment horizontal="right" vertical="center"/>
    </xf>
    <xf numFmtId="185" fontId="2" fillId="0" borderId="65" xfId="0" applyNumberFormat="1" applyFont="1" applyFill="1" applyBorder="1" applyAlignment="1">
      <alignment horizontal="right" vertical="center"/>
    </xf>
    <xf numFmtId="10" fontId="16" fillId="2" borderId="65" xfId="0" applyNumberFormat="1" applyFont="1" applyFill="1" applyBorder="1" applyAlignment="1">
      <alignment vertical="center"/>
    </xf>
    <xf numFmtId="10" fontId="16" fillId="0" borderId="0" xfId="0" applyNumberFormat="1" applyFont="1" applyFill="1" applyAlignment="1">
      <alignment vertical="center"/>
    </xf>
    <xf numFmtId="187" fontId="16" fillId="0" borderId="0" xfId="0" applyNumberFormat="1" applyFont="1" applyFill="1" applyAlignment="1">
      <alignment horizontal="right" vertical="center"/>
    </xf>
    <xf numFmtId="165" fontId="16" fillId="0" borderId="27" xfId="0" applyNumberFormat="1" applyFont="1" applyFill="1" applyBorder="1" applyAlignment="1">
      <alignment horizontal="right" vertical="center"/>
    </xf>
    <xf numFmtId="10" fontId="16" fillId="2" borderId="0" xfId="0" applyNumberFormat="1" applyFont="1" applyFill="1" applyBorder="1" applyAlignment="1">
      <alignmen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0" fontId="16" fillId="0" borderId="0" xfId="0" applyNumberFormat="1" applyFont="1" applyFill="1" applyBorder="1" applyAlignment="1">
      <alignment vertical="center"/>
    </xf>
    <xf numFmtId="166" fontId="2" fillId="0" borderId="0" xfId="0" quotePrefix="1" applyNumberFormat="1" applyFont="1" applyAlignment="1">
      <alignment horizontal="center" vertical="center"/>
    </xf>
    <xf numFmtId="10" fontId="16" fillId="0" borderId="65" xfId="0" applyNumberFormat="1" applyFont="1" applyFill="1" applyBorder="1" applyAlignment="1">
      <alignment vertical="center"/>
    </xf>
    <xf numFmtId="166" fontId="2" fillId="0" borderId="65" xfId="0" quotePrefix="1" applyNumberFormat="1" applyFont="1" applyBorder="1" applyAlignment="1">
      <alignment horizontal="center" vertical="center"/>
    </xf>
    <xf numFmtId="185" fontId="16" fillId="0" borderId="0" xfId="0" quotePrefix="1" applyNumberFormat="1" applyFont="1" applyFill="1" applyAlignment="1">
      <alignment horizontal="center" vertical="center"/>
    </xf>
    <xf numFmtId="187" fontId="16" fillId="0" borderId="0" xfId="0" quotePrefix="1" applyNumberFormat="1" applyFont="1" applyFill="1" applyAlignment="1">
      <alignment horizontal="center" vertical="center"/>
    </xf>
    <xf numFmtId="187" fontId="16" fillId="0" borderId="0" xfId="0" applyNumberFormat="1" applyFont="1" applyFill="1" applyAlignment="1">
      <alignment vertical="center"/>
    </xf>
    <xf numFmtId="187" fontId="16" fillId="0" borderId="0" xfId="0" applyNumberFormat="1" applyFont="1" applyFill="1" applyBorder="1" applyAlignment="1">
      <alignment vertical="center"/>
    </xf>
    <xf numFmtId="166" fontId="16" fillId="2" borderId="65" xfId="0" applyNumberFormat="1" applyFont="1" applyFill="1" applyBorder="1" applyAlignment="1">
      <alignmen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0" borderId="0" xfId="0" applyNumberFormat="1" applyFont="1" applyFill="1" applyAlignment="1">
      <alignment vertical="center"/>
    </xf>
    <xf numFmtId="166" fontId="2" fillId="0" borderId="0" xfId="0" applyNumberFormat="1" applyFont="1" applyFill="1" applyAlignment="1" applyProtection="1">
      <alignment horizontal="center" vertical="center"/>
    </xf>
    <xf numFmtId="166" fontId="2" fillId="0"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65"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0" fontId="2" fillId="0" borderId="0" xfId="0" applyFont="1" applyFill="1" applyAlignment="1">
      <alignment horizontal="center" vertical="center"/>
    </xf>
    <xf numFmtId="43" fontId="2" fillId="0"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protection locked="0"/>
    </xf>
    <xf numFmtId="166" fontId="2" fillId="2" borderId="65" xfId="0" applyNumberFormat="1" applyFont="1" applyFill="1" applyBorder="1" applyAlignment="1" applyProtection="1">
      <alignment horizontal="right" vertical="center"/>
      <protection locked="0"/>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2" borderId="65" xfId="0" applyNumberFormat="1" applyFont="1" applyFill="1" applyBorder="1" applyAlignment="1" applyProtection="1">
      <alignment horizontal="center"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6" fontId="2" fillId="0" borderId="65" xfId="0" applyNumberFormat="1" applyFont="1" applyFill="1" applyBorder="1" applyAlignment="1" applyProtection="1">
      <alignment horizontal="right" vertical="center"/>
    </xf>
    <xf numFmtId="165" fontId="2" fillId="0" borderId="67" xfId="0" applyNumberFormat="1" applyFont="1" applyBorder="1" applyAlignment="1" applyProtection="1">
      <alignment vertical="center"/>
      <protection locked="0"/>
    </xf>
    <xf numFmtId="165" fontId="2" fillId="0" borderId="21" xfId="0" applyNumberFormat="1" applyFont="1" applyFill="1" applyBorder="1" applyAlignment="1">
      <alignment vertical="center"/>
    </xf>
    <xf numFmtId="166" fontId="2" fillId="0" borderId="43" xfId="0" applyNumberFormat="1" applyFont="1" applyBorder="1" applyAlignment="1">
      <alignment vertical="center"/>
    </xf>
    <xf numFmtId="166" fontId="2" fillId="0" borderId="0"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3" fillId="0" borderId="77" xfId="0" applyNumberFormat="1" applyFont="1" applyFill="1" applyBorder="1" applyAlignment="1">
      <alignment vertical="center"/>
    </xf>
    <xf numFmtId="165" fontId="3" fillId="0" borderId="43" xfId="0" applyNumberFormat="1" applyFont="1" applyFill="1" applyBorder="1" applyAlignment="1">
      <alignment vertical="center"/>
    </xf>
    <xf numFmtId="165" fontId="3" fillId="0" borderId="43" xfId="0" applyNumberFormat="1" applyFont="1" applyBorder="1" applyAlignment="1">
      <alignment vertical="center"/>
    </xf>
    <xf numFmtId="39" fontId="3" fillId="0" borderId="43" xfId="0" applyNumberFormat="1" applyFont="1" applyFill="1" applyBorder="1" applyAlignment="1">
      <alignment vertical="center"/>
    </xf>
    <xf numFmtId="39" fontId="3" fillId="0" borderId="0" xfId="0" applyNumberFormat="1" applyFont="1" applyBorder="1" applyAlignment="1">
      <alignment vertical="center"/>
    </xf>
    <xf numFmtId="39" fontId="3" fillId="0" borderId="43" xfId="0" applyNumberFormat="1" applyFont="1" applyBorder="1" applyAlignment="1">
      <alignment vertical="center"/>
    </xf>
    <xf numFmtId="39" fontId="3" fillId="0" borderId="22" xfId="0" applyNumberFormat="1" applyFont="1" applyBorder="1" applyAlignment="1">
      <alignment vertical="center"/>
    </xf>
    <xf numFmtId="10" fontId="3" fillId="0" borderId="43" xfId="0" applyNumberFormat="1" applyFont="1" applyBorder="1" applyAlignment="1">
      <alignment vertical="center"/>
    </xf>
    <xf numFmtId="10" fontId="3" fillId="0" borderId="22" xfId="0" applyNumberFormat="1" applyFont="1" applyBorder="1" applyAlignment="1">
      <alignment vertical="center"/>
    </xf>
    <xf numFmtId="16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66" fontId="2" fillId="0" borderId="9" xfId="0" applyNumberFormat="1" applyFont="1" applyBorder="1" applyAlignment="1">
      <alignment horizontal="center" vertical="center"/>
    </xf>
    <xf numFmtId="165" fontId="2" fillId="0" borderId="9" xfId="0" applyNumberFormat="1" applyFont="1" applyBorder="1" applyAlignment="1">
      <alignment vertical="center"/>
    </xf>
    <xf numFmtId="166" fontId="2" fillId="0" borderId="64" xfId="0" applyNumberFormat="1" applyFont="1" applyBorder="1" applyAlignment="1">
      <alignment vertical="center"/>
    </xf>
    <xf numFmtId="166" fontId="2" fillId="0" borderId="68" xfId="0" applyNumberFormat="1" applyFont="1" applyBorder="1" applyAlignment="1">
      <alignment vertical="center"/>
    </xf>
    <xf numFmtId="166" fontId="2" fillId="0" borderId="68" xfId="0" applyNumberFormat="1" applyFont="1" applyBorder="1" applyAlignment="1">
      <alignment vertical="center"/>
    </xf>
    <xf numFmtId="165" fontId="2" fillId="0" borderId="64" xfId="0" applyNumberFormat="1" applyFont="1" applyBorder="1" applyAlignment="1">
      <alignment vertical="center"/>
    </xf>
    <xf numFmtId="165" fontId="2" fillId="0" borderId="70" xfId="0" applyNumberFormat="1" applyFont="1" applyBorder="1" applyAlignment="1">
      <alignment vertical="center"/>
    </xf>
    <xf numFmtId="10" fontId="2" fillId="0" borderId="70" xfId="0" applyNumberFormat="1" applyFont="1" applyBorder="1" applyAlignment="1">
      <alignment vertical="center"/>
    </xf>
    <xf numFmtId="165" fontId="2" fillId="3" borderId="30"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1" xfId="0" applyNumberFormat="1" applyFont="1" applyBorder="1" applyAlignment="1">
      <alignment vertical="center"/>
    </xf>
    <xf numFmtId="165" fontId="2" fillId="0" borderId="5" xfId="0" applyNumberFormat="1" applyFont="1" applyBorder="1" applyAlignment="1">
      <alignment vertical="center"/>
    </xf>
    <xf numFmtId="165" fontId="2" fillId="0" borderId="30" xfId="0" applyNumberFormat="1" applyFont="1" applyBorder="1" applyAlignment="1">
      <alignment vertical="center"/>
    </xf>
    <xf numFmtId="166" fontId="2" fillId="3" borderId="30"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31" xfId="0" applyNumberFormat="1" applyFont="1" applyBorder="1" applyAlignment="1">
      <alignment vertical="center"/>
    </xf>
    <xf numFmtId="166" fontId="2" fillId="3" borderId="78"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2" xfId="0" applyNumberFormat="1" applyFont="1" applyBorder="1" applyAlignment="1">
      <alignment vertical="center"/>
    </xf>
    <xf numFmtId="166" fontId="2" fillId="0" borderId="66" xfId="0" applyNumberFormat="1" applyFont="1" applyBorder="1" applyAlignment="1">
      <alignment vertical="center"/>
    </xf>
    <xf numFmtId="166" fontId="2" fillId="0" borderId="25" xfId="0" applyNumberFormat="1" applyFont="1" applyBorder="1" applyAlignment="1">
      <alignment vertical="center"/>
    </xf>
    <xf numFmtId="166" fontId="2" fillId="3" borderId="18"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8" xfId="0" applyNumberFormat="1" applyFont="1" applyBorder="1" applyAlignment="1">
      <alignment vertical="center"/>
    </xf>
    <xf numFmtId="166" fontId="2" fillId="0" borderId="18" xfId="0" applyNumberFormat="1" applyFont="1" applyBorder="1" applyAlignment="1">
      <alignment vertical="center"/>
    </xf>
    <xf numFmtId="166" fontId="2" fillId="0" borderId="29" xfId="0" applyNumberFormat="1" applyFont="1" applyBorder="1" applyAlignment="1">
      <alignment vertical="center"/>
    </xf>
    <xf numFmtId="166" fontId="2" fillId="0" borderId="33" xfId="0" applyNumberFormat="1" applyFont="1" applyBorder="1" applyAlignment="1">
      <alignment vertical="center"/>
    </xf>
    <xf numFmtId="166" fontId="2" fillId="0" borderId="22" xfId="0" applyNumberFormat="1" applyFont="1" applyBorder="1" applyAlignment="1">
      <alignment vertical="center"/>
    </xf>
    <xf numFmtId="165" fontId="3" fillId="0" borderId="51" xfId="0" applyNumberFormat="1" applyFont="1" applyBorder="1" applyAlignment="1">
      <alignment vertical="center"/>
    </xf>
    <xf numFmtId="165" fontId="3" fillId="0" borderId="40" xfId="0" applyNumberFormat="1" applyFont="1" applyBorder="1" applyAlignment="1">
      <alignment vertical="center"/>
    </xf>
    <xf numFmtId="165" fontId="3" fillId="0" borderId="39" xfId="0" applyNumberFormat="1" applyFont="1" applyBorder="1" applyAlignment="1">
      <alignment vertical="center"/>
    </xf>
    <xf numFmtId="165" fontId="3" fillId="0" borderId="41" xfId="0" applyNumberFormat="1" applyFont="1" applyBorder="1" applyAlignment="1">
      <alignment vertical="center"/>
    </xf>
    <xf numFmtId="165" fontId="3" fillId="0" borderId="50" xfId="0" applyNumberFormat="1" applyFont="1" applyBorder="1" applyAlignment="1">
      <alignment vertical="center"/>
    </xf>
    <xf numFmtId="165" fontId="3" fillId="0" borderId="49" xfId="0" applyNumberFormat="1" applyFont="1" applyBorder="1" applyAlignment="1">
      <alignment vertical="center"/>
    </xf>
    <xf numFmtId="166" fontId="2" fillId="0" borderId="22" xfId="0" applyNumberFormat="1" applyFont="1" applyBorder="1" applyAlignment="1">
      <alignment vertical="center"/>
    </xf>
    <xf numFmtId="165" fontId="2" fillId="3" borderId="0" xfId="0" applyNumberFormat="1" applyFont="1" applyFill="1" applyBorder="1" applyAlignment="1">
      <alignment vertical="center"/>
    </xf>
    <xf numFmtId="0" fontId="25" fillId="0" borderId="0" xfId="0" applyFont="1" applyBorder="1" applyAlignment="1">
      <alignment vertical="center"/>
    </xf>
    <xf numFmtId="169" fontId="3" fillId="0" borderId="49" xfId="0" applyNumberFormat="1" applyFont="1" applyFill="1" applyBorder="1" applyAlignment="1">
      <alignment vertical="center"/>
    </xf>
    <xf numFmtId="166" fontId="2" fillId="0" borderId="23" xfId="0" applyNumberFormat="1" applyFont="1" applyBorder="1" applyAlignment="1">
      <alignment vertical="center"/>
    </xf>
    <xf numFmtId="10" fontId="2" fillId="0" borderId="23" xfId="0" applyNumberFormat="1" applyFont="1" applyBorder="1" applyAlignment="1">
      <alignment vertical="center"/>
    </xf>
    <xf numFmtId="0" fontId="2" fillId="0" borderId="85" xfId="0" applyFont="1" applyBorder="1" applyAlignment="1">
      <alignment vertical="center"/>
    </xf>
    <xf numFmtId="165" fontId="3" fillId="0" borderId="71" xfId="0" applyNumberFormat="1" applyFont="1" applyBorder="1" applyAlignment="1">
      <alignment vertical="center"/>
    </xf>
    <xf numFmtId="165" fontId="3" fillId="0" borderId="72" xfId="0" applyNumberFormat="1" applyFont="1" applyBorder="1" applyAlignment="1">
      <alignment vertical="center"/>
    </xf>
    <xf numFmtId="165" fontId="3" fillId="0" borderId="0" xfId="0" applyNumberFormat="1" applyFont="1" applyBorder="1" applyAlignment="1">
      <alignment vertical="center"/>
    </xf>
    <xf numFmtId="165" fontId="3" fillId="0" borderId="73" xfId="0" applyNumberFormat="1" applyFont="1" applyBorder="1" applyAlignment="1">
      <alignment vertical="center"/>
    </xf>
    <xf numFmtId="165" fontId="3" fillId="0" borderId="74" xfId="0" applyNumberFormat="1" applyFont="1" applyBorder="1" applyAlignment="1">
      <alignment vertical="center"/>
    </xf>
    <xf numFmtId="166" fontId="2" fillId="0" borderId="30" xfId="0" applyNumberFormat="1" applyFont="1" applyBorder="1" applyAlignment="1">
      <alignment vertical="center"/>
    </xf>
    <xf numFmtId="166" fontId="2" fillId="0" borderId="11" xfId="0" applyNumberFormat="1" applyFont="1" applyBorder="1" applyAlignment="1">
      <alignment vertical="center"/>
    </xf>
    <xf numFmtId="10" fontId="3" fillId="0" borderId="53" xfId="0" applyNumberFormat="1" applyFont="1" applyBorder="1" applyAlignment="1">
      <alignment vertical="center"/>
    </xf>
    <xf numFmtId="10" fontId="3" fillId="0" borderId="75" xfId="0" applyNumberFormat="1" applyFont="1" applyBorder="1" applyAlignment="1">
      <alignment vertical="center"/>
    </xf>
    <xf numFmtId="10" fontId="3" fillId="0" borderId="76" xfId="0" applyNumberFormat="1" applyFont="1" applyBorder="1" applyAlignment="1">
      <alignment vertical="center"/>
    </xf>
    <xf numFmtId="10" fontId="3" fillId="0" borderId="70" xfId="0" applyNumberFormat="1" applyFont="1" applyBorder="1" applyAlignment="1">
      <alignment vertical="center"/>
    </xf>
    <xf numFmtId="0" fontId="2" fillId="0" borderId="77" xfId="0" applyFont="1" applyBorder="1" applyAlignment="1">
      <alignment vertical="center"/>
    </xf>
    <xf numFmtId="0" fontId="2" fillId="0" borderId="78" xfId="0" applyFont="1" applyBorder="1" applyAlignment="1">
      <alignment vertical="center"/>
    </xf>
    <xf numFmtId="0" fontId="2" fillId="0" borderId="62" xfId="0" applyFont="1" applyBorder="1" applyAlignment="1">
      <alignment vertical="center"/>
    </xf>
    <xf numFmtId="166" fontId="2" fillId="3" borderId="62" xfId="0" applyNumberFormat="1" applyFont="1" applyFill="1" applyBorder="1" applyAlignment="1">
      <alignment vertical="center"/>
    </xf>
    <xf numFmtId="166" fontId="2" fillId="3" borderId="28"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21" xfId="0" applyNumberFormat="1" applyFont="1" applyBorder="1" applyAlignment="1">
      <alignment vertical="center"/>
    </xf>
    <xf numFmtId="166" fontId="2" fillId="3" borderId="81" xfId="0" applyNumberFormat="1" applyFont="1" applyFill="1" applyBorder="1" applyAlignment="1">
      <alignment vertical="center"/>
    </xf>
    <xf numFmtId="166" fontId="2" fillId="0" borderId="85" xfId="0" applyNumberFormat="1" applyFont="1" applyBorder="1" applyAlignment="1">
      <alignment vertical="center"/>
    </xf>
    <xf numFmtId="166" fontId="2" fillId="0" borderId="81" xfId="0" applyNumberFormat="1" applyFont="1" applyBorder="1" applyAlignment="1">
      <alignment vertical="center"/>
    </xf>
    <xf numFmtId="177" fontId="3" fillId="0" borderId="49" xfId="0" applyNumberFormat="1" applyFont="1" applyBorder="1" applyAlignment="1">
      <alignment vertical="center"/>
    </xf>
    <xf numFmtId="165" fontId="2" fillId="2" borderId="0" xfId="0" applyNumberFormat="1" applyFont="1" applyFill="1" applyBorder="1" applyAlignment="1">
      <alignment vertical="center"/>
    </xf>
    <xf numFmtId="165" fontId="2" fillId="2" borderId="65" xfId="0" applyNumberFormat="1" applyFont="1" applyFill="1" applyBorder="1" applyAlignment="1">
      <alignment vertical="center"/>
    </xf>
    <xf numFmtId="165" fontId="3" fillId="0" borderId="0" xfId="0" applyNumberFormat="1" applyFont="1" applyBorder="1" applyAlignment="1">
      <alignment horizontal="center" vertical="center"/>
    </xf>
    <xf numFmtId="166" fontId="3" fillId="0" borderId="43" xfId="0" applyNumberFormat="1" applyFont="1" applyBorder="1" applyAlignment="1">
      <alignment vertical="center"/>
    </xf>
    <xf numFmtId="0" fontId="3" fillId="0" borderId="0" xfId="0" applyFont="1" applyBorder="1" applyAlignment="1">
      <alignment horizontal="center" vertical="center"/>
    </xf>
    <xf numFmtId="165" fontId="2" fillId="3" borderId="9"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0" xfId="0" applyNumberFormat="1" applyFont="1" applyBorder="1" applyAlignment="1">
      <alignment vertical="center"/>
    </xf>
    <xf numFmtId="165" fontId="2" fillId="0" borderId="22" xfId="0" applyNumberFormat="1" applyFont="1" applyBorder="1" applyAlignment="1">
      <alignment vertical="center"/>
    </xf>
    <xf numFmtId="166" fontId="2" fillId="3" borderId="9" xfId="0" applyNumberFormat="1" applyFont="1" applyFill="1" applyBorder="1" applyAlignment="1">
      <alignment vertical="center"/>
    </xf>
    <xf numFmtId="166" fontId="2" fillId="3" borderId="11"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22" xfId="0" applyNumberFormat="1" applyFont="1" applyBorder="1" applyAlignment="1">
      <alignment vertical="center"/>
    </xf>
    <xf numFmtId="166" fontId="2" fillId="3" borderId="25" xfId="0" applyNumberFormat="1" applyFont="1" applyFill="1" applyBorder="1" applyAlignment="1">
      <alignment vertical="center"/>
    </xf>
    <xf numFmtId="166" fontId="2" fillId="3" borderId="62"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6" xfId="0" applyNumberFormat="1" applyFont="1" applyBorder="1" applyAlignment="1">
      <alignment vertical="center"/>
    </xf>
    <xf numFmtId="166" fontId="2" fillId="0" borderId="85" xfId="0" applyNumberFormat="1" applyFont="1" applyBorder="1" applyAlignment="1">
      <alignment vertical="center"/>
    </xf>
    <xf numFmtId="166" fontId="2" fillId="0" borderId="25" xfId="0" applyNumberFormat="1" applyFont="1" applyBorder="1" applyAlignment="1">
      <alignment vertical="center"/>
    </xf>
    <xf numFmtId="166" fontId="2" fillId="0" borderId="62" xfId="0" applyNumberFormat="1" applyFont="1" applyBorder="1" applyAlignment="1">
      <alignment vertical="center"/>
    </xf>
    <xf numFmtId="166" fontId="2" fillId="3" borderId="33" xfId="0" applyNumberFormat="1" applyFont="1" applyFill="1" applyBorder="1" applyAlignment="1">
      <alignment vertical="center"/>
    </xf>
    <xf numFmtId="166" fontId="2" fillId="3" borderId="18" xfId="0" applyNumberFormat="1" applyFont="1" applyFill="1" applyBorder="1" applyAlignment="1">
      <alignment vertical="center"/>
    </xf>
    <xf numFmtId="166" fontId="2" fillId="0" borderId="28" xfId="0" applyNumberFormat="1" applyFont="1" applyBorder="1" applyAlignment="1">
      <alignment vertical="center"/>
    </xf>
    <xf numFmtId="166" fontId="2" fillId="0" borderId="20" xfId="0" applyNumberFormat="1" applyFont="1" applyBorder="1" applyAlignment="1">
      <alignment vertical="center"/>
    </xf>
    <xf numFmtId="166" fontId="2" fillId="3" borderId="0" xfId="0" applyNumberFormat="1" applyFont="1" applyFill="1" applyBorder="1" applyAlignment="1">
      <alignment vertical="center"/>
    </xf>
    <xf numFmtId="167" fontId="16" fillId="3" borderId="0" xfId="0" applyNumberFormat="1" applyFont="1" applyFill="1" applyAlignment="1">
      <alignment vertical="center"/>
    </xf>
    <xf numFmtId="0" fontId="3" fillId="0" borderId="45"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46"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36" xfId="0" applyFont="1" applyBorder="1" applyAlignment="1">
      <alignment horizontal="centerContinuous" vertical="center"/>
    </xf>
    <xf numFmtId="0" fontId="3" fillId="0" borderId="42" xfId="0" applyFont="1" applyBorder="1" applyAlignment="1">
      <alignment horizontal="center" vertical="center"/>
    </xf>
    <xf numFmtId="165" fontId="2" fillId="0" borderId="63" xfId="0" applyNumberFormat="1"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171" fontId="2" fillId="0" borderId="63" xfId="0" applyNumberFormat="1" applyFont="1" applyBorder="1" applyAlignment="1">
      <alignment vertical="center"/>
    </xf>
    <xf numFmtId="165" fontId="3" fillId="0" borderId="12" xfId="0" applyNumberFormat="1" applyFont="1" applyFill="1" applyBorder="1" applyAlignment="1">
      <alignment vertical="center"/>
    </xf>
    <xf numFmtId="165" fontId="3" fillId="0" borderId="13" xfId="0" applyNumberFormat="1" applyFont="1" applyFill="1" applyBorder="1" applyAlignment="1">
      <alignment vertical="center"/>
    </xf>
    <xf numFmtId="165" fontId="18" fillId="0" borderId="12" xfId="0" applyNumberFormat="1" applyFont="1" applyFill="1" applyBorder="1" applyAlignment="1">
      <alignment vertical="center"/>
    </xf>
    <xf numFmtId="166" fontId="16" fillId="0" borderId="82" xfId="0" applyNumberFormat="1" applyFont="1" applyFill="1" applyBorder="1" applyAlignment="1">
      <alignment vertical="center"/>
    </xf>
    <xf numFmtId="166" fontId="16" fillId="0" borderId="90" xfId="0" applyNumberFormat="1" applyFont="1" applyFill="1" applyBorder="1" applyAlignment="1">
      <alignment vertical="center"/>
    </xf>
    <xf numFmtId="165" fontId="18" fillId="0" borderId="90" xfId="0" applyNumberFormat="1" applyFont="1" applyBorder="1" applyAlignment="1">
      <alignment vertical="center"/>
    </xf>
    <xf numFmtId="0" fontId="16" fillId="0" borderId="66" xfId="0" applyFont="1" applyBorder="1" applyAlignment="1">
      <alignment vertical="center"/>
    </xf>
    <xf numFmtId="0" fontId="2" fillId="0" borderId="23" xfId="0" applyFont="1" applyBorder="1" applyAlignment="1">
      <alignment horizontal="center" vertical="center"/>
    </xf>
    <xf numFmtId="166"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43" xfId="0" applyNumberFormat="1" applyFont="1" applyFill="1" applyBorder="1" applyAlignment="1">
      <alignment vertical="center"/>
    </xf>
    <xf numFmtId="177" fontId="2" fillId="3" borderId="43" xfId="0" applyNumberFormat="1" applyFont="1" applyFill="1" applyBorder="1" applyAlignment="1">
      <alignment horizontal="center" vertical="center"/>
    </xf>
    <xf numFmtId="177" fontId="2" fillId="2" borderId="43"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xf numFmtId="177" fontId="2" fillId="3" borderId="77" xfId="0" applyNumberFormat="1" applyFont="1" applyFill="1" applyBorder="1" applyAlignment="1">
      <alignment horizontal="center" vertical="center"/>
    </xf>
    <xf numFmtId="177" fontId="2" fillId="3" borderId="42" xfId="0" applyNumberFormat="1" applyFont="1" applyFill="1" applyBorder="1" applyAlignment="1">
      <alignment horizontal="center" vertical="center"/>
    </xf>
    <xf numFmtId="10" fontId="2" fillId="0" borderId="0" xfId="0" applyNumberFormat="1" applyFont="1" applyBorder="1" applyAlignment="1">
      <alignment horizontal="right" vertical="center"/>
    </xf>
    <xf numFmtId="165" fontId="2" fillId="0" borderId="0" xfId="0" applyNumberFormat="1" applyFont="1" applyBorder="1" applyAlignment="1" applyProtection="1">
      <alignment vertical="center"/>
    </xf>
    <xf numFmtId="167" fontId="2" fillId="0" borderId="0" xfId="0" applyNumberFormat="1" applyFont="1" applyBorder="1" applyAlignment="1">
      <alignment horizontal="right" vertical="center"/>
    </xf>
    <xf numFmtId="167" fontId="2" fillId="0" borderId="0" xfId="0" applyNumberFormat="1" applyFont="1" applyFill="1" applyBorder="1" applyAlignment="1">
      <alignment horizontal="right" vertical="center"/>
    </xf>
    <xf numFmtId="165" fontId="2" fillId="0" borderId="11" xfId="0" applyNumberFormat="1" applyFont="1" applyBorder="1" applyAlignment="1">
      <alignment horizontal="right" vertical="center"/>
    </xf>
    <xf numFmtId="10" fontId="2" fillId="0" borderId="64" xfId="0" applyNumberFormat="1" applyFont="1" applyBorder="1" applyAlignment="1">
      <alignment horizontal="right" vertical="center"/>
    </xf>
    <xf numFmtId="10" fontId="2" fillId="0" borderId="64" xfId="0" applyNumberFormat="1" applyFont="1" applyFill="1" applyBorder="1" applyAlignment="1">
      <alignment horizontal="right" vertical="center"/>
    </xf>
    <xf numFmtId="165" fontId="2" fillId="0" borderId="11"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165" fontId="3" fillId="0" borderId="11" xfId="0" applyNumberFormat="1" applyFont="1" applyFill="1" applyBorder="1" applyAlignment="1">
      <alignment horizontal="center" vertical="center"/>
    </xf>
    <xf numFmtId="166" fontId="2" fillId="3" borderId="65" xfId="0" applyNumberFormat="1" applyFont="1" applyFill="1" applyBorder="1" applyAlignment="1" applyProtection="1">
      <alignment vertical="center"/>
      <protection locked="0"/>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2" fillId="0" borderId="0" xfId="0" quotePrefix="1" applyFont="1" applyAlignment="1">
      <alignment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0" xfId="0" applyFont="1" applyFill="1" applyAlignment="1" applyProtection="1">
      <alignment horizontal="left" vertical="center"/>
    </xf>
    <xf numFmtId="0" fontId="2" fillId="0" borderId="0" xfId="0" quotePrefix="1" applyFont="1" applyFill="1" applyAlignment="1">
      <alignment horizontal="center"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6" fillId="0" borderId="0" xfId="0" quotePrefix="1" applyFont="1" applyFill="1" applyAlignment="1">
      <alignment horizontal="center" vertical="center"/>
    </xf>
    <xf numFmtId="5" fontId="3"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center" vertical="center"/>
    </xf>
    <xf numFmtId="165" fontId="2" fillId="0" borderId="1" xfId="0" applyNumberFormat="1" applyFont="1" applyFill="1" applyBorder="1" applyAlignment="1" applyProtection="1">
      <alignment horizontal="center" vertical="center"/>
    </xf>
    <xf numFmtId="0" fontId="2" fillId="0" borderId="1" xfId="0" applyFont="1" applyBorder="1" applyAlignment="1">
      <alignment vertical="center"/>
    </xf>
    <xf numFmtId="165" fontId="2" fillId="0" borderId="0" xfId="0" applyNumberFormat="1" applyFont="1" applyFill="1" applyBorder="1" applyAlignment="1" applyProtection="1">
      <alignment horizontal="center" vertical="center"/>
    </xf>
    <xf numFmtId="0" fontId="3" fillId="0" borderId="0" xfId="0" applyFont="1" applyAlignment="1">
      <alignment horizontal="center" vertical="center"/>
    </xf>
    <xf numFmtId="0" fontId="22" fillId="0" borderId="0" xfId="0" applyFont="1" applyAlignment="1">
      <alignment vertical="center"/>
    </xf>
    <xf numFmtId="10" fontId="2" fillId="0" borderId="0" xfId="0" applyNumberFormat="1"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xf>
    <xf numFmtId="0" fontId="7" fillId="0" borderId="0" xfId="0" applyFont="1" applyFill="1" applyAlignment="1">
      <alignment horizontal="center" vertical="center"/>
    </xf>
    <xf numFmtId="165" fontId="3" fillId="0" borderId="0" xfId="0" applyNumberFormat="1" applyFont="1" applyFill="1" applyBorder="1" applyAlignment="1">
      <alignment vertical="center"/>
    </xf>
    <xf numFmtId="6" fontId="2" fillId="0" borderId="0" xfId="0" applyNumberFormat="1" applyFont="1" applyAlignment="1">
      <alignment horizontal="center" vertical="center"/>
    </xf>
    <xf numFmtId="165" fontId="2" fillId="0" borderId="0" xfId="0" applyNumberFormat="1" applyFont="1" applyBorder="1" applyAlignment="1">
      <alignment vertical="center"/>
    </xf>
    <xf numFmtId="165" fontId="2" fillId="0" borderId="0" xfId="0" applyNumberFormat="1" applyFont="1" applyAlignment="1">
      <alignment vertical="center"/>
    </xf>
    <xf numFmtId="5" fontId="2" fillId="0" borderId="1" xfId="0" applyNumberFormat="1" applyFont="1" applyFill="1" applyBorder="1" applyAlignment="1" applyProtection="1">
      <alignment horizontal="center" vertical="center"/>
    </xf>
    <xf numFmtId="5" fontId="2" fillId="0" borderId="0" xfId="0" applyNumberFormat="1" applyFont="1" applyFill="1" applyBorder="1" applyAlignment="1" applyProtection="1">
      <alignment horizontal="center" vertical="center"/>
    </xf>
    <xf numFmtId="3" fontId="2" fillId="0" borderId="0" xfId="0" applyNumberFormat="1" applyFont="1" applyFill="1" applyAlignment="1">
      <alignment vertical="center"/>
    </xf>
    <xf numFmtId="0" fontId="14" fillId="0" borderId="0" xfId="0" applyFont="1" applyAlignment="1">
      <alignment vertical="center"/>
    </xf>
    <xf numFmtId="0" fontId="2" fillId="0" borderId="0" xfId="0" applyNumberFormat="1" applyFont="1" applyAlignment="1">
      <alignment horizontal="center" vertical="center"/>
    </xf>
    <xf numFmtId="3" fontId="2" fillId="0" borderId="0" xfId="0" applyNumberFormat="1" applyFont="1" applyFill="1" applyBorder="1" applyAlignment="1">
      <alignment vertical="center"/>
    </xf>
    <xf numFmtId="0" fontId="6" fillId="0" borderId="0" xfId="0" applyFont="1" applyAlignment="1">
      <alignment vertical="center"/>
    </xf>
    <xf numFmtId="0" fontId="2" fillId="0" borderId="0" xfId="0" applyFont="1" applyFill="1" applyBorder="1" applyAlignment="1" applyProtection="1">
      <alignment horizontal="center" vertical="center"/>
      <protection locked="0"/>
    </xf>
    <xf numFmtId="6" fontId="2" fillId="0" borderId="0" xfId="0" applyNumberFormat="1" applyFont="1" applyAlignment="1">
      <alignment vertical="center"/>
    </xf>
    <xf numFmtId="10" fontId="2" fillId="0" borderId="0" xfId="0" applyNumberFormat="1" applyFont="1" applyAlignment="1">
      <alignment vertical="center"/>
    </xf>
    <xf numFmtId="5" fontId="2" fillId="0" borderId="0" xfId="0" quotePrefix="1" applyNumberFormat="1" applyFont="1" applyFill="1" applyBorder="1" applyAlignment="1" applyProtection="1">
      <alignment horizontal="center" vertical="center"/>
    </xf>
    <xf numFmtId="165" fontId="2" fillId="0" borderId="0" xfId="0" applyNumberFormat="1" applyFont="1" applyAlignment="1">
      <alignment vertical="center"/>
    </xf>
    <xf numFmtId="167" fontId="2" fillId="0" borderId="0" xfId="0" applyNumberFormat="1" applyFont="1" applyAlignment="1">
      <alignment horizontal="right" vertical="center"/>
    </xf>
    <xf numFmtId="165" fontId="2" fillId="0" borderId="0" xfId="0" applyNumberFormat="1" applyFont="1" applyFill="1" applyAlignment="1">
      <alignment vertical="center"/>
    </xf>
    <xf numFmtId="0" fontId="2" fillId="0" borderId="0" xfId="0" applyNumberFormat="1" applyFont="1" applyAlignment="1">
      <alignment vertical="center"/>
    </xf>
    <xf numFmtId="0" fontId="2" fillId="0" borderId="0" xfId="0" applyFont="1" applyAlignment="1">
      <alignment vertical="center" wrapText="1"/>
    </xf>
    <xf numFmtId="0" fontId="3" fillId="0" borderId="0" xfId="0" quotePrefix="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164" fontId="2" fillId="3" borderId="1" xfId="0" applyNumberFormat="1" applyFont="1" applyFill="1" applyBorder="1" applyAlignment="1">
      <alignment horizontal="center" vertical="center"/>
    </xf>
    <xf numFmtId="15" fontId="2" fillId="3" borderId="1" xfId="0" applyNumberFormat="1" applyFont="1" applyFill="1" applyBorder="1" applyAlignment="1">
      <alignment horizontal="center" vertical="center"/>
    </xf>
    <xf numFmtId="15"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5" fontId="22" fillId="0" borderId="0" xfId="0" applyNumberFormat="1" applyFont="1" applyAlignment="1" applyProtection="1">
      <alignment horizontal="center" vertical="center"/>
      <protection locked="0"/>
    </xf>
    <xf numFmtId="0" fontId="2" fillId="0" borderId="0" xfId="0" applyNumberFormat="1" applyFont="1" applyFill="1" applyAlignment="1">
      <alignment horizontal="center" vertical="center" wrapText="1"/>
    </xf>
    <xf numFmtId="165" fontId="22" fillId="0" borderId="0" xfId="0" applyNumberFormat="1" applyFont="1" applyAlignment="1">
      <alignment horizontal="left"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0" fontId="2" fillId="0" borderId="0" xfId="0" applyNumberFormat="1" applyFont="1" applyAlignment="1">
      <alignment horizontal="center" vertical="center"/>
    </xf>
    <xf numFmtId="0" fontId="2" fillId="0" borderId="0" xfId="0" applyNumberFormat="1" applyFont="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NumberFormat="1" applyFont="1" applyBorder="1" applyAlignment="1">
      <alignment horizontal="center" vertical="center"/>
    </xf>
    <xf numFmtId="0" fontId="3" fillId="0" borderId="63" xfId="0"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quotePrefix="1" applyFont="1" applyBorder="1" applyAlignment="1">
      <alignment horizontal="center" vertical="center"/>
    </xf>
    <xf numFmtId="0" fontId="3" fillId="0" borderId="11" xfId="0" applyNumberFormat="1" applyFont="1" applyBorder="1" applyAlignment="1">
      <alignment horizontal="centerContinuous" vertical="center"/>
    </xf>
    <xf numFmtId="0" fontId="2" fillId="0" borderId="0" xfId="0" applyFont="1" applyAlignment="1">
      <alignment horizontal="centerContinuous" vertical="center"/>
    </xf>
    <xf numFmtId="0" fontId="3" fillId="0" borderId="63" xfId="0" applyFont="1" applyBorder="1" applyAlignment="1">
      <alignment horizontal="left"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4" xfId="0" applyNumberFormat="1" applyFont="1" applyBorder="1" applyAlignment="1">
      <alignment horizontal="center" vertical="center"/>
    </xf>
    <xf numFmtId="0" fontId="3" fillId="0" borderId="68" xfId="0" applyFont="1" applyBorder="1" applyAlignment="1">
      <alignment horizontal="center" vertical="center"/>
    </xf>
    <xf numFmtId="0" fontId="2" fillId="0" borderId="11" xfId="0" applyNumberFormat="1" applyFont="1" applyFill="1" applyBorder="1" applyAlignment="1">
      <alignment horizontal="centerContinuous" vertical="center"/>
    </xf>
    <xf numFmtId="0" fontId="2" fillId="0" borderId="11" xfId="0" applyNumberFormat="1" applyFont="1" applyBorder="1" applyAlignment="1">
      <alignment horizontal="centerContinuous" vertical="center"/>
    </xf>
    <xf numFmtId="0" fontId="4" fillId="0" borderId="0" xfId="0" applyFont="1" applyFill="1" applyAlignment="1">
      <alignment vertical="center"/>
    </xf>
    <xf numFmtId="0" fontId="4" fillId="0" borderId="0" xfId="0" applyFont="1" applyAlignment="1">
      <alignment vertical="center"/>
    </xf>
    <xf numFmtId="0" fontId="25" fillId="0" borderId="11" xfId="0" applyNumberFormat="1" applyFont="1" applyFill="1" applyBorder="1" applyAlignment="1">
      <alignment horizontal="centerContinuous" vertical="center"/>
    </xf>
    <xf numFmtId="0" fontId="25" fillId="0" borderId="11" xfId="0" applyNumberFormat="1" applyFont="1" applyBorder="1" applyAlignment="1">
      <alignment horizontal="centerContinuous" vertical="center"/>
    </xf>
    <xf numFmtId="0" fontId="3" fillId="0" borderId="63" xfId="0" applyFont="1" applyBorder="1" applyAlignment="1">
      <alignment vertical="center"/>
    </xf>
    <xf numFmtId="0" fontId="3" fillId="0" borderId="7" xfId="0" applyNumberFormat="1" applyFont="1" applyFill="1" applyBorder="1" applyAlignment="1">
      <alignment vertical="center"/>
    </xf>
    <xf numFmtId="0" fontId="3" fillId="0" borderId="7" xfId="0" applyNumberFormat="1" applyFont="1" applyBorder="1" applyAlignment="1">
      <alignment vertical="center"/>
    </xf>
    <xf numFmtId="0" fontId="2" fillId="0" borderId="11" xfId="0" applyNumberFormat="1" applyFont="1" applyFill="1" applyBorder="1" applyAlignment="1">
      <alignment vertical="center"/>
    </xf>
    <xf numFmtId="0" fontId="2" fillId="0" borderId="11" xfId="0" applyNumberFormat="1" applyFont="1" applyBorder="1" applyAlignment="1">
      <alignment vertical="center"/>
    </xf>
    <xf numFmtId="0" fontId="3" fillId="0" borderId="64" xfId="0" applyFont="1" applyBorder="1" applyAlignment="1">
      <alignment vertical="center"/>
    </xf>
    <xf numFmtId="0" fontId="3" fillId="0" borderId="64" xfId="0" applyNumberFormat="1" applyFont="1" applyFill="1" applyBorder="1" applyAlignment="1">
      <alignment vertical="center"/>
    </xf>
    <xf numFmtId="0" fontId="3" fillId="0" borderId="64" xfId="0" applyNumberFormat="1" applyFont="1" applyBorder="1" applyAlignment="1">
      <alignment vertical="center"/>
    </xf>
    <xf numFmtId="0" fontId="3" fillId="0" borderId="11" xfId="0" applyNumberFormat="1" applyFont="1" applyFill="1" applyBorder="1" applyAlignment="1">
      <alignment vertical="center"/>
    </xf>
    <xf numFmtId="0" fontId="3" fillId="0" borderId="11" xfId="0" applyNumberFormat="1" applyFont="1" applyBorder="1" applyAlignment="1">
      <alignment vertical="center"/>
    </xf>
    <xf numFmtId="37" fontId="3" fillId="0" borderId="68" xfId="0" applyNumberFormat="1" applyFont="1" applyBorder="1" applyAlignment="1">
      <alignment vertical="center"/>
    </xf>
    <xf numFmtId="37" fontId="3" fillId="0" borderId="0" xfId="0" applyNumberFormat="1" applyFont="1" applyBorder="1" applyAlignment="1">
      <alignment vertical="center"/>
    </xf>
    <xf numFmtId="0" fontId="3" fillId="0" borderId="0" xfId="0" applyNumberFormat="1" applyFont="1" applyBorder="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166" fontId="3" fillId="0" borderId="0" xfId="0" applyNumberFormat="1" applyFont="1" applyAlignment="1">
      <alignment vertical="center"/>
    </xf>
    <xf numFmtId="168" fontId="3" fillId="0" borderId="0" xfId="0" applyNumberFormat="1" applyFont="1" applyAlignment="1">
      <alignment vertical="center"/>
    </xf>
    <xf numFmtId="166" fontId="2" fillId="0" borderId="0" xfId="0" applyNumberFormat="1" applyFont="1" applyAlignment="1">
      <alignment vertical="center"/>
    </xf>
    <xf numFmtId="168" fontId="2" fillId="0" borderId="0" xfId="0" applyNumberFormat="1" applyFont="1" applyAlignment="1">
      <alignment vertical="center"/>
    </xf>
    <xf numFmtId="168" fontId="3" fillId="0" borderId="0" xfId="0" applyNumberFormat="1" applyFont="1" applyAlignment="1">
      <alignment vertical="center"/>
    </xf>
    <xf numFmtId="0" fontId="3" fillId="0" borderId="7" xfId="0" quotePrefix="1" applyFont="1" applyBorder="1" applyAlignment="1">
      <alignment horizontal="center" vertical="center"/>
    </xf>
    <xf numFmtId="0" fontId="3" fillId="0" borderId="11" xfId="0" applyFont="1" applyBorder="1" applyAlignment="1">
      <alignment horizontal="center" vertical="center"/>
    </xf>
    <xf numFmtId="166" fontId="2" fillId="0" borderId="11" xfId="0" applyNumberFormat="1" applyFont="1" applyFill="1" applyBorder="1" applyAlignment="1">
      <alignment horizontal="centerContinuous" vertical="center"/>
    </xf>
    <xf numFmtId="168" fontId="2" fillId="0" borderId="11" xfId="0" applyNumberFormat="1" applyFont="1" applyFill="1" applyBorder="1" applyAlignment="1">
      <alignment horizontal="center" vertical="center"/>
    </xf>
    <xf numFmtId="168" fontId="3" fillId="0" borderId="0" xfId="0" applyNumberFormat="1" applyFont="1" applyFill="1" applyAlignment="1">
      <alignment vertical="center"/>
    </xf>
    <xf numFmtId="166" fontId="2" fillId="0" borderId="11" xfId="0" applyNumberFormat="1" applyFont="1" applyBorder="1" applyAlignment="1">
      <alignment horizontal="centerContinuous" vertical="center"/>
    </xf>
    <xf numFmtId="166" fontId="3" fillId="0" borderId="11" xfId="0" applyNumberFormat="1" applyFont="1" applyFill="1" applyBorder="1" applyAlignment="1">
      <alignment vertical="center"/>
    </xf>
    <xf numFmtId="168" fontId="3" fillId="0" borderId="7" xfId="0" applyNumberFormat="1" applyFont="1" applyFill="1" applyBorder="1" applyAlignment="1">
      <alignment vertical="center"/>
    </xf>
    <xf numFmtId="168" fontId="2" fillId="0" borderId="11" xfId="0" applyNumberFormat="1" applyFont="1" applyFill="1" applyBorder="1" applyAlignment="1">
      <alignment vertical="center"/>
    </xf>
    <xf numFmtId="168" fontId="3" fillId="0" borderId="64" xfId="0" applyNumberFormat="1" applyFont="1" applyFill="1" applyBorder="1" applyAlignment="1">
      <alignment vertical="center"/>
    </xf>
    <xf numFmtId="168" fontId="3" fillId="0" borderId="11" xfId="0" applyNumberFormat="1" applyFont="1" applyFill="1" applyBorder="1" applyAlignment="1">
      <alignment vertical="center"/>
    </xf>
    <xf numFmtId="166" fontId="3" fillId="0" borderId="64" xfId="0" applyNumberFormat="1" applyFont="1" applyBorder="1" applyAlignment="1">
      <alignment vertical="center"/>
    </xf>
    <xf numFmtId="0" fontId="3" fillId="0" borderId="0" xfId="0" applyNumberFormat="1" applyFont="1" applyFill="1" applyAlignment="1">
      <alignment horizontal="centerContinuous" vertical="center"/>
    </xf>
    <xf numFmtId="0" fontId="3" fillId="0" borderId="7" xfId="0" quotePrefix="1"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 fillId="0" borderId="64" xfId="0" applyNumberFormat="1" applyFont="1" applyFill="1" applyBorder="1" applyAlignment="1">
      <alignment horizontal="centerContinuous" vertical="center"/>
    </xf>
    <xf numFmtId="0" fontId="2" fillId="0" borderId="64" xfId="0" applyNumberFormat="1" applyFont="1" applyFill="1" applyBorder="1" applyAlignment="1">
      <alignment vertical="center"/>
    </xf>
    <xf numFmtId="0" fontId="2" fillId="0" borderId="64" xfId="0" applyNumberFormat="1" applyFont="1" applyBorder="1" applyAlignment="1">
      <alignment vertical="center"/>
    </xf>
    <xf numFmtId="0" fontId="2" fillId="0" borderId="0" xfId="0" applyNumberFormat="1" applyFont="1" applyFill="1" applyAlignment="1">
      <alignment vertical="center"/>
    </xf>
    <xf numFmtId="44" fontId="1" fillId="0" borderId="0" xfId="0" applyNumberFormat="1" applyFont="1" applyAlignment="1">
      <alignment vertical="center"/>
    </xf>
    <xf numFmtId="0" fontId="3" fillId="0" borderId="0" xfId="0" applyNumberFormat="1" applyFont="1" applyFill="1" applyAlignment="1">
      <alignment vertical="center"/>
    </xf>
    <xf numFmtId="166" fontId="3" fillId="0" borderId="0" xfId="0" applyNumberFormat="1" applyFont="1" applyAlignment="1">
      <alignment vertical="center"/>
    </xf>
    <xf numFmtId="166" fontId="3" fillId="0" borderId="0" xfId="0" applyNumberFormat="1" applyFont="1" applyBorder="1" applyAlignment="1">
      <alignment vertical="center"/>
    </xf>
    <xf numFmtId="0" fontId="3" fillId="0" borderId="63" xfId="0" applyFont="1" applyBorder="1" applyAlignment="1">
      <alignment horizontal="right" vertical="center"/>
    </xf>
    <xf numFmtId="0" fontId="3" fillId="0" borderId="8" xfId="0" applyFont="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1" xfId="0" applyNumberFormat="1" applyFont="1" applyBorder="1" applyAlignment="1">
      <alignment horizontal="centerContinuous" vertical="center"/>
    </xf>
    <xf numFmtId="17" fontId="3" fillId="0" borderId="64" xfId="0" applyNumberFormat="1" applyFont="1" applyBorder="1" applyAlignment="1">
      <alignment horizontal="left" vertical="center"/>
    </xf>
    <xf numFmtId="3" fontId="3" fillId="0" borderId="64" xfId="0" applyNumberFormat="1" applyFont="1" applyBorder="1" applyAlignment="1">
      <alignment horizontal="centerContinuous" vertical="center"/>
    </xf>
    <xf numFmtId="0" fontId="3" fillId="0" borderId="11" xfId="0" applyFont="1" applyBorder="1" applyAlignment="1">
      <alignment vertical="center"/>
    </xf>
    <xf numFmtId="3" fontId="2" fillId="0" borderId="11" xfId="0" applyNumberFormat="1" applyFont="1" applyBorder="1" applyAlignment="1">
      <alignment vertical="center"/>
    </xf>
    <xf numFmtId="3" fontId="3" fillId="0" borderId="64" xfId="0" applyNumberFormat="1" applyFont="1" applyBorder="1" applyAlignment="1">
      <alignment vertical="center"/>
    </xf>
    <xf numFmtId="37" fontId="2" fillId="0" borderId="0" xfId="0" applyNumberFormat="1" applyFont="1" applyAlignment="1">
      <alignment vertical="center"/>
    </xf>
    <xf numFmtId="3" fontId="25" fillId="0" borderId="11" xfId="0" applyNumberFormat="1" applyFont="1" applyFill="1" applyBorder="1" applyAlignment="1">
      <alignment horizontal="centerContinuous" vertical="center"/>
    </xf>
    <xf numFmtId="3" fontId="25" fillId="0" borderId="11" xfId="0" applyNumberFormat="1" applyFont="1" applyBorder="1" applyAlignment="1">
      <alignment horizontal="centerContinuous" vertical="center"/>
    </xf>
    <xf numFmtId="3" fontId="2" fillId="0" borderId="64" xfId="0" applyNumberFormat="1" applyFont="1" applyFill="1" applyBorder="1" applyAlignment="1">
      <alignment horizontal="centerContinuous" vertical="center"/>
    </xf>
    <xf numFmtId="0" fontId="2" fillId="0" borderId="7" xfId="0" applyFont="1" applyFill="1" applyBorder="1" applyAlignment="1">
      <alignment vertical="center"/>
    </xf>
    <xf numFmtId="3" fontId="2" fillId="0" borderId="64" xfId="0" applyNumberFormat="1" applyFont="1" applyBorder="1" applyAlignment="1">
      <alignment vertical="center"/>
    </xf>
    <xf numFmtId="37" fontId="3" fillId="0" borderId="64" xfId="0" applyNumberFormat="1" applyFont="1" applyBorder="1" applyAlignment="1">
      <alignment vertical="center"/>
    </xf>
    <xf numFmtId="0" fontId="2" fillId="0" borderId="0" xfId="0" quotePrefix="1" applyFont="1" applyAlignment="1">
      <alignment horizontal="left" vertical="center"/>
    </xf>
    <xf numFmtId="0" fontId="3" fillId="0" borderId="0" xfId="0" quotePrefix="1" applyFont="1" applyAlignment="1">
      <alignment horizontal="center" vertical="center"/>
    </xf>
    <xf numFmtId="166" fontId="2" fillId="0" borderId="0" xfId="0" applyNumberFormat="1" applyFont="1" applyAlignment="1">
      <alignment horizontal="centerContinuous" vertical="center"/>
    </xf>
    <xf numFmtId="0" fontId="3" fillId="0" borderId="7" xfId="0" applyFont="1" applyBorder="1" applyAlignment="1">
      <alignment horizontal="center" vertical="center"/>
    </xf>
    <xf numFmtId="166" fontId="3" fillId="0" borderId="7" xfId="0" quotePrefix="1" applyNumberFormat="1" applyFont="1" applyFill="1" applyBorder="1" applyAlignment="1">
      <alignment horizontal="center" vertical="center"/>
    </xf>
    <xf numFmtId="166" fontId="3" fillId="0" borderId="7" xfId="0" quotePrefix="1" applyNumberFormat="1" applyFont="1" applyBorder="1" applyAlignment="1">
      <alignment horizontal="center" vertical="center"/>
    </xf>
    <xf numFmtId="0" fontId="3" fillId="0" borderId="11" xfId="0" quotePrefix="1" applyFont="1" applyBorder="1" applyAlignment="1">
      <alignment horizontal="center" vertical="center"/>
    </xf>
    <xf numFmtId="0" fontId="3" fillId="0" borderId="11" xfId="0" applyFont="1" applyBorder="1" applyAlignment="1">
      <alignment horizontal="centerContinuous" vertical="center"/>
    </xf>
    <xf numFmtId="166" fontId="3" fillId="0" borderId="11" xfId="0" applyNumberFormat="1" applyFont="1" applyFill="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Border="1" applyAlignment="1">
      <alignment horizontal="centerContinuous" vertical="center"/>
    </xf>
    <xf numFmtId="166" fontId="3" fillId="0" borderId="63"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66" fontId="3" fillId="0" borderId="9" xfId="0" applyNumberFormat="1" applyFont="1" applyFill="1" applyBorder="1" applyAlignment="1">
      <alignment horizontal="center" vertical="center"/>
    </xf>
    <xf numFmtId="166" fontId="3" fillId="0" borderId="0" xfId="0" applyNumberFormat="1" applyFont="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166" fontId="3" fillId="0" borderId="64" xfId="0" applyNumberFormat="1" applyFont="1" applyFill="1" applyBorder="1" applyAlignment="1">
      <alignment horizontal="center" vertical="center"/>
    </xf>
    <xf numFmtId="166" fontId="3" fillId="0" borderId="64" xfId="0" applyNumberFormat="1" applyFont="1" applyBorder="1" applyAlignment="1">
      <alignment horizontal="center" vertical="center"/>
    </xf>
    <xf numFmtId="166" fontId="2" fillId="0" borderId="64" xfId="0" applyNumberFormat="1" applyFont="1" applyBorder="1" applyAlignment="1">
      <alignment horizontal="center" vertical="center"/>
    </xf>
    <xf numFmtId="166" fontId="3" fillId="0" borderId="65"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2" fillId="0" borderId="11" xfId="0" quotePrefix="1"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xf>
    <xf numFmtId="170"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166" fontId="3" fillId="0" borderId="7" xfId="0" quotePrefix="1" applyNumberFormat="1" applyFont="1" applyBorder="1" applyAlignment="1">
      <alignment horizontal="centerContinuous" vertical="center"/>
    </xf>
    <xf numFmtId="166" fontId="3" fillId="0" borderId="63" xfId="0"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11" xfId="0" applyNumberFormat="1" applyFont="1" applyBorder="1" applyAlignment="1">
      <alignment horizontal="centerContinuous" vertical="center"/>
    </xf>
    <xf numFmtId="0" fontId="3" fillId="0" borderId="69" xfId="0" applyFont="1" applyBorder="1" applyAlignment="1">
      <alignment horizontal="center" vertical="center"/>
    </xf>
    <xf numFmtId="166" fontId="3" fillId="0" borderId="68" xfId="0" applyNumberFormat="1" applyFont="1" applyFill="1" applyBorder="1" applyAlignment="1">
      <alignment horizontal="center" vertical="center"/>
    </xf>
    <xf numFmtId="166" fontId="3" fillId="0" borderId="64" xfId="0" applyNumberFormat="1" applyFont="1" applyBorder="1" applyAlignment="1">
      <alignment horizontal="centerContinuous" vertical="center"/>
    </xf>
    <xf numFmtId="0" fontId="3" fillId="0" borderId="64" xfId="0" applyFont="1" applyBorder="1" applyAlignment="1">
      <alignment horizontal="centerContinuous" vertical="center"/>
    </xf>
    <xf numFmtId="0" fontId="2" fillId="0" borderId="12" xfId="0" applyFont="1" applyBorder="1" applyAlignment="1">
      <alignment horizontal="center" vertical="center"/>
    </xf>
    <xf numFmtId="0" fontId="2" fillId="0" borderId="0" xfId="0" applyFont="1" applyAlignment="1">
      <alignment vertical="center"/>
    </xf>
    <xf numFmtId="0" fontId="3" fillId="0" borderId="10" xfId="0" applyFont="1" applyBorder="1" applyAlignment="1">
      <alignment horizontal="center" vertical="center"/>
    </xf>
    <xf numFmtId="168" fontId="2" fillId="0" borderId="64" xfId="0" applyNumberFormat="1" applyFont="1" applyFill="1" applyBorder="1" applyAlignment="1">
      <alignment vertical="center"/>
    </xf>
    <xf numFmtId="0" fontId="3" fillId="0" borderId="3" xfId="0" applyFont="1" applyBorder="1" applyAlignment="1">
      <alignment vertical="center"/>
    </xf>
    <xf numFmtId="0" fontId="3" fillId="0" borderId="7" xfId="0" applyFont="1" applyBorder="1" applyAlignment="1">
      <alignment horizontal="centerContinuous" vertical="center"/>
    </xf>
    <xf numFmtId="0" fontId="3" fillId="0" borderId="8" xfId="0" quotePrefix="1" applyFont="1" applyBorder="1" applyAlignment="1">
      <alignment vertical="center"/>
    </xf>
    <xf numFmtId="0" fontId="3" fillId="0" borderId="9" xfId="0" applyFont="1" applyBorder="1" applyAlignment="1">
      <alignment horizontal="centerContinuous"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3" fontId="3" fillId="0" borderId="11" xfId="0" applyNumberFormat="1" applyFont="1" applyFill="1" applyBorder="1" applyAlignment="1">
      <alignment horizontal="right" vertical="center"/>
    </xf>
    <xf numFmtId="3" fontId="3" fillId="0" borderId="9" xfId="0" applyNumberFormat="1" applyFont="1" applyFill="1" applyBorder="1" applyAlignment="1">
      <alignment vertical="center"/>
    </xf>
    <xf numFmtId="3" fontId="2" fillId="0" borderId="9" xfId="0" applyNumberFormat="1" applyFont="1" applyFill="1" applyBorder="1" applyAlignment="1">
      <alignment horizontal="centerContinuous" vertical="center"/>
    </xf>
    <xf numFmtId="15" fontId="2" fillId="0" borderId="5" xfId="0" applyNumberFormat="1" applyFont="1" applyBorder="1" applyAlignment="1">
      <alignment vertical="center"/>
    </xf>
    <xf numFmtId="3" fontId="2" fillId="0" borderId="9" xfId="0" applyNumberFormat="1" applyFont="1" applyFill="1" applyBorder="1" applyAlignment="1">
      <alignment vertical="center"/>
    </xf>
    <xf numFmtId="0" fontId="3" fillId="0" borderId="5" xfId="0" applyFont="1" applyBorder="1" applyAlignment="1">
      <alignment vertical="center"/>
    </xf>
    <xf numFmtId="3" fontId="3" fillId="0" borderId="68" xfId="0" applyNumberFormat="1" applyFont="1" applyFill="1" applyBorder="1" applyAlignment="1">
      <alignment vertical="center"/>
    </xf>
    <xf numFmtId="3" fontId="3" fillId="0" borderId="9" xfId="0" applyNumberFormat="1" applyFont="1" applyBorder="1" applyAlignment="1">
      <alignment vertical="center"/>
    </xf>
    <xf numFmtId="0" fontId="3" fillId="0" borderId="6" xfId="0" applyFont="1" applyBorder="1" applyAlignment="1">
      <alignment vertical="center"/>
    </xf>
    <xf numFmtId="0" fontId="2" fillId="0" borderId="0" xfId="0" applyFont="1" applyAlignment="1">
      <alignment horizontal="right" vertical="center"/>
    </xf>
    <xf numFmtId="0" fontId="3" fillId="0" borderId="7" xfId="0" quotePrefix="1" applyFont="1" applyBorder="1" applyAlignment="1">
      <alignment vertical="center"/>
    </xf>
    <xf numFmtId="3" fontId="3" fillId="0" borderId="11" xfId="0" applyNumberFormat="1" applyFont="1" applyFill="1" applyBorder="1" applyAlignment="1">
      <alignment vertical="center"/>
    </xf>
    <xf numFmtId="3" fontId="3" fillId="0" borderId="11" xfId="0" applyNumberFormat="1" applyFont="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60" xfId="0" applyFont="1" applyFill="1" applyBorder="1" applyAlignment="1">
      <alignment horizontal="centerContinuous" vertical="center"/>
    </xf>
    <xf numFmtId="0" fontId="3" fillId="0" borderId="6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60" xfId="0" applyFont="1" applyFill="1" applyBorder="1" applyAlignment="1">
      <alignment horizontal="center" vertical="center"/>
    </xf>
    <xf numFmtId="17" fontId="2" fillId="0" borderId="5" xfId="0" applyNumberFormat="1" applyFont="1" applyFill="1" applyBorder="1" applyAlignment="1">
      <alignment horizontal="left" vertical="center"/>
    </xf>
    <xf numFmtId="10" fontId="2" fillId="0" borderId="11" xfId="0" applyNumberFormat="1" applyFont="1" applyFill="1" applyBorder="1" applyAlignment="1">
      <alignment horizontal="center" vertical="center"/>
    </xf>
    <xf numFmtId="17" fontId="2" fillId="0" borderId="69" xfId="0" applyNumberFormat="1" applyFont="1" applyFill="1" applyBorder="1" applyAlignment="1">
      <alignment horizontal="left" vertical="center"/>
    </xf>
    <xf numFmtId="0" fontId="3" fillId="0" borderId="5" xfId="0" applyFont="1" applyFill="1" applyBorder="1" applyAlignment="1">
      <alignment vertical="center"/>
    </xf>
    <xf numFmtId="0" fontId="2" fillId="0" borderId="11" xfId="0" applyFont="1" applyFill="1" applyBorder="1" applyAlignment="1">
      <alignment horizontal="center" vertical="center"/>
    </xf>
    <xf numFmtId="0" fontId="3" fillId="0" borderId="69" xfId="0" applyFont="1" applyFill="1" applyBorder="1" applyAlignment="1">
      <alignment vertical="center"/>
    </xf>
    <xf numFmtId="0" fontId="3" fillId="0" borderId="31" xfId="0" applyFont="1" applyBorder="1" applyAlignment="1">
      <alignment horizontal="center" vertical="center"/>
    </xf>
    <xf numFmtId="0" fontId="16" fillId="0" borderId="0" xfId="0" applyFont="1" applyAlignment="1">
      <alignment vertical="center" wrapText="1"/>
    </xf>
    <xf numFmtId="15" fontId="2" fillId="2" borderId="1" xfId="0" applyNumberFormat="1" applyFont="1" applyFill="1" applyBorder="1" applyAlignment="1">
      <alignment horizontal="center" vertical="center"/>
    </xf>
    <xf numFmtId="5" fontId="22" fillId="0" borderId="0" xfId="0" applyNumberFormat="1" applyFont="1" applyAlignment="1">
      <alignment horizontal="center" vertical="center"/>
    </xf>
    <xf numFmtId="44" fontId="0" fillId="0" borderId="0" xfId="0" applyNumberFormat="1" applyFont="1" applyAlignment="1">
      <alignment vertical="center"/>
    </xf>
    <xf numFmtId="0" fontId="3" fillId="0" borderId="7" xfId="0" applyFont="1" applyFill="1" applyBorder="1" applyAlignment="1">
      <alignment vertical="center"/>
    </xf>
    <xf numFmtId="37" fontId="2" fillId="0" borderId="11" xfId="0" applyNumberFormat="1" applyFont="1" applyFill="1" applyBorder="1" applyAlignment="1">
      <alignment vertical="center"/>
    </xf>
    <xf numFmtId="37" fontId="2" fillId="0" borderId="11" xfId="0" applyNumberFormat="1" applyFont="1" applyBorder="1" applyAlignment="1">
      <alignment vertical="center"/>
    </xf>
    <xf numFmtId="0" fontId="3" fillId="0" borderId="11" xfId="0" quotePrefix="1" applyFont="1" applyBorder="1" applyAlignment="1">
      <alignment vertical="center"/>
    </xf>
    <xf numFmtId="166" fontId="3" fillId="0" borderId="9" xfId="0" applyNumberFormat="1" applyFont="1" applyBorder="1" applyAlignment="1">
      <alignment horizontal="center" vertical="center"/>
    </xf>
    <xf numFmtId="0" fontId="2" fillId="0" borderId="5" xfId="0" applyFont="1" applyBorder="1" applyAlignment="1">
      <alignment vertical="center"/>
    </xf>
    <xf numFmtId="43" fontId="2" fillId="0" borderId="0" xfId="0" applyNumberFormat="1" applyFont="1" applyAlignment="1">
      <alignment vertical="center"/>
    </xf>
    <xf numFmtId="170" fontId="2" fillId="0" borderId="11" xfId="0" applyNumberFormat="1" applyFont="1" applyBorder="1" applyAlignment="1">
      <alignment vertical="center"/>
    </xf>
    <xf numFmtId="170" fontId="2" fillId="0" borderId="12" xfId="0" applyNumberFormat="1" applyFont="1" applyBorder="1" applyAlignment="1">
      <alignment horizontal="center" vertical="center"/>
    </xf>
    <xf numFmtId="0" fontId="3" fillId="0" borderId="15" xfId="0" applyFont="1" applyBorder="1" applyAlignment="1">
      <alignment vertical="center"/>
    </xf>
    <xf numFmtId="171" fontId="2" fillId="0" borderId="0" xfId="0" applyNumberFormat="1" applyFont="1" applyAlignment="1">
      <alignment vertical="center"/>
    </xf>
    <xf numFmtId="166" fontId="3" fillId="0" borderId="8" xfId="0" quotePrefix="1" applyNumberFormat="1" applyFont="1" applyBorder="1" applyAlignment="1">
      <alignment horizontal="center" vertical="center"/>
    </xf>
    <xf numFmtId="166" fontId="3" fillId="0" borderId="0" xfId="0" applyNumberFormat="1" applyFont="1" applyBorder="1" applyAlignment="1">
      <alignment horizontal="center" vertical="center"/>
    </xf>
    <xf numFmtId="0" fontId="3" fillId="0" borderId="7" xfId="0" quotePrefix="1" applyFont="1" applyBorder="1" applyAlignment="1">
      <alignment horizontal="centerContinuous" vertical="center"/>
    </xf>
    <xf numFmtId="165" fontId="2" fillId="0" borderId="5" xfId="0" applyNumberFormat="1" applyFont="1" applyFill="1" applyBorder="1" applyAlignment="1">
      <alignment horizontal="left" vertical="center"/>
    </xf>
    <xf numFmtId="0" fontId="3" fillId="0" borderId="0" xfId="0" quotePrefix="1" applyFont="1" applyAlignment="1">
      <alignment horizontal="centerContinuous"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15" fontId="2" fillId="0" borderId="1" xfId="0" applyNumberFormat="1" applyFont="1" applyBorder="1" applyAlignment="1">
      <alignment horizontal="center" vertical="center"/>
    </xf>
    <xf numFmtId="0" fontId="22" fillId="0" borderId="0" xfId="0" applyFont="1" applyAlignment="1">
      <alignment vertical="center"/>
    </xf>
    <xf numFmtId="5" fontId="2" fillId="0" borderId="0" xfId="0" applyNumberFormat="1" applyFont="1" applyAlignment="1">
      <alignment horizontal="center" vertical="center"/>
    </xf>
    <xf numFmtId="0" fontId="23"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0" fontId="16" fillId="0" borderId="0" xfId="0" applyFont="1" applyAlignment="1">
      <alignment horizontal="left" vertical="center"/>
    </xf>
    <xf numFmtId="166" fontId="2" fillId="0" borderId="0" xfId="0" applyNumberFormat="1" applyFont="1" applyAlignment="1">
      <alignment horizontal="center" vertical="center"/>
    </xf>
    <xf numFmtId="166" fontId="2" fillId="0" borderId="0" xfId="0" applyNumberFormat="1" applyFont="1" applyBorder="1" applyAlignment="1">
      <alignment horizontal="center" vertical="center"/>
    </xf>
    <xf numFmtId="166" fontId="2" fillId="0" borderId="0" xfId="0" applyNumberFormat="1" applyFont="1" applyAlignment="1">
      <alignment vertical="center"/>
    </xf>
    <xf numFmtId="0" fontId="2" fillId="0" borderId="0" xfId="0" applyFont="1" applyAlignment="1">
      <alignment horizontal="right" vertical="center"/>
    </xf>
    <xf numFmtId="14" fontId="16" fillId="0" borderId="0" xfId="0" applyNumberFormat="1" applyFont="1" applyAlignment="1">
      <alignment vertical="center"/>
    </xf>
    <xf numFmtId="0" fontId="23" fillId="0" borderId="0" xfId="0" quotePrefix="1" applyFont="1" applyAlignment="1" applyProtection="1">
      <alignment horizontal="center" vertical="center"/>
    </xf>
    <xf numFmtId="172" fontId="2" fillId="0" borderId="0" xfId="0" applyNumberFormat="1" applyFont="1" applyAlignment="1">
      <alignment horizontal="left" vertical="center"/>
    </xf>
    <xf numFmtId="41" fontId="2" fillId="0" borderId="0" xfId="0" applyNumberFormat="1" applyFont="1" applyBorder="1" applyAlignment="1">
      <alignment vertical="center"/>
    </xf>
    <xf numFmtId="0" fontId="3" fillId="0" borderId="0" xfId="0" applyFont="1" applyBorder="1" applyAlignment="1">
      <alignment horizontal="centerContinuous" vertical="center"/>
    </xf>
    <xf numFmtId="17" fontId="2" fillId="0" borderId="11" xfId="0" applyNumberFormat="1"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17" fontId="4" fillId="0" borderId="0" xfId="0" applyNumberFormat="1" applyFont="1" applyBorder="1" applyAlignment="1">
      <alignment horizontal="left" vertical="center"/>
    </xf>
    <xf numFmtId="17" fontId="3" fillId="0" borderId="0" xfId="0" applyNumberFormat="1" applyFont="1" applyBorder="1" applyAlignment="1">
      <alignment horizontal="left" vertical="center"/>
    </xf>
    <xf numFmtId="165" fontId="4" fillId="0" borderId="0" xfId="0" applyNumberFormat="1" applyFont="1" applyFill="1" applyBorder="1" applyAlignment="1">
      <alignment vertical="center"/>
    </xf>
    <xf numFmtId="3" fontId="3" fillId="0" borderId="0" xfId="0" applyNumberFormat="1" applyFont="1" applyFill="1" applyBorder="1" applyAlignment="1">
      <alignment horizontal="centerContinuous" vertical="center"/>
    </xf>
    <xf numFmtId="15" fontId="3" fillId="0" borderId="0" xfId="0" applyNumberFormat="1" applyFont="1" applyBorder="1" applyAlignment="1">
      <alignment vertical="center"/>
    </xf>
    <xf numFmtId="166" fontId="4" fillId="0" borderId="0" xfId="0" applyNumberFormat="1" applyFont="1" applyFill="1" applyBorder="1" applyAlignment="1">
      <alignmen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vertical="center"/>
    </xf>
    <xf numFmtId="165" fontId="2" fillId="0" borderId="7" xfId="0" applyNumberFormat="1" applyFont="1" applyBorder="1" applyAlignment="1">
      <alignment vertical="center"/>
    </xf>
    <xf numFmtId="165" fontId="2" fillId="0" borderId="11" xfId="0" applyNumberFormat="1" applyFont="1" applyBorder="1" applyAlignment="1">
      <alignment horizontal="center" vertical="center"/>
    </xf>
    <xf numFmtId="165" fontId="3" fillId="0" borderId="64" xfId="0" applyNumberFormat="1"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Fill="1" applyBorder="1" applyAlignment="1">
      <alignment horizontal="center" vertical="center"/>
    </xf>
    <xf numFmtId="166" fontId="3" fillId="0" borderId="63" xfId="0" applyNumberFormat="1" applyFont="1" applyBorder="1" applyAlignment="1">
      <alignment vertical="center"/>
    </xf>
    <xf numFmtId="165" fontId="3" fillId="0" borderId="10" xfId="0" applyNumberFormat="1" applyFont="1" applyBorder="1" applyAlignment="1">
      <alignment vertical="center"/>
    </xf>
    <xf numFmtId="165" fontId="3" fillId="0" borderId="14"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0" fontId="2" fillId="0" borderId="0" xfId="0" applyNumberFormat="1" applyFont="1" applyAlignment="1">
      <alignment horizontal="center" vertical="center"/>
    </xf>
    <xf numFmtId="166" fontId="2" fillId="0" borderId="0" xfId="0" applyNumberFormat="1" applyFont="1" applyAlignment="1" applyProtection="1">
      <alignment horizontal="center" vertical="center"/>
    </xf>
    <xf numFmtId="15" fontId="2" fillId="0" borderId="0" xfId="0" applyNumberFormat="1" applyFont="1" applyAlignment="1" applyProtection="1">
      <alignment horizontal="center" vertical="center"/>
    </xf>
    <xf numFmtId="0" fontId="2" fillId="0" borderId="1" xfId="0" applyNumberFormat="1" applyFont="1" applyBorder="1" applyAlignment="1">
      <alignment horizontal="center" vertical="center"/>
    </xf>
    <xf numFmtId="1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2" fillId="0" borderId="0" xfId="0"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Alignment="1">
      <alignment vertical="center"/>
    </xf>
    <xf numFmtId="0" fontId="5" fillId="0" borderId="0" xfId="0" applyFont="1" applyAlignment="1" applyProtection="1">
      <alignment horizontal="left" vertical="center"/>
    </xf>
    <xf numFmtId="0" fontId="2" fillId="0" borderId="0" xfId="0" applyNumberFormat="1" applyFont="1" applyFill="1" applyAlignment="1">
      <alignment horizontal="center" vertical="center" wrapText="1"/>
    </xf>
    <xf numFmtId="5" fontId="22" fillId="0" borderId="0" xfId="0" applyNumberFormat="1" applyFont="1" applyAlignment="1">
      <alignment horizontal="left" vertical="center"/>
    </xf>
    <xf numFmtId="165" fontId="2" fillId="0" borderId="0" xfId="0" applyNumberFormat="1" applyFont="1" applyAlignment="1">
      <alignment vertical="center"/>
    </xf>
    <xf numFmtId="0" fontId="2" fillId="0" borderId="0" xfId="0" applyFont="1" applyFill="1" applyAlignment="1" applyProtection="1">
      <alignment horizontal="left" vertical="center"/>
    </xf>
    <xf numFmtId="0" fontId="2" fillId="0" borderId="0" xfId="0" applyNumberFormat="1" applyFont="1" applyAlignment="1">
      <alignment horizontal="center" vertical="center" wrapText="1"/>
    </xf>
    <xf numFmtId="0" fontId="3" fillId="0" borderId="0" xfId="0" applyFont="1" applyAlignment="1" applyProtection="1">
      <alignment horizontal="left" vertical="center"/>
    </xf>
    <xf numFmtId="0" fontId="2" fillId="0" borderId="0" xfId="0" applyNumberFormat="1" applyFont="1" applyFill="1" applyAlignment="1">
      <alignment horizontal="center" vertical="center"/>
    </xf>
    <xf numFmtId="0" fontId="22" fillId="0" borderId="0" xfId="0" applyFont="1" applyAlignment="1">
      <alignment horizontal="left" vertical="center"/>
    </xf>
    <xf numFmtId="5" fontId="2" fillId="0" borderId="0" xfId="0" applyNumberFormat="1" applyFont="1" applyFill="1" applyAlignment="1">
      <alignment horizontal="center" vertical="center"/>
    </xf>
    <xf numFmtId="165" fontId="2" fillId="0" borderId="0"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49" fontId="2" fillId="0" borderId="0" xfId="0" applyNumberFormat="1" applyFont="1" applyAlignment="1">
      <alignment vertical="center"/>
    </xf>
    <xf numFmtId="0" fontId="3" fillId="0" borderId="0" xfId="0" applyFont="1" applyAlignment="1">
      <alignment horizontal="centerContinuous"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centerContinuous" vertical="center"/>
    </xf>
    <xf numFmtId="166" fontId="2" fillId="0" borderId="0" xfId="0" quotePrefix="1" applyNumberFormat="1" applyFont="1" applyBorder="1" applyAlignment="1">
      <alignment horizontal="centerContinuous" vertical="center"/>
    </xf>
    <xf numFmtId="49" fontId="3" fillId="0" borderId="28" xfId="0" applyNumberFormat="1" applyFont="1" applyBorder="1" applyAlignment="1">
      <alignment vertical="center"/>
    </xf>
    <xf numFmtId="0" fontId="3" fillId="0" borderId="19" xfId="0" applyFont="1" applyBorder="1" applyAlignment="1">
      <alignment vertical="center"/>
    </xf>
    <xf numFmtId="0" fontId="3" fillId="0" borderId="18" xfId="0" quotePrefix="1" applyFont="1" applyBorder="1" applyAlignment="1">
      <alignment horizontal="center" vertical="center"/>
    </xf>
    <xf numFmtId="166" fontId="3" fillId="0" borderId="18" xfId="0" quotePrefix="1" applyNumberFormat="1" applyFont="1" applyBorder="1" applyAlignment="1">
      <alignment horizontal="center" vertical="center"/>
    </xf>
    <xf numFmtId="0" fontId="3" fillId="0" borderId="20" xfId="0" applyFont="1" applyBorder="1" applyAlignment="1">
      <alignment vertical="center"/>
    </xf>
    <xf numFmtId="49" fontId="3" fillId="0" borderId="30" xfId="0" applyNumberFormat="1" applyFont="1" applyBorder="1" applyAlignment="1">
      <alignment horizontal="center" vertical="center"/>
    </xf>
    <xf numFmtId="0" fontId="3" fillId="0" borderId="11" xfId="0" applyFont="1" applyBorder="1" applyAlignment="1">
      <alignment horizontal="center" vertical="center"/>
    </xf>
    <xf numFmtId="0" fontId="2" fillId="0" borderId="22" xfId="0" applyFont="1" applyBorder="1" applyAlignment="1">
      <alignment horizontal="center" vertical="center"/>
    </xf>
    <xf numFmtId="49" fontId="3" fillId="0" borderId="79" xfId="0" applyNumberFormat="1"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0" xfId="0" applyFont="1" applyBorder="1" applyAlignment="1">
      <alignment horizontal="center" vertical="center"/>
    </xf>
    <xf numFmtId="49" fontId="2" fillId="0" borderId="30" xfId="0" applyNumberFormat="1" applyFont="1" applyBorder="1" applyAlignment="1">
      <alignment vertical="center"/>
    </xf>
    <xf numFmtId="0" fontId="13" fillId="0" borderId="0" xfId="0" applyFont="1" applyBorder="1" applyAlignment="1">
      <alignment vertical="center"/>
    </xf>
    <xf numFmtId="38" fontId="3" fillId="0" borderId="11" xfId="0" applyNumberFormat="1" applyFont="1" applyBorder="1" applyAlignment="1">
      <alignment vertical="center"/>
    </xf>
    <xf numFmtId="38" fontId="3" fillId="0" borderId="22" xfId="0" applyNumberFormat="1" applyFont="1" applyBorder="1" applyAlignment="1">
      <alignment vertical="center"/>
    </xf>
    <xf numFmtId="0" fontId="2" fillId="0" borderId="30" xfId="0" applyFont="1" applyBorder="1" applyAlignment="1">
      <alignment horizontal="center" vertical="center"/>
    </xf>
    <xf numFmtId="38" fontId="2" fillId="0" borderId="22" xfId="0" applyNumberFormat="1" applyFont="1" applyBorder="1" applyAlignment="1">
      <alignment horizontal="center" vertical="center"/>
    </xf>
    <xf numFmtId="38" fontId="2" fillId="0" borderId="31" xfId="0" applyNumberFormat="1" applyFont="1" applyBorder="1" applyAlignment="1">
      <alignment horizontal="center" vertical="center"/>
    </xf>
    <xf numFmtId="49" fontId="2" fillId="0" borderId="78" xfId="0" applyNumberFormat="1" applyFont="1" applyBorder="1" applyAlignment="1">
      <alignment vertical="center"/>
    </xf>
    <xf numFmtId="0" fontId="14" fillId="0" borderId="23" xfId="0" applyFont="1" applyBorder="1" applyAlignment="1">
      <alignment vertical="center"/>
    </xf>
    <xf numFmtId="38" fontId="2" fillId="0" borderId="24"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4" fillId="0" borderId="0" xfId="0" applyFont="1" applyBorder="1" applyAlignment="1">
      <alignment vertical="center"/>
    </xf>
    <xf numFmtId="49" fontId="2" fillId="0" borderId="78" xfId="0" applyNumberFormat="1" applyFont="1" applyBorder="1" applyAlignment="1">
      <alignment horizontal="center" vertical="center"/>
    </xf>
    <xf numFmtId="0" fontId="2" fillId="0" borderId="24" xfId="0" applyFont="1" applyBorder="1" applyAlignment="1">
      <alignment vertical="center"/>
    </xf>
    <xf numFmtId="49" fontId="2" fillId="0" borderId="21" xfId="0" applyNumberFormat="1" applyFont="1" applyBorder="1" applyAlignment="1">
      <alignment horizontal="center" vertical="center"/>
    </xf>
    <xf numFmtId="0" fontId="2" fillId="0" borderId="22" xfId="0" applyFont="1" applyBorder="1" applyAlignment="1">
      <alignment vertical="center"/>
    </xf>
    <xf numFmtId="49" fontId="8" fillId="0" borderId="21" xfId="0" applyNumberFormat="1" applyFont="1" applyBorder="1" applyAlignment="1">
      <alignment vertical="center"/>
    </xf>
    <xf numFmtId="0" fontId="3" fillId="0" borderId="21" xfId="0" applyFont="1" applyBorder="1" applyAlignment="1">
      <alignment horizontal="left" vertical="center"/>
    </xf>
    <xf numFmtId="49" fontId="2" fillId="0" borderId="81" xfId="0" applyNumberFormat="1" applyFont="1" applyBorder="1" applyAlignment="1">
      <alignment horizontal="center" vertical="center"/>
    </xf>
    <xf numFmtId="166" fontId="2" fillId="0" borderId="23" xfId="0" applyNumberFormat="1" applyFont="1" applyBorder="1" applyAlignment="1">
      <alignment vertical="center"/>
    </xf>
    <xf numFmtId="49" fontId="2" fillId="0" borderId="0" xfId="0" applyNumberFormat="1" applyFont="1" applyAlignment="1">
      <alignment horizontal="center" vertical="center"/>
    </xf>
    <xf numFmtId="37" fontId="2" fillId="0" borderId="0" xfId="0" applyNumberFormat="1" applyFont="1" applyAlignment="1">
      <alignment vertical="center"/>
    </xf>
    <xf numFmtId="37" fontId="3" fillId="0" borderId="0" xfId="0" applyNumberFormat="1" applyFont="1" applyBorder="1" applyAlignment="1">
      <alignment horizontal="center" vertical="center"/>
    </xf>
    <xf numFmtId="37" fontId="3" fillId="0" borderId="28" xfId="0" applyNumberFormat="1" applyFont="1" applyBorder="1" applyAlignment="1">
      <alignment horizontal="center" vertical="center"/>
    </xf>
    <xf numFmtId="37" fontId="3" fillId="0" borderId="19" xfId="0" applyNumberFormat="1" applyFont="1" applyBorder="1" applyAlignment="1">
      <alignment vertical="center"/>
    </xf>
    <xf numFmtId="37" fontId="3" fillId="0" borderId="18" xfId="0" quotePrefix="1" applyNumberFormat="1" applyFont="1" applyBorder="1" applyAlignment="1">
      <alignment horizontal="center" vertical="center"/>
    </xf>
    <xf numFmtId="37" fontId="3" fillId="0" borderId="19" xfId="0" quotePrefix="1" applyNumberFormat="1" applyFont="1" applyBorder="1" applyAlignment="1">
      <alignment horizontal="center" vertical="center"/>
    </xf>
    <xf numFmtId="37" fontId="3" fillId="0" borderId="20" xfId="0" quotePrefix="1" applyNumberFormat="1" applyFont="1" applyBorder="1" applyAlignment="1">
      <alignment horizontal="center" vertical="center"/>
    </xf>
    <xf numFmtId="37" fontId="3" fillId="0" borderId="30" xfId="0" applyNumberFormat="1" applyFont="1" applyBorder="1" applyAlignment="1">
      <alignment horizontal="center" vertical="center"/>
    </xf>
    <xf numFmtId="37" fontId="3" fillId="0" borderId="0" xfId="0" applyNumberFormat="1" applyFont="1" applyBorder="1" applyAlignment="1">
      <alignment vertical="center"/>
    </xf>
    <xf numFmtId="37" fontId="3" fillId="0" borderId="0" xfId="0" applyNumberFormat="1" applyFont="1" applyFill="1" applyBorder="1" applyAlignment="1">
      <alignment horizontal="center" vertical="center"/>
    </xf>
    <xf numFmtId="37" fontId="3" fillId="0" borderId="22" xfId="0" quotePrefix="1" applyNumberFormat="1" applyFont="1" applyBorder="1" applyAlignment="1">
      <alignment horizontal="center" vertical="center"/>
    </xf>
    <xf numFmtId="37" fontId="3" fillId="0" borderId="78" xfId="0" applyNumberFormat="1" applyFont="1" applyBorder="1" applyAlignment="1">
      <alignment horizontal="center" vertical="center"/>
    </xf>
    <xf numFmtId="37" fontId="3" fillId="0" borderId="62" xfId="0" applyNumberFormat="1" applyFont="1" applyFill="1" applyBorder="1" applyAlignment="1">
      <alignment horizontal="center" vertical="center"/>
    </xf>
    <xf numFmtId="37" fontId="2" fillId="0" borderId="30" xfId="0" applyNumberFormat="1" applyFont="1" applyBorder="1" applyAlignment="1">
      <alignment horizontal="center" vertical="center"/>
    </xf>
    <xf numFmtId="37" fontId="13" fillId="0" borderId="0" xfId="0" applyNumberFormat="1" applyFont="1" applyBorder="1" applyAlignment="1">
      <alignment vertical="center"/>
    </xf>
    <xf numFmtId="37" fontId="2" fillId="0" borderId="0" xfId="0" applyNumberFormat="1" applyFont="1" applyBorder="1" applyAlignment="1">
      <alignment horizontal="left" vertical="center"/>
    </xf>
    <xf numFmtId="0" fontId="2" fillId="0" borderId="22" xfId="0" applyNumberFormat="1" applyFont="1" applyFill="1" applyBorder="1" applyAlignment="1">
      <alignment horizontal="center" vertical="center"/>
    </xf>
    <xf numFmtId="39" fontId="2" fillId="0" borderId="0" xfId="0" applyNumberFormat="1" applyFont="1" applyAlignment="1">
      <alignment vertical="center"/>
    </xf>
    <xf numFmtId="37" fontId="2" fillId="0" borderId="0" xfId="0" applyNumberFormat="1" applyFont="1" applyFill="1" applyBorder="1" applyAlignment="1">
      <alignment horizontal="center" vertical="center"/>
    </xf>
    <xf numFmtId="37" fontId="2" fillId="0" borderId="0" xfId="0" applyNumberFormat="1" applyFont="1" applyFill="1" applyAlignment="1">
      <alignment vertical="center"/>
    </xf>
    <xf numFmtId="174" fontId="2" fillId="0" borderId="30" xfId="0" applyNumberFormat="1" applyFont="1" applyBorder="1" applyAlignment="1">
      <alignment horizontal="center" vertical="center"/>
    </xf>
    <xf numFmtId="43" fontId="2" fillId="0" borderId="0" xfId="0" applyNumberFormat="1" applyFont="1" applyBorder="1" applyAlignment="1">
      <alignment vertical="center"/>
    </xf>
    <xf numFmtId="37" fontId="2" fillId="0" borderId="22" xfId="0" applyNumberFormat="1" applyFont="1" applyBorder="1" applyAlignment="1">
      <alignment vertical="center"/>
    </xf>
    <xf numFmtId="37" fontId="3" fillId="0" borderId="0" xfId="0" applyNumberFormat="1" applyFont="1" applyFill="1" applyBorder="1" applyAlignment="1">
      <alignment vertical="center"/>
    </xf>
    <xf numFmtId="37" fontId="2" fillId="0" borderId="22" xfId="0" applyNumberFormat="1" applyFont="1" applyFill="1" applyBorder="1" applyAlignment="1">
      <alignment horizontal="center" vertical="center"/>
    </xf>
    <xf numFmtId="37" fontId="2" fillId="0" borderId="78" xfId="0" applyNumberFormat="1" applyFont="1" applyBorder="1" applyAlignment="1">
      <alignment vertical="center"/>
    </xf>
    <xf numFmtId="37" fontId="2" fillId="0" borderId="21" xfId="0" applyNumberFormat="1" applyFont="1" applyBorder="1" applyAlignment="1">
      <alignment vertical="center"/>
    </xf>
    <xf numFmtId="37" fontId="8" fillId="0" borderId="21" xfId="0" applyNumberFormat="1" applyFont="1" applyFill="1" applyBorder="1" applyAlignment="1">
      <alignment horizontal="left" vertical="center"/>
    </xf>
    <xf numFmtId="37" fontId="2" fillId="0" borderId="0" xfId="0" applyNumberFormat="1" applyFont="1" applyFill="1" applyBorder="1" applyAlignment="1">
      <alignment vertical="center" wrapText="1"/>
    </xf>
    <xf numFmtId="37" fontId="3" fillId="0" borderId="0" xfId="0" applyNumberFormat="1" applyFont="1" applyFill="1" applyBorder="1" applyAlignment="1">
      <alignment horizontal="left" vertical="center"/>
    </xf>
    <xf numFmtId="0" fontId="6" fillId="0" borderId="21" xfId="0" applyFont="1" applyBorder="1" applyAlignment="1">
      <alignment horizontal="center" vertical="center"/>
    </xf>
    <xf numFmtId="37" fontId="2" fillId="0" borderId="0" xfId="0" applyNumberFormat="1" applyFont="1" applyFill="1" applyBorder="1" applyAlignment="1">
      <alignment horizontal="left" vertical="center"/>
    </xf>
    <xf numFmtId="37" fontId="2" fillId="0" borderId="81" xfId="0" applyNumberFormat="1" applyFont="1" applyBorder="1" applyAlignment="1">
      <alignment vertical="center"/>
    </xf>
    <xf numFmtId="174" fontId="2" fillId="0" borderId="0" xfId="0" applyNumberFormat="1" applyFont="1" applyBorder="1" applyAlignment="1">
      <alignment vertical="center"/>
    </xf>
    <xf numFmtId="37" fontId="6" fillId="0" borderId="0" xfId="0" applyNumberFormat="1" applyFont="1" applyBorder="1" applyAlignment="1">
      <alignment horizontal="center" vertical="center"/>
    </xf>
    <xf numFmtId="37" fontId="3" fillId="0" borderId="0" xfId="0" applyNumberFormat="1" applyFont="1" applyAlignment="1" applyProtection="1">
      <alignment horizontal="center" vertical="center"/>
      <protection locked="0"/>
    </xf>
    <xf numFmtId="37" fontId="3" fillId="0" borderId="0" xfId="0" applyNumberFormat="1" applyFont="1" applyAlignment="1">
      <alignment vertical="center"/>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0" fontId="2" fillId="0" borderId="4" xfId="0" applyFont="1" applyBorder="1" applyAlignment="1">
      <alignment horizontal="center" vertical="center"/>
    </xf>
    <xf numFmtId="5" fontId="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165" fontId="2" fillId="0" borderId="0" xfId="0" applyNumberFormat="1" applyFont="1" applyAlignment="1">
      <alignment horizontal="center" vertical="center"/>
    </xf>
    <xf numFmtId="10"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left" vertical="center"/>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22" fillId="0" borderId="0" xfId="0" applyFont="1" applyAlignment="1">
      <alignment horizontal="center" vertical="center"/>
    </xf>
    <xf numFmtId="165" fontId="22" fillId="0" borderId="0" xfId="0" applyNumberFormat="1" applyFont="1" applyBorder="1" applyAlignment="1" applyProtection="1">
      <alignment vertical="center"/>
      <protection locked="0"/>
    </xf>
    <xf numFmtId="0" fontId="4" fillId="0" borderId="0" xfId="0" applyFont="1" applyAlignment="1">
      <alignment horizontal="center" vertical="center"/>
    </xf>
    <xf numFmtId="166" fontId="3" fillId="0" borderId="0" xfId="0" applyNumberFormat="1" applyFont="1" applyBorder="1" applyAlignment="1" applyProtection="1">
      <alignment vertical="center"/>
      <protection locked="0"/>
    </xf>
    <xf numFmtId="5" fontId="2" fillId="0" borderId="0" xfId="0" applyNumberFormat="1" applyFont="1" applyAlignment="1">
      <alignment horizontal="right" vertical="center"/>
    </xf>
    <xf numFmtId="0" fontId="5" fillId="0" borderId="0" xfId="0" applyFont="1" applyAlignment="1">
      <alignment vertical="center"/>
    </xf>
    <xf numFmtId="5" fontId="3" fillId="0" borderId="0" xfId="0" applyNumberFormat="1" applyFont="1" applyAlignment="1">
      <alignment horizontal="center" vertical="center"/>
    </xf>
    <xf numFmtId="0" fontId="8"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8" fillId="0" borderId="7" xfId="0" applyFont="1" applyBorder="1" applyAlignment="1">
      <alignment vertical="center"/>
    </xf>
    <xf numFmtId="184" fontId="3" fillId="0" borderId="8" xfId="0" quotePrefix="1" applyNumberFormat="1" applyFont="1" applyBorder="1" applyAlignment="1">
      <alignment horizontal="center" vertical="center"/>
    </xf>
    <xf numFmtId="184" fontId="3" fillId="0" borderId="7" xfId="0" quotePrefix="1" applyNumberFormat="1" applyFont="1" applyBorder="1" applyAlignment="1">
      <alignment horizontal="center" vertical="center"/>
    </xf>
    <xf numFmtId="0" fontId="3" fillId="0" borderId="64" xfId="0" applyFont="1" applyFill="1" applyBorder="1" applyAlignment="1">
      <alignment horizontal="center" vertical="center"/>
    </xf>
    <xf numFmtId="0" fontId="2" fillId="0" borderId="11" xfId="0" applyFont="1" applyBorder="1" applyAlignment="1">
      <alignment horizontal="left" vertical="center"/>
    </xf>
    <xf numFmtId="166" fontId="3" fillId="0" borderId="11" xfId="0" applyNumberFormat="1" applyFont="1" applyBorder="1" applyAlignment="1">
      <alignment vertical="center"/>
    </xf>
    <xf numFmtId="0" fontId="2" fillId="0" borderId="64" xfId="0" applyFont="1" applyBorder="1" applyAlignment="1">
      <alignment vertical="center"/>
    </xf>
    <xf numFmtId="0" fontId="2" fillId="0" borderId="64" xfId="0" applyFont="1" applyFill="1" applyBorder="1" applyAlignment="1">
      <alignment horizontal="center" vertical="center"/>
    </xf>
    <xf numFmtId="0" fontId="3" fillId="0" borderId="14" xfId="0" applyFont="1" applyBorder="1" applyAlignment="1">
      <alignment vertical="center"/>
    </xf>
    <xf numFmtId="0" fontId="3" fillId="0" borderId="68" xfId="0" applyFont="1" applyFill="1" applyBorder="1" applyAlignment="1">
      <alignment vertical="center"/>
    </xf>
    <xf numFmtId="0" fontId="6" fillId="0" borderId="0" xfId="0" applyFont="1" applyFill="1" applyAlignment="1">
      <alignment horizontal="center" vertical="center"/>
    </xf>
    <xf numFmtId="5" fontId="2" fillId="0" borderId="0" xfId="0" applyNumberFormat="1" applyFont="1" applyAlignment="1">
      <alignment horizontal="center" vertical="center" wrapText="1"/>
    </xf>
    <xf numFmtId="166" fontId="3" fillId="0" borderId="8" xfId="0" quotePrefix="1" applyNumberFormat="1" applyFont="1" applyBorder="1" applyAlignment="1">
      <alignment horizontal="centerContinuous" vertical="center"/>
    </xf>
    <xf numFmtId="0" fontId="3" fillId="0" borderId="11" xfId="0" quotePrefix="1" applyFont="1" applyBorder="1" applyAlignment="1">
      <alignment horizontal="centerContinuous" vertical="center"/>
    </xf>
    <xf numFmtId="166" fontId="3" fillId="0" borderId="9" xfId="0" applyNumberFormat="1" applyFont="1" applyBorder="1" applyAlignment="1">
      <alignment horizontal="centerContinuous" vertical="center"/>
    </xf>
    <xf numFmtId="166" fontId="3" fillId="0" borderId="11" xfId="0" quotePrefix="1" applyNumberFormat="1" applyFont="1" applyBorder="1" applyAlignment="1">
      <alignment horizontal="center" vertical="center"/>
    </xf>
    <xf numFmtId="166" fontId="3" fillId="0" borderId="9" xfId="0" quotePrefix="1"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3" xfId="0" applyNumberFormat="1" applyFont="1" applyBorder="1" applyAlignment="1">
      <alignment horizontal="center" vertical="center"/>
    </xf>
    <xf numFmtId="166" fontId="3" fillId="0" borderId="65" xfId="0" applyNumberFormat="1" applyFont="1" applyBorder="1" applyAlignment="1">
      <alignment horizontal="centerContinuous" vertical="center"/>
    </xf>
    <xf numFmtId="49" fontId="3" fillId="0" borderId="65"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13" xfId="0" applyNumberFormat="1" applyFont="1" applyBorder="1" applyAlignment="1">
      <alignment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6" fontId="2" fillId="0" borderId="0" xfId="0" applyNumberFormat="1" applyFont="1" applyFill="1" applyAlignment="1">
      <alignment vertical="center"/>
    </xf>
    <xf numFmtId="43" fontId="16" fillId="0" borderId="0" xfId="0" applyNumberFormat="1"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5" xfId="0" applyFont="1" applyBorder="1" applyAlignment="1">
      <alignment horizontal="center" vertical="center"/>
    </xf>
    <xf numFmtId="0" fontId="3" fillId="0" borderId="68" xfId="0" applyFont="1" applyBorder="1" applyAlignment="1">
      <alignment horizontal="center" vertical="center"/>
    </xf>
    <xf numFmtId="0" fontId="3" fillId="0" borderId="14"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169" fontId="2" fillId="0" borderId="0" xfId="0" applyNumberFormat="1" applyFont="1" applyAlignment="1">
      <alignment horizontal="center" vertical="center"/>
    </xf>
    <xf numFmtId="0" fontId="3" fillId="0" borderId="11" xfId="0" applyFont="1" applyBorder="1" applyAlignment="1">
      <alignment horizontal="left" vertical="center"/>
    </xf>
    <xf numFmtId="15" fontId="2" fillId="0" borderId="11" xfId="0" quotePrefix="1" applyNumberFormat="1" applyFont="1" applyBorder="1" applyAlignment="1">
      <alignment horizontal="left" vertical="center"/>
    </xf>
    <xf numFmtId="0" fontId="2" fillId="0" borderId="4" xfId="0"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Continuous" vertical="center" wrapText="1"/>
    </xf>
    <xf numFmtId="0" fontId="3" fillId="0" borderId="6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Border="1" applyAlignment="1">
      <alignment horizontal="centerContinuous"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3" borderId="11"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2" fillId="0" borderId="16" xfId="0" applyFont="1" applyBorder="1" applyAlignment="1">
      <alignment vertical="center"/>
    </xf>
    <xf numFmtId="0" fontId="2" fillId="3" borderId="12" xfId="0" applyFont="1" applyFill="1" applyBorder="1" applyAlignment="1" applyProtection="1">
      <alignment horizontal="center" vertical="center"/>
      <protection locked="0"/>
    </xf>
    <xf numFmtId="0" fontId="2" fillId="0" borderId="1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 xfId="0" applyFont="1" applyBorder="1" applyAlignment="1">
      <alignment vertical="center"/>
    </xf>
    <xf numFmtId="0" fontId="2" fillId="0" borderId="64"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Fill="1" applyAlignment="1" applyProtection="1">
      <alignment horizontal="center" vertical="center"/>
      <protection locked="0"/>
    </xf>
    <xf numFmtId="0" fontId="16" fillId="0" borderId="0" xfId="0" applyFont="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10" fontId="2" fillId="0" borderId="0" xfId="0" applyNumberFormat="1" applyFont="1" applyFill="1" applyAlignment="1">
      <alignment vertical="center"/>
    </xf>
    <xf numFmtId="0" fontId="2" fillId="0" borderId="0" xfId="0" applyFont="1" applyFill="1" applyBorder="1" applyAlignment="1">
      <alignment horizontal="left" vertical="center"/>
    </xf>
    <xf numFmtId="0" fontId="2" fillId="0" borderId="12" xfId="0" quotePrefix="1" applyFont="1" applyFill="1" applyBorder="1" applyAlignment="1">
      <alignment horizontal="center" vertical="center"/>
    </xf>
    <xf numFmtId="0" fontId="2" fillId="0" borderId="0" xfId="0" applyFont="1" applyFill="1" applyAlignment="1">
      <alignment horizontal="left" vertical="center"/>
    </xf>
    <xf numFmtId="0" fontId="18" fillId="0" borderId="0" xfId="0" applyFont="1" applyAlignment="1">
      <alignment vertical="center"/>
    </xf>
    <xf numFmtId="0" fontId="18" fillId="0" borderId="0" xfId="0" applyFont="1" applyAlignment="1">
      <alignment horizontal="centerContinuous" vertical="center"/>
    </xf>
    <xf numFmtId="165" fontId="16" fillId="0" borderId="11" xfId="0" quotePrefix="1" applyNumberFormat="1" applyFont="1" applyFill="1" applyBorder="1" applyAlignment="1">
      <alignment horizontal="left" vertical="center"/>
    </xf>
    <xf numFmtId="0" fontId="16" fillId="0" borderId="0" xfId="0" applyFont="1" applyFill="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11" xfId="0" applyFont="1" applyFill="1" applyBorder="1" applyAlignment="1">
      <alignment vertical="center"/>
    </xf>
    <xf numFmtId="0" fontId="18"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quotePrefix="1" applyFont="1" applyFill="1" applyBorder="1" applyAlignment="1">
      <alignment horizontal="center" vertical="center"/>
    </xf>
    <xf numFmtId="0" fontId="16" fillId="0" borderId="16" xfId="0" applyFont="1" applyFill="1" applyBorder="1" applyAlignment="1">
      <alignment horizontal="center" vertical="center"/>
    </xf>
    <xf numFmtId="0" fontId="3" fillId="0" borderId="65" xfId="0" applyFont="1" applyBorder="1" applyAlignment="1">
      <alignment vertical="center"/>
    </xf>
    <xf numFmtId="0" fontId="2" fillId="0" borderId="65" xfId="0" applyFont="1" applyBorder="1" applyAlignment="1">
      <alignment horizontal="left" vertical="center"/>
    </xf>
    <xf numFmtId="0" fontId="16" fillId="0" borderId="11" xfId="0" applyFont="1" applyBorder="1" applyAlignment="1">
      <alignment vertical="center"/>
    </xf>
    <xf numFmtId="165" fontId="3" fillId="0" borderId="0" xfId="0" applyNumberFormat="1" applyFont="1" applyFill="1" applyBorder="1" applyAlignment="1">
      <alignment vertical="center"/>
    </xf>
    <xf numFmtId="178" fontId="3" fillId="0" borderId="0" xfId="0" applyNumberFormat="1" applyFont="1" applyAlignment="1">
      <alignment vertical="center"/>
    </xf>
    <xf numFmtId="41" fontId="3" fillId="0" borderId="64" xfId="0" applyNumberFormat="1" applyFont="1" applyFill="1" applyBorder="1" applyAlignment="1">
      <alignment vertical="center"/>
    </xf>
    <xf numFmtId="17" fontId="3" fillId="0" borderId="11" xfId="0" applyNumberFormat="1" applyFont="1" applyBorder="1" applyAlignment="1">
      <alignment horizontal="left" vertical="center"/>
    </xf>
    <xf numFmtId="3" fontId="3" fillId="0" borderId="11" xfId="0" quotePrefix="1" applyNumberFormat="1" applyFont="1" applyBorder="1" applyAlignment="1">
      <alignment horizontal="centerContinuous" vertical="center"/>
    </xf>
    <xf numFmtId="5" fontId="25" fillId="0" borderId="0" xfId="0" applyNumberFormat="1" applyFont="1" applyAlignment="1">
      <alignment horizontal="center" vertical="center"/>
    </xf>
    <xf numFmtId="0" fontId="22" fillId="0" borderId="0" xfId="0" applyFont="1" applyAlignment="1" applyProtection="1">
      <alignment horizontal="left" vertical="center"/>
    </xf>
    <xf numFmtId="0" fontId="2" fillId="0" borderId="23"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Border="1" applyAlignment="1">
      <alignment horizontal="right" vertical="center"/>
    </xf>
    <xf numFmtId="0" fontId="23" fillId="0" borderId="0" xfId="0" applyFont="1" applyFill="1" applyAlignment="1">
      <alignment horizontal="center" vertical="center" wrapText="1"/>
    </xf>
    <xf numFmtId="0" fontId="22" fillId="0" borderId="0" xfId="0" applyFont="1" applyBorder="1" applyAlignment="1">
      <alignment horizontal="right" vertical="center"/>
    </xf>
    <xf numFmtId="0" fontId="6" fillId="0" borderId="0" xfId="0" quotePrefix="1" applyFont="1" applyAlignment="1" applyProtection="1">
      <alignment horizontal="center" vertical="center"/>
    </xf>
    <xf numFmtId="0" fontId="22" fillId="0" borderId="0" xfId="0" applyFont="1" applyFill="1" applyAlignment="1">
      <alignment horizontal="center" vertical="center" wrapText="1"/>
    </xf>
    <xf numFmtId="10" fontId="2" fillId="0" borderId="0" xfId="0" applyNumberFormat="1" applyFont="1" applyBorder="1" applyAlignment="1" applyProtection="1">
      <alignment horizontal="center" vertical="center"/>
      <protection locked="0"/>
    </xf>
    <xf numFmtId="0" fontId="5" fillId="0" borderId="0" xfId="0" applyFont="1" applyBorder="1" applyAlignment="1">
      <alignment vertical="center"/>
    </xf>
    <xf numFmtId="0" fontId="2" fillId="0" borderId="0" xfId="0" applyFont="1" applyFill="1" applyAlignment="1" applyProtection="1">
      <alignment horizontal="center" vertical="center"/>
    </xf>
    <xf numFmtId="0" fontId="22" fillId="0" borderId="0" xfId="0" applyFont="1" applyFill="1" applyAlignment="1">
      <alignment horizontal="center" vertical="center"/>
    </xf>
    <xf numFmtId="5" fontId="2" fillId="0" borderId="0" xfId="0" applyNumberFormat="1" applyFont="1" applyFill="1" applyAlignment="1" applyProtection="1">
      <alignment horizontal="center" vertical="center"/>
      <protection locked="0"/>
    </xf>
    <xf numFmtId="5" fontId="2" fillId="0" borderId="0" xfId="0" applyNumberFormat="1" applyFont="1" applyFill="1" applyBorder="1" applyAlignment="1" applyProtection="1">
      <alignment horizontal="center" vertical="center"/>
      <protection locked="0"/>
    </xf>
    <xf numFmtId="6" fontId="3" fillId="0" borderId="0" xfId="0" quotePrefix="1" applyNumberFormat="1" applyFont="1" applyAlignment="1">
      <alignment horizontal="centerContinuous" vertical="center"/>
    </xf>
    <xf numFmtId="166" fontId="3" fillId="0" borderId="1" xfId="0" applyNumberFormat="1" applyFont="1" applyBorder="1" applyAlignment="1">
      <alignment vertical="center"/>
    </xf>
    <xf numFmtId="179" fontId="2" fillId="0" borderId="0" xfId="0" applyNumberFormat="1" applyFont="1" applyAlignment="1">
      <alignment horizontal="center" vertical="center"/>
    </xf>
    <xf numFmtId="3" fontId="2" fillId="0" borderId="11" xfId="0" applyNumberFormat="1" applyFont="1" applyFill="1" applyBorder="1" applyAlignment="1">
      <alignment horizontal="center" vertical="center"/>
    </xf>
    <xf numFmtId="1" fontId="2" fillId="0" borderId="0" xfId="0" applyNumberFormat="1" applyFont="1" applyAlignment="1">
      <alignment vertical="center"/>
    </xf>
    <xf numFmtId="3" fontId="2" fillId="0" borderId="11" xfId="0" applyNumberFormat="1" applyFont="1" applyBorder="1" applyAlignment="1">
      <alignment horizontal="center" vertical="center"/>
    </xf>
    <xf numFmtId="166" fontId="2" fillId="0" borderId="64" xfId="0" applyNumberFormat="1" applyFont="1" applyBorder="1" applyAlignment="1">
      <alignment horizontal="center" vertical="center"/>
    </xf>
    <xf numFmtId="17" fontId="3" fillId="0" borderId="7" xfId="0" applyNumberFormat="1" applyFont="1" applyBorder="1" applyAlignment="1">
      <alignment horizontal="left" vertical="center"/>
    </xf>
    <xf numFmtId="166" fontId="3" fillId="0" borderId="7" xfId="0" applyNumberFormat="1" applyFont="1" applyBorder="1" applyAlignment="1">
      <alignment horizontal="center" vertical="center"/>
    </xf>
    <xf numFmtId="166" fontId="2" fillId="0" borderId="7" xfId="0" applyNumberFormat="1" applyFont="1" applyBorder="1" applyAlignment="1">
      <alignment horizontal="center" vertical="center"/>
    </xf>
    <xf numFmtId="165" fontId="2" fillId="0" borderId="64" xfId="0" applyNumberFormat="1" applyFont="1" applyBorder="1" applyAlignment="1">
      <alignment horizontal="center" vertical="center"/>
    </xf>
    <xf numFmtId="6" fontId="3" fillId="0" borderId="0" xfId="0" quotePrefix="1" applyNumberFormat="1" applyFont="1" applyAlignment="1">
      <alignment horizontal="center" vertical="center"/>
    </xf>
    <xf numFmtId="0" fontId="3" fillId="0" borderId="1" xfId="0" applyFont="1" applyBorder="1" applyAlignment="1">
      <alignment horizontal="centerContinuous" vertical="center"/>
    </xf>
    <xf numFmtId="166" fontId="3" fillId="0" borderId="0" xfId="0" applyNumberFormat="1" applyFont="1" applyBorder="1" applyAlignment="1">
      <alignment vertical="center"/>
    </xf>
    <xf numFmtId="0" fontId="3" fillId="0" borderId="7" xfId="0" applyFont="1" applyBorder="1" applyAlignment="1">
      <alignment horizontal="left" vertical="center"/>
    </xf>
    <xf numFmtId="180" fontId="2" fillId="0" borderId="0" xfId="0" applyNumberFormat="1" applyFont="1" applyAlignment="1">
      <alignment vertical="center"/>
    </xf>
    <xf numFmtId="166" fontId="3" fillId="0" borderId="64" xfId="0" applyNumberFormat="1" applyFont="1" applyBorder="1" applyAlignment="1">
      <alignment horizontal="center" vertical="center"/>
    </xf>
    <xf numFmtId="166" fontId="2" fillId="0" borderId="0" xfId="0" applyNumberFormat="1" applyFont="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66"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63"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left" vertical="center"/>
    </xf>
    <xf numFmtId="0" fontId="3" fillId="0" borderId="0" xfId="0" applyFont="1" applyBorder="1" applyAlignment="1">
      <alignment horizontal="center" vertical="center"/>
    </xf>
    <xf numFmtId="0" fontId="3" fillId="0" borderId="9" xfId="0" quotePrefix="1" applyFont="1" applyBorder="1" applyAlignment="1">
      <alignment horizontal="center" vertical="center"/>
    </xf>
    <xf numFmtId="0" fontId="3" fillId="0" borderId="68" xfId="0" applyFont="1" applyBorder="1" applyAlignment="1">
      <alignment horizontal="center" vertical="center"/>
    </xf>
    <xf numFmtId="166" fontId="2" fillId="0" borderId="11" xfId="0" applyNumberFormat="1" applyFont="1" applyBorder="1" applyAlignment="1">
      <alignment horizontal="centerContinuous" vertical="center"/>
    </xf>
    <xf numFmtId="168" fontId="2" fillId="0" borderId="11" xfId="0" applyNumberFormat="1" applyFont="1" applyBorder="1" applyAlignment="1">
      <alignment horizontal="center" vertical="center"/>
    </xf>
    <xf numFmtId="168" fontId="3" fillId="0" borderId="0" xfId="0" applyNumberFormat="1" applyFont="1" applyAlignment="1">
      <alignment vertical="center"/>
    </xf>
    <xf numFmtId="168" fontId="2" fillId="0" borderId="0" xfId="0" applyNumberFormat="1" applyFont="1" applyAlignment="1">
      <alignment vertical="center"/>
    </xf>
    <xf numFmtId="17" fontId="3" fillId="0" borderId="63" xfId="0" applyNumberFormat="1" applyFont="1" applyBorder="1" applyAlignment="1">
      <alignment horizontal="left" vertical="center"/>
    </xf>
    <xf numFmtId="166" fontId="3" fillId="0" borderId="11" xfId="0" applyNumberFormat="1" applyFont="1" applyFill="1" applyBorder="1" applyAlignment="1">
      <alignment horizontal="centerContinuous" vertical="center"/>
    </xf>
    <xf numFmtId="168" fontId="3" fillId="0" borderId="11" xfId="0" applyNumberFormat="1" applyFont="1" applyFill="1" applyBorder="1" applyAlignment="1">
      <alignment horizontal="centerContinuous" vertical="center"/>
    </xf>
    <xf numFmtId="0" fontId="3" fillId="0" borderId="63" xfId="0" applyFont="1" applyBorder="1" applyAlignment="1">
      <alignment vertical="center"/>
    </xf>
    <xf numFmtId="166" fontId="2" fillId="0" borderId="11" xfId="0" applyNumberFormat="1" applyFont="1" applyBorder="1" applyAlignment="1">
      <alignment vertical="center"/>
    </xf>
    <xf numFmtId="168" fontId="2" fillId="0" borderId="11" xfId="0" applyNumberFormat="1" applyFont="1" applyBorder="1" applyAlignment="1">
      <alignment vertical="center"/>
    </xf>
    <xf numFmtId="0" fontId="3" fillId="0" borderId="64" xfId="0" applyFont="1" applyBorder="1" applyAlignment="1">
      <alignment vertical="center"/>
    </xf>
    <xf numFmtId="166" fontId="2" fillId="0" borderId="64" xfId="0" applyNumberFormat="1" applyFont="1" applyBorder="1" applyAlignment="1">
      <alignment vertical="center"/>
    </xf>
    <xf numFmtId="168" fontId="2" fillId="0" borderId="64" xfId="0" applyNumberFormat="1" applyFont="1" applyBorder="1" applyAlignment="1">
      <alignment vertical="center"/>
    </xf>
    <xf numFmtId="166" fontId="3" fillId="0" borderId="64" xfId="0" applyNumberFormat="1" applyFont="1" applyBorder="1" applyAlignment="1">
      <alignment vertical="center"/>
    </xf>
    <xf numFmtId="168" fontId="3" fillId="0" borderId="64" xfId="0" applyNumberFormat="1" applyFont="1" applyBorder="1" applyAlignment="1">
      <alignment vertical="center"/>
    </xf>
    <xf numFmtId="0" fontId="2" fillId="0" borderId="0" xfId="0" quotePrefix="1" applyFont="1" applyAlignment="1">
      <alignment horizontal="left" vertical="center"/>
    </xf>
    <xf numFmtId="168" fontId="3" fillId="0" borderId="0" xfId="0" applyNumberFormat="1" applyFont="1" applyAlignment="1">
      <alignment vertical="center"/>
    </xf>
    <xf numFmtId="5" fontId="23" fillId="0" borderId="0" xfId="0" applyNumberFormat="1" applyFont="1" applyFill="1" applyAlignment="1">
      <alignment horizontal="center" vertical="center"/>
    </xf>
    <xf numFmtId="0" fontId="3" fillId="0" borderId="4" xfId="0" applyNumberFormat="1" applyFont="1" applyBorder="1" applyAlignment="1">
      <alignment horizontal="center" vertical="center"/>
    </xf>
    <xf numFmtId="0" fontId="2" fillId="0" borderId="0" xfId="0" applyFont="1" applyFill="1" applyBorder="1" applyAlignment="1">
      <alignment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17" fontId="3" fillId="0" borderId="20" xfId="0" applyNumberFormat="1" applyFont="1" applyBorder="1" applyAlignment="1">
      <alignment horizontal="center" vertical="center"/>
    </xf>
    <xf numFmtId="17" fontId="2" fillId="0" borderId="30" xfId="0" applyNumberFormat="1" applyFont="1" applyFill="1" applyBorder="1" applyAlignment="1">
      <alignment vertical="center"/>
    </xf>
    <xf numFmtId="49" fontId="2" fillId="0" borderId="0" xfId="0" applyNumberFormat="1" applyFont="1" applyBorder="1" applyAlignment="1">
      <alignment horizontal="center" vertical="center"/>
    </xf>
    <xf numFmtId="0" fontId="2" fillId="0" borderId="18" xfId="0" applyFont="1" applyFill="1" applyBorder="1" applyAlignment="1">
      <alignment vertical="center"/>
    </xf>
    <xf numFmtId="43" fontId="2"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0" xfId="0" applyFont="1" applyAlignment="1">
      <alignment horizontal="center" vertical="center" wrapText="1"/>
    </xf>
    <xf numFmtId="0" fontId="5" fillId="0" borderId="0" xfId="0" applyFont="1" applyAlignment="1">
      <alignment vertical="center"/>
    </xf>
    <xf numFmtId="0" fontId="25" fillId="0" borderId="0" xfId="0" applyFont="1" applyAlignment="1">
      <alignment horizontal="center" vertical="center" wrapText="1"/>
    </xf>
    <xf numFmtId="165" fontId="2" fillId="0" borderId="0" xfId="0" applyNumberFormat="1" applyFont="1" applyFill="1" applyAlignment="1">
      <alignment vertical="center"/>
    </xf>
    <xf numFmtId="0" fontId="2" fillId="0" borderId="23" xfId="0" applyFont="1" applyBorder="1" applyAlignment="1" applyProtection="1">
      <alignment vertical="center"/>
    </xf>
    <xf numFmtId="0" fontId="2" fillId="0" borderId="23" xfId="0" applyFont="1" applyBorder="1" applyAlignment="1">
      <alignment horizontal="center" vertical="center" wrapText="1"/>
    </xf>
    <xf numFmtId="0" fontId="2" fillId="0" borderId="0" xfId="0" applyFont="1" applyBorder="1" applyAlignment="1" applyProtection="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83" fontId="2" fillId="0" borderId="0" xfId="0" applyNumberFormat="1" applyFont="1" applyBorder="1" applyAlignment="1">
      <alignment horizontal="right" vertical="center"/>
    </xf>
    <xf numFmtId="0" fontId="8" fillId="0" borderId="0" xfId="0" applyFont="1" applyAlignment="1">
      <alignment vertical="center"/>
    </xf>
    <xf numFmtId="182"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 fontId="3" fillId="0" borderId="0" xfId="0" applyNumberFormat="1" applyFont="1" applyAlignment="1" applyProtection="1">
      <alignment horizontal="center" vertical="center"/>
    </xf>
    <xf numFmtId="10" fontId="2" fillId="0" borderId="0" xfId="0" applyNumberFormat="1" applyFont="1" applyAlignment="1">
      <alignment vertical="center"/>
    </xf>
    <xf numFmtId="0" fontId="8" fillId="0" borderId="0" xfId="0" applyFont="1" applyAlignment="1">
      <alignment horizontal="center" vertical="center"/>
    </xf>
    <xf numFmtId="167" fontId="3" fillId="0" borderId="0" xfId="0" applyNumberFormat="1" applyFont="1" applyAlignment="1">
      <alignment vertical="center"/>
    </xf>
    <xf numFmtId="0" fontId="2" fillId="0" borderId="0" xfId="0" quotePrefix="1" applyFont="1" applyAlignment="1">
      <alignment vertical="center"/>
    </xf>
    <xf numFmtId="182" fontId="3" fillId="0" borderId="0" xfId="0" applyNumberFormat="1" applyFont="1" applyAlignment="1" applyProtection="1">
      <alignment horizontal="center" vertical="center" wrapText="1"/>
    </xf>
    <xf numFmtId="182" fontId="3" fillId="0" borderId="0" xfId="0" applyNumberFormat="1" applyFont="1" applyAlignment="1" applyProtection="1">
      <alignment horizontal="center" vertical="center"/>
    </xf>
    <xf numFmtId="0" fontId="3" fillId="0" borderId="0" xfId="0" applyFont="1" applyAlignment="1" applyProtection="1">
      <alignment horizontal="center" vertical="center" wrapText="1"/>
    </xf>
    <xf numFmtId="167" fontId="3" fillId="0" borderId="0" xfId="0" applyNumberFormat="1" applyFont="1" applyAlignment="1">
      <alignment horizontal="center" vertical="center"/>
    </xf>
    <xf numFmtId="167" fontId="3" fillId="0" borderId="0" xfId="0" applyNumberFormat="1" applyFont="1" applyFill="1" applyBorder="1" applyAlignment="1">
      <alignment horizontal="right" vertical="center"/>
    </xf>
    <xf numFmtId="5" fontId="3" fillId="0" borderId="0" xfId="0" applyNumberFormat="1" applyFont="1" applyAlignment="1" applyProtection="1">
      <alignment horizontal="center" vertical="center"/>
      <protection locked="0"/>
    </xf>
    <xf numFmtId="0" fontId="3" fillId="0" borderId="0" xfId="0" applyFont="1" applyAlignment="1" applyProtection="1">
      <alignment horizontal="right" vertical="center"/>
    </xf>
    <xf numFmtId="5" fontId="2" fillId="0" borderId="0" xfId="0" applyNumberFormat="1" applyFont="1" applyAlignment="1" applyProtection="1">
      <alignment horizontal="right" vertical="center"/>
      <protection locked="0"/>
    </xf>
    <xf numFmtId="0" fontId="2" fillId="0" borderId="0" xfId="0" applyFont="1" applyAlignment="1">
      <alignment horizontal="right" vertical="center" wrapText="1"/>
    </xf>
    <xf numFmtId="0" fontId="16"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Fill="1" applyBorder="1" applyAlignment="1">
      <alignment horizontal="center" vertical="center" wrapText="1"/>
    </xf>
    <xf numFmtId="0" fontId="16" fillId="0" borderId="21" xfId="0" applyFont="1" applyBorder="1" applyAlignment="1">
      <alignment horizontal="left" vertical="center"/>
    </xf>
    <xf numFmtId="0" fontId="16" fillId="0" borderId="17" xfId="0" applyFont="1" applyBorder="1" applyAlignment="1">
      <alignment horizontal="left" vertical="center"/>
    </xf>
    <xf numFmtId="0" fontId="16" fillId="0" borderId="21" xfId="0" applyFont="1" applyBorder="1" applyAlignment="1">
      <alignment horizontal="left" vertical="center" wrapText="1"/>
    </xf>
    <xf numFmtId="0" fontId="6" fillId="0" borderId="0" xfId="0" quotePrefix="1"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6" fillId="0" borderId="17" xfId="0" applyFont="1" applyBorder="1" applyAlignment="1">
      <alignment vertical="center"/>
    </xf>
    <xf numFmtId="0" fontId="18" fillId="0" borderId="18" xfId="0" applyFont="1" applyBorder="1" applyAlignment="1">
      <alignment horizontal="center" vertical="center"/>
    </xf>
    <xf numFmtId="0" fontId="16" fillId="0" borderId="29" xfId="0" applyFont="1" applyBorder="1" applyAlignment="1">
      <alignment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2" xfId="0" applyFont="1" applyBorder="1" applyAlignment="1">
      <alignment horizontal="center" vertical="center"/>
    </xf>
    <xf numFmtId="0" fontId="3" fillId="0" borderId="0" xfId="0" quotePrefix="1" applyFont="1" applyAlignment="1" applyProtection="1">
      <alignment horizontal="centerContinuous" vertical="center"/>
    </xf>
    <xf numFmtId="0" fontId="4" fillId="0" borderId="0" xfId="0" applyFont="1" applyAlignment="1">
      <alignment vertical="center"/>
    </xf>
    <xf numFmtId="0" fontId="18" fillId="0" borderId="0" xfId="0" applyFont="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16" fillId="0" borderId="0" xfId="0" applyFont="1" applyAlignment="1">
      <alignment horizontal="center" vertical="center" wrapText="1"/>
    </xf>
    <xf numFmtId="185" fontId="16" fillId="0" borderId="0" xfId="0" applyNumberFormat="1" applyFont="1" applyAlignment="1">
      <alignment vertical="center"/>
    </xf>
    <xf numFmtId="169" fontId="16" fillId="0" borderId="0" xfId="0" applyNumberFormat="1" applyFont="1" applyFill="1" applyAlignment="1">
      <alignment vertical="center"/>
    </xf>
    <xf numFmtId="0" fontId="16" fillId="0" borderId="0" xfId="0" applyFont="1" applyFill="1" applyAlignment="1">
      <alignment horizontal="left" vertical="center"/>
    </xf>
    <xf numFmtId="0" fontId="8" fillId="0" borderId="0" xfId="0" quotePrefix="1" applyFont="1" applyAlignment="1">
      <alignment horizontal="center" vertical="center"/>
    </xf>
    <xf numFmtId="0" fontId="8" fillId="0" borderId="0" xfId="0" quotePrefix="1"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left" vertical="center"/>
    </xf>
    <xf numFmtId="1"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10" fontId="16" fillId="0" borderId="0" xfId="0" applyNumberFormat="1" applyFont="1" applyAlignment="1">
      <alignment vertical="center"/>
    </xf>
    <xf numFmtId="186" fontId="16" fillId="0" borderId="0" xfId="0" applyNumberFormat="1" applyFont="1" applyAlignment="1">
      <alignment vertical="center"/>
    </xf>
    <xf numFmtId="0" fontId="2" fillId="0" borderId="65" xfId="0" applyNumberFormat="1" applyFont="1" applyFill="1" applyBorder="1" applyAlignment="1">
      <alignment horizontal="lef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vertical="center"/>
    </xf>
    <xf numFmtId="8" fontId="16" fillId="0" borderId="0" xfId="0" applyNumberFormat="1" applyFont="1" applyFill="1" applyAlignment="1">
      <alignment vertical="center"/>
    </xf>
    <xf numFmtId="187" fontId="16" fillId="0" borderId="0" xfId="0" applyNumberFormat="1" applyFont="1" applyFill="1" applyBorder="1" applyAlignment="1">
      <alignment horizontal="right" vertical="center"/>
    </xf>
    <xf numFmtId="185" fontId="16" fillId="0" borderId="0" xfId="0" applyNumberFormat="1" applyFont="1" applyFill="1" applyAlignment="1">
      <alignment vertical="center"/>
    </xf>
    <xf numFmtId="185" fontId="16" fillId="0" borderId="0" xfId="0" applyNumberFormat="1" applyFont="1" applyBorder="1" applyAlignment="1">
      <alignment horizontal="right" vertical="center"/>
    </xf>
    <xf numFmtId="185" fontId="16" fillId="0" borderId="0" xfId="0" applyNumberFormat="1" applyFont="1" applyAlignment="1">
      <alignment horizontal="right" vertical="center"/>
    </xf>
    <xf numFmtId="0"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85" fontId="18" fillId="0" borderId="0" xfId="0" quotePrefix="1" applyNumberFormat="1" applyFont="1" applyFill="1" applyAlignment="1">
      <alignment horizontal="center" vertical="center"/>
    </xf>
    <xf numFmtId="185" fontId="3" fillId="0" borderId="0" xfId="0" applyNumberFormat="1" applyFont="1" applyFill="1" applyAlignment="1">
      <alignment horizontal="right" vertical="center"/>
    </xf>
    <xf numFmtId="185" fontId="18" fillId="0" borderId="0" xfId="0" applyNumberFormat="1" applyFont="1" applyFill="1" applyAlignment="1">
      <alignment vertical="center"/>
    </xf>
    <xf numFmtId="10" fontId="18" fillId="0" borderId="0" xfId="0" applyNumberFormat="1" applyFont="1" applyFill="1" applyAlignment="1">
      <alignment vertical="center"/>
    </xf>
    <xf numFmtId="185" fontId="18" fillId="0" borderId="0" xfId="0" applyNumberFormat="1" applyFont="1" applyBorder="1" applyAlignment="1">
      <alignment horizontal="right" vertical="center"/>
    </xf>
    <xf numFmtId="185" fontId="18" fillId="0" borderId="0" xfId="0" applyNumberFormat="1" applyFont="1" applyAlignment="1">
      <alignment horizontal="center" vertical="center"/>
    </xf>
    <xf numFmtId="0" fontId="3" fillId="0" borderId="0" xfId="0" quotePrefix="1" applyFont="1" applyAlignment="1">
      <alignment horizontal="center" vertical="center"/>
    </xf>
    <xf numFmtId="185" fontId="28" fillId="0" borderId="0" xfId="0" applyNumberFormat="1" applyFont="1" applyAlignment="1">
      <alignment horizontal="center" vertical="center"/>
    </xf>
    <xf numFmtId="0" fontId="28" fillId="0" borderId="0" xfId="0" applyFont="1" applyAlignment="1">
      <alignment horizontal="center" vertical="center"/>
    </xf>
    <xf numFmtId="1" fontId="2" fillId="0" borderId="0" xfId="0" applyNumberFormat="1" applyFont="1" applyFill="1" applyBorder="1" applyAlignment="1">
      <alignment horizontal="center" vertical="center"/>
    </xf>
    <xf numFmtId="8" fontId="16" fillId="0" borderId="0" xfId="0" applyNumberFormat="1" applyFont="1" applyAlignment="1">
      <alignment vertical="center"/>
    </xf>
    <xf numFmtId="169" fontId="16" fillId="0" borderId="0" xfId="0" applyNumberFormat="1" applyFont="1" applyAlignment="1">
      <alignmen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horizontal="right" vertical="center"/>
    </xf>
    <xf numFmtId="187" fontId="16" fillId="0" borderId="0" xfId="0" applyNumberFormat="1" applyFont="1" applyBorder="1" applyAlignment="1">
      <alignment vertical="center"/>
    </xf>
    <xf numFmtId="0" fontId="34" fillId="0" borderId="0" xfId="0" applyFont="1" applyAlignment="1">
      <alignment vertical="center"/>
    </xf>
    <xf numFmtId="187" fontId="29" fillId="0" borderId="0" xfId="0" applyNumberFormat="1" applyFont="1" applyFill="1" applyBorder="1" applyAlignment="1">
      <alignment vertical="center"/>
    </xf>
    <xf numFmtId="187" fontId="29" fillId="0" borderId="0" xfId="0" applyNumberFormat="1" applyFont="1" applyBorder="1" applyAlignment="1">
      <alignment vertical="center"/>
    </xf>
    <xf numFmtId="0" fontId="3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5" fontId="2" fillId="0" borderId="65" xfId="0" applyNumberFormat="1" applyFont="1" applyFill="1" applyBorder="1" applyAlignment="1" applyProtection="1">
      <alignment horizontal="center" vertical="center"/>
    </xf>
    <xf numFmtId="0" fontId="2" fillId="0" borderId="65"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fill" vertical="center"/>
    </xf>
    <xf numFmtId="0" fontId="2" fillId="0" borderId="0" xfId="0" applyFont="1" applyFill="1" applyAlignment="1" applyProtection="1">
      <alignment horizontal="left" vertical="center"/>
    </xf>
    <xf numFmtId="3" fontId="2" fillId="0" borderId="0" xfId="0" applyNumberFormat="1" applyFont="1" applyFill="1" applyAlignment="1">
      <alignment vertical="center"/>
    </xf>
    <xf numFmtId="0" fontId="2" fillId="0" borderId="0" xfId="0" applyFont="1" applyFill="1" applyBorder="1" applyAlignment="1" applyProtection="1">
      <alignment horizontal="left" vertical="center"/>
    </xf>
    <xf numFmtId="5" fontId="3" fillId="0" borderId="0" xfId="0" applyNumberFormat="1" applyFont="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quotePrefix="1" applyFont="1" applyAlignment="1">
      <alignment vertical="center"/>
    </xf>
    <xf numFmtId="0" fontId="6" fillId="0" borderId="0" xfId="0" applyFont="1" applyAlignment="1">
      <alignment horizontal="center" vertical="center"/>
    </xf>
    <xf numFmtId="0" fontId="8" fillId="0" borderId="0" xfId="0" applyFont="1" applyFill="1" applyAlignment="1">
      <alignment vertical="center"/>
    </xf>
    <xf numFmtId="0" fontId="2" fillId="0" borderId="0" xfId="0" applyFont="1" applyAlignment="1" applyProtection="1">
      <alignment vertical="center"/>
    </xf>
    <xf numFmtId="0" fontId="8"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22" fillId="0" borderId="0" xfId="0" applyFont="1" applyAlignment="1">
      <alignment vertical="center"/>
    </xf>
    <xf numFmtId="0" fontId="2" fillId="0" borderId="0" xfId="0" quotePrefix="1" applyFont="1" applyFill="1" applyAlignment="1">
      <alignment horizontal="center" vertical="center"/>
    </xf>
    <xf numFmtId="6" fontId="2" fillId="0" borderId="0" xfId="0" applyNumberFormat="1" applyFont="1" applyAlignment="1">
      <alignment vertical="center"/>
    </xf>
    <xf numFmtId="10" fontId="2" fillId="0" borderId="0" xfId="0" applyNumberFormat="1" applyFont="1" applyAlignment="1">
      <alignment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165" fontId="2" fillId="0" borderId="0" xfId="0" applyNumberFormat="1" applyFont="1" applyAlignment="1">
      <alignment vertical="center"/>
    </xf>
    <xf numFmtId="0" fontId="2" fillId="0" borderId="0" xfId="0" applyFont="1" applyFill="1" applyAlignment="1" applyProtection="1">
      <alignment horizontal="center" vertical="center" wrapText="1"/>
    </xf>
    <xf numFmtId="170" fontId="3" fillId="0" borderId="0" xfId="0" applyNumberFormat="1" applyFont="1" applyAlignment="1" applyProtection="1">
      <alignment horizontal="center" vertical="center"/>
    </xf>
    <xf numFmtId="0" fontId="2" fillId="0" borderId="0"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43" fontId="3" fillId="0" borderId="42"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0" xfId="0" applyFont="1" applyBorder="1" applyAlignment="1">
      <alignment horizontal="left" vertical="center"/>
    </xf>
    <xf numFmtId="0" fontId="3" fillId="0" borderId="81" xfId="0" applyFont="1" applyBorder="1" applyAlignment="1">
      <alignment horizontal="center" vertical="center"/>
    </xf>
    <xf numFmtId="0" fontId="3" fillId="0" borderId="23" xfId="0" applyFont="1" applyBorder="1" applyAlignment="1">
      <alignment horizontal="center" vertical="center"/>
    </xf>
    <xf numFmtId="39" fontId="3" fillId="0" borderId="77" xfId="0" applyNumberFormat="1" applyFont="1" applyBorder="1" applyAlignment="1">
      <alignment horizontal="center" vertical="center"/>
    </xf>
    <xf numFmtId="39" fontId="3" fillId="0" borderId="23" xfId="0" quotePrefix="1" applyNumberFormat="1" applyFont="1" applyBorder="1" applyAlignment="1">
      <alignment horizontal="center" vertical="center"/>
    </xf>
    <xf numFmtId="39" fontId="3" fillId="0" borderId="77" xfId="0" quotePrefix="1" applyNumberFormat="1" applyFont="1" applyBorder="1" applyAlignment="1">
      <alignment horizontal="center" vertical="center"/>
    </xf>
    <xf numFmtId="0" fontId="3" fillId="0" borderId="21" xfId="0" applyFont="1" applyBorder="1" applyAlignment="1">
      <alignment vertical="center"/>
    </xf>
    <xf numFmtId="0" fontId="2" fillId="0" borderId="21" xfId="0" applyNumberFormat="1" applyFont="1" applyBorder="1" applyAlignment="1">
      <alignment vertical="center"/>
    </xf>
    <xf numFmtId="0" fontId="2" fillId="0" borderId="0"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21" xfId="0" applyFont="1" applyBorder="1" applyAlignment="1">
      <alignment vertical="center"/>
    </xf>
    <xf numFmtId="0" fontId="2" fillId="0" borderId="21" xfId="0" quotePrefix="1" applyFont="1" applyBorder="1" applyAlignment="1">
      <alignment horizontal="left" vertical="center"/>
    </xf>
    <xf numFmtId="0" fontId="3" fillId="0" borderId="0" xfId="0" quotePrefix="1" applyFont="1" applyBorder="1" applyAlignment="1">
      <alignment horizontal="left" vertical="center"/>
    </xf>
    <xf numFmtId="0" fontId="2" fillId="0" borderId="21" xfId="0" quotePrefix="1" applyNumberFormat="1" applyFont="1" applyBorder="1" applyAlignment="1">
      <alignment horizontal="left" vertical="center"/>
    </xf>
    <xf numFmtId="0" fontId="3" fillId="0" borderId="0" xfId="0" quotePrefix="1" applyNumberFormat="1" applyFont="1" applyBorder="1" applyAlignment="1">
      <alignment horizontal="left" vertical="center"/>
    </xf>
    <xf numFmtId="0" fontId="2" fillId="0" borderId="21" xfId="0" applyFont="1" applyBorder="1" applyAlignment="1">
      <alignment horizontal="left" vertical="center"/>
    </xf>
    <xf numFmtId="0" fontId="2" fillId="0" borderId="21" xfId="0" applyFont="1" applyFill="1" applyBorder="1" applyAlignment="1">
      <alignment horizontal="left" vertical="center"/>
    </xf>
    <xf numFmtId="0" fontId="3" fillId="0" borderId="0" xfId="0" applyFont="1" applyFill="1" applyBorder="1" applyAlignment="1">
      <alignment horizontal="left" vertical="center"/>
    </xf>
    <xf numFmtId="0" fontId="2" fillId="0" borderId="21" xfId="0" applyFont="1" applyFill="1" applyBorder="1" applyAlignment="1">
      <alignment vertical="center"/>
    </xf>
    <xf numFmtId="0" fontId="3" fillId="0" borderId="0" xfId="0" applyFont="1" applyFill="1" applyBorder="1" applyAlignment="1">
      <alignment vertical="center"/>
    </xf>
    <xf numFmtId="0" fontId="6" fillId="0" borderId="0" xfId="0" applyFont="1" applyBorder="1" applyAlignment="1">
      <alignment horizontal="center" vertical="center"/>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1" xfId="0" applyFont="1" applyBorder="1" applyAlignment="1">
      <alignment vertical="center"/>
    </xf>
    <xf numFmtId="0" fontId="3" fillId="0" borderId="23" xfId="0" applyFont="1" applyBorder="1" applyAlignment="1">
      <alignment vertical="center"/>
    </xf>
    <xf numFmtId="39" fontId="3" fillId="0" borderId="77" xfId="0" applyNumberFormat="1" applyFont="1" applyBorder="1" applyAlignment="1">
      <alignment vertical="center"/>
    </xf>
    <xf numFmtId="39" fontId="3" fillId="0" borderId="85" xfId="0" applyNumberFormat="1" applyFont="1" applyBorder="1" applyAlignment="1">
      <alignment vertical="center"/>
    </xf>
    <xf numFmtId="39" fontId="3" fillId="0" borderId="0" xfId="0" applyNumberFormat="1" applyFont="1" applyAlignment="1">
      <alignment vertical="center"/>
    </xf>
    <xf numFmtId="191" fontId="3" fillId="0" borderId="0" xfId="0" applyNumberFormat="1" applyFont="1" applyAlignment="1">
      <alignment vertical="center"/>
    </xf>
    <xf numFmtId="0" fontId="27" fillId="0" borderId="0" xfId="0" applyFont="1" applyAlignment="1">
      <alignment vertical="center"/>
    </xf>
    <xf numFmtId="0" fontId="8" fillId="0" borderId="11" xfId="0" applyFont="1" applyBorder="1" applyAlignment="1">
      <alignment vertical="center"/>
    </xf>
    <xf numFmtId="166" fontId="3" fillId="0" borderId="11" xfId="0" applyNumberFormat="1" applyFont="1" applyBorder="1" applyAlignment="1">
      <alignment horizontal="center" vertical="center"/>
    </xf>
    <xf numFmtId="0" fontId="8" fillId="0" borderId="64" xfId="0" applyFont="1" applyBorder="1" applyAlignment="1">
      <alignment vertical="center"/>
    </xf>
    <xf numFmtId="0" fontId="8" fillId="0" borderId="5" xfId="0" applyFont="1" applyBorder="1" applyAlignment="1">
      <alignment vertical="center" wrapText="1"/>
    </xf>
    <xf numFmtId="0" fontId="2" fillId="0" borderId="5" xfId="0" applyFont="1" applyBorder="1" applyAlignment="1">
      <alignment vertical="center" wrapText="1"/>
    </xf>
    <xf numFmtId="165" fontId="2" fillId="0" borderId="9" xfId="0" applyNumberFormat="1" applyFont="1" applyBorder="1" applyAlignment="1">
      <alignment horizontal="center" vertical="center"/>
    </xf>
    <xf numFmtId="0" fontId="2" fillId="0" borderId="5" xfId="0" applyFont="1" applyBorder="1" applyAlignment="1">
      <alignment horizontal="left" vertical="center" wrapText="1"/>
    </xf>
    <xf numFmtId="10" fontId="2" fillId="0" borderId="11" xfId="0" applyNumberFormat="1" applyFont="1" applyBorder="1" applyAlignment="1">
      <alignment horizontal="center" vertical="center" wrapText="1"/>
    </xf>
    <xf numFmtId="0" fontId="2" fillId="0" borderId="69" xfId="0" applyFont="1" applyBorder="1" applyAlignment="1">
      <alignment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48" xfId="0" applyFont="1" applyBorder="1" applyAlignment="1">
      <alignment horizontal="center" vertical="center"/>
    </xf>
    <xf numFmtId="0" fontId="3" fillId="0" borderId="89" xfId="0" applyFont="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3" xfId="0" applyFont="1" applyFill="1" applyBorder="1" applyAlignment="1">
      <alignment horizontal="center" vertical="center"/>
    </xf>
    <xf numFmtId="17" fontId="2" fillId="0" borderId="43" xfId="0" applyNumberFormat="1" applyFont="1" applyBorder="1" applyAlignment="1">
      <alignment horizontal="center" vertical="center"/>
    </xf>
    <xf numFmtId="17" fontId="2" fillId="0" borderId="77" xfId="0" applyNumberFormat="1" applyFont="1" applyBorder="1" applyAlignment="1">
      <alignment horizontal="center" vertical="center"/>
    </xf>
    <xf numFmtId="17" fontId="2" fillId="0" borderId="42" xfId="0" applyNumberFormat="1" applyFont="1" applyBorder="1" applyAlignment="1">
      <alignment horizontal="center" vertical="center"/>
    </xf>
    <xf numFmtId="17" fontId="3" fillId="0" borderId="49" xfId="0" applyNumberFormat="1" applyFont="1" applyBorder="1" applyAlignment="1">
      <alignment horizontal="center" vertical="center"/>
    </xf>
    <xf numFmtId="166" fontId="33" fillId="0" borderId="0" xfId="0" applyNumberFormat="1"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center"/>
    </xf>
    <xf numFmtId="0" fontId="30" fillId="0" borderId="0" xfId="0" applyFont="1" applyBorder="1" applyAlignment="1">
      <alignment vertical="center"/>
    </xf>
    <xf numFmtId="0" fontId="23" fillId="0" borderId="22" xfId="0" applyFont="1" applyBorder="1" applyAlignment="1">
      <alignment vertical="center"/>
    </xf>
    <xf numFmtId="0" fontId="23" fillId="0" borderId="0" xfId="0" applyFont="1" applyAlignment="1">
      <alignment vertical="center"/>
    </xf>
    <xf numFmtId="10" fontId="2" fillId="0" borderId="0" xfId="0" applyNumberFormat="1" applyFont="1" applyBorder="1" applyAlignment="1">
      <alignment vertical="center"/>
    </xf>
    <xf numFmtId="0" fontId="2" fillId="0" borderId="22" xfId="0" applyFont="1" applyBorder="1" applyAlignment="1">
      <alignment vertical="center"/>
    </xf>
    <xf numFmtId="0" fontId="2" fillId="0" borderId="81" xfId="0" applyFont="1" applyBorder="1" applyAlignment="1">
      <alignment vertical="center"/>
    </xf>
    <xf numFmtId="10" fontId="2" fillId="0" borderId="0" xfId="0" applyNumberFormat="1" applyFont="1" applyBorder="1" applyAlignment="1">
      <alignment vertical="center"/>
    </xf>
    <xf numFmtId="10" fontId="2" fillId="0" borderId="22" xfId="0" applyNumberFormat="1" applyFont="1" applyBorder="1" applyAlignment="1">
      <alignment vertical="center"/>
    </xf>
    <xf numFmtId="0" fontId="5" fillId="0" borderId="21" xfId="0" applyFont="1" applyBorder="1" applyAlignment="1">
      <alignment vertical="center"/>
    </xf>
    <xf numFmtId="0" fontId="3" fillId="0" borderId="38" xfId="0" applyFont="1" applyBorder="1" applyAlignment="1">
      <alignment vertical="center"/>
    </xf>
    <xf numFmtId="0" fontId="3" fillId="0" borderId="61" xfId="0" applyFont="1" applyBorder="1" applyAlignment="1">
      <alignment vertical="center"/>
    </xf>
    <xf numFmtId="0" fontId="3" fillId="0" borderId="61" xfId="0" applyFont="1" applyBorder="1" applyAlignment="1">
      <alignment horizontal="right" vertical="center"/>
    </xf>
    <xf numFmtId="166"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166" fontId="3" fillId="0" borderId="51" xfId="0" applyNumberFormat="1" applyFont="1" applyBorder="1" applyAlignment="1">
      <alignment horizontal="center" vertical="center"/>
    </xf>
    <xf numFmtId="166" fontId="3" fillId="0" borderId="40" xfId="0" applyNumberFormat="1" applyFont="1" applyBorder="1" applyAlignment="1">
      <alignment horizontal="center" vertical="center"/>
    </xf>
    <xf numFmtId="166" fontId="3" fillId="0" borderId="52"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6" fillId="0" borderId="0" xfId="0" quotePrefix="1" applyFont="1" applyBorder="1" applyAlignment="1">
      <alignment horizontal="center" vertical="center"/>
    </xf>
    <xf numFmtId="0" fontId="22" fillId="0" borderId="0" xfId="0" applyFont="1" applyBorder="1" applyAlignment="1">
      <alignment vertical="center"/>
    </xf>
    <xf numFmtId="0" fontId="3" fillId="0" borderId="43" xfId="0" applyFont="1" applyBorder="1" applyAlignment="1">
      <alignment horizontal="center" vertical="center" wrapText="1"/>
    </xf>
    <xf numFmtId="43" fontId="2" fillId="0" borderId="0" xfId="0" applyNumberFormat="1" applyFont="1" applyBorder="1" applyAlignment="1">
      <alignment vertical="center"/>
    </xf>
    <xf numFmtId="166" fontId="9" fillId="0" borderId="0" xfId="0" applyNumberFormat="1" applyFont="1" applyBorder="1" applyAlignment="1">
      <alignment vertical="center"/>
    </xf>
    <xf numFmtId="0" fontId="23" fillId="0" borderId="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55" xfId="0" applyFont="1" applyBorder="1" applyAlignment="1">
      <alignment vertical="center"/>
    </xf>
    <xf numFmtId="0" fontId="3" fillId="0" borderId="29" xfId="0" applyFont="1" applyBorder="1" applyAlignment="1">
      <alignment horizontal="center" vertical="center"/>
    </xf>
    <xf numFmtId="17" fontId="2" fillId="0" borderId="0" xfId="0" applyNumberFormat="1" applyFont="1" applyAlignment="1">
      <alignment horizontal="center" vertical="center"/>
    </xf>
    <xf numFmtId="166" fontId="2" fillId="0" borderId="0" xfId="0" applyNumberFormat="1" applyFont="1" applyAlignment="1">
      <alignment vertical="center"/>
    </xf>
    <xf numFmtId="0" fontId="3" fillId="0" borderId="57" xfId="0" applyFont="1" applyBorder="1" applyAlignment="1">
      <alignment horizontal="centerContinuous" vertical="center"/>
    </xf>
    <xf numFmtId="0" fontId="2" fillId="0" borderId="0" xfId="0" applyFont="1" applyAlignment="1">
      <alignment vertical="center"/>
    </xf>
    <xf numFmtId="0" fontId="2" fillId="0" borderId="0" xfId="0" applyFont="1" applyAlignment="1">
      <alignment horizontal="center" vertical="center"/>
    </xf>
    <xf numFmtId="190" fontId="2" fillId="0" borderId="0" xfId="0" applyNumberFormat="1" applyFont="1" applyAlignment="1">
      <alignment vertical="center"/>
    </xf>
    <xf numFmtId="10" fontId="2" fillId="3" borderId="0" xfId="0" applyNumberFormat="1" applyFont="1" applyFill="1" applyAlignment="1">
      <alignment horizontal="right" vertical="center"/>
    </xf>
    <xf numFmtId="165" fontId="22" fillId="0" borderId="0" xfId="0" applyNumberFormat="1" applyFont="1" applyAlignment="1">
      <alignment vertical="center"/>
    </xf>
    <xf numFmtId="165" fontId="2" fillId="0" borderId="0" xfId="0" applyNumberFormat="1" applyFont="1" applyBorder="1" applyAlignment="1">
      <alignment horizontal="center" vertical="center"/>
    </xf>
    <xf numFmtId="3" fontId="2" fillId="0" borderId="9" xfId="0" applyNumberFormat="1" applyFont="1" applyBorder="1" applyAlignment="1">
      <alignment horizontal="center" vertical="center"/>
    </xf>
    <xf numFmtId="165" fontId="2" fillId="0" borderId="63" xfId="0" applyNumberFormat="1" applyFont="1" applyBorder="1" applyAlignment="1">
      <alignment horizontal="center" vertical="center"/>
    </xf>
    <xf numFmtId="0" fontId="2" fillId="0" borderId="90" xfId="0" applyNumberFormat="1" applyFont="1" applyFill="1" applyBorder="1" applyAlignment="1">
      <alignment horizontal="center" vertical="center"/>
    </xf>
    <xf numFmtId="10" fontId="2" fillId="0" borderId="64" xfId="0" applyNumberFormat="1" applyFont="1" applyFill="1" applyBorder="1" applyAlignment="1">
      <alignment vertical="center"/>
    </xf>
    <xf numFmtId="10" fontId="16" fillId="0" borderId="11" xfId="0" applyNumberFormat="1" applyFont="1" applyFill="1" applyBorder="1" applyAlignment="1">
      <alignment vertical="center"/>
    </xf>
    <xf numFmtId="43" fontId="2" fillId="0" borderId="90" xfId="0" applyNumberFormat="1" applyFont="1" applyFill="1" applyBorder="1" applyAlignment="1">
      <alignment vertical="center"/>
    </xf>
    <xf numFmtId="166" fontId="2" fillId="0" borderId="90" xfId="0" applyNumberFormat="1" applyFont="1" applyFill="1" applyBorder="1" applyAlignment="1">
      <alignment vertical="center"/>
    </xf>
    <xf numFmtId="166" fontId="2" fillId="0" borderId="29" xfId="0" applyNumberFormat="1" applyFont="1" applyFill="1" applyBorder="1" applyAlignment="1">
      <alignment vertical="center"/>
    </xf>
    <xf numFmtId="166" fontId="2" fillId="3" borderId="64" xfId="0" applyNumberFormat="1" applyFont="1" applyFill="1" applyBorder="1" applyAlignment="1">
      <alignment vertical="center"/>
    </xf>
    <xf numFmtId="166" fontId="2" fillId="3" borderId="64"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3" fillId="0" borderId="0" xfId="0" quotePrefix="1" applyFont="1" applyAlignment="1" applyProtection="1">
      <alignment horizontal="center" vertical="center"/>
    </xf>
    <xf numFmtId="0" fontId="2"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165" fontId="3" fillId="0" borderId="59" xfId="0" applyNumberFormat="1" applyFont="1" applyFill="1" applyBorder="1" applyAlignment="1">
      <alignment horizontal="center" vertical="center"/>
    </xf>
    <xf numFmtId="0" fontId="3" fillId="0" borderId="0" xfId="0" applyFont="1" applyAlignment="1">
      <alignment vertical="center"/>
    </xf>
    <xf numFmtId="166" fontId="16" fillId="0" borderId="82" xfId="0" applyNumberFormat="1" applyFont="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center" vertical="center"/>
    </xf>
    <xf numFmtId="5" fontId="18" fillId="0" borderId="0" xfId="0" quotePrefix="1" applyNumberFormat="1" applyFont="1" applyAlignment="1">
      <alignment horizontal="center" vertical="center"/>
    </xf>
    <xf numFmtId="5" fontId="3" fillId="0" borderId="0" xfId="0" applyNumberFormat="1" applyFont="1" applyAlignment="1">
      <alignment horizontal="center" vertical="center"/>
    </xf>
    <xf numFmtId="165" fontId="2" fillId="0" borderId="63" xfId="0" applyNumberFormat="1" applyFont="1" applyFill="1" applyBorder="1" applyAlignment="1">
      <alignment horizontal="center" vertical="center"/>
    </xf>
    <xf numFmtId="165" fontId="2" fillId="0" borderId="60" xfId="0" applyNumberFormat="1" applyFont="1" applyFill="1" applyBorder="1" applyAlignment="1">
      <alignment horizontal="center" vertical="center"/>
    </xf>
    <xf numFmtId="165" fontId="2" fillId="0" borderId="60" xfId="0" applyNumberFormat="1" applyFont="1" applyBorder="1" applyAlignment="1">
      <alignment vertical="center"/>
    </xf>
    <xf numFmtId="166" fontId="2" fillId="0" borderId="64" xfId="0" applyNumberFormat="1" applyFont="1" applyBorder="1" applyAlignment="1">
      <alignment horizontal="center" vertical="center"/>
    </xf>
    <xf numFmtId="5" fontId="3" fillId="0" borderId="0" xfId="0" applyNumberFormat="1" applyFont="1" applyAlignment="1">
      <alignment horizontal="center"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quotePrefix="1" applyFont="1" applyBorder="1" applyAlignment="1">
      <alignment horizontal="center" vertical="center"/>
    </xf>
    <xf numFmtId="37" fontId="2" fillId="0" borderId="0" xfId="0" applyNumberFormat="1" applyFont="1" applyAlignment="1">
      <alignment horizontal="center" vertical="center"/>
    </xf>
    <xf numFmtId="0" fontId="4" fillId="0" borderId="0" xfId="0" applyFont="1" applyAlignment="1" applyProtection="1">
      <alignment horizontal="center" vertical="center"/>
    </xf>
    <xf numFmtId="168" fontId="3" fillId="0" borderId="0" xfId="0" applyNumberFormat="1" applyFont="1" applyAlignment="1">
      <alignment horizontal="center" vertical="center"/>
    </xf>
    <xf numFmtId="0" fontId="3" fillId="0" borderId="0" xfId="0" applyFont="1" applyAlignment="1" applyProtection="1">
      <alignment horizontal="center" vertical="center"/>
    </xf>
    <xf numFmtId="185" fontId="16" fillId="0" borderId="0" xfId="0" applyNumberFormat="1" applyFont="1" applyBorder="1" applyAlignment="1">
      <alignment horizontal="center" vertical="center"/>
    </xf>
    <xf numFmtId="0" fontId="3" fillId="0" borderId="81" xfId="0" applyFont="1" applyBorder="1" applyAlignment="1">
      <alignment horizontal="center" vertical="center" wrapText="1"/>
    </xf>
    <xf numFmtId="0" fontId="3" fillId="0" borderId="66" xfId="0" applyFont="1" applyBorder="1" applyAlignment="1">
      <alignment horizontal="center" vertical="center" wrapText="1"/>
    </xf>
    <xf numFmtId="5" fontId="3" fillId="0" borderId="17" xfId="0" applyNumberFormat="1" applyFont="1" applyBorder="1" applyAlignment="1">
      <alignment horizontal="center" vertical="center"/>
    </xf>
    <xf numFmtId="5" fontId="2" fillId="0" borderId="21" xfId="0" applyNumberFormat="1" applyFont="1" applyBorder="1" applyAlignment="1">
      <alignment vertical="center"/>
    </xf>
    <xf numFmtId="5" fontId="3" fillId="0" borderId="29" xfId="0" applyNumberFormat="1" applyFont="1" applyBorder="1" applyAlignment="1">
      <alignment horizontal="center" vertical="center"/>
    </xf>
    <xf numFmtId="5" fontId="3" fillId="0" borderId="90" xfId="0" applyNumberFormat="1" applyFont="1"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64" xfId="0" applyNumberFormat="1" applyFont="1" applyFill="1" applyBorder="1" applyAlignment="1">
      <alignment horizontal="center" vertical="center"/>
    </xf>
    <xf numFmtId="168" fontId="2" fillId="0" borderId="11" xfId="0" applyNumberFormat="1" applyFont="1" applyFill="1" applyBorder="1" applyAlignment="1">
      <alignment horizontal="center" vertical="center"/>
    </xf>
    <xf numFmtId="3" fontId="2" fillId="0" borderId="64" xfId="0" applyNumberFormat="1" applyFont="1" applyFill="1" applyBorder="1" applyAlignment="1">
      <alignment horizontal="center" vertical="center"/>
    </xf>
    <xf numFmtId="37" fontId="2" fillId="0" borderId="11" xfId="0" applyNumberFormat="1" applyFont="1" applyFill="1" applyBorder="1" applyAlignment="1">
      <alignment horizontal="center" vertical="center"/>
    </xf>
    <xf numFmtId="166" fontId="2" fillId="0" borderId="11" xfId="0" applyNumberFormat="1" applyFont="1" applyBorder="1" applyAlignment="1">
      <alignment horizontal="center" vertical="center"/>
    </xf>
    <xf numFmtId="4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43" fontId="2" fillId="0" borderId="64" xfId="0" applyNumberFormat="1" applyFont="1" applyBorder="1" applyAlignment="1">
      <alignment horizontal="center" vertical="center"/>
    </xf>
    <xf numFmtId="165" fontId="2" fillId="0" borderId="11"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wrapText="1"/>
    </xf>
    <xf numFmtId="166"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37" fontId="4" fillId="0" borderId="0" xfId="0" applyNumberFormat="1"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166" fontId="2" fillId="0" borderId="65" xfId="0" applyNumberFormat="1" applyFont="1" applyFill="1" applyBorder="1" applyAlignment="1">
      <alignment horizontal="left" vertical="center"/>
    </xf>
    <xf numFmtId="0" fontId="16" fillId="0" borderId="0" xfId="0" applyFont="1" applyFill="1" applyAlignment="1">
      <alignment horizontal="center" vertical="center"/>
    </xf>
    <xf numFmtId="166" fontId="3" fillId="0" borderId="23" xfId="0" applyNumberFormat="1" applyFont="1" applyFill="1" applyBorder="1" applyAlignment="1">
      <alignment vertical="center"/>
    </xf>
    <xf numFmtId="39" fontId="3" fillId="0" borderId="0" xfId="0" applyNumberFormat="1" applyFont="1" applyFill="1" applyBorder="1" applyAlignment="1">
      <alignment vertical="center"/>
    </xf>
    <xf numFmtId="165" fontId="2" fillId="0" borderId="90" xfId="0" applyNumberFormat="1" applyFont="1" applyFill="1" applyBorder="1" applyAlignment="1">
      <alignment vertical="center"/>
    </xf>
    <xf numFmtId="166" fontId="2" fillId="0" borderId="66" xfId="0" applyNumberFormat="1" applyFont="1" applyFill="1" applyBorder="1" applyAlignment="1">
      <alignment vertical="center"/>
    </xf>
    <xf numFmtId="10" fontId="2" fillId="2" borderId="65" xfId="0" applyNumberFormat="1" applyFont="1" applyFill="1" applyBorder="1" applyAlignment="1">
      <alignment vertical="center"/>
    </xf>
    <xf numFmtId="165" fontId="2" fillId="0" borderId="65" xfId="0" applyNumberFormat="1" applyFont="1" applyFill="1" applyBorder="1" applyAlignment="1">
      <alignment vertical="center"/>
    </xf>
    <xf numFmtId="0" fontId="3" fillId="0" borderId="0" xfId="0" quotePrefix="1" applyFont="1" applyFill="1" applyAlignment="1" applyProtection="1">
      <alignment horizontal="center" vertical="center"/>
    </xf>
    <xf numFmtId="164" fontId="3" fillId="0" borderId="65" xfId="0" applyNumberFormat="1" applyFont="1" applyBorder="1" applyAlignment="1">
      <alignment horizontal="center" vertical="center"/>
    </xf>
    <xf numFmtId="0" fontId="3" fillId="0" borderId="11" xfId="0" applyNumberFormat="1" applyFont="1" applyFill="1" applyBorder="1" applyAlignment="1">
      <alignment horizontal="lef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91" xfId="0" applyNumberFormat="1" applyFont="1" applyFill="1" applyBorder="1" applyAlignment="1">
      <alignment vertical="center"/>
    </xf>
    <xf numFmtId="0" fontId="2" fillId="0" borderId="5" xfId="0" applyNumberFormat="1" applyFont="1" applyFill="1" applyBorder="1" applyAlignment="1">
      <alignment horizontal="left" vertical="center"/>
    </xf>
    <xf numFmtId="166" fontId="3" fillId="0" borderId="0"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91" xfId="0" applyFont="1" applyBorder="1" applyAlignment="1">
      <alignment horizontal="center" vertical="center"/>
    </xf>
    <xf numFmtId="0" fontId="3" fillId="0" borderId="62" xfId="0" applyFont="1" applyFill="1" applyBorder="1" applyAlignment="1">
      <alignment horizontal="center" vertical="center"/>
    </xf>
    <xf numFmtId="0" fontId="2" fillId="0" borderId="78" xfId="0" applyFont="1" applyBorder="1" applyAlignment="1">
      <alignment vertical="center"/>
    </xf>
    <xf numFmtId="0" fontId="2" fillId="0" borderId="91" xfId="0" applyFont="1" applyBorder="1" applyAlignment="1">
      <alignment vertical="center"/>
    </xf>
    <xf numFmtId="0" fontId="2" fillId="0" borderId="62" xfId="0" applyFont="1" applyBorder="1" applyAlignment="1">
      <alignment vertical="center"/>
    </xf>
    <xf numFmtId="0" fontId="2" fillId="0" borderId="66" xfId="0" applyFont="1" applyBorder="1" applyAlignment="1">
      <alignment vertical="center"/>
    </xf>
    <xf numFmtId="175" fontId="3" fillId="0" borderId="85" xfId="0" applyNumberFormat="1" applyFont="1" applyFill="1" applyBorder="1" applyAlignment="1">
      <alignment horizontal="center" vertical="center" wrapText="1"/>
    </xf>
    <xf numFmtId="166" fontId="2" fillId="0" borderId="85" xfId="0" applyNumberFormat="1" applyFont="1" applyFill="1" applyBorder="1" applyAlignment="1">
      <alignment vertical="center"/>
    </xf>
    <xf numFmtId="0" fontId="3" fillId="0" borderId="0" xfId="0" applyNumberFormat="1" applyFont="1" applyFill="1" applyBorder="1" applyAlignment="1">
      <alignment horizontal="left" vertical="center"/>
    </xf>
    <xf numFmtId="166" fontId="2" fillId="0" borderId="32" xfId="0" applyNumberFormat="1" applyFont="1" applyFill="1" applyBorder="1" applyAlignment="1">
      <alignment vertical="center"/>
    </xf>
    <xf numFmtId="166" fontId="3" fillId="0" borderId="69" xfId="0" applyNumberFormat="1" applyFont="1" applyFill="1" applyBorder="1" applyAlignment="1">
      <alignment vertical="center"/>
    </xf>
    <xf numFmtId="166" fontId="2" fillId="0" borderId="18" xfId="0" applyNumberFormat="1" applyFont="1" applyFill="1" applyBorder="1" applyAlignment="1">
      <alignment vertical="center"/>
    </xf>
    <xf numFmtId="167" fontId="2" fillId="0" borderId="0" xfId="0" applyNumberFormat="1" applyFont="1" applyAlignment="1">
      <alignment vertical="center"/>
    </xf>
    <xf numFmtId="192" fontId="2" fillId="0" borderId="0" xfId="0" applyNumberFormat="1" applyFont="1" applyAlignment="1">
      <alignment vertical="center"/>
    </xf>
    <xf numFmtId="0" fontId="2" fillId="0" borderId="0" xfId="0" applyFont="1" applyAlignment="1">
      <alignment vertical="center"/>
    </xf>
    <xf numFmtId="165" fontId="2" fillId="2" borderId="0" xfId="0" applyNumberFormat="1" applyFont="1" applyFill="1" applyBorder="1" applyAlignment="1" applyProtection="1">
      <alignment horizontal="center" vertical="center"/>
    </xf>
    <xf numFmtId="165" fontId="2" fillId="0" borderId="0" xfId="0" applyNumberFormat="1" applyFont="1" applyFill="1" applyBorder="1" applyAlignment="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91" xfId="0" applyFont="1" applyBorder="1" applyAlignment="1" applyProtection="1">
      <alignment vertical="center"/>
    </xf>
    <xf numFmtId="10" fontId="2" fillId="0" borderId="91" xfId="0"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91" xfId="0" applyFont="1" applyBorder="1" applyAlignment="1">
      <alignment horizontal="center" vertical="center"/>
    </xf>
    <xf numFmtId="167" fontId="2" fillId="0" borderId="91" xfId="0" applyNumberFormat="1" applyFont="1" applyFill="1" applyBorder="1" applyAlignment="1">
      <alignment horizontal="right" vertical="center"/>
    </xf>
    <xf numFmtId="0" fontId="2" fillId="0" borderId="91" xfId="0" applyFont="1" applyBorder="1" applyAlignment="1">
      <alignment horizontal="center" vertical="center" wrapText="1"/>
    </xf>
    <xf numFmtId="0" fontId="5" fillId="0" borderId="91" xfId="0" applyFont="1" applyFill="1" applyBorder="1" applyAlignment="1">
      <alignment vertical="center"/>
    </xf>
    <xf numFmtId="165" fontId="2" fillId="0" borderId="0" xfId="0" applyNumberFormat="1" applyFont="1" applyFill="1" applyBorder="1" applyAlignment="1" applyProtection="1">
      <alignment horizontal="right" vertical="center"/>
    </xf>
    <xf numFmtId="165" fontId="2" fillId="0" borderId="0" xfId="0" quotePrefix="1" applyNumberFormat="1" applyFont="1" applyFill="1" applyBorder="1" applyAlignment="1">
      <alignment horizontal="right" vertical="center"/>
    </xf>
    <xf numFmtId="0" fontId="2" fillId="0" borderId="0" xfId="0" quotePrefix="1" applyFont="1" applyAlignment="1">
      <alignment horizontal="center" vertical="center" wrapText="1"/>
    </xf>
    <xf numFmtId="166" fontId="2" fillId="0" borderId="0" xfId="0" applyNumberFormat="1" applyFont="1" applyFill="1" applyAlignment="1">
      <alignment horizontal="right" vertical="center"/>
    </xf>
    <xf numFmtId="0" fontId="8" fillId="0" borderId="0" xfId="0" quotePrefix="1" applyFont="1" applyFill="1" applyAlignment="1">
      <alignment horizontal="center"/>
    </xf>
    <xf numFmtId="0" fontId="2" fillId="0" borderId="0" xfId="0" applyFont="1"/>
    <xf numFmtId="185" fontId="3" fillId="0" borderId="0" xfId="0" applyNumberFormat="1" applyFont="1" applyBorder="1" applyAlignment="1">
      <alignment horizontal="center"/>
    </xf>
    <xf numFmtId="185" fontId="2" fillId="0" borderId="0" xfId="0" applyNumberFormat="1" applyFont="1" applyBorder="1"/>
    <xf numFmtId="185" fontId="2" fillId="0" borderId="0" xfId="0" applyNumberFormat="1" applyFont="1" applyBorder="1" applyAlignment="1">
      <alignment horizontal="left" indent="1"/>
    </xf>
    <xf numFmtId="0" fontId="2" fillId="0" borderId="0" xfId="0" applyFont="1" applyAlignment="1">
      <alignment horizontal="left" indent="1"/>
    </xf>
    <xf numFmtId="0" fontId="2" fillId="0" borderId="0" xfId="0" applyFont="1"/>
    <xf numFmtId="0" fontId="8" fillId="0" borderId="0" xfId="0" applyFont="1" applyAlignment="1">
      <alignment horizontal="center"/>
    </xf>
    <xf numFmtId="0" fontId="3" fillId="0" borderId="0" xfId="0" applyFont="1" applyAlignment="1">
      <alignment horizontal="center"/>
    </xf>
    <xf numFmtId="185" fontId="8" fillId="0" borderId="0" xfId="0" applyNumberFormat="1" applyFont="1" applyBorder="1" applyAlignment="1">
      <alignment horizontal="center"/>
    </xf>
    <xf numFmtId="0" fontId="8" fillId="0" borderId="0" xfId="0" applyFont="1" applyAlignment="1">
      <alignment horizontal="center"/>
    </xf>
    <xf numFmtId="0" fontId="2" fillId="0" borderId="0" xfId="0" applyFont="1" applyFill="1" applyAlignment="1">
      <alignment wrapText="1"/>
    </xf>
    <xf numFmtId="193" fontId="2" fillId="0" borderId="0" xfId="0" applyNumberFormat="1" applyFont="1" applyBorder="1" applyAlignment="1">
      <alignment horizontal="left" indent="1"/>
    </xf>
    <xf numFmtId="3" fontId="2" fillId="0" borderId="0" xfId="0" applyNumberFormat="1" applyFont="1" applyFill="1" applyBorder="1"/>
    <xf numFmtId="10" fontId="2" fillId="0" borderId="0" xfId="0" applyNumberFormat="1" applyFont="1" applyBorder="1"/>
    <xf numFmtId="185" fontId="16" fillId="0" borderId="0" xfId="0" applyNumberFormat="1" applyFont="1" applyAlignment="1">
      <alignment horizontal="right"/>
    </xf>
    <xf numFmtId="0" fontId="16" fillId="0" borderId="0" xfId="0" applyFont="1"/>
    <xf numFmtId="185" fontId="2" fillId="0" borderId="0" xfId="0" applyNumberFormat="1" applyFont="1" applyBorder="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165" fontId="2" fillId="0" borderId="67"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3" fontId="16" fillId="0" borderId="0" xfId="0" applyNumberFormat="1" applyFont="1" applyFill="1" applyAlignment="1">
      <alignment wrapText="1"/>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10" fontId="2" fillId="3" borderId="65" xfId="0" applyNumberFormat="1" applyFont="1" applyFill="1" applyBorder="1" applyAlignment="1">
      <alignment vertical="center"/>
    </xf>
    <xf numFmtId="165" fontId="2" fillId="0" borderId="65" xfId="0" applyNumberFormat="1" applyFont="1" applyFill="1" applyBorder="1" applyAlignment="1">
      <alignment vertical="center"/>
    </xf>
    <xf numFmtId="0" fontId="36" fillId="0" borderId="0" xfId="0" applyFont="1" applyAlignment="1">
      <alignment vertical="center"/>
    </xf>
    <xf numFmtId="10" fontId="2" fillId="2" borderId="0" xfId="0" applyNumberFormat="1" applyFont="1" applyFill="1" applyAlignment="1">
      <alignment horizontal="right" vertical="center"/>
    </xf>
    <xf numFmtId="166" fontId="2" fillId="3" borderId="1" xfId="0" applyNumberFormat="1" applyFont="1" applyFill="1" applyBorder="1" applyAlignment="1">
      <alignment vertical="center"/>
    </xf>
    <xf numFmtId="167" fontId="2" fillId="2" borderId="1" xfId="0" applyNumberFormat="1" applyFont="1" applyFill="1" applyBorder="1" applyAlignment="1">
      <alignment horizontal="right" vertical="center"/>
    </xf>
    <xf numFmtId="0" fontId="25" fillId="0" borderId="0" xfId="0" applyFont="1" applyFill="1" applyAlignment="1">
      <alignment horizontal="center" vertical="center"/>
    </xf>
    <xf numFmtId="0" fontId="5" fillId="0" borderId="0" xfId="0" applyFont="1" applyFill="1" applyAlignment="1" applyProtection="1">
      <alignment vertical="center"/>
    </xf>
    <xf numFmtId="0" fontId="2" fillId="0" borderId="0" xfId="0" applyFont="1" applyFill="1" applyAlignment="1">
      <alignment horizontal="center" vertical="center" wrapText="1"/>
    </xf>
    <xf numFmtId="10" fontId="2" fillId="4" borderId="0" xfId="0" applyNumberFormat="1" applyFont="1" applyFill="1" applyAlignment="1">
      <alignment horizontal="right" vertical="center"/>
    </xf>
    <xf numFmtId="0" fontId="5" fillId="0" borderId="0" xfId="0" applyFont="1" applyFill="1" applyAlignment="1">
      <alignment vertical="center"/>
    </xf>
    <xf numFmtId="0" fontId="2" fillId="0" borderId="91" xfId="0" applyFont="1" applyBorder="1" applyAlignment="1" applyProtection="1">
      <alignment vertical="center"/>
    </xf>
    <xf numFmtId="167" fontId="2" fillId="0" borderId="1" xfId="0" applyNumberFormat="1" applyFont="1" applyFill="1" applyBorder="1" applyAlignment="1">
      <alignment horizontal="right" vertical="center"/>
    </xf>
    <xf numFmtId="165" fontId="2" fillId="0" borderId="65" xfId="0" applyNumberFormat="1" applyFont="1" applyBorder="1" applyAlignment="1">
      <alignment vertical="center"/>
    </xf>
    <xf numFmtId="14" fontId="2" fillId="0" borderId="0" xfId="0" applyNumberFormat="1" applyFont="1" applyAlignment="1">
      <alignment vertical="center"/>
    </xf>
    <xf numFmtId="10" fontId="2" fillId="0" borderId="0" xfId="0" applyNumberFormat="1" applyFont="1" applyFill="1" applyAlignment="1">
      <alignment vertical="center"/>
    </xf>
    <xf numFmtId="3" fontId="2" fillId="0" borderId="0" xfId="0" applyNumberFormat="1" applyFont="1" applyFill="1" applyBorder="1" applyAlignment="1">
      <alignment horizontal="centerContinuous" vertical="center"/>
    </xf>
    <xf numFmtId="0" fontId="2" fillId="0" borderId="0" xfId="0" applyFont="1" applyAlignment="1">
      <alignment horizontal="center"/>
    </xf>
    <xf numFmtId="10" fontId="2" fillId="0" borderId="27"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7" fontId="2" fillId="4"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8" fillId="0" borderId="0" xfId="0" applyFont="1" applyAlignment="1">
      <alignment horizontal="center" vertical="center"/>
    </xf>
    <xf numFmtId="166" fontId="2" fillId="0" borderId="9" xfId="0" applyNumberFormat="1" applyFont="1" applyBorder="1" applyAlignment="1">
      <alignment horizontal="center" vertical="center"/>
    </xf>
    <xf numFmtId="165" fontId="3" fillId="0" borderId="68" xfId="0" applyNumberFormat="1" applyFont="1" applyBorder="1" applyAlignment="1">
      <alignment vertical="center"/>
    </xf>
    <xf numFmtId="168" fontId="2" fillId="0" borderId="11"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8" xfId="0" applyNumberFormat="1" applyFont="1" applyFill="1" applyBorder="1" applyAlignment="1">
      <alignment horizontal="center" vertical="center"/>
    </xf>
    <xf numFmtId="166" fontId="16" fillId="0" borderId="11" xfId="0" applyNumberFormat="1" applyFont="1" applyFill="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5" fontId="2" fillId="0" borderId="11" xfId="0" applyNumberFormat="1" applyFont="1" applyFill="1" applyBorder="1" applyAlignment="1">
      <alignment vertical="center"/>
    </xf>
    <xf numFmtId="165" fontId="2" fillId="0" borderId="9" xfId="0" applyNumberFormat="1" applyFont="1" applyFill="1" applyBorder="1" applyAlignment="1">
      <alignment vertical="center"/>
    </xf>
    <xf numFmtId="166" fontId="2" fillId="0" borderId="9" xfId="0" applyNumberFormat="1" applyFont="1" applyFill="1" applyBorder="1" applyAlignment="1">
      <alignment horizontal="center" vertical="center"/>
    </xf>
    <xf numFmtId="17" fontId="2" fillId="0" borderId="5" xfId="0" quotePrefix="1" applyNumberFormat="1" applyFont="1" applyFill="1" applyBorder="1" applyAlignment="1">
      <alignment horizontal="left" vertical="center"/>
    </xf>
    <xf numFmtId="17" fontId="2" fillId="0" borderId="5" xfId="0" quotePrefix="1" applyNumberFormat="1" applyFont="1" applyBorder="1" applyAlignment="1">
      <alignment horizontal="left" vertical="center"/>
    </xf>
    <xf numFmtId="17" fontId="2" fillId="0" borderId="11" xfId="0" quotePrefix="1" applyNumberFormat="1" applyFont="1" applyBorder="1" applyAlignment="1">
      <alignment horizontal="left" vertical="center"/>
    </xf>
    <xf numFmtId="17" fontId="2" fillId="0" borderId="64" xfId="0" quotePrefix="1" applyNumberFormat="1" applyFont="1" applyBorder="1" applyAlignment="1">
      <alignment horizontal="left" vertical="center"/>
    </xf>
    <xf numFmtId="17" fontId="2" fillId="0" borderId="7" xfId="0" applyNumberFormat="1" applyFont="1" applyBorder="1" applyAlignment="1">
      <alignment horizontal="left" vertical="center"/>
    </xf>
    <xf numFmtId="165" fontId="2" fillId="0" borderId="7" xfId="0" applyNumberFormat="1" applyFont="1" applyFill="1" applyBorder="1" applyAlignment="1">
      <alignment vertical="center"/>
    </xf>
    <xf numFmtId="166" fontId="2" fillId="0" borderId="1" xfId="0" applyNumberFormat="1" applyFont="1" applyFill="1" applyBorder="1" applyAlignment="1">
      <alignment vertical="center"/>
    </xf>
    <xf numFmtId="37" fontId="2" fillId="0" borderId="21" xfId="0" applyNumberFormat="1" applyFont="1" applyFill="1" applyBorder="1" applyAlignment="1">
      <alignment horizontal="center"/>
    </xf>
    <xf numFmtId="37" fontId="2" fillId="0" borderId="0" xfId="0" applyNumberFormat="1" applyFont="1" applyFill="1" applyBorder="1"/>
    <xf numFmtId="37" fontId="2" fillId="0" borderId="0" xfId="0" applyNumberFormat="1" applyFont="1" applyFill="1" applyBorder="1" applyAlignment="1">
      <alignment vertical="top"/>
    </xf>
    <xf numFmtId="37" fontId="2" fillId="0" borderId="0" xfId="0" applyNumberFormat="1" applyFont="1" applyFill="1" applyBorder="1" applyAlignment="1"/>
    <xf numFmtId="174" fontId="2" fillId="0" borderId="21" xfId="0" applyNumberFormat="1" applyFont="1" applyFill="1" applyBorder="1" applyAlignment="1">
      <alignment horizontal="center" wrapText="1"/>
    </xf>
    <xf numFmtId="37" fontId="2" fillId="0" borderId="21" xfId="0" applyNumberFormat="1" applyFont="1" applyFill="1" applyBorder="1" applyAlignment="1">
      <alignment horizontal="center" vertical="center"/>
    </xf>
    <xf numFmtId="37" fontId="2" fillId="0" borderId="91" xfId="0" applyNumberFormat="1" applyFont="1" applyBorder="1" applyAlignment="1">
      <alignment vertical="center"/>
    </xf>
    <xf numFmtId="37" fontId="2" fillId="0" borderId="85" xfId="0" applyNumberFormat="1"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16" fillId="0" borderId="0" xfId="0" applyNumberFormat="1" applyFont="1" applyAlignment="1">
      <alignment vertical="center"/>
    </xf>
    <xf numFmtId="10" fontId="2" fillId="0" borderId="12" xfId="0" applyNumberFormat="1" applyFont="1" applyBorder="1" applyAlignment="1">
      <alignment horizontal="center" vertical="center"/>
    </xf>
    <xf numFmtId="10" fontId="3" fillId="3" borderId="12"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3" fillId="0" borderId="7" xfId="0" quotePrefix="1" applyFont="1" applyFill="1" applyBorder="1" applyAlignment="1">
      <alignment horizontal="center" vertical="center"/>
    </xf>
    <xf numFmtId="0" fontId="2" fillId="0" borderId="0" xfId="0" applyFont="1" applyBorder="1" applyAlignment="1">
      <alignment horizontal="center" vertical="center"/>
    </xf>
    <xf numFmtId="0" fontId="3"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64"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7" xfId="0" quotePrefix="1" applyFont="1" applyFill="1" applyBorder="1" applyAlignment="1">
      <alignment horizontal="center" vertical="center"/>
    </xf>
    <xf numFmtId="0" fontId="16" fillId="0" borderId="0" xfId="0" applyFont="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64" xfId="0" applyFont="1" applyFill="1" applyBorder="1" applyAlignment="1">
      <alignment horizontal="center" vertical="center" wrapText="1"/>
    </xf>
    <xf numFmtId="10" fontId="16" fillId="3" borderId="1" xfId="0" applyNumberFormat="1" applyFont="1" applyFill="1" applyBorder="1" applyAlignment="1">
      <alignment horizontal="center" vertical="center"/>
    </xf>
    <xf numFmtId="10" fontId="16" fillId="3" borderId="64" xfId="0" applyNumberFormat="1" applyFont="1" applyFill="1" applyBorder="1" applyAlignment="1">
      <alignment horizontal="center" vertical="center"/>
    </xf>
    <xf numFmtId="43" fontId="2" fillId="0" borderId="64" xfId="0" applyNumberFormat="1" applyFont="1" applyBorder="1" applyAlignment="1">
      <alignment horizontal="center" vertical="center"/>
    </xf>
    <xf numFmtId="165" fontId="16" fillId="0" borderId="7" xfId="0" applyNumberFormat="1" applyFont="1" applyBorder="1" applyAlignment="1">
      <alignment vertical="center"/>
    </xf>
    <xf numFmtId="166" fontId="2" fillId="0" borderId="64" xfId="0" applyNumberFormat="1" applyFont="1" applyBorder="1" applyAlignment="1">
      <alignment vertical="center"/>
    </xf>
    <xf numFmtId="181" fontId="3" fillId="0" borderId="62" xfId="0" quotePrefix="1" applyNumberFormat="1" applyFont="1" applyFill="1" applyBorder="1" applyAlignment="1">
      <alignment horizontal="center" vertical="center"/>
    </xf>
    <xf numFmtId="181" fontId="3" fillId="0" borderId="91" xfId="0" quotePrefix="1" applyNumberFormat="1" applyFont="1" applyFill="1" applyBorder="1" applyAlignment="1">
      <alignment horizontal="center" vertical="center"/>
    </xf>
    <xf numFmtId="181" fontId="3" fillId="0" borderId="66" xfId="0" quotePrefix="1" applyNumberFormat="1" applyFont="1" applyFill="1" applyBorder="1" applyAlignment="1">
      <alignment horizontal="center"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2" fillId="0" borderId="90" xfId="0" applyNumberFormat="1" applyFont="1" applyBorder="1" applyAlignment="1">
      <alignment vertical="center"/>
    </xf>
    <xf numFmtId="43" fontId="2" fillId="0" borderId="22" xfId="0" applyNumberFormat="1" applyFont="1" applyBorder="1" applyAlignment="1">
      <alignment vertical="center"/>
    </xf>
    <xf numFmtId="37" fontId="2" fillId="0" borderId="0" xfId="0" applyNumberFormat="1" applyFont="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3" fontId="2" fillId="0" borderId="11" xfId="0" applyNumberFormat="1" applyFont="1" applyFill="1" applyBorder="1" applyAlignment="1">
      <alignment horizontal="left" vertical="center"/>
    </xf>
    <xf numFmtId="165" fontId="2" fillId="0" borderId="90" xfId="0" applyNumberFormat="1" applyFont="1" applyBorder="1" applyAlignment="1">
      <alignment vertical="center"/>
    </xf>
    <xf numFmtId="43" fontId="2" fillId="0" borderId="30" xfId="0" applyNumberFormat="1" applyFont="1" applyFill="1" applyBorder="1" applyAlignment="1">
      <alignment horizontal="center" vertical="center"/>
    </xf>
    <xf numFmtId="43" fontId="2" fillId="0" borderId="78" xfId="0" applyNumberFormat="1" applyFont="1" applyFill="1" applyBorder="1" applyAlignment="1">
      <alignment horizontal="center" vertical="center"/>
    </xf>
    <xf numFmtId="49" fontId="2" fillId="0" borderId="91" xfId="0" applyNumberFormat="1" applyFont="1" applyBorder="1" applyAlignment="1">
      <alignment horizontal="center" vertical="center"/>
    </xf>
    <xf numFmtId="43" fontId="2" fillId="0" borderId="62" xfId="0" applyNumberFormat="1" applyFont="1" applyFill="1" applyBorder="1" applyAlignment="1">
      <alignment horizontal="left" vertical="center"/>
    </xf>
    <xf numFmtId="166" fontId="2" fillId="0" borderId="91"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66" xfId="0" applyNumberFormat="1" applyFont="1" applyFill="1" applyBorder="1" applyAlignment="1">
      <alignment vertical="center"/>
    </xf>
    <xf numFmtId="43" fontId="2" fillId="0" borderId="28" xfId="0" applyNumberFormat="1" applyFont="1" applyFill="1" applyBorder="1" applyAlignment="1">
      <alignment horizontal="center" vertical="center"/>
    </xf>
    <xf numFmtId="166" fontId="2" fillId="0" borderId="90" xfId="0" applyNumberFormat="1" applyFont="1" applyBorder="1" applyAlignment="1">
      <alignment vertical="center"/>
    </xf>
    <xf numFmtId="43" fontId="2" fillId="0" borderId="30" xfId="0" quotePrefix="1" applyNumberFormat="1" applyFont="1" applyFill="1" applyBorder="1" applyAlignment="1">
      <alignment horizontal="center" vertical="center"/>
    </xf>
    <xf numFmtId="43" fontId="2" fillId="0" borderId="5" xfId="0" applyNumberFormat="1" applyFont="1" applyFill="1" applyBorder="1" applyAlignment="1">
      <alignment horizontal="left" vertical="center"/>
    </xf>
    <xf numFmtId="49" fontId="2" fillId="0" borderId="11" xfId="0" applyNumberFormat="1" applyFont="1" applyBorder="1" applyAlignment="1">
      <alignment horizontal="center" vertical="center"/>
    </xf>
    <xf numFmtId="43" fontId="2" fillId="0" borderId="0" xfId="0" applyNumberFormat="1" applyFont="1" applyFill="1" applyBorder="1" applyAlignment="1">
      <alignment horizontal="left" vertical="center"/>
    </xf>
    <xf numFmtId="43" fontId="2" fillId="0" borderId="0" xfId="0" applyNumberFormat="1" applyFont="1" applyFill="1" applyBorder="1" applyAlignment="1">
      <alignment vertical="center"/>
    </xf>
    <xf numFmtId="43" fontId="2" fillId="0" borderId="9" xfId="0" applyNumberFormat="1" applyFont="1" applyFill="1" applyBorder="1" applyAlignment="1">
      <alignment horizontal="left" vertical="center"/>
    </xf>
    <xf numFmtId="166" fontId="3" fillId="0" borderId="90" xfId="0" applyNumberFormat="1" applyFont="1" applyFill="1" applyBorder="1" applyAlignment="1">
      <alignment vertical="center"/>
    </xf>
    <xf numFmtId="43" fontId="2" fillId="0" borderId="78" xfId="0" quotePrefix="1" applyNumberFormat="1" applyFont="1" applyFill="1" applyBorder="1" applyAlignment="1">
      <alignment horizontal="center" vertical="center"/>
    </xf>
    <xf numFmtId="49" fontId="2" fillId="0" borderId="62" xfId="0" applyNumberFormat="1" applyFont="1" applyBorder="1" applyAlignment="1">
      <alignment horizontal="center" vertical="center"/>
    </xf>
    <xf numFmtId="43" fontId="2" fillId="0" borderId="21" xfId="0" quotePrefix="1" applyNumberFormat="1" applyFont="1" applyFill="1" applyBorder="1" applyAlignment="1">
      <alignment horizontal="center" vertical="center"/>
    </xf>
    <xf numFmtId="43" fontId="2" fillId="0" borderId="21" xfId="0" applyNumberFormat="1" applyFont="1" applyFill="1" applyBorder="1" applyAlignment="1">
      <alignment horizontal="center" vertical="center"/>
    </xf>
    <xf numFmtId="166" fontId="2" fillId="0" borderId="5" xfId="0" applyNumberFormat="1" applyFont="1" applyFill="1" applyBorder="1" applyAlignment="1">
      <alignment vertical="center"/>
    </xf>
    <xf numFmtId="166" fontId="2" fillId="0" borderId="90" xfId="0" applyNumberFormat="1" applyFont="1" applyFill="1" applyBorder="1" applyAlignment="1">
      <alignment vertical="center"/>
    </xf>
    <xf numFmtId="43" fontId="2" fillId="0" borderId="21" xfId="0" applyNumberFormat="1" applyFont="1" applyBorder="1" applyAlignment="1">
      <alignment vertical="center"/>
    </xf>
    <xf numFmtId="43" fontId="2" fillId="0" borderId="11" xfId="0" applyNumberFormat="1" applyFont="1" applyFill="1" applyBorder="1" applyAlignment="1">
      <alignment horizontal="center" vertical="center"/>
    </xf>
    <xf numFmtId="43" fontId="3" fillId="0" borderId="9" xfId="0" applyNumberFormat="1" applyFont="1" applyBorder="1" applyAlignment="1">
      <alignment vertical="center"/>
    </xf>
    <xf numFmtId="43" fontId="2" fillId="0" borderId="9" xfId="0" applyNumberFormat="1" applyFont="1" applyBorder="1" applyAlignment="1">
      <alignment vertical="center"/>
    </xf>
    <xf numFmtId="166" fontId="3" fillId="0" borderId="0" xfId="0" applyNumberFormat="1" applyFont="1" applyFill="1" applyBorder="1" applyAlignment="1">
      <alignmen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3" fillId="0" borderId="90" xfId="0" applyNumberFormat="1" applyFont="1" applyFill="1" applyBorder="1" applyAlignment="1">
      <alignment vertical="center"/>
    </xf>
    <xf numFmtId="43" fontId="2" fillId="0" borderId="30" xfId="0" applyNumberFormat="1" applyFont="1" applyBorder="1" applyAlignment="1">
      <alignment vertical="center"/>
    </xf>
    <xf numFmtId="43" fontId="2" fillId="0" borderId="0" xfId="0" applyNumberFormat="1" applyFont="1" applyFill="1" applyBorder="1" applyAlignment="1">
      <alignment horizontal="center" vertical="center"/>
    </xf>
    <xf numFmtId="166" fontId="3" fillId="0" borderId="9" xfId="0" applyNumberFormat="1" applyFont="1" applyFill="1" applyBorder="1" applyAlignment="1">
      <alignment vertical="center"/>
    </xf>
    <xf numFmtId="166" fontId="3" fillId="0" borderId="22" xfId="0" applyNumberFormat="1" applyFont="1" applyFill="1" applyBorder="1" applyAlignment="1">
      <alignment vertical="center"/>
    </xf>
    <xf numFmtId="43" fontId="3" fillId="0" borderId="30" xfId="0" applyNumberFormat="1" applyFont="1" applyFill="1" applyBorder="1" applyAlignment="1">
      <alignment horizontal="left" vertical="center"/>
    </xf>
    <xf numFmtId="43" fontId="3" fillId="0" borderId="0" xfId="0" applyNumberFormat="1" applyFont="1" applyBorder="1" applyAlignment="1">
      <alignment vertical="center"/>
    </xf>
    <xf numFmtId="43" fontId="3" fillId="0" borderId="11" xfId="0" applyNumberFormat="1" applyFont="1" applyBorder="1" applyAlignment="1">
      <alignment vertical="center"/>
    </xf>
    <xf numFmtId="43" fontId="3" fillId="0" borderId="0" xfId="0" applyNumberFormat="1" applyFont="1" applyAlignment="1">
      <alignment vertical="center"/>
    </xf>
    <xf numFmtId="0" fontId="16" fillId="0" borderId="81" xfId="0" applyFont="1" applyBorder="1" applyAlignment="1">
      <alignment horizontal="left" vertical="center"/>
    </xf>
    <xf numFmtId="0" fontId="16" fillId="0" borderId="81" xfId="0" applyFont="1" applyBorder="1" applyAlignment="1">
      <alignment vertical="center"/>
    </xf>
    <xf numFmtId="0" fontId="18" fillId="0" borderId="81" xfId="0" applyFont="1" applyBorder="1" applyAlignment="1">
      <alignment horizontal="center" vertical="center"/>
    </xf>
    <xf numFmtId="0" fontId="18" fillId="0" borderId="62" xfId="0" applyFont="1" applyBorder="1" applyAlignment="1">
      <alignment horizontal="center" vertical="center"/>
    </xf>
    <xf numFmtId="0" fontId="18" fillId="0" borderId="66" xfId="0" applyFont="1" applyBorder="1" applyAlignment="1">
      <alignment horizontal="center" vertical="center"/>
    </xf>
    <xf numFmtId="0" fontId="18" fillId="0" borderId="90" xfId="0" applyFont="1" applyBorder="1" applyAlignment="1">
      <alignment vertical="center"/>
    </xf>
    <xf numFmtId="0" fontId="16" fillId="0" borderId="62" xfId="0" applyFont="1" applyBorder="1" applyAlignment="1">
      <alignment vertical="center"/>
    </xf>
    <xf numFmtId="0" fontId="16" fillId="0" borderId="85" xfId="0" applyFont="1" applyBorder="1" applyAlignment="1">
      <alignment vertical="center"/>
    </xf>
    <xf numFmtId="0" fontId="2"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xf>
    <xf numFmtId="166" fontId="16" fillId="0" borderId="1" xfId="0" applyNumberFormat="1" applyFont="1" applyFill="1" applyBorder="1" applyAlignment="1">
      <alignment horizontal="right" vertical="center"/>
    </xf>
    <xf numFmtId="166" fontId="16" fillId="0" borderId="1" xfId="0" applyNumberFormat="1" applyFont="1" applyFill="1" applyBorder="1" applyAlignment="1">
      <alignment vertical="center"/>
    </xf>
    <xf numFmtId="10" fontId="16" fillId="3" borderId="1" xfId="0" applyNumberFormat="1" applyFont="1" applyFill="1" applyBorder="1" applyAlignment="1">
      <alignment horizontal="center" vertical="center"/>
    </xf>
    <xf numFmtId="166" fontId="16" fillId="0" borderId="1" xfId="0" applyNumberFormat="1" applyFont="1" applyBorder="1" applyAlignment="1">
      <alignment horizontal="center" vertical="center"/>
    </xf>
    <xf numFmtId="37" fontId="3" fillId="0" borderId="63" xfId="0" applyNumberFormat="1" applyFont="1" applyFill="1" applyBorder="1" applyAlignment="1">
      <alignment horizontal="center" vertical="center"/>
    </xf>
    <xf numFmtId="37" fontId="3" fillId="0" borderId="85" xfId="0" applyNumberFormat="1" applyFont="1" applyBorder="1" applyAlignment="1">
      <alignment horizontal="center" vertical="center"/>
    </xf>
    <xf numFmtId="37" fontId="4" fillId="0" borderId="63" xfId="0" applyNumberFormat="1" applyFont="1" applyFill="1" applyBorder="1" applyAlignment="1">
      <alignment horizontal="left" vertical="center"/>
    </xf>
    <xf numFmtId="37" fontId="2" fillId="0" borderId="63" xfId="0" applyNumberFormat="1" applyFont="1" applyFill="1" applyBorder="1" applyAlignment="1">
      <alignment horizontal="center" vertical="center"/>
    </xf>
    <xf numFmtId="165" fontId="2" fillId="0" borderId="6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Fill="1" applyBorder="1" applyAlignment="1">
      <alignment horizontal="right" vertical="center"/>
    </xf>
    <xf numFmtId="37" fontId="2" fillId="0" borderId="63" xfId="0" applyNumberFormat="1" applyFont="1" applyBorder="1" applyAlignment="1">
      <alignment vertical="center"/>
    </xf>
    <xf numFmtId="165" fontId="2" fillId="3" borderId="0" xfId="0" applyNumberFormat="1" applyFont="1" applyFill="1" applyAlignment="1" applyProtection="1">
      <alignment vertical="center"/>
      <protection locked="0"/>
    </xf>
    <xf numFmtId="37" fontId="3" fillId="0" borderId="0" xfId="0" applyNumberFormat="1" applyFont="1" applyAlignment="1">
      <alignment horizontal="center" vertical="center"/>
    </xf>
    <xf numFmtId="165" fontId="2" fillId="0" borderId="21" xfId="0" applyNumberFormat="1" applyFont="1" applyBorder="1" applyAlignment="1">
      <alignment vertical="center"/>
    </xf>
    <xf numFmtId="166" fontId="2" fillId="0" borderId="0" xfId="0" applyNumberFormat="1" applyFont="1" applyFill="1" applyBorder="1" applyAlignment="1">
      <alignment vertical="center"/>
    </xf>
    <xf numFmtId="165" fontId="2" fillId="0" borderId="43"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Border="1" applyAlignment="1">
      <alignment vertical="center"/>
    </xf>
    <xf numFmtId="166" fontId="2" fillId="0" borderId="63" xfId="0" applyNumberFormat="1" applyFont="1" applyFill="1" applyBorder="1" applyAlignment="1">
      <alignment vertical="center"/>
    </xf>
    <xf numFmtId="165" fontId="2" fillId="3" borderId="63" xfId="0" applyNumberFormat="1" applyFont="1" applyFill="1" applyBorder="1" applyAlignment="1">
      <alignment vertical="center"/>
    </xf>
    <xf numFmtId="166" fontId="2" fillId="3" borderId="63" xfId="0" applyNumberFormat="1" applyFont="1" applyFill="1" applyBorder="1" applyAlignment="1">
      <alignment vertical="center"/>
    </xf>
    <xf numFmtId="17" fontId="2" fillId="0" borderId="42" xfId="0" quotePrefix="1" applyNumberFormat="1" applyFont="1" applyBorder="1" applyAlignment="1">
      <alignment horizontal="center" vertical="center"/>
    </xf>
    <xf numFmtId="17" fontId="2" fillId="0" borderId="43" xfId="0" quotePrefix="1" applyNumberFormat="1" applyFont="1" applyBorder="1" applyAlignment="1">
      <alignment horizontal="center" vertical="center"/>
    </xf>
    <xf numFmtId="17" fontId="2" fillId="0" borderId="77" xfId="0" quotePrefix="1" applyNumberFormat="1" applyFont="1" applyBorder="1" applyAlignment="1">
      <alignment horizontal="center" vertical="center"/>
    </xf>
    <xf numFmtId="165" fontId="2" fillId="3" borderId="1" xfId="0" applyNumberFormat="1" applyFont="1" applyFill="1" applyBorder="1" applyAlignment="1">
      <alignment vertical="center"/>
    </xf>
    <xf numFmtId="9" fontId="2" fillId="3" borderId="65" xfId="0" applyNumberFormat="1" applyFont="1" applyFill="1" applyBorder="1" applyAlignment="1">
      <alignment horizontal="righ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165" fontId="2" fillId="3" borderId="94" xfId="0" applyNumberFormat="1" applyFont="1" applyFill="1" applyBorder="1" applyAlignment="1">
      <alignment vertical="center"/>
    </xf>
    <xf numFmtId="194" fontId="16" fillId="0" borderId="0" xfId="0" applyNumberFormat="1" applyFont="1" applyAlignment="1">
      <alignment vertical="center"/>
    </xf>
    <xf numFmtId="195" fontId="2" fillId="0" borderId="0" xfId="0" applyNumberFormat="1" applyFont="1" applyAlignment="1">
      <alignment vertical="center"/>
    </xf>
    <xf numFmtId="166" fontId="2" fillId="0" borderId="65" xfId="0" applyNumberFormat="1" applyFont="1" applyBorder="1" applyAlignment="1">
      <alignment horizontal="left" vertical="center"/>
    </xf>
    <xf numFmtId="167" fontId="2" fillId="0" borderId="0" xfId="0" applyNumberFormat="1" applyFont="1" applyAlignment="1">
      <alignment vertical="center"/>
    </xf>
    <xf numFmtId="44" fontId="2" fillId="0" borderId="0" xfId="0" applyNumberFormat="1" applyFont="1" applyAlignment="1">
      <alignment vertical="center"/>
    </xf>
    <xf numFmtId="1" fontId="2" fillId="0" borderId="0" xfId="0" applyNumberFormat="1" applyFont="1" applyFill="1" applyBorder="1" applyAlignment="1">
      <alignment vertical="center"/>
    </xf>
    <xf numFmtId="166" fontId="2" fillId="0" borderId="2" xfId="0" applyNumberFormat="1" applyFont="1" applyFill="1" applyBorder="1" applyAlignment="1">
      <alignment vertical="center"/>
    </xf>
    <xf numFmtId="165" fontId="2" fillId="0" borderId="27" xfId="0" applyNumberFormat="1" applyFont="1" applyFill="1" applyBorder="1" applyAlignment="1">
      <alignment vertical="center"/>
    </xf>
    <xf numFmtId="188" fontId="2" fillId="0" borderId="0" xfId="0" applyNumberFormat="1" applyFont="1" applyFill="1" applyAlignment="1">
      <alignment vertical="center"/>
    </xf>
    <xf numFmtId="187" fontId="2" fillId="0"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37" fillId="0" borderId="0" xfId="0" applyFont="1"/>
    <xf numFmtId="0" fontId="38" fillId="0" borderId="0" xfId="0" applyFont="1" applyAlignment="1">
      <alignment horizontal="centerContinuous"/>
    </xf>
    <xf numFmtId="0" fontId="39" fillId="0" borderId="0" xfId="0" applyFont="1" applyAlignment="1">
      <alignment horizontal="centerContinuous"/>
    </xf>
    <xf numFmtId="0" fontId="39" fillId="0" borderId="0" xfId="0" applyFont="1"/>
    <xf numFmtId="166" fontId="41" fillId="0" borderId="0" xfId="0" applyNumberFormat="1" applyFont="1"/>
    <xf numFmtId="166" fontId="38" fillId="0" borderId="0" xfId="0" applyNumberFormat="1" applyFont="1"/>
    <xf numFmtId="166" fontId="41" fillId="0" borderId="0" xfId="0" quotePrefix="1" applyNumberFormat="1" applyFont="1" applyAlignment="1">
      <alignment horizontal="right"/>
    </xf>
    <xf numFmtId="166" fontId="41" fillId="0" borderId="0" xfId="0" applyNumberFormat="1" applyFont="1" applyAlignment="1">
      <alignment horizontal="center"/>
    </xf>
    <xf numFmtId="166" fontId="42" fillId="0" borderId="0" xfId="0" quotePrefix="1" applyNumberFormat="1" applyFont="1" applyAlignment="1">
      <alignment horizontal="center"/>
    </xf>
    <xf numFmtId="166" fontId="41" fillId="0" borderId="93" xfId="0" applyNumberFormat="1" applyFont="1" applyBorder="1" applyAlignment="1">
      <alignment horizontal="center" wrapText="1"/>
    </xf>
    <xf numFmtId="166" fontId="41" fillId="0" borderId="93" xfId="0" applyNumberFormat="1" applyFont="1" applyBorder="1" applyAlignment="1">
      <alignment horizontal="center"/>
    </xf>
    <xf numFmtId="166" fontId="41" fillId="0" borderId="49" xfId="0" applyNumberFormat="1" applyFont="1" applyBorder="1" applyAlignment="1">
      <alignment horizontal="center" wrapText="1"/>
    </xf>
    <xf numFmtId="0" fontId="41" fillId="0" borderId="0" xfId="0" applyNumberFormat="1" applyFont="1" applyAlignment="1">
      <alignment horizontal="center"/>
    </xf>
    <xf numFmtId="0" fontId="43" fillId="0" borderId="0" xfId="0" applyNumberFormat="1" applyFont="1"/>
    <xf numFmtId="166" fontId="34" fillId="0" borderId="0" xfId="0" applyNumberFormat="1" applyFont="1"/>
    <xf numFmtId="41" fontId="41" fillId="0" borderId="0" xfId="0" applyNumberFormat="1" applyFont="1"/>
    <xf numFmtId="166" fontId="44" fillId="0" borderId="0" xfId="0" applyNumberFormat="1" applyFont="1"/>
    <xf numFmtId="166" fontId="41" fillId="0" borderId="0" xfId="0" applyNumberFormat="1" applyFont="1" applyAlignment="1">
      <alignment horizontal="left" indent="1"/>
    </xf>
    <xf numFmtId="166" fontId="41" fillId="0" borderId="0" xfId="0" applyNumberFormat="1" applyFont="1" applyAlignment="1">
      <alignment horizontal="right"/>
    </xf>
    <xf numFmtId="184" fontId="41" fillId="0" borderId="0" xfId="0" applyNumberFormat="1" applyFont="1" applyAlignment="1">
      <alignment horizontal="right"/>
    </xf>
    <xf numFmtId="0" fontId="40" fillId="0" borderId="0" xfId="0" quotePrefix="1" applyFont="1" applyAlignment="1">
      <alignment vertical="center"/>
    </xf>
    <xf numFmtId="166" fontId="38" fillId="0" borderId="0" xfId="0" quotePrefix="1" applyNumberFormat="1" applyFont="1" applyAlignment="1">
      <alignment horizontal="center"/>
    </xf>
    <xf numFmtId="166" fontId="38" fillId="0" borderId="0" xfId="0" applyNumberFormat="1" applyFont="1" applyAlignment="1">
      <alignment horizontal="center"/>
    </xf>
    <xf numFmtId="166" fontId="38" fillId="0" borderId="0" xfId="0" applyNumberFormat="1" applyFont="1" applyAlignment="1">
      <alignment horizontal="right"/>
    </xf>
    <xf numFmtId="166" fontId="41" fillId="0" borderId="0" xfId="0" applyNumberFormat="1" applyFont="1" applyAlignment="1">
      <alignment horizontal="center" wrapText="1"/>
    </xf>
    <xf numFmtId="0" fontId="41" fillId="0" borderId="0" xfId="0" applyFont="1"/>
    <xf numFmtId="166" fontId="11" fillId="0" borderId="95" xfId="0" applyNumberFormat="1" applyFont="1" applyBorder="1" applyAlignment="1">
      <alignment horizontal="center" vertical="center" wrapText="1"/>
    </xf>
    <xf numFmtId="166" fontId="11" fillId="0" borderId="2" xfId="0" applyNumberFormat="1" applyFont="1" applyBorder="1"/>
    <xf numFmtId="166" fontId="40" fillId="0" borderId="0" xfId="0" applyNumberFormat="1" applyFont="1" applyAlignment="1">
      <alignment horizontal="center" vertical="center" wrapText="1"/>
    </xf>
    <xf numFmtId="166" fontId="11" fillId="0" borderId="0" xfId="0" applyNumberFormat="1" applyFont="1"/>
    <xf numFmtId="166" fontId="41" fillId="3" borderId="0" xfId="0" applyNumberFormat="1" applyFont="1" applyFill="1"/>
    <xf numFmtId="184" fontId="41" fillId="3" borderId="0" xfId="0" quotePrefix="1" applyNumberFormat="1" applyFont="1" applyFill="1" applyAlignment="1">
      <alignment horizontal="center"/>
    </xf>
    <xf numFmtId="166" fontId="41" fillId="3" borderId="0" xfId="0" quotePrefix="1" applyNumberFormat="1" applyFont="1" applyFill="1" applyAlignment="1">
      <alignment horizontal="center"/>
    </xf>
    <xf numFmtId="10" fontId="41" fillId="3" borderId="0" xfId="0" applyNumberFormat="1" applyFont="1" applyFill="1" applyAlignment="1">
      <alignment horizontal="center"/>
    </xf>
    <xf numFmtId="166" fontId="11" fillId="3" borderId="0" xfId="0" applyNumberFormat="1" applyFont="1" applyFill="1"/>
    <xf numFmtId="0" fontId="38" fillId="3" borderId="0" xfId="0" applyFont="1" applyFill="1" applyAlignment="1">
      <alignment horizontal="centerContinuous"/>
    </xf>
    <xf numFmtId="0" fontId="39" fillId="3" borderId="0" xfId="0" applyFont="1" applyFill="1" applyAlignment="1">
      <alignment horizontal="centerContinuous"/>
    </xf>
    <xf numFmtId="169" fontId="2" fillId="0" borderId="0" xfId="0" applyNumberFormat="1" applyFont="1" applyAlignment="1">
      <alignment horizontal="center" vertical="center"/>
    </xf>
    <xf numFmtId="166" fontId="11" fillId="0" borderId="96" xfId="0" applyNumberFormat="1" applyFont="1" applyBorder="1"/>
    <xf numFmtId="0" fontId="40" fillId="0" borderId="0" xfId="0" quotePrefix="1" applyFont="1" applyFill="1" applyAlignment="1">
      <alignment horizontal="center" vertical="center"/>
    </xf>
    <xf numFmtId="0" fontId="2" fillId="0" borderId="0" xfId="0" applyFont="1" applyFill="1" applyAlignment="1">
      <alignment horizontal="left" vertical="center" wrapText="1"/>
    </xf>
    <xf numFmtId="166" fontId="40" fillId="0" borderId="0" xfId="0" quotePrefix="1" applyNumberFormat="1" applyFont="1" applyAlignment="1">
      <alignment horizontal="centerContinuous"/>
    </xf>
    <xf numFmtId="0" fontId="2" fillId="0" borderId="0" xfId="0" applyFont="1" applyFill="1" applyAlignment="1" applyProtection="1">
      <alignment horizontal="center" vertical="center"/>
    </xf>
    <xf numFmtId="0" fontId="45" fillId="0" borderId="0" xfId="0" applyFont="1" applyFill="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0" fillId="0" borderId="0" xfId="0" quotePrefix="1" applyFont="1" applyAlignment="1">
      <alignment horizontal="center" vertical="center"/>
    </xf>
    <xf numFmtId="0" fontId="40" fillId="0" borderId="0" xfId="0" quotePrefix="1" applyFont="1" applyAlignment="1">
      <alignment horizontal="center" vertical="center"/>
    </xf>
    <xf numFmtId="6" fontId="2" fillId="0" borderId="0" xfId="0" applyNumberFormat="1" applyFont="1" applyAlignment="1">
      <alignment horizontal="left" vertical="center"/>
    </xf>
    <xf numFmtId="164" fontId="3" fillId="0" borderId="65" xfId="0" applyNumberFormat="1" applyFont="1" applyFill="1" applyBorder="1" applyAlignment="1">
      <alignment horizontal="center" vertical="center"/>
    </xf>
    <xf numFmtId="164" fontId="3" fillId="0" borderId="94"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4" fontId="2" fillId="0" borderId="0" xfId="0" applyNumberFormat="1" applyFont="1" applyFill="1" applyAlignment="1">
      <alignment horizontal="center" vertical="center"/>
    </xf>
    <xf numFmtId="165" fontId="3" fillId="0" borderId="27" xfId="0" applyNumberFormat="1" applyFont="1" applyFill="1" applyBorder="1" applyAlignment="1">
      <alignment vertical="center"/>
    </xf>
    <xf numFmtId="165" fontId="3" fillId="0" borderId="0" xfId="0" applyNumberFormat="1" applyFont="1" applyFill="1" applyBorder="1" applyAlignment="1">
      <alignment vertical="center"/>
    </xf>
    <xf numFmtId="41" fontId="2" fillId="0" borderId="0" xfId="0" applyNumberFormat="1" applyFont="1" applyFill="1" applyAlignment="1">
      <alignment vertical="center"/>
    </xf>
    <xf numFmtId="0" fontId="6" fillId="0" borderId="0" xfId="0" applyFont="1" applyFill="1" applyAlignment="1" applyProtection="1">
      <alignment horizontal="center" vertical="center"/>
    </xf>
    <xf numFmtId="167" fontId="2" fillId="0" borderId="65" xfId="0" applyNumberFormat="1" applyFont="1" applyFill="1" applyBorder="1" applyAlignment="1">
      <alignment horizontal="right" vertical="center"/>
    </xf>
    <xf numFmtId="167" fontId="2" fillId="0" borderId="0" xfId="0" applyNumberFormat="1" applyFont="1" applyFill="1" applyBorder="1" applyAlignment="1">
      <alignment horizontal="right" vertical="center"/>
    </xf>
    <xf numFmtId="0" fontId="2" fillId="0" borderId="0" xfId="0" quotePrefix="1" applyFont="1" applyFill="1" applyAlignment="1">
      <alignment vertical="center"/>
    </xf>
    <xf numFmtId="0" fontId="11" fillId="0" borderId="0" xfId="0" applyNumberFormat="1" applyFont="1" applyAlignment="1">
      <alignment horizontal="center"/>
    </xf>
    <xf numFmtId="166" fontId="11" fillId="0" borderId="0" xfId="0" applyNumberFormat="1" applyFont="1" applyFill="1"/>
    <xf numFmtId="166" fontId="11" fillId="0" borderId="0" xfId="0" applyNumberFormat="1" applyFont="1" applyAlignment="1">
      <alignment horizontal="center"/>
    </xf>
    <xf numFmtId="0" fontId="11" fillId="0" borderId="0" xfId="0" applyNumberFormat="1" applyFont="1"/>
    <xf numFmtId="41" fontId="11" fillId="0" borderId="95" xfId="0" applyNumberFormat="1" applyFont="1" applyFill="1" applyBorder="1"/>
    <xf numFmtId="41" fontId="11" fillId="0" borderId="95" xfId="0" applyNumberFormat="1" applyFont="1" applyBorder="1"/>
    <xf numFmtId="43" fontId="11" fillId="0" borderId="2" xfId="0" applyNumberFormat="1" applyFont="1" applyFill="1" applyBorder="1"/>
    <xf numFmtId="43" fontId="11" fillId="0" borderId="2" xfId="0" applyNumberFormat="1" applyFont="1" applyBorder="1"/>
    <xf numFmtId="41" fontId="11" fillId="0" borderId="0" xfId="0" applyNumberFormat="1" applyFont="1" applyFill="1"/>
    <xf numFmtId="41" fontId="11" fillId="0" borderId="0" xfId="0" applyNumberFormat="1" applyFont="1"/>
    <xf numFmtId="166" fontId="46" fillId="0" borderId="0" xfId="0" applyNumberFormat="1" applyFont="1"/>
    <xf numFmtId="166" fontId="11" fillId="0" borderId="96" xfId="0" applyNumberFormat="1" applyFont="1" applyFill="1" applyBorder="1"/>
    <xf numFmtId="0" fontId="46" fillId="0" borderId="0" xfId="0" applyNumberFormat="1" applyFont="1"/>
    <xf numFmtId="0" fontId="11" fillId="0" borderId="0" xfId="0" quotePrefix="1" applyNumberFormat="1" applyFont="1" applyAlignment="1">
      <alignment horizontal="center"/>
    </xf>
    <xf numFmtId="0" fontId="11" fillId="0" borderId="0" xfId="0" quotePrefix="1" applyNumberFormat="1" applyFont="1" applyFill="1" applyAlignment="1">
      <alignment horizontal="center"/>
    </xf>
    <xf numFmtId="0" fontId="11" fillId="0" borderId="95" xfId="0" applyFont="1" applyFill="1" applyBorder="1"/>
    <xf numFmtId="0" fontId="11" fillId="0" borderId="95" xfId="0" applyFont="1" applyBorder="1"/>
    <xf numFmtId="166" fontId="11" fillId="0" borderId="2" xfId="0" applyNumberFormat="1" applyFont="1" applyFill="1" applyBorder="1"/>
    <xf numFmtId="166" fontId="11" fillId="0" borderId="97" xfId="0" applyNumberFormat="1" applyFont="1" applyFill="1" applyBorder="1"/>
    <xf numFmtId="166" fontId="11" fillId="0" borderId="97" xfId="0" applyNumberFormat="1" applyFont="1" applyBorder="1"/>
    <xf numFmtId="166" fontId="26" fillId="0" borderId="0" xfId="0" applyNumberFormat="1" applyFont="1"/>
    <xf numFmtId="166" fontId="47" fillId="0" borderId="0" xfId="0" applyNumberFormat="1" applyFont="1"/>
    <xf numFmtId="166" fontId="47" fillId="0" borderId="0" xfId="0" applyNumberFormat="1" applyFont="1" applyFill="1"/>
    <xf numFmtId="166" fontId="11" fillId="0" borderId="0" xfId="0" applyNumberFormat="1" applyFont="1" applyAlignment="1">
      <alignment horizontal="left" indent="1"/>
    </xf>
    <xf numFmtId="0" fontId="47" fillId="0" borderId="0" xfId="0" applyFont="1"/>
    <xf numFmtId="0" fontId="47" fillId="0" borderId="0" xfId="0" applyFont="1" applyFill="1"/>
    <xf numFmtId="166" fontId="11" fillId="0" borderId="0" xfId="0" applyNumberFormat="1" applyFont="1" applyAlignment="1">
      <alignment horizontal="center" wrapText="1"/>
    </xf>
    <xf numFmtId="166" fontId="40" fillId="0" borderId="0" xfId="0" applyNumberFormat="1" applyFont="1" applyAlignment="1">
      <alignment horizontal="center"/>
    </xf>
    <xf numFmtId="166" fontId="40" fillId="0" borderId="0" xfId="0" applyNumberFormat="1" applyFont="1" applyAlignment="1">
      <alignment horizontal="center" wrapText="1"/>
    </xf>
    <xf numFmtId="41" fontId="11" fillId="0" borderId="95" xfId="0" applyNumberFormat="1" applyFont="1" applyBorder="1"/>
    <xf numFmtId="0" fontId="11" fillId="0" borderId="0" xfId="0" applyFont="1" applyBorder="1"/>
    <xf numFmtId="41" fontId="11" fillId="0" borderId="0" xfId="0" applyNumberFormat="1" applyFont="1" applyBorder="1"/>
    <xf numFmtId="166" fontId="11" fillId="3" borderId="94" xfId="0" applyNumberFormat="1" applyFont="1" applyFill="1" applyBorder="1"/>
    <xf numFmtId="166" fontId="11" fillId="0" borderId="94" xfId="0" applyNumberFormat="1" applyFont="1" applyBorder="1"/>
    <xf numFmtId="166" fontId="11" fillId="0" borderId="97" xfId="0" applyNumberFormat="1" applyFont="1" applyBorder="1"/>
    <xf numFmtId="166" fontId="36" fillId="0" borderId="0" xfId="0" applyNumberFormat="1" applyFont="1"/>
    <xf numFmtId="0" fontId="36" fillId="0" borderId="0" xfId="0" applyFont="1"/>
    <xf numFmtId="0" fontId="11"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49" fillId="0" borderId="0" xfId="0" applyFont="1"/>
    <xf numFmtId="0" fontId="40" fillId="0" borderId="0" xfId="0" applyFont="1" applyAlignment="1">
      <alignment horizontal="centerContinuous"/>
    </xf>
    <xf numFmtId="0" fontId="50" fillId="0" borderId="0" xfId="0" applyFont="1" applyAlignment="1">
      <alignment horizontal="centerContinuous"/>
    </xf>
    <xf numFmtId="0" fontId="50" fillId="0" borderId="0" xfId="0" applyFont="1" applyFill="1" applyAlignment="1">
      <alignment horizontal="centerContinuous"/>
    </xf>
    <xf numFmtId="0" fontId="50" fillId="0" borderId="0" xfId="0" applyFont="1"/>
    <xf numFmtId="166" fontId="40" fillId="0" borderId="0" xfId="0" quotePrefix="1" applyNumberFormat="1" applyFont="1"/>
    <xf numFmtId="166" fontId="40" fillId="3" borderId="0" xfId="0" quotePrefix="1" applyNumberFormat="1" applyFont="1" applyFill="1" applyAlignment="1">
      <alignment horizontal="centerContinuous"/>
    </xf>
    <xf numFmtId="166" fontId="40" fillId="3" borderId="0" xfId="0" applyNumberFormat="1" applyFont="1" applyFill="1" applyAlignment="1">
      <alignment horizontal="centerContinuous"/>
    </xf>
    <xf numFmtId="166" fontId="51" fillId="3" borderId="0" xfId="0" applyNumberFormat="1" applyFont="1" applyFill="1" applyAlignment="1">
      <alignment horizontal="centerContinuous"/>
    </xf>
    <xf numFmtId="166" fontId="52" fillId="0" borderId="0" xfId="0" applyNumberFormat="1" applyFont="1"/>
    <xf numFmtId="166" fontId="40" fillId="0" borderId="0" xfId="0" applyNumberFormat="1" applyFont="1" applyFill="1"/>
    <xf numFmtId="166" fontId="40" fillId="0" borderId="0" xfId="0" applyNumberFormat="1" applyFont="1"/>
    <xf numFmtId="0" fontId="40" fillId="0" borderId="0" xfId="0" applyFont="1" applyFill="1"/>
    <xf numFmtId="184" fontId="11" fillId="3" borderId="0" xfId="0" quotePrefix="1" applyNumberFormat="1" applyFont="1" applyFill="1" applyAlignment="1">
      <alignment horizontal="center"/>
    </xf>
    <xf numFmtId="166" fontId="50" fillId="0" borderId="0" xfId="0" applyNumberFormat="1" applyFont="1"/>
    <xf numFmtId="166" fontId="53" fillId="0" borderId="0" xfId="0" quotePrefix="1" applyNumberFormat="1" applyFont="1" applyAlignment="1">
      <alignment horizontal="center"/>
    </xf>
    <xf numFmtId="166" fontId="53" fillId="0" borderId="0" xfId="0" quotePrefix="1" applyNumberFormat="1" applyFont="1" applyFill="1" applyAlignment="1">
      <alignment horizontal="center"/>
    </xf>
    <xf numFmtId="166" fontId="50" fillId="0" borderId="0" xfId="0" applyNumberFormat="1" applyFont="1" applyAlignment="1">
      <alignment horizontal="center"/>
    </xf>
    <xf numFmtId="166" fontId="36" fillId="0" borderId="0" xfId="0" applyNumberFormat="1" applyFont="1" applyAlignment="1">
      <alignment horizontal="center"/>
    </xf>
    <xf numFmtId="166" fontId="11" fillId="0" borderId="0" xfId="0" applyNumberFormat="1" applyFont="1" applyFill="1" applyAlignment="1">
      <alignment horizontal="center"/>
    </xf>
    <xf numFmtId="166" fontId="11" fillId="0" borderId="49" xfId="0" applyNumberFormat="1" applyFont="1" applyFill="1" applyBorder="1" applyAlignment="1">
      <alignment horizontal="center" vertical="center"/>
    </xf>
    <xf numFmtId="166" fontId="11" fillId="0" borderId="49" xfId="0" applyNumberFormat="1" applyFont="1" applyBorder="1" applyAlignment="1">
      <alignment horizontal="center" vertical="center"/>
    </xf>
    <xf numFmtId="166" fontId="11" fillId="0" borderId="49" xfId="0" quotePrefix="1" applyNumberFormat="1" applyFont="1" applyFill="1" applyBorder="1" applyAlignment="1">
      <alignment horizontal="center" vertical="center"/>
    </xf>
    <xf numFmtId="166" fontId="11" fillId="0" borderId="93" xfId="0" applyNumberFormat="1" applyFont="1" applyBorder="1" applyAlignment="1">
      <alignment horizontal="center" wrapText="1"/>
    </xf>
    <xf numFmtId="166" fontId="11" fillId="0" borderId="49" xfId="0" applyNumberFormat="1" applyFont="1" applyBorder="1" applyAlignment="1">
      <alignment horizontal="center" wrapText="1"/>
    </xf>
    <xf numFmtId="166" fontId="11" fillId="0" borderId="49" xfId="0" applyNumberFormat="1" applyFont="1" applyFill="1" applyBorder="1" applyAlignment="1">
      <alignment horizontal="center" vertical="center" wrapText="1"/>
    </xf>
    <xf numFmtId="166" fontId="11" fillId="0" borderId="49" xfId="0" applyNumberFormat="1" applyFont="1" applyBorder="1" applyAlignment="1">
      <alignment horizontal="center" vertical="center" wrapText="1"/>
    </xf>
    <xf numFmtId="166" fontId="11" fillId="0" borderId="92" xfId="0" applyNumberFormat="1" applyFont="1" applyFill="1" applyBorder="1" applyAlignment="1">
      <alignment horizontal="center" vertical="center" wrapText="1"/>
    </xf>
    <xf numFmtId="166" fontId="36" fillId="0" borderId="0" xfId="0" applyNumberFormat="1" applyFont="1" applyAlignment="1">
      <alignment horizontal="center" vertical="center" wrapText="1"/>
    </xf>
    <xf numFmtId="166" fontId="11" fillId="0" borderId="94" xfId="0" applyNumberFormat="1" applyFont="1" applyFill="1" applyBorder="1"/>
    <xf numFmtId="0" fontId="40" fillId="0" borderId="0" xfId="0" applyNumberFormat="1" applyFont="1" applyAlignment="1">
      <alignment horizontal="center"/>
    </xf>
    <xf numFmtId="166" fontId="11" fillId="0" borderId="0" xfId="0" quotePrefix="1" applyNumberFormat="1" applyFont="1" applyFill="1" applyAlignment="1">
      <alignment horizontal="right"/>
    </xf>
    <xf numFmtId="184" fontId="11" fillId="0" borderId="0" xfId="0" applyNumberFormat="1" applyFont="1" applyFill="1" applyAlignment="1">
      <alignment horizontal="right"/>
    </xf>
    <xf numFmtId="0" fontId="36" fillId="0" borderId="0" xfId="0" applyFont="1" applyFill="1"/>
    <xf numFmtId="166" fontId="40" fillId="0" borderId="0" xfId="0" applyNumberFormat="1" applyFont="1" applyAlignment="1">
      <alignment horizontal="centerContinuous"/>
    </xf>
    <xf numFmtId="166" fontId="40" fillId="0" borderId="0" xfId="0" applyNumberFormat="1" applyFont="1" applyFill="1" applyAlignment="1">
      <alignment horizontal="centerContinuous"/>
    </xf>
    <xf numFmtId="166" fontId="51" fillId="0" borderId="0" xfId="0" applyNumberFormat="1" applyFont="1" applyAlignment="1">
      <alignment horizontal="centerContinuous"/>
    </xf>
    <xf numFmtId="166" fontId="11" fillId="0" borderId="0" xfId="0" quotePrefix="1" applyNumberFormat="1" applyFont="1"/>
    <xf numFmtId="0" fontId="11" fillId="0" borderId="0" xfId="0" applyFont="1" applyFill="1"/>
    <xf numFmtId="166" fontId="11" fillId="0" borderId="95" xfId="0" applyNumberFormat="1" applyFont="1" applyFill="1" applyBorder="1"/>
    <xf numFmtId="0" fontId="40" fillId="0" borderId="0" xfId="0" applyNumberFormat="1" applyFont="1"/>
    <xf numFmtId="41" fontId="11" fillId="0" borderId="0" xfId="0" applyNumberFormat="1" applyFont="1" applyFill="1" applyBorder="1"/>
    <xf numFmtId="41" fontId="11" fillId="0" borderId="0" xfId="0" applyNumberFormat="1" applyFont="1" applyBorder="1"/>
    <xf numFmtId="41" fontId="11" fillId="3" borderId="94" xfId="0" applyNumberFormat="1" applyFont="1" applyFill="1" applyBorder="1"/>
    <xf numFmtId="166" fontId="11" fillId="0" borderId="0" xfId="0" quotePrefix="1" applyNumberFormat="1" applyFont="1" applyFill="1" applyAlignment="1">
      <alignment horizontal="left"/>
    </xf>
    <xf numFmtId="0" fontId="40" fillId="3" borderId="0" xfId="0" applyFont="1" applyFill="1" applyAlignment="1">
      <alignment horizontal="centerContinuous"/>
    </xf>
    <xf numFmtId="0" fontId="50" fillId="3" borderId="0" xfId="0" applyFont="1" applyFill="1" applyAlignment="1">
      <alignment horizontal="centerContinuous"/>
    </xf>
    <xf numFmtId="166" fontId="51"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49" xfId="0" quotePrefix="1" applyNumberFormat="1" applyFont="1" applyBorder="1" applyAlignment="1">
      <alignment horizontal="center"/>
    </xf>
    <xf numFmtId="166" fontId="11" fillId="0" borderId="93" xfId="0" quotePrefix="1" applyNumberFormat="1" applyFont="1" applyBorder="1" applyAlignment="1">
      <alignment horizontal="center"/>
    </xf>
    <xf numFmtId="41" fontId="11" fillId="3" borderId="0" xfId="0" applyNumberFormat="1" applyFont="1" applyFill="1"/>
    <xf numFmtId="166" fontId="11" fillId="0" borderId="95" xfId="0" applyNumberFormat="1" applyFont="1" applyBorder="1"/>
    <xf numFmtId="166" fontId="11" fillId="0" borderId="0" xfId="0" applyNumberFormat="1" applyFont="1" applyBorder="1"/>
    <xf numFmtId="43" fontId="11" fillId="3" borderId="94" xfId="0" applyNumberFormat="1" applyFont="1" applyFill="1" applyBorder="1"/>
    <xf numFmtId="43" fontId="11" fillId="0" borderId="94" xfId="0" applyNumberFormat="1" applyFont="1" applyBorder="1"/>
    <xf numFmtId="0" fontId="41" fillId="0" borderId="0" xfId="0" applyFont="1" applyAlignment="1">
      <alignment horizontal="center"/>
    </xf>
    <xf numFmtId="166" fontId="11" fillId="0" borderId="0" xfId="0" applyNumberFormat="1" applyFont="1"/>
    <xf numFmtId="0" fontId="11" fillId="0" borderId="0" xfId="0" applyFont="1" applyAlignment="1">
      <alignment horizontal="center"/>
    </xf>
    <xf numFmtId="166" fontId="11" fillId="3" borderId="0" xfId="0" applyNumberFormat="1" applyFont="1" applyFill="1" applyBorder="1"/>
    <xf numFmtId="166" fontId="54" fillId="0" borderId="49" xfId="0" quotePrefix="1" applyNumberFormat="1" applyFont="1" applyFill="1" applyBorder="1" applyAlignment="1">
      <alignment horizontal="center" vertical="center" wrapText="1"/>
    </xf>
    <xf numFmtId="166" fontId="50" fillId="0" borderId="0" xfId="0" applyNumberFormat="1" applyFont="1" applyFill="1"/>
    <xf numFmtId="166" fontId="50" fillId="0" borderId="0" xfId="0" applyNumberFormat="1" applyFont="1" applyFill="1" applyAlignment="1">
      <alignment horizontal="center"/>
    </xf>
    <xf numFmtId="166" fontId="54" fillId="0" borderId="49" xfId="0" quotePrefix="1" applyNumberFormat="1" applyFont="1" applyFill="1" applyBorder="1" applyAlignment="1">
      <alignment horizontal="center" vertical="center"/>
    </xf>
    <xf numFmtId="166" fontId="11" fillId="0" borderId="93" xfId="0" applyNumberFormat="1" applyFont="1" applyFill="1" applyBorder="1" applyAlignment="1">
      <alignment horizontal="center"/>
    </xf>
    <xf numFmtId="0" fontId="11" fillId="0" borderId="0" xfId="0" applyFont="1" applyFill="1" applyAlignment="1">
      <alignment horizontal="center" vertical="center" wrapText="1"/>
    </xf>
    <xf numFmtId="166" fontId="36" fillId="0" borderId="0" xfId="0" applyNumberFormat="1" applyFont="1" applyFill="1"/>
    <xf numFmtId="171" fontId="36" fillId="0" borderId="0" xfId="0" applyNumberFormat="1" applyFont="1" applyFill="1"/>
    <xf numFmtId="176" fontId="36" fillId="0" borderId="0" xfId="0" applyNumberFormat="1" applyFont="1" applyFill="1"/>
    <xf numFmtId="166" fontId="41" fillId="0" borderId="77" xfId="0" applyNumberFormat="1" applyFont="1" applyFill="1" applyBorder="1" applyAlignment="1">
      <alignment horizontal="center"/>
    </xf>
    <xf numFmtId="166" fontId="41" fillId="0" borderId="49" xfId="0" quotePrefix="1" applyNumberFormat="1" applyFont="1" applyFill="1" applyBorder="1" applyAlignment="1">
      <alignment horizontal="center"/>
    </xf>
    <xf numFmtId="166" fontId="41" fillId="0" borderId="93" xfId="0" quotePrefix="1" applyNumberFormat="1" applyFont="1" applyFill="1" applyBorder="1" applyAlignment="1">
      <alignment horizontal="center"/>
    </xf>
    <xf numFmtId="166" fontId="41" fillId="0" borderId="49" xfId="0" applyNumberFormat="1" applyFont="1" applyFill="1" applyBorder="1" applyAlignment="1">
      <alignment horizontal="center" vertical="center" wrapText="1"/>
    </xf>
    <xf numFmtId="166" fontId="41" fillId="0" borderId="0" xfId="0" applyNumberFormat="1" applyFont="1" applyFill="1"/>
    <xf numFmtId="166" fontId="41" fillId="0" borderId="0" xfId="0" applyNumberFormat="1" applyFont="1" applyFill="1" applyAlignment="1">
      <alignment horizontal="center"/>
    </xf>
    <xf numFmtId="166" fontId="36" fillId="0" borderId="0" xfId="0" applyNumberFormat="1" applyFont="1" applyFill="1" applyAlignment="1">
      <alignment horizontal="center"/>
    </xf>
    <xf numFmtId="166" fontId="11" fillId="0" borderId="49" xfId="0" quotePrefix="1" applyNumberFormat="1" applyFont="1" applyFill="1" applyBorder="1" applyAlignment="1">
      <alignment horizontal="center" vertical="center" wrapText="1"/>
    </xf>
    <xf numFmtId="166" fontId="11" fillId="0" borderId="93" xfId="0" applyNumberFormat="1" applyFont="1" applyFill="1" applyBorder="1" applyAlignment="1">
      <alignment horizontal="center" wrapText="1"/>
    </xf>
    <xf numFmtId="166" fontId="36" fillId="0" borderId="0" xfId="0" applyNumberFormat="1"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6" fontId="11" fillId="0" borderId="0" xfId="0" applyNumberFormat="1" applyFont="1" applyFill="1" applyAlignment="1">
      <alignment horizontal="left"/>
    </xf>
    <xf numFmtId="165" fontId="22" fillId="0" borderId="0" xfId="0" applyNumberFormat="1" applyFont="1" applyFill="1" applyAlignment="1">
      <alignment horizontal="center" vertical="center"/>
    </xf>
    <xf numFmtId="196" fontId="2" fillId="0" borderId="0" xfId="0" applyNumberFormat="1" applyFont="1" applyAlignment="1">
      <alignment vertical="center"/>
    </xf>
    <xf numFmtId="166" fontId="11" fillId="0" borderId="0" xfId="0" applyNumberFormat="1" applyFont="1" applyFill="1" applyAlignment="1">
      <alignment horizontal="right"/>
    </xf>
    <xf numFmtId="165" fontId="23" fillId="0" borderId="0" xfId="0" applyNumberFormat="1" applyFont="1" applyAlignment="1">
      <alignment horizontal="center" vertical="center"/>
    </xf>
    <xf numFmtId="165" fontId="23"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Fill="1" applyAlignment="1">
      <alignment horizontal="left" indent="1"/>
    </xf>
    <xf numFmtId="49" fontId="11" fillId="0" borderId="0" xfId="0" applyNumberFormat="1" applyFont="1" applyAlignment="1">
      <alignment horizontal="left" indent="1"/>
    </xf>
    <xf numFmtId="0" fontId="40" fillId="0" borderId="0" xfId="0" applyFont="1" applyAlignment="1">
      <alignment horizontal="center"/>
    </xf>
    <xf numFmtId="166" fontId="11" fillId="0" borderId="94" xfId="0" applyNumberFormat="1" applyFont="1" applyBorder="1" applyAlignment="1">
      <alignment horizontal="center"/>
    </xf>
    <xf numFmtId="0" fontId="11" fillId="0" borderId="94" xfId="0" applyFont="1" applyBorder="1" applyAlignment="1">
      <alignment horizontal="center"/>
    </xf>
    <xf numFmtId="0" fontId="11" fillId="0" borderId="0" xfId="0" applyFont="1" applyFill="1" applyBorder="1" applyAlignment="1">
      <alignment horizontal="center"/>
    </xf>
    <xf numFmtId="0" fontId="11" fillId="0" borderId="94" xfId="0" applyFont="1" applyBorder="1" applyAlignment="1">
      <alignment horizontal="center" wrapText="1"/>
    </xf>
    <xf numFmtId="0" fontId="40" fillId="0" borderId="0" xfId="0" applyFont="1" applyAlignment="1">
      <alignment horizontal="right"/>
    </xf>
    <xf numFmtId="10" fontId="11" fillId="5" borderId="0" xfId="0" applyNumberFormat="1" applyFont="1" applyFill="1"/>
    <xf numFmtId="10" fontId="11" fillId="0" borderId="0" xfId="0" applyNumberFormat="1" applyFont="1" applyFill="1" applyBorder="1"/>
    <xf numFmtId="178" fontId="11" fillId="0" borderId="0" xfId="0" applyNumberFormat="1" applyFont="1"/>
    <xf numFmtId="167" fontId="11" fillId="0" borderId="0" xfId="0" applyNumberFormat="1" applyFont="1" applyFill="1" applyBorder="1"/>
    <xf numFmtId="178" fontId="11" fillId="0" borderId="0" xfId="0" applyNumberFormat="1" applyFont="1" applyFill="1" applyBorder="1"/>
    <xf numFmtId="166" fontId="11" fillId="0" borderId="93" xfId="0" applyNumberFormat="1" applyFont="1" applyBorder="1" applyAlignment="1">
      <alignment horizontal="center"/>
    </xf>
    <xf numFmtId="10" fontId="57" fillId="0" borderId="94" xfId="0" applyNumberFormat="1" applyFont="1" applyBorder="1"/>
    <xf numFmtId="167" fontId="57" fillId="0" borderId="0" xfId="0" applyNumberFormat="1" applyFont="1"/>
    <xf numFmtId="178" fontId="57" fillId="0" borderId="0" xfId="0" applyNumberFormat="1" applyFont="1"/>
    <xf numFmtId="0" fontId="3" fillId="0" borderId="0" xfId="0" applyFont="1" applyAlignment="1">
      <alignment vertical="center"/>
    </xf>
    <xf numFmtId="0" fontId="2" fillId="0" borderId="0" xfId="0" applyFont="1" applyAlignment="1">
      <alignment horizontal="center" vertical="center"/>
    </xf>
    <xf numFmtId="5" fontId="2" fillId="0" borderId="0" xfId="3" applyNumberFormat="1" applyFont="1" applyAlignment="1">
      <alignment horizontal="center" vertical="center" wrapText="1"/>
    </xf>
    <xf numFmtId="0" fontId="6" fillId="0" borderId="0" xfId="3" quotePrefix="1" applyFont="1" applyAlignment="1">
      <alignment horizontal="center" vertical="center"/>
    </xf>
    <xf numFmtId="0" fontId="2" fillId="0" borderId="0" xfId="3" applyFont="1" applyAlignment="1">
      <alignment vertical="center"/>
    </xf>
    <xf numFmtId="49" fontId="2" fillId="0" borderId="63" xfId="4" applyNumberFormat="1" applyFont="1" applyBorder="1" applyAlignment="1">
      <alignment horizontal="center" vertical="center"/>
    </xf>
    <xf numFmtId="0" fontId="2" fillId="0" borderId="5" xfId="4" applyNumberFormat="1" applyFont="1" applyFill="1" applyBorder="1" applyAlignment="1">
      <alignment horizontal="left" vertical="center"/>
    </xf>
    <xf numFmtId="0" fontId="16" fillId="0" borderId="30" xfId="0" applyFont="1" applyBorder="1" applyAlignment="1">
      <alignment horizontal="left" vertical="center"/>
    </xf>
    <xf numFmtId="166" fontId="16" fillId="0" borderId="22" xfId="0" applyNumberFormat="1" applyFont="1" applyBorder="1" applyAlignment="1">
      <alignment vertical="center"/>
    </xf>
    <xf numFmtId="0" fontId="18" fillId="0" borderId="63" xfId="0" applyFont="1" applyBorder="1" applyAlignment="1">
      <alignment horizontal="center" vertical="center"/>
    </xf>
    <xf numFmtId="165" fontId="2" fillId="0" borderId="63" xfId="1" applyNumberFormat="1" applyFont="1" applyFill="1" applyBorder="1" applyAlignment="1">
      <alignment vertical="center"/>
    </xf>
    <xf numFmtId="10" fontId="2" fillId="0" borderId="64" xfId="0" applyNumberFormat="1" applyFont="1" applyBorder="1" applyAlignment="1">
      <alignment vertical="center"/>
    </xf>
    <xf numFmtId="10" fontId="16" fillId="0" borderId="63" xfId="0" applyNumberFormat="1" applyFont="1" applyBorder="1" applyAlignment="1">
      <alignment vertical="center"/>
    </xf>
    <xf numFmtId="165" fontId="16" fillId="0" borderId="63" xfId="1" applyNumberFormat="1" applyFont="1" applyBorder="1" applyAlignment="1">
      <alignment vertical="center"/>
    </xf>
    <xf numFmtId="6" fontId="16" fillId="0" borderId="63" xfId="0" applyNumberFormat="1" applyFont="1" applyBorder="1" applyAlignment="1">
      <alignment vertical="center"/>
    </xf>
    <xf numFmtId="10" fontId="16" fillId="0" borderId="64" xfId="2" applyNumberFormat="1" applyFont="1" applyBorder="1" applyAlignment="1">
      <alignment vertical="center"/>
    </xf>
    <xf numFmtId="10" fontId="16" fillId="0" borderId="63" xfId="2" applyNumberFormat="1" applyFont="1" applyBorder="1" applyAlignment="1">
      <alignment vertical="center"/>
    </xf>
    <xf numFmtId="165" fontId="16" fillId="0" borderId="70" xfId="1" applyNumberFormat="1"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6" applyFont="1" applyAlignment="1">
      <alignment vertical="center"/>
    </xf>
    <xf numFmtId="0" fontId="2" fillId="0" borderId="0" xfId="6" applyFont="1" applyAlignment="1">
      <alignment horizontal="center" vertical="center"/>
    </xf>
    <xf numFmtId="0" fontId="2" fillId="0" borderId="0" xfId="6" applyFont="1" applyAlignment="1">
      <alignment horizontal="left" vertical="center"/>
    </xf>
    <xf numFmtId="0" fontId="2" fillId="0" borderId="0" xfId="6" quotePrefix="1" applyFont="1" applyAlignment="1">
      <alignment vertical="center"/>
    </xf>
    <xf numFmtId="166" fontId="2" fillId="2" borderId="0" xfId="0" applyNumberFormat="1" applyFont="1" applyFill="1" applyAlignment="1" applyProtection="1">
      <alignment horizontal="center" vertical="center"/>
    </xf>
    <xf numFmtId="166" fontId="2" fillId="2" borderId="94" xfId="0" applyNumberFormat="1" applyFont="1" applyFill="1" applyBorder="1" applyAlignment="1" applyProtection="1">
      <alignment horizontal="right" vertical="center"/>
    </xf>
    <xf numFmtId="0" fontId="8" fillId="0" borderId="0" xfId="6" applyFont="1" applyAlignment="1">
      <alignment horizontal="left" vertical="center"/>
    </xf>
    <xf numFmtId="165" fontId="2" fillId="2" borderId="94" xfId="0" applyNumberFormat="1" applyFont="1" applyFill="1" applyBorder="1" applyAlignment="1" applyProtection="1">
      <alignment horizontal="right" vertical="center"/>
    </xf>
    <xf numFmtId="0" fontId="8" fillId="0" borderId="0" xfId="6" applyFont="1" applyAlignment="1">
      <alignment vertical="center"/>
    </xf>
    <xf numFmtId="167" fontId="2" fillId="2" borderId="65" xfId="0" applyNumberFormat="1" applyFont="1" applyFill="1" applyBorder="1" applyAlignment="1">
      <alignment horizontal="right" vertical="center"/>
    </xf>
    <xf numFmtId="167" fontId="2" fillId="4" borderId="94" xfId="7" applyNumberFormat="1" applyFont="1" applyFill="1" applyBorder="1" applyAlignment="1">
      <alignment horizontal="right" vertical="center"/>
    </xf>
    <xf numFmtId="0" fontId="6" fillId="0" borderId="0" xfId="6" quotePrefix="1" applyFont="1" applyAlignment="1">
      <alignment horizontal="center" vertical="center"/>
    </xf>
    <xf numFmtId="44" fontId="2" fillId="2" borderId="0" xfId="1" applyFont="1" applyFill="1" applyBorder="1" applyAlignment="1" applyProtection="1">
      <alignment horizontal="center" vertical="center"/>
    </xf>
    <xf numFmtId="166" fontId="16" fillId="2" borderId="0" xfId="5" applyNumberFormat="1" applyFont="1" applyFill="1" applyAlignment="1">
      <alignment vertical="center"/>
    </xf>
    <xf numFmtId="0" fontId="2" fillId="0" borderId="94" xfId="0" applyFont="1" applyBorder="1" applyAlignment="1">
      <alignment horizontal="center" vertical="center"/>
    </xf>
    <xf numFmtId="15" fontId="2" fillId="0" borderId="94" xfId="0" applyNumberFormat="1" applyFont="1" applyBorder="1" applyAlignment="1">
      <alignment horizontal="center" vertical="center"/>
    </xf>
    <xf numFmtId="0" fontId="2" fillId="0" borderId="94" xfId="0" applyFont="1" applyBorder="1" applyAlignment="1">
      <alignment horizontal="center" vertical="center" wrapText="1"/>
    </xf>
    <xf numFmtId="10" fontId="2" fillId="3" borderId="2" xfId="2" applyNumberFormat="1" applyFont="1" applyFill="1" applyBorder="1" applyAlignment="1">
      <alignment vertical="center"/>
    </xf>
    <xf numFmtId="165" fontId="2" fillId="0" borderId="0" xfId="1" applyNumberFormat="1" applyFont="1" applyFill="1" applyAlignment="1">
      <alignment vertical="center"/>
    </xf>
    <xf numFmtId="10" fontId="2" fillId="0" borderId="0" xfId="2" applyNumberFormat="1" applyFont="1" applyFill="1" applyAlignment="1">
      <alignment horizontal="right" vertical="center"/>
    </xf>
    <xf numFmtId="10" fontId="2" fillId="0" borderId="0" xfId="2" applyNumberFormat="1" applyFont="1" applyAlignment="1">
      <alignment horizontal="right" vertical="center"/>
    </xf>
    <xf numFmtId="166" fontId="2" fillId="0" borderId="0" xfId="5" applyNumberFormat="1" applyFont="1" applyFill="1" applyAlignment="1">
      <alignment vertical="center"/>
    </xf>
    <xf numFmtId="10" fontId="2" fillId="0" borderId="94" xfId="2" applyNumberFormat="1" applyFont="1" applyFill="1" applyBorder="1" applyAlignment="1">
      <alignment horizontal="right" vertical="center"/>
    </xf>
    <xf numFmtId="10" fontId="2" fillId="0" borderId="94" xfId="2" applyNumberFormat="1" applyFont="1" applyBorder="1" applyAlignment="1">
      <alignment horizontal="right" vertical="center"/>
    </xf>
    <xf numFmtId="10" fontId="2" fillId="0" borderId="0" xfId="2" applyNumberFormat="1" applyFont="1" applyBorder="1" applyAlignment="1">
      <alignment horizontal="right" vertical="center"/>
    </xf>
    <xf numFmtId="10" fontId="2" fillId="0" borderId="2" xfId="2" applyNumberFormat="1" applyFont="1" applyFill="1" applyBorder="1" applyAlignment="1">
      <alignment horizontal="right" vertical="center"/>
    </xf>
    <xf numFmtId="10" fontId="2" fillId="0" borderId="2" xfId="2" applyNumberFormat="1" applyFont="1" applyBorder="1" applyAlignment="1">
      <alignment horizontal="right" vertical="center"/>
    </xf>
    <xf numFmtId="0" fontId="2" fillId="0" borderId="93" xfId="0" applyFont="1" applyBorder="1" applyAlignment="1">
      <alignment horizontal="center" vertical="center"/>
    </xf>
    <xf numFmtId="0" fontId="5" fillId="0" borderId="93" xfId="0" applyFont="1" applyBorder="1" applyAlignment="1">
      <alignment vertical="center"/>
    </xf>
    <xf numFmtId="0" fontId="2" fillId="0" borderId="93" xfId="0" applyFont="1" applyBorder="1" applyAlignment="1">
      <alignment vertical="center"/>
    </xf>
    <xf numFmtId="10" fontId="2" fillId="0" borderId="93" xfId="2" applyNumberFormat="1" applyFont="1" applyBorder="1" applyAlignment="1">
      <alignment horizontal="right" vertical="center"/>
    </xf>
    <xf numFmtId="0" fontId="2" fillId="0" borderId="93" xfId="0" applyFont="1" applyBorder="1" applyAlignment="1">
      <alignment horizontal="center" vertical="center" wrapText="1"/>
    </xf>
    <xf numFmtId="10" fontId="2" fillId="0" borderId="0" xfId="2" applyNumberFormat="1" applyFont="1" applyFill="1" applyBorder="1" applyAlignment="1">
      <alignment horizontal="right" vertical="center"/>
    </xf>
    <xf numFmtId="10" fontId="2" fillId="2" borderId="0" xfId="2" applyNumberFormat="1" applyFont="1" applyFill="1" applyAlignment="1">
      <alignment horizontal="right" vertical="center"/>
    </xf>
    <xf numFmtId="165" fontId="2" fillId="4" borderId="0" xfId="1" applyNumberFormat="1" applyFont="1" applyFill="1" applyAlignment="1">
      <alignment horizontal="right" vertical="center"/>
    </xf>
    <xf numFmtId="1" fontId="3" fillId="0" borderId="0" xfId="0" applyNumberFormat="1" applyFont="1" applyAlignment="1">
      <alignment horizontal="center" vertical="center"/>
    </xf>
    <xf numFmtId="165" fontId="2" fillId="2" borderId="0" xfId="1" applyNumberFormat="1" applyFont="1" applyFill="1" applyAlignment="1">
      <alignment horizontal="right" vertical="center"/>
    </xf>
    <xf numFmtId="10" fontId="2" fillId="0" borderId="0" xfId="2" applyNumberFormat="1" applyFont="1" applyAlignment="1">
      <alignment vertical="center"/>
    </xf>
    <xf numFmtId="0" fontId="2" fillId="3" borderId="94" xfId="2" applyNumberFormat="1" applyFont="1" applyFill="1" applyBorder="1" applyAlignment="1">
      <alignment horizontal="right" vertical="center"/>
    </xf>
    <xf numFmtId="167" fontId="2" fillId="0" borderId="0" xfId="2" applyNumberFormat="1" applyFont="1" applyAlignment="1">
      <alignment horizontal="right" vertical="center"/>
    </xf>
    <xf numFmtId="182" fontId="3" fillId="0" borderId="0" xfId="0" applyNumberFormat="1" applyFont="1" applyAlignment="1">
      <alignment horizontal="center" vertical="center" wrapText="1"/>
    </xf>
    <xf numFmtId="0" fontId="3" fillId="0" borderId="0" xfId="0" applyFont="1" applyAlignment="1">
      <alignment horizontal="center" vertical="center" wrapText="1"/>
    </xf>
    <xf numFmtId="165" fontId="2" fillId="0" borderId="0" xfId="1" applyNumberFormat="1" applyFont="1" applyFill="1" applyAlignment="1">
      <alignment horizontal="center" vertical="center"/>
    </xf>
    <xf numFmtId="165" fontId="2" fillId="0" borderId="0" xfId="1" applyNumberFormat="1" applyFont="1" applyFill="1" applyAlignment="1">
      <alignment horizontal="right" vertical="center"/>
    </xf>
    <xf numFmtId="167" fontId="2" fillId="0" borderId="0" xfId="2" applyNumberFormat="1" applyFont="1" applyFill="1" applyAlignment="1">
      <alignment horizontal="right" vertical="center"/>
    </xf>
    <xf numFmtId="9" fontId="2" fillId="0" borderId="0" xfId="2" applyFont="1" applyAlignment="1">
      <alignment horizontal="right" vertical="center"/>
    </xf>
    <xf numFmtId="167" fontId="2" fillId="0" borderId="94" xfId="2" applyNumberFormat="1" applyFont="1" applyBorder="1" applyAlignment="1">
      <alignment horizontal="right" vertical="center"/>
    </xf>
    <xf numFmtId="167" fontId="2" fillId="0" borderId="0" xfId="2" applyNumberFormat="1" applyFont="1" applyBorder="1" applyAlignment="1">
      <alignment horizontal="right" vertical="center"/>
    </xf>
    <xf numFmtId="167" fontId="2" fillId="0" borderId="94" xfId="2" applyNumberFormat="1" applyFont="1" applyFill="1" applyBorder="1" applyAlignment="1">
      <alignment horizontal="right" vertical="center"/>
    </xf>
    <xf numFmtId="167" fontId="2" fillId="0" borderId="2" xfId="2" applyNumberFormat="1" applyFont="1" applyBorder="1" applyAlignment="1">
      <alignment horizontal="right" vertical="center"/>
    </xf>
    <xf numFmtId="167" fontId="2" fillId="0" borderId="93" xfId="0" applyNumberFormat="1" applyFont="1" applyBorder="1" applyAlignment="1">
      <alignment horizontal="right" vertical="center"/>
    </xf>
    <xf numFmtId="165" fontId="2" fillId="3" borderId="0" xfId="1" applyNumberFormat="1" applyFont="1" applyFill="1" applyAlignment="1">
      <alignment horizontal="center" vertical="center"/>
    </xf>
    <xf numFmtId="165" fontId="2" fillId="2" borderId="0" xfId="1" applyNumberFormat="1" applyFont="1" applyFill="1" applyAlignment="1">
      <alignment horizontal="center" vertical="center"/>
    </xf>
    <xf numFmtId="9" fontId="2" fillId="2" borderId="94" xfId="2" applyFont="1" applyFill="1" applyBorder="1" applyAlignment="1">
      <alignment horizontal="right" vertical="center"/>
    </xf>
    <xf numFmtId="10" fontId="2" fillId="2" borderId="94" xfId="2" applyNumberFormat="1" applyFont="1" applyFill="1" applyBorder="1" applyAlignment="1">
      <alignment horizontal="right" vertical="center"/>
    </xf>
    <xf numFmtId="167" fontId="2" fillId="2" borderId="94" xfId="0" applyNumberFormat="1" applyFont="1" applyFill="1" applyBorder="1" applyAlignment="1">
      <alignment horizontal="right" vertical="center"/>
    </xf>
    <xf numFmtId="165" fontId="24" fillId="0" borderId="0" xfId="0" applyNumberFormat="1" applyFont="1" applyFill="1" applyAlignment="1">
      <alignment vertical="center"/>
    </xf>
    <xf numFmtId="167" fontId="2" fillId="2" borderId="0" xfId="2" applyNumberFormat="1" applyFont="1" applyFill="1" applyBorder="1" applyAlignment="1" applyProtection="1">
      <alignment horizontal="right" vertical="center"/>
    </xf>
    <xf numFmtId="167" fontId="2" fillId="2" borderId="94" xfId="2" applyNumberFormat="1" applyFont="1" applyFill="1" applyBorder="1" applyAlignment="1" applyProtection="1">
      <alignment horizontal="right" vertical="center"/>
    </xf>
    <xf numFmtId="166" fontId="2" fillId="3" borderId="0" xfId="4" applyNumberFormat="1" applyFont="1" applyFill="1" applyBorder="1"/>
    <xf numFmtId="3" fontId="2" fillId="0" borderId="63" xfId="3" applyNumberFormat="1" applyFont="1" applyBorder="1" applyAlignment="1">
      <alignment horizontal="centerContinuous" vertical="center"/>
    </xf>
    <xf numFmtId="0" fontId="6" fillId="0" borderId="0" xfId="3" applyFont="1" applyAlignment="1">
      <alignment horizontal="center" vertical="center"/>
    </xf>
    <xf numFmtId="0" fontId="3" fillId="0" borderId="0" xfId="3" applyFont="1" applyAlignment="1">
      <alignment horizontal="center" vertical="center"/>
    </xf>
    <xf numFmtId="166" fontId="2" fillId="0" borderId="0" xfId="5" applyNumberFormat="1"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197" fontId="2" fillId="0" borderId="0" xfId="0" applyNumberFormat="1" applyFont="1" applyAlignment="1">
      <alignment vertical="center"/>
    </xf>
    <xf numFmtId="0" fontId="2" fillId="0" borderId="0" xfId="3" applyFont="1" applyFill="1" applyAlignment="1">
      <alignment vertical="center"/>
    </xf>
    <xf numFmtId="43" fontId="2" fillId="0" borderId="63" xfId="0" applyNumberFormat="1" applyFont="1" applyFill="1" applyBorder="1" applyAlignment="1">
      <alignment horizontal="left" vertical="center"/>
    </xf>
    <xf numFmtId="37" fontId="2" fillId="0" borderId="0" xfId="0" applyNumberFormat="1" applyFont="1" applyBorder="1" applyAlignment="1">
      <alignment horizontal="right" vertical="center"/>
    </xf>
    <xf numFmtId="165" fontId="2" fillId="0" borderId="0" xfId="1" applyNumberFormat="1" applyFont="1" applyBorder="1" applyAlignment="1">
      <alignment horizontal="right" vertical="center"/>
    </xf>
    <xf numFmtId="37" fontId="2" fillId="0" borderId="94" xfId="0" applyNumberFormat="1" applyFont="1" applyBorder="1" applyAlignment="1">
      <alignment horizontal="right" vertical="center"/>
    </xf>
    <xf numFmtId="165" fontId="2" fillId="0" borderId="0" xfId="1" applyNumberFormat="1" applyFont="1" applyBorder="1" applyAlignment="1">
      <alignment horizontal="center" vertical="center"/>
    </xf>
    <xf numFmtId="166" fontId="2" fillId="0" borderId="0" xfId="5" applyNumberFormat="1" applyFont="1" applyBorder="1" applyAlignment="1">
      <alignment horizontal="center" vertical="center"/>
    </xf>
    <xf numFmtId="37" fontId="3" fillId="0" borderId="93" xfId="0" applyNumberFormat="1" applyFont="1" applyBorder="1" applyAlignment="1">
      <alignment horizontal="center" vertical="center"/>
    </xf>
    <xf numFmtId="166" fontId="2" fillId="0" borderId="94" xfId="0" applyNumberFormat="1" applyFont="1" applyFill="1" applyBorder="1" applyAlignment="1">
      <alignment vertical="center"/>
    </xf>
    <xf numFmtId="37" fontId="2" fillId="0" borderId="93" xfId="0" applyNumberFormat="1" applyFont="1" applyBorder="1" applyAlignment="1">
      <alignment vertical="center"/>
    </xf>
    <xf numFmtId="43" fontId="2" fillId="0" borderId="0" xfId="5" applyFont="1" applyBorder="1" applyAlignment="1">
      <alignment vertical="center"/>
    </xf>
    <xf numFmtId="174" fontId="2" fillId="0" borderId="21" xfId="3" applyNumberFormat="1" applyFont="1" applyBorder="1" applyAlignment="1">
      <alignment horizontal="center" wrapText="1"/>
    </xf>
    <xf numFmtId="37" fontId="2" fillId="0" borderId="0" xfId="0" applyNumberFormat="1" applyFont="1" applyBorder="1" applyAlignment="1">
      <alignment vertical="top"/>
    </xf>
    <xf numFmtId="0" fontId="22" fillId="0" borderId="0" xfId="0" applyFont="1" applyFill="1" applyBorder="1" applyAlignment="1">
      <alignment vertical="center"/>
    </xf>
    <xf numFmtId="37" fontId="2" fillId="0" borderId="93" xfId="0" applyNumberFormat="1" applyFont="1" applyFill="1" applyBorder="1" applyAlignment="1">
      <alignment horizontal="left" vertical="center"/>
    </xf>
    <xf numFmtId="0" fontId="2" fillId="0" borderId="0" xfId="0" applyFont="1" applyFill="1" applyAlignment="1">
      <alignment vertical="top"/>
    </xf>
    <xf numFmtId="171" fontId="11" fillId="0" borderId="0" xfId="0" applyNumberFormat="1" applyFont="1" applyFill="1"/>
    <xf numFmtId="171" fontId="11" fillId="0" borderId="0" xfId="0" applyNumberFormat="1" applyFont="1"/>
    <xf numFmtId="166" fontId="16" fillId="0" borderId="0" xfId="5" applyNumberFormat="1" applyFont="1" applyAlignment="1">
      <alignment vertical="center"/>
    </xf>
    <xf numFmtId="0" fontId="2" fillId="0" borderId="0" xfId="0" applyFont="1" applyAlignment="1">
      <alignment vertical="center"/>
    </xf>
    <xf numFmtId="0" fontId="2" fillId="0" borderId="0" xfId="0" applyFont="1" applyAlignment="1">
      <alignment vertical="center"/>
    </xf>
    <xf numFmtId="166" fontId="6" fillId="0" borderId="0" xfId="5" applyNumberFormat="1" applyFont="1" applyFill="1" applyAlignment="1">
      <alignment horizontal="center" vertical="center"/>
    </xf>
    <xf numFmtId="198" fontId="2" fillId="0" borderId="0" xfId="0" applyNumberFormat="1" applyFont="1" applyAlignment="1">
      <alignment vertical="center"/>
    </xf>
    <xf numFmtId="166" fontId="2" fillId="0" borderId="94" xfId="5" applyNumberFormat="1" applyFont="1" applyBorder="1" applyAlignment="1">
      <alignment horizontal="center" vertical="center"/>
    </xf>
    <xf numFmtId="0" fontId="6" fillId="0" borderId="21" xfId="0" applyFont="1" applyBorder="1" applyAlignment="1">
      <alignment horizontal="center" vertical="top"/>
    </xf>
    <xf numFmtId="196" fontId="22" fillId="0" borderId="0" xfId="0" applyNumberFormat="1" applyFont="1" applyAlignment="1">
      <alignment horizontal="center" vertical="center"/>
    </xf>
    <xf numFmtId="199" fontId="22" fillId="0" borderId="0" xfId="0" applyNumberFormat="1"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200" fontId="2" fillId="0" borderId="0" xfId="0" applyNumberFormat="1" applyFont="1" applyAlignment="1">
      <alignment vertical="center"/>
    </xf>
    <xf numFmtId="166" fontId="2" fillId="0" borderId="0" xfId="5" applyNumberFormat="1" applyFont="1" applyAlignment="1">
      <alignment horizontal="center" vertical="center"/>
    </xf>
    <xf numFmtId="44" fontId="2" fillId="0" borderId="0" xfId="1" applyFont="1" applyFill="1" applyAlignment="1">
      <alignment horizontal="right" vertical="center"/>
    </xf>
    <xf numFmtId="0" fontId="8" fillId="0" borderId="0" xfId="0" applyFont="1" applyAlignment="1">
      <alignment horizontal="left" vertical="center"/>
    </xf>
    <xf numFmtId="201" fontId="16" fillId="0" borderId="0" xfId="0" applyNumberFormat="1" applyFont="1" applyFill="1" applyAlignment="1">
      <alignment vertical="center"/>
    </xf>
    <xf numFmtId="0" fontId="3" fillId="0" borderId="93" xfId="0" applyFont="1" applyBorder="1" applyAlignment="1">
      <alignment horizontal="center" vertical="center"/>
    </xf>
    <xf numFmtId="43" fontId="2" fillId="0" borderId="63" xfId="0" applyNumberFormat="1" applyFont="1" applyBorder="1" applyAlignment="1">
      <alignment vertical="center"/>
    </xf>
    <xf numFmtId="0" fontId="3" fillId="0" borderId="63" xfId="0" applyNumberFormat="1" applyFont="1" applyFill="1" applyBorder="1" applyAlignment="1">
      <alignment horizontal="left" vertical="center"/>
    </xf>
    <xf numFmtId="49" fontId="2" fillId="0" borderId="93" xfId="0" applyNumberFormat="1" applyFont="1" applyBorder="1" applyAlignment="1">
      <alignment horizontal="center" vertical="center"/>
    </xf>
    <xf numFmtId="166" fontId="2" fillId="0" borderId="93" xfId="0" applyNumberFormat="1" applyFont="1" applyFill="1" applyBorder="1" applyAlignment="1">
      <alignment vertical="center"/>
    </xf>
    <xf numFmtId="49" fontId="2" fillId="0" borderId="63" xfId="0" applyNumberFormat="1" applyFont="1" applyBorder="1" applyAlignment="1">
      <alignment horizontal="center" vertical="center"/>
    </xf>
    <xf numFmtId="43" fontId="2" fillId="0" borderId="63" xfId="0" applyNumberFormat="1" applyFont="1" applyFill="1" applyBorder="1" applyAlignment="1">
      <alignment horizontal="center" vertical="center"/>
    </xf>
    <xf numFmtId="166" fontId="3" fillId="0" borderId="63" xfId="0" applyNumberFormat="1" applyFont="1" applyFill="1" applyBorder="1" applyAlignment="1">
      <alignment vertical="center"/>
    </xf>
    <xf numFmtId="43" fontId="3" fillId="0" borderId="63" xfId="0" applyNumberFormat="1" applyFont="1" applyBorder="1" applyAlignment="1">
      <alignment vertical="center"/>
    </xf>
    <xf numFmtId="37" fontId="2" fillId="0" borderId="0" xfId="0" applyNumberFormat="1" applyFont="1" applyAlignment="1">
      <alignment vertical="top"/>
    </xf>
    <xf numFmtId="0" fontId="2" fillId="0" borderId="0" xfId="0" applyFont="1" applyAlignment="1">
      <alignment vertical="center"/>
    </xf>
    <xf numFmtId="0" fontId="2" fillId="0" borderId="0" xfId="0" applyFont="1" applyAlignment="1">
      <alignment horizontal="center" vertical="center"/>
    </xf>
    <xf numFmtId="166" fontId="2" fillId="3" borderId="94" xfId="0" applyNumberFormat="1" applyFont="1" applyFill="1" applyBorder="1" applyAlignment="1" applyProtection="1">
      <alignment vertical="center"/>
      <protection locked="0"/>
    </xf>
    <xf numFmtId="165" fontId="2" fillId="3" borderId="94" xfId="0" applyNumberFormat="1" applyFont="1" applyFill="1" applyBorder="1" applyAlignment="1" applyProtection="1">
      <alignment vertical="center"/>
      <protection locked="0"/>
    </xf>
    <xf numFmtId="3" fontId="2" fillId="0" borderId="9" xfId="3" applyNumberFormat="1" applyFont="1" applyBorder="1" applyAlignment="1">
      <alignment horizontal="left" vertical="center"/>
    </xf>
    <xf numFmtId="3" fontId="2" fillId="0" borderId="0" xfId="3" applyNumberFormat="1" applyFont="1" applyAlignment="1">
      <alignment horizontal="left" vertical="center"/>
    </xf>
    <xf numFmtId="37" fontId="2" fillId="0" borderId="21" xfId="0" applyNumberFormat="1" applyFont="1" applyFill="1" applyBorder="1" applyAlignment="1">
      <alignment horizontal="center" wrapText="1"/>
    </xf>
    <xf numFmtId="0" fontId="4" fillId="0" borderId="0" xfId="0" quotePrefix="1" applyFont="1" applyFill="1" applyAlignment="1" applyProtection="1">
      <alignment horizontal="center" vertical="center"/>
    </xf>
    <xf numFmtId="165" fontId="2" fillId="2" borderId="4"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165" fontId="2" fillId="3" borderId="65" xfId="0" applyNumberFormat="1" applyFont="1" applyFill="1" applyBorder="1" applyAlignment="1" applyProtection="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66" fontId="2" fillId="0" borderId="0" xfId="5" quotePrefix="1" applyNumberFormat="1" applyFont="1" applyAlignment="1">
      <alignment horizontal="center" vertical="center"/>
    </xf>
    <xf numFmtId="43" fontId="2" fillId="0" borderId="0" xfId="5" applyFont="1" applyAlignment="1">
      <alignment vertical="center"/>
    </xf>
    <xf numFmtId="0" fontId="2" fillId="0" borderId="0" xfId="0" applyFont="1" applyAlignment="1">
      <alignment horizontal="lef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3" fillId="0" borderId="0" xfId="0" applyFont="1" applyFill="1" applyAlignment="1">
      <alignment horizontal="center" vertical="center"/>
    </xf>
    <xf numFmtId="0" fontId="2" fillId="0" borderId="0" xfId="0" applyFont="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65" xfId="0"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3" fillId="0" borderId="0" xfId="0" quotePrefix="1" applyFont="1" applyAlignment="1">
      <alignment horizontal="center" vertical="center"/>
    </xf>
    <xf numFmtId="0" fontId="3" fillId="2" borderId="0" xfId="0" applyFont="1" applyFill="1" applyAlignment="1" applyProtection="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quotePrefix="1" applyFont="1" applyBorder="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pplyProtection="1">
      <alignment horizontal="center" vertical="center"/>
    </xf>
    <xf numFmtId="5" fontId="3" fillId="0" borderId="0" xfId="0" quotePrefix="1" applyNumberFormat="1" applyFont="1" applyAlignment="1">
      <alignment horizontal="center" vertical="center"/>
    </xf>
    <xf numFmtId="0" fontId="3"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3"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0" fontId="3" fillId="0" borderId="0" xfId="0" applyFont="1" applyFill="1" applyAlignment="1" applyProtection="1">
      <alignment horizontal="center" vertical="center"/>
    </xf>
    <xf numFmtId="0" fontId="3" fillId="0" borderId="0" xfId="0" applyFont="1" applyBorder="1" applyAlignment="1">
      <alignment horizontal="center" vertical="center"/>
    </xf>
    <xf numFmtId="5" fontId="3" fillId="0" borderId="0" xfId="0" applyNumberFormat="1" applyFont="1" applyAlignment="1">
      <alignment horizontal="center" vertical="center"/>
    </xf>
    <xf numFmtId="0" fontId="40" fillId="0" borderId="0" xfId="0" quotePrefix="1" applyFont="1" applyAlignment="1">
      <alignment horizontal="center" vertical="center"/>
    </xf>
    <xf numFmtId="166" fontId="41" fillId="0" borderId="51" xfId="0" applyNumberFormat="1" applyFont="1" applyFill="1" applyBorder="1" applyAlignment="1">
      <alignment horizontal="center"/>
    </xf>
    <xf numFmtId="166" fontId="41" fillId="0" borderId="40" xfId="0" applyNumberFormat="1" applyFont="1" applyFill="1" applyBorder="1" applyAlignment="1">
      <alignment horizontal="center"/>
    </xf>
    <xf numFmtId="166" fontId="41" fillId="0" borderId="41" xfId="0" applyNumberFormat="1" applyFont="1" applyFill="1" applyBorder="1" applyAlignment="1">
      <alignment horizontal="center"/>
    </xf>
    <xf numFmtId="166" fontId="11" fillId="0" borderId="51" xfId="0" applyNumberFormat="1" applyFont="1" applyBorder="1" applyAlignment="1">
      <alignment horizontal="center"/>
    </xf>
    <xf numFmtId="166" fontId="11" fillId="0" borderId="40" xfId="0" applyNumberFormat="1" applyFont="1" applyBorder="1" applyAlignment="1">
      <alignment horizontal="center"/>
    </xf>
    <xf numFmtId="166" fontId="11" fillId="0" borderId="41" xfId="0" applyNumberFormat="1" applyFont="1" applyBorder="1" applyAlignment="1">
      <alignment horizontal="center"/>
    </xf>
    <xf numFmtId="0" fontId="18" fillId="0" borderId="0" xfId="0" quotePrefix="1" applyFont="1" applyFill="1" applyAlignment="1">
      <alignment horizontal="center" vertical="center"/>
    </xf>
    <xf numFmtId="0" fontId="3" fillId="0" borderId="0" xfId="6" applyFont="1" applyAlignment="1">
      <alignment horizontal="center" vertical="center"/>
    </xf>
    <xf numFmtId="0" fontId="3" fillId="0" borderId="0" xfId="6" applyFont="1" applyAlignment="1">
      <alignment vertical="center"/>
    </xf>
    <xf numFmtId="0" fontId="2" fillId="0" borderId="0" xfId="6" applyFont="1" applyAlignment="1">
      <alignment vertical="center"/>
    </xf>
    <xf numFmtId="0" fontId="3" fillId="2" borderId="0" xfId="6" applyFont="1" applyFill="1" applyAlignment="1">
      <alignment horizontal="center" vertical="center"/>
    </xf>
    <xf numFmtId="0" fontId="3" fillId="2" borderId="0" xfId="6" applyFont="1" applyFill="1" applyAlignment="1">
      <alignment vertical="center"/>
    </xf>
    <xf numFmtId="0" fontId="3" fillId="0" borderId="0" xfId="6" quotePrefix="1" applyFont="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cellXfs>
  <cellStyles count="8">
    <cellStyle name="Comma" xfId="5" builtinId="3"/>
    <cellStyle name="Comma 2 10 2" xfId="4" xr:uid="{8BF09D7A-457F-4AD8-B821-566D04E79DA9}"/>
    <cellStyle name="Currency" xfId="1" builtinId="4"/>
    <cellStyle name="Normal" xfId="0" builtinId="0"/>
    <cellStyle name="Normal 2" xfId="3" xr:uid="{EA1BDBBD-80C0-4EC3-9FD8-12009108C041}"/>
    <cellStyle name="Normal 9" xfId="6" xr:uid="{CE561EDF-5522-406D-857E-610FE101F8E5}"/>
    <cellStyle name="Percent" xfId="2" builtinId="5"/>
    <cellStyle name="Percent 3" xfId="7" xr:uid="{748E575F-3EE5-4BFE-9C65-4B322766B0FE}"/>
  </cellStyles>
  <dxfs count="0"/>
  <tableStyles count="1" defaultTableStyle="TableStyleMedium2" defaultPivotStyle="PivotStyleLight16">
    <tableStyle name="Invisible" pivot="0" table="0" count="0" xr9:uid="{862A6FA9-1B11-4A14-9168-719892295C9D}"/>
  </tableStyles>
  <colors>
    <mruColors>
      <color rgb="FF0000FF"/>
      <color rgb="FF993366"/>
      <color rgb="FFFF00FF"/>
      <color rgb="FFFF99FF"/>
      <color rgb="FFCC99FF"/>
      <color rgb="FFCC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oneCellAnchor>
    <xdr:from>
      <xdr:col>0</xdr:col>
      <xdr:colOff>238125</xdr:colOff>
      <xdr:row>36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36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36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36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140</xdr:row>
      <xdr:rowOff>200024</xdr:rowOff>
    </xdr:from>
    <xdr:to>
      <xdr:col>2</xdr:col>
      <xdr:colOff>895350</xdr:colOff>
      <xdr:row>141</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54192" y="21074062"/>
          <a:ext cx="2788920"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7" name="Line 1">
          <a:extLst>
            <a:ext uri="{FF2B5EF4-FFF2-40B4-BE49-F238E27FC236}">
              <a16:creationId xmlns:a16="http://schemas.microsoft.com/office/drawing/2014/main" id="{8D0F6865-19BA-4E2E-A7FF-512F9B1E3170}"/>
            </a:ext>
          </a:extLst>
        </xdr:cNvPr>
        <xdr:cNvSpPr>
          <a:spLocks noChangeShapeType="1"/>
        </xdr:cNvSpPr>
      </xdr:nvSpPr>
      <xdr:spPr bwMode="auto">
        <a:xfrm>
          <a:off x="1877220" y="22381369"/>
          <a:ext cx="2049138" cy="0"/>
        </a:xfrm>
        <a:prstGeom prst="line">
          <a:avLst/>
        </a:prstGeom>
        <a:noFill/>
        <a:ln w="9525">
          <a:solidFill>
            <a:srgbClr val="000000"/>
          </a:solidFill>
          <a:round/>
          <a:headEnd/>
          <a:tailEnd/>
        </a:ln>
      </xdr:spPr>
    </xdr:sp>
    <xdr:clientData/>
  </xdr:twoCellAnchor>
  <xdr:twoCellAnchor>
    <xdr:from>
      <xdr:col>1</xdr:col>
      <xdr:colOff>1389067</xdr:colOff>
      <xdr:row>175</xdr:row>
      <xdr:rowOff>-1</xdr:rowOff>
    </xdr:from>
    <xdr:to>
      <xdr:col>2</xdr:col>
      <xdr:colOff>312424</xdr:colOff>
      <xdr:row>175</xdr:row>
      <xdr:rowOff>7936</xdr:rowOff>
    </xdr:to>
    <xdr:sp macro="" textlink="">
      <xdr:nvSpPr>
        <xdr:cNvPr id="8" name="Line 2">
          <a:extLst>
            <a:ext uri="{FF2B5EF4-FFF2-40B4-BE49-F238E27FC236}">
              <a16:creationId xmlns:a16="http://schemas.microsoft.com/office/drawing/2014/main" id="{EBC5AC8E-F3DE-4F98-BA14-AB0C4F33BE81}"/>
            </a:ext>
          </a:extLst>
        </xdr:cNvPr>
        <xdr:cNvSpPr>
          <a:spLocks noChangeShapeType="1"/>
        </xdr:cNvSpPr>
      </xdr:nvSpPr>
      <xdr:spPr bwMode="auto">
        <a:xfrm>
          <a:off x="1734348" y="24800718"/>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76A6E838-4EBB-463A-8F0D-FD64CB478541}"/>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2" name="Line 1">
          <a:extLst>
            <a:ext uri="{FF2B5EF4-FFF2-40B4-BE49-F238E27FC236}">
              <a16:creationId xmlns:a16="http://schemas.microsoft.com/office/drawing/2014/main" id="{25BEA761-A780-40EC-ACE7-2FE43F425E83}"/>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3" name="Line 2">
          <a:extLst>
            <a:ext uri="{FF2B5EF4-FFF2-40B4-BE49-F238E27FC236}">
              <a16:creationId xmlns:a16="http://schemas.microsoft.com/office/drawing/2014/main" id="{E8699556-620A-4D2F-A552-EBA49106CDA8}"/>
            </a:ext>
          </a:extLst>
        </xdr:cNvPr>
        <xdr:cNvSpPr>
          <a:spLocks noChangeShapeType="1"/>
        </xdr:cNvSpPr>
      </xdr:nvSpPr>
      <xdr:spPr bwMode="auto">
        <a:xfrm>
          <a:off x="1734348" y="45160405"/>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4" name="Line 1">
          <a:extLst>
            <a:ext uri="{FF2B5EF4-FFF2-40B4-BE49-F238E27FC236}">
              <a16:creationId xmlns:a16="http://schemas.microsoft.com/office/drawing/2014/main" id="{B1DB2F18-D68C-4AB9-B554-9FFBB6249B8B}"/>
            </a:ext>
          </a:extLst>
        </xdr:cNvPr>
        <xdr:cNvSpPr>
          <a:spLocks noChangeShapeType="1"/>
        </xdr:cNvSpPr>
      </xdr:nvSpPr>
      <xdr:spPr bwMode="auto">
        <a:xfrm>
          <a:off x="1877220" y="34144744"/>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BFAAC6F3-5B98-4220-A80A-8A4D35D51C3B}"/>
            </a:ext>
          </a:extLst>
        </xdr:cNvPr>
        <xdr:cNvSpPr>
          <a:spLocks noChangeShapeType="1"/>
        </xdr:cNvSpPr>
      </xdr:nvSpPr>
      <xdr:spPr bwMode="auto">
        <a:xfrm>
          <a:off x="1734348" y="36564093"/>
          <a:ext cx="2614295" cy="7937"/>
        </a:xfrm>
        <a:prstGeom prst="line">
          <a:avLst/>
        </a:prstGeom>
        <a:noFill/>
        <a:ln w="9525">
          <a:solidFill>
            <a:srgbClr val="000000"/>
          </a:solidFill>
          <a:round/>
          <a:headEnd/>
          <a:tailEnd/>
        </a:ln>
      </xdr:spPr>
    </xdr:sp>
    <xdr:clientData/>
  </xdr:twoCellAnchor>
  <xdr:twoCellAnchor>
    <xdr:from>
      <xdr:col>1</xdr:col>
      <xdr:colOff>1389067</xdr:colOff>
      <xdr:row>174</xdr:row>
      <xdr:rowOff>200024</xdr:rowOff>
    </xdr:from>
    <xdr:to>
      <xdr:col>2</xdr:col>
      <xdr:colOff>895350</xdr:colOff>
      <xdr:row>175</xdr:row>
      <xdr:rowOff>9525</xdr:rowOff>
    </xdr:to>
    <xdr:sp macro="" textlink="">
      <xdr:nvSpPr>
        <xdr:cNvPr id="16" name="Line 2">
          <a:extLst>
            <a:ext uri="{FF2B5EF4-FFF2-40B4-BE49-F238E27FC236}">
              <a16:creationId xmlns:a16="http://schemas.microsoft.com/office/drawing/2014/main" id="{A558C5DD-1DAC-4737-8D1A-2A8924D06BFE}"/>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0" name="Line 2">
          <a:extLst>
            <a:ext uri="{FF2B5EF4-FFF2-40B4-BE49-F238E27FC236}">
              <a16:creationId xmlns:a16="http://schemas.microsoft.com/office/drawing/2014/main" id="{932D2E73-4011-4D3F-B75C-0A2EAEA0E0E1}"/>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1" name="Line 2">
          <a:extLst>
            <a:ext uri="{FF2B5EF4-FFF2-40B4-BE49-F238E27FC236}">
              <a16:creationId xmlns:a16="http://schemas.microsoft.com/office/drawing/2014/main" id="{87981E0A-7461-4221-BF3D-70A1B69E2862}"/>
            </a:ext>
          </a:extLst>
        </xdr:cNvPr>
        <xdr:cNvSpPr>
          <a:spLocks noChangeShapeType="1"/>
        </xdr:cNvSpPr>
      </xdr:nvSpPr>
      <xdr:spPr bwMode="auto">
        <a:xfrm>
          <a:off x="1731967" y="36242624"/>
          <a:ext cx="26190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2" name="Line 2">
          <a:extLst>
            <a:ext uri="{FF2B5EF4-FFF2-40B4-BE49-F238E27FC236}">
              <a16:creationId xmlns:a16="http://schemas.microsoft.com/office/drawing/2014/main" id="{F65E1C16-2983-4EF1-93E1-541C0E6B5C17}"/>
            </a:ext>
          </a:extLst>
        </xdr:cNvPr>
        <xdr:cNvSpPr>
          <a:spLocks noChangeShapeType="1"/>
        </xdr:cNvSpPr>
      </xdr:nvSpPr>
      <xdr:spPr bwMode="auto">
        <a:xfrm>
          <a:off x="1731967" y="36242624"/>
          <a:ext cx="3201983" cy="9526"/>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6" name="Line 1">
          <a:extLst>
            <a:ext uri="{FF2B5EF4-FFF2-40B4-BE49-F238E27FC236}">
              <a16:creationId xmlns:a16="http://schemas.microsoft.com/office/drawing/2014/main" id="{00000000-0008-0000-4C00-000010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4C00-000011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1389066</xdr:colOff>
      <xdr:row>140</xdr:row>
      <xdr:rowOff>190499</xdr:rowOff>
    </xdr:from>
    <xdr:to>
      <xdr:col>3</xdr:col>
      <xdr:colOff>11905</xdr:colOff>
      <xdr:row>141</xdr:row>
      <xdr:rowOff>-1</xdr:rowOff>
    </xdr:to>
    <xdr:sp macro="" textlink="">
      <xdr:nvSpPr>
        <xdr:cNvPr id="18" name="Line 2">
          <a:extLst>
            <a:ext uri="{FF2B5EF4-FFF2-40B4-BE49-F238E27FC236}">
              <a16:creationId xmlns:a16="http://schemas.microsoft.com/office/drawing/2014/main" id="{00000000-0008-0000-4C00-000012000000}"/>
            </a:ext>
          </a:extLst>
        </xdr:cNvPr>
        <xdr:cNvSpPr>
          <a:spLocks noChangeShapeType="1"/>
        </xdr:cNvSpPr>
      </xdr:nvSpPr>
      <xdr:spPr bwMode="auto">
        <a:xfrm flipV="1">
          <a:off x="1758160" y="28211859"/>
          <a:ext cx="3694901" cy="5953"/>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4C00-000013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6" name="Line 1">
          <a:extLst>
            <a:ext uri="{FF2B5EF4-FFF2-40B4-BE49-F238E27FC236}">
              <a16:creationId xmlns:a16="http://schemas.microsoft.com/office/drawing/2014/main" id="{7EE456A5-9F55-4CEC-B9BB-29DE49841895}"/>
            </a:ext>
          </a:extLst>
        </xdr:cNvPr>
        <xdr:cNvSpPr>
          <a:spLocks noChangeShapeType="1"/>
        </xdr:cNvSpPr>
      </xdr:nvSpPr>
      <xdr:spPr bwMode="auto">
        <a:xfrm>
          <a:off x="1898652" y="32013525"/>
          <a:ext cx="2049138" cy="0"/>
        </a:xfrm>
        <a:prstGeom prst="line">
          <a:avLst/>
        </a:prstGeom>
        <a:noFill/>
        <a:ln w="9525">
          <a:solidFill>
            <a:srgbClr val="000000"/>
          </a:solidFill>
          <a:round/>
          <a:headEnd/>
          <a:tailEnd/>
        </a:ln>
      </xdr:spPr>
    </xdr:sp>
    <xdr:clientData/>
  </xdr:twoCellAnchor>
  <xdr:twoCellAnchor>
    <xdr:from>
      <xdr:col>1</xdr:col>
      <xdr:colOff>1389067</xdr:colOff>
      <xdr:row>174</xdr:row>
      <xdr:rowOff>190500</xdr:rowOff>
    </xdr:from>
    <xdr:to>
      <xdr:col>3</xdr:col>
      <xdr:colOff>23813</xdr:colOff>
      <xdr:row>174</xdr:row>
      <xdr:rowOff>196453</xdr:rowOff>
    </xdr:to>
    <xdr:sp macro="" textlink="">
      <xdr:nvSpPr>
        <xdr:cNvPr id="7" name="Line 2">
          <a:extLst>
            <a:ext uri="{FF2B5EF4-FFF2-40B4-BE49-F238E27FC236}">
              <a16:creationId xmlns:a16="http://schemas.microsoft.com/office/drawing/2014/main" id="{EFB5A788-276C-4A3C-903B-6080BB719F04}"/>
            </a:ext>
          </a:extLst>
        </xdr:cNvPr>
        <xdr:cNvSpPr>
          <a:spLocks noChangeShapeType="1"/>
        </xdr:cNvSpPr>
      </xdr:nvSpPr>
      <xdr:spPr bwMode="auto">
        <a:xfrm flipV="1">
          <a:off x="1758161" y="34956750"/>
          <a:ext cx="3706808" cy="5953"/>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8" name="Line 1">
          <a:extLst>
            <a:ext uri="{FF2B5EF4-FFF2-40B4-BE49-F238E27FC236}">
              <a16:creationId xmlns:a16="http://schemas.microsoft.com/office/drawing/2014/main" id="{D81AE629-6BAF-43F2-B4CA-32E5BCB588EF}"/>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51E3CE0D-9105-4FF7-92D8-02C46259FE76}"/>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0" name="Line 2">
          <a:extLst>
            <a:ext uri="{FF2B5EF4-FFF2-40B4-BE49-F238E27FC236}">
              <a16:creationId xmlns:a16="http://schemas.microsoft.com/office/drawing/2014/main" id="{8D36BF61-8A53-426D-86EB-064ADE44FA0C}"/>
            </a:ext>
          </a:extLst>
        </xdr:cNvPr>
        <xdr:cNvSpPr>
          <a:spLocks noChangeShapeType="1"/>
        </xdr:cNvSpPr>
      </xdr:nvSpPr>
      <xdr:spPr bwMode="auto">
        <a:xfrm>
          <a:off x="1755780" y="49153762"/>
          <a:ext cx="2880994"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1" name="Line 1">
          <a:extLst>
            <a:ext uri="{FF2B5EF4-FFF2-40B4-BE49-F238E27FC236}">
              <a16:creationId xmlns:a16="http://schemas.microsoft.com/office/drawing/2014/main" id="{4EF5350E-A0FF-43BF-8112-44B11E48CACA}"/>
            </a:ext>
          </a:extLst>
        </xdr:cNvPr>
        <xdr:cNvSpPr>
          <a:spLocks noChangeShapeType="1"/>
        </xdr:cNvSpPr>
      </xdr:nvSpPr>
      <xdr:spPr bwMode="auto">
        <a:xfrm>
          <a:off x="1898652" y="46820138"/>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2" name="Line 2">
          <a:extLst>
            <a:ext uri="{FF2B5EF4-FFF2-40B4-BE49-F238E27FC236}">
              <a16:creationId xmlns:a16="http://schemas.microsoft.com/office/drawing/2014/main" id="{C6DE9D90-7689-4662-A750-461AC9D6DA19}"/>
            </a:ext>
          </a:extLst>
        </xdr:cNvPr>
        <xdr:cNvSpPr>
          <a:spLocks noChangeShapeType="1"/>
        </xdr:cNvSpPr>
      </xdr:nvSpPr>
      <xdr:spPr bwMode="auto">
        <a:xfrm>
          <a:off x="1755780" y="49156143"/>
          <a:ext cx="2880994" cy="5556"/>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20" name="Line 2">
          <a:extLst>
            <a:ext uri="{FF2B5EF4-FFF2-40B4-BE49-F238E27FC236}">
              <a16:creationId xmlns:a16="http://schemas.microsoft.com/office/drawing/2014/main" id="{9F15288B-6BD3-41FB-ACF2-2589BE68FC00}"/>
            </a:ext>
          </a:extLst>
        </xdr:cNvPr>
        <xdr:cNvSpPr>
          <a:spLocks noChangeShapeType="1"/>
        </xdr:cNvSpPr>
      </xdr:nvSpPr>
      <xdr:spPr bwMode="auto">
        <a:xfrm>
          <a:off x="1755780" y="43324462"/>
          <a:ext cx="2885757" cy="7937"/>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1" name="Line 2">
          <a:extLst>
            <a:ext uri="{FF2B5EF4-FFF2-40B4-BE49-F238E27FC236}">
              <a16:creationId xmlns:a16="http://schemas.microsoft.com/office/drawing/2014/main" id="{BD3AEF8B-EB81-4C44-BB31-1897F63C1F3D}"/>
            </a:ext>
          </a:extLst>
        </xdr:cNvPr>
        <xdr:cNvSpPr>
          <a:spLocks noChangeShapeType="1"/>
        </xdr:cNvSpPr>
      </xdr:nvSpPr>
      <xdr:spPr bwMode="auto">
        <a:xfrm>
          <a:off x="1755780" y="43324462"/>
          <a:ext cx="34686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2" name="Line 2">
          <a:extLst>
            <a:ext uri="{FF2B5EF4-FFF2-40B4-BE49-F238E27FC236}">
              <a16:creationId xmlns:a16="http://schemas.microsoft.com/office/drawing/2014/main" id="{83E62ACF-06EA-4B1E-B763-99601034B33B}"/>
            </a:ext>
          </a:extLst>
        </xdr:cNvPr>
        <xdr:cNvSpPr>
          <a:spLocks noChangeShapeType="1"/>
        </xdr:cNvSpPr>
      </xdr:nvSpPr>
      <xdr:spPr bwMode="auto">
        <a:xfrm>
          <a:off x="1755780" y="50034824"/>
          <a:ext cx="2885757" cy="7937"/>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3" name="Line 2">
          <a:extLst>
            <a:ext uri="{FF2B5EF4-FFF2-40B4-BE49-F238E27FC236}">
              <a16:creationId xmlns:a16="http://schemas.microsoft.com/office/drawing/2014/main" id="{F6A4BFA5-5BBC-4023-8C8C-977232AF9732}"/>
            </a:ext>
          </a:extLst>
        </xdr:cNvPr>
        <xdr:cNvSpPr>
          <a:spLocks noChangeShapeType="1"/>
        </xdr:cNvSpPr>
      </xdr:nvSpPr>
      <xdr:spPr bwMode="auto">
        <a:xfrm>
          <a:off x="1755780" y="50034824"/>
          <a:ext cx="28857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4" name="Line 2">
          <a:extLst>
            <a:ext uri="{FF2B5EF4-FFF2-40B4-BE49-F238E27FC236}">
              <a16:creationId xmlns:a16="http://schemas.microsoft.com/office/drawing/2014/main" id="{33C5182F-B417-4A48-845E-20B56759CA86}"/>
            </a:ext>
          </a:extLst>
        </xdr:cNvPr>
        <xdr:cNvSpPr>
          <a:spLocks noChangeShapeType="1"/>
        </xdr:cNvSpPr>
      </xdr:nvSpPr>
      <xdr:spPr bwMode="auto">
        <a:xfrm>
          <a:off x="1755780" y="50034825"/>
          <a:ext cx="3468683" cy="95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319"/>
  <sheetViews>
    <sheetView tabSelected="1" zoomScale="80" zoomScaleNormal="80" workbookViewId="0"/>
  </sheetViews>
  <sheetFormatPr defaultColWidth="9.08984375" defaultRowHeight="15.5" x14ac:dyDescent="0.35"/>
  <cols>
    <col min="1" max="1" width="5.08984375" style="1942" customWidth="1"/>
    <col min="2" max="2" width="86.08984375" style="1942" customWidth="1"/>
    <col min="3" max="3" width="10.453125" style="1942" customWidth="1"/>
    <col min="4" max="4" width="1.54296875" style="1942" customWidth="1"/>
    <col min="5" max="5" width="16.90625" style="1942" customWidth="1"/>
    <col min="6" max="6" width="1.54296875" style="1942" customWidth="1"/>
    <col min="7" max="7" width="51.453125" style="1942" customWidth="1"/>
    <col min="8" max="8" width="5.08984375" style="684" customWidth="1"/>
    <col min="9" max="9" width="11.453125" style="1942" bestFit="1" customWidth="1"/>
    <col min="10" max="10" width="9.453125" style="1942" bestFit="1" customWidth="1"/>
    <col min="11" max="11" width="11.453125" style="1942" bestFit="1" customWidth="1"/>
    <col min="12" max="12" width="9.90625" style="1942" bestFit="1" customWidth="1"/>
    <col min="13" max="16384" width="9.08984375" style="1942"/>
  </cols>
  <sheetData>
    <row r="2" spans="1:10" x14ac:dyDescent="0.35">
      <c r="A2" s="33"/>
      <c r="B2" s="2281" t="s">
        <v>18</v>
      </c>
      <c r="C2" s="2278"/>
      <c r="D2" s="2278"/>
      <c r="E2" s="2278"/>
      <c r="F2" s="2278"/>
      <c r="G2" s="2278"/>
    </row>
    <row r="3" spans="1:10" x14ac:dyDescent="0.35">
      <c r="A3" s="33" t="s">
        <v>10</v>
      </c>
      <c r="B3" s="2281" t="s">
        <v>573</v>
      </c>
      <c r="C3" s="2278"/>
      <c r="D3" s="2278"/>
      <c r="E3" s="2278"/>
      <c r="F3" s="2278"/>
      <c r="G3" s="2278"/>
    </row>
    <row r="4" spans="1:10" ht="18" x14ac:dyDescent="0.35">
      <c r="A4" s="33"/>
      <c r="B4" s="2281" t="s">
        <v>574</v>
      </c>
      <c r="C4" s="2282"/>
      <c r="D4" s="2282"/>
      <c r="E4" s="2282"/>
      <c r="F4" s="2282"/>
      <c r="G4" s="2282"/>
    </row>
    <row r="5" spans="1:10" x14ac:dyDescent="0.35">
      <c r="A5" s="33"/>
      <c r="B5" s="2279" t="s">
        <v>1586</v>
      </c>
      <c r="C5" s="2279"/>
      <c r="D5" s="2279"/>
      <c r="E5" s="2279"/>
      <c r="F5" s="2279"/>
      <c r="G5" s="2279"/>
    </row>
    <row r="6" spans="1:10" x14ac:dyDescent="0.35">
      <c r="A6" s="33"/>
      <c r="B6" s="2277" t="s">
        <v>2</v>
      </c>
      <c r="C6" s="2278"/>
      <c r="D6" s="2278"/>
      <c r="E6" s="2278"/>
      <c r="F6" s="2278"/>
      <c r="G6" s="2278"/>
    </row>
    <row r="7" spans="1:10" x14ac:dyDescent="0.35">
      <c r="A7" s="33"/>
      <c r="B7" s="1940"/>
      <c r="C7" s="1941"/>
      <c r="D7" s="1941"/>
      <c r="E7" s="1941"/>
      <c r="F7" s="1941"/>
      <c r="G7" s="1941"/>
    </row>
    <row r="8" spans="1:10" x14ac:dyDescent="0.35">
      <c r="A8" s="662" t="s">
        <v>3</v>
      </c>
      <c r="B8" s="664"/>
      <c r="C8" s="664"/>
      <c r="D8" s="664"/>
      <c r="E8" s="54"/>
      <c r="G8" s="684"/>
      <c r="H8" s="662" t="s">
        <v>3</v>
      </c>
    </row>
    <row r="9" spans="1:10" ht="15.75" customHeight="1" x14ac:dyDescent="0.35">
      <c r="A9" s="662" t="s">
        <v>25</v>
      </c>
      <c r="B9" s="665" t="s">
        <v>10</v>
      </c>
      <c r="C9" s="668"/>
      <c r="D9" s="668"/>
      <c r="E9" s="711" t="s">
        <v>135</v>
      </c>
      <c r="G9" s="685" t="s">
        <v>9</v>
      </c>
      <c r="H9" s="662" t="s">
        <v>25</v>
      </c>
    </row>
    <row r="10" spans="1:10" x14ac:dyDescent="0.35">
      <c r="A10" s="662"/>
      <c r="B10" s="666" t="s">
        <v>575</v>
      </c>
      <c r="C10" s="668"/>
      <c r="D10" s="668"/>
      <c r="E10" s="712"/>
      <c r="G10" s="686"/>
      <c r="H10" s="662"/>
    </row>
    <row r="11" spans="1:10" x14ac:dyDescent="0.35">
      <c r="A11" s="33">
        <v>1</v>
      </c>
      <c r="B11" s="667" t="s">
        <v>576</v>
      </c>
      <c r="C11" s="713"/>
      <c r="D11" s="713"/>
      <c r="E11" s="11">
        <f>'Stmt AH'!E19</f>
        <v>100282.34526999999</v>
      </c>
      <c r="G11" s="684" t="s">
        <v>1049</v>
      </c>
      <c r="H11" s="662">
        <f>A11</f>
        <v>1</v>
      </c>
      <c r="I11" s="1944"/>
    </row>
    <row r="12" spans="1:10" x14ac:dyDescent="0.35">
      <c r="A12" s="33">
        <f t="shared" ref="A12:A40" si="0">A11+1</f>
        <v>2</v>
      </c>
      <c r="B12" s="667" t="s">
        <v>10</v>
      </c>
      <c r="C12" s="713"/>
      <c r="D12" s="713"/>
      <c r="E12" s="12" t="s">
        <v>10</v>
      </c>
      <c r="G12" s="684"/>
      <c r="H12" s="33">
        <f t="shared" ref="H12:H40" si="1">H11+1</f>
        <v>2</v>
      </c>
      <c r="I12" s="1944"/>
    </row>
    <row r="13" spans="1:10" x14ac:dyDescent="0.35">
      <c r="A13" s="33">
        <f t="shared" si="0"/>
        <v>3</v>
      </c>
      <c r="B13" s="663" t="s">
        <v>577</v>
      </c>
      <c r="C13" s="713"/>
      <c r="D13" s="713"/>
      <c r="E13" s="13">
        <f>'Stmt AH'!E41</f>
        <v>98092.337878637874</v>
      </c>
      <c r="F13" s="1941"/>
      <c r="G13" s="684" t="s">
        <v>1050</v>
      </c>
      <c r="H13" s="33">
        <f t="shared" si="1"/>
        <v>3</v>
      </c>
      <c r="I13" s="1944"/>
    </row>
    <row r="14" spans="1:10" x14ac:dyDescent="0.35">
      <c r="A14" s="33">
        <f t="shared" si="0"/>
        <v>4</v>
      </c>
      <c r="B14" s="667"/>
      <c r="C14" s="713"/>
      <c r="D14" s="713"/>
      <c r="E14" s="12"/>
      <c r="F14" s="1941"/>
      <c r="G14" s="684"/>
      <c r="H14" s="33">
        <f t="shared" si="1"/>
        <v>4</v>
      </c>
      <c r="J14" s="714"/>
    </row>
    <row r="15" spans="1:10" x14ac:dyDescent="0.35">
      <c r="A15" s="33">
        <f t="shared" si="0"/>
        <v>5</v>
      </c>
      <c r="B15" s="667" t="s">
        <v>214</v>
      </c>
      <c r="C15" s="713"/>
      <c r="D15" s="713"/>
      <c r="E15" s="14">
        <f>-'Stmt AH'!E26</f>
        <v>0</v>
      </c>
      <c r="G15" s="684" t="s">
        <v>1051</v>
      </c>
      <c r="H15" s="33">
        <f t="shared" si="1"/>
        <v>5</v>
      </c>
      <c r="J15" s="714"/>
    </row>
    <row r="16" spans="1:10" x14ac:dyDescent="0.35">
      <c r="A16" s="33">
        <f t="shared" si="0"/>
        <v>6</v>
      </c>
      <c r="B16" s="667" t="s">
        <v>578</v>
      </c>
      <c r="C16" s="713"/>
      <c r="D16" s="713"/>
      <c r="E16" s="15">
        <f>E11+E13+E15</f>
        <v>198374.68314863788</v>
      </c>
      <c r="F16" s="1941"/>
      <c r="G16" s="684" t="s">
        <v>1048</v>
      </c>
      <c r="H16" s="33">
        <f t="shared" si="1"/>
        <v>6</v>
      </c>
      <c r="I16" s="715"/>
      <c r="J16" s="714"/>
    </row>
    <row r="17" spans="1:9" x14ac:dyDescent="0.35">
      <c r="A17" s="33">
        <f t="shared" si="0"/>
        <v>7</v>
      </c>
      <c r="B17" s="668"/>
      <c r="C17" s="668"/>
      <c r="D17" s="668"/>
      <c r="E17" s="16"/>
      <c r="G17" s="684"/>
      <c r="H17" s="33">
        <f t="shared" si="1"/>
        <v>7</v>
      </c>
    </row>
    <row r="18" spans="1:9" x14ac:dyDescent="0.35">
      <c r="A18" s="33">
        <f t="shared" si="0"/>
        <v>8</v>
      </c>
      <c r="B18" s="1942" t="s">
        <v>579</v>
      </c>
      <c r="C18" s="713"/>
      <c r="D18" s="713"/>
      <c r="E18" s="17">
        <f>'Stmt AJ'!E27</f>
        <v>241768.75874268185</v>
      </c>
      <c r="F18" s="683"/>
      <c r="G18" s="684" t="s">
        <v>1052</v>
      </c>
      <c r="H18" s="33">
        <f t="shared" si="1"/>
        <v>8</v>
      </c>
    </row>
    <row r="19" spans="1:9" x14ac:dyDescent="0.35">
      <c r="A19" s="33">
        <f t="shared" si="0"/>
        <v>9</v>
      </c>
      <c r="B19" s="668"/>
      <c r="C19" s="668"/>
      <c r="D19" s="668"/>
      <c r="E19" s="18" t="s">
        <v>10</v>
      </c>
      <c r="G19" s="684"/>
      <c r="H19" s="33">
        <f t="shared" si="1"/>
        <v>9</v>
      </c>
    </row>
    <row r="20" spans="1:9" ht="18" x14ac:dyDescent="0.35">
      <c r="A20" s="33">
        <f t="shared" si="0"/>
        <v>10</v>
      </c>
      <c r="B20" s="1942" t="s">
        <v>905</v>
      </c>
      <c r="C20" s="668"/>
      <c r="D20" s="668"/>
      <c r="E20" s="19">
        <f>'Stmt AJ'!E33</f>
        <v>0</v>
      </c>
      <c r="G20" s="684" t="s">
        <v>1053</v>
      </c>
      <c r="H20" s="33">
        <f t="shared" si="1"/>
        <v>10</v>
      </c>
      <c r="I20" s="1944"/>
    </row>
    <row r="21" spans="1:9" x14ac:dyDescent="0.35">
      <c r="A21" s="33">
        <f t="shared" si="0"/>
        <v>11</v>
      </c>
      <c r="B21" s="668"/>
      <c r="C21" s="668"/>
      <c r="D21" s="668"/>
      <c r="E21" s="18"/>
      <c r="G21" s="684"/>
      <c r="H21" s="33">
        <f t="shared" si="1"/>
        <v>11</v>
      </c>
    </row>
    <row r="22" spans="1:9" x14ac:dyDescent="0.35">
      <c r="A22" s="33">
        <f t="shared" si="0"/>
        <v>12</v>
      </c>
      <c r="B22" s="1942" t="s">
        <v>358</v>
      </c>
      <c r="C22" s="713"/>
      <c r="D22" s="713"/>
      <c r="E22" s="13">
        <f>'Stmt AK'!E23</f>
        <v>63662.727644327359</v>
      </c>
      <c r="F22" s="1941"/>
      <c r="G22" s="684" t="s">
        <v>1054</v>
      </c>
      <c r="H22" s="33">
        <f t="shared" si="1"/>
        <v>12</v>
      </c>
      <c r="I22" s="1944"/>
    </row>
    <row r="23" spans="1:9" x14ac:dyDescent="0.35">
      <c r="A23" s="33">
        <f t="shared" si="0"/>
        <v>13</v>
      </c>
      <c r="B23" s="663"/>
      <c r="C23" s="713"/>
      <c r="D23" s="713"/>
      <c r="E23" s="20"/>
      <c r="G23" s="684"/>
      <c r="H23" s="33">
        <f t="shared" si="1"/>
        <v>13</v>
      </c>
    </row>
    <row r="24" spans="1:9" x14ac:dyDescent="0.35">
      <c r="A24" s="33">
        <f t="shared" si="0"/>
        <v>14</v>
      </c>
      <c r="B24" s="1942" t="s">
        <v>359</v>
      </c>
      <c r="C24" s="713"/>
      <c r="D24" s="713"/>
      <c r="E24" s="21">
        <f>'Stmt AK'!E30</f>
        <v>3394.3201018580767</v>
      </c>
      <c r="F24" s="1941"/>
      <c r="G24" s="684" t="s">
        <v>1055</v>
      </c>
      <c r="H24" s="33">
        <f t="shared" si="1"/>
        <v>14</v>
      </c>
      <c r="I24" s="1944"/>
    </row>
    <row r="25" spans="1:9" x14ac:dyDescent="0.35">
      <c r="A25" s="33">
        <f t="shared" si="0"/>
        <v>15</v>
      </c>
      <c r="B25" s="663" t="s">
        <v>580</v>
      </c>
      <c r="C25" s="713"/>
      <c r="D25" s="713"/>
      <c r="E25" s="22">
        <f>SUM(E16+E18+E20+E22+E24)</f>
        <v>507200.48963750509</v>
      </c>
      <c r="F25" s="1941"/>
      <c r="G25" s="684" t="s">
        <v>1186</v>
      </c>
      <c r="H25" s="33">
        <f t="shared" si="1"/>
        <v>15</v>
      </c>
    </row>
    <row r="26" spans="1:9" x14ac:dyDescent="0.35">
      <c r="A26" s="33">
        <f t="shared" si="0"/>
        <v>16</v>
      </c>
      <c r="B26" s="663"/>
      <c r="C26" s="716"/>
      <c r="D26" s="716"/>
      <c r="E26" s="23"/>
      <c r="F26" s="681"/>
      <c r="G26" s="686"/>
      <c r="H26" s="33">
        <f t="shared" si="1"/>
        <v>16</v>
      </c>
    </row>
    <row r="27" spans="1:9" ht="17.5" x14ac:dyDescent="0.35">
      <c r="A27" s="33">
        <f t="shared" si="0"/>
        <v>17</v>
      </c>
      <c r="B27" s="663" t="s">
        <v>1393</v>
      </c>
      <c r="C27" s="716"/>
      <c r="D27" s="716"/>
      <c r="E27" s="24">
        <f>'Stmt AV'!G148</f>
        <v>9.5314045924090818E-2</v>
      </c>
      <c r="F27" s="681"/>
      <c r="G27" s="662" t="s">
        <v>1496</v>
      </c>
      <c r="H27" s="33">
        <f t="shared" si="1"/>
        <v>17</v>
      </c>
    </row>
    <row r="28" spans="1:9" x14ac:dyDescent="0.35">
      <c r="A28" s="33">
        <f t="shared" si="0"/>
        <v>18</v>
      </c>
      <c r="B28" s="663" t="s">
        <v>581</v>
      </c>
      <c r="C28" s="716"/>
      <c r="D28" s="716"/>
      <c r="E28" s="25">
        <f>E136</f>
        <v>4874468.4481280427</v>
      </c>
      <c r="F28" s="681"/>
      <c r="G28" s="684" t="s">
        <v>1264</v>
      </c>
      <c r="H28" s="33">
        <f t="shared" si="1"/>
        <v>18</v>
      </c>
    </row>
    <row r="29" spans="1:9" x14ac:dyDescent="0.35">
      <c r="A29" s="33">
        <f t="shared" si="0"/>
        <v>19</v>
      </c>
      <c r="B29" s="668" t="s">
        <v>1258</v>
      </c>
      <c r="C29" s="716"/>
      <c r="D29" s="716"/>
      <c r="E29" s="26">
        <f>E28*E27</f>
        <v>464605.30952040799</v>
      </c>
      <c r="F29" s="681"/>
      <c r="G29" s="684" t="s">
        <v>1187</v>
      </c>
      <c r="H29" s="33">
        <f t="shared" si="1"/>
        <v>19</v>
      </c>
    </row>
    <row r="30" spans="1:9" x14ac:dyDescent="0.35">
      <c r="A30" s="33">
        <f t="shared" si="0"/>
        <v>20</v>
      </c>
      <c r="B30" s="668"/>
      <c r="C30" s="716"/>
      <c r="D30" s="716"/>
      <c r="E30" s="23"/>
      <c r="F30" s="681"/>
      <c r="G30" s="686"/>
      <c r="H30" s="33">
        <f t="shared" si="1"/>
        <v>20</v>
      </c>
    </row>
    <row r="31" spans="1:9" ht="17.5" x14ac:dyDescent="0.35">
      <c r="A31" s="33">
        <f t="shared" si="0"/>
        <v>21</v>
      </c>
      <c r="B31" s="663" t="s">
        <v>1394</v>
      </c>
      <c r="C31" s="713"/>
      <c r="D31" s="12"/>
      <c r="E31" s="24">
        <f>'Stmt AV'!G182</f>
        <v>3.9113461135350091E-3</v>
      </c>
      <c r="F31" s="1941"/>
      <c r="G31" s="684" t="s">
        <v>1497</v>
      </c>
      <c r="H31" s="33">
        <f t="shared" si="1"/>
        <v>21</v>
      </c>
      <c r="I31" s="1944"/>
    </row>
    <row r="32" spans="1:9" x14ac:dyDescent="0.35">
      <c r="A32" s="33">
        <f t="shared" si="0"/>
        <v>22</v>
      </c>
      <c r="B32" s="663" t="s">
        <v>581</v>
      </c>
      <c r="C32" s="713"/>
      <c r="D32" s="713"/>
      <c r="E32" s="25">
        <f>E136-E119</f>
        <v>4874468.4481280427</v>
      </c>
      <c r="F32" s="1941"/>
      <c r="G32" s="684" t="s">
        <v>1428</v>
      </c>
      <c r="H32" s="33">
        <f t="shared" si="1"/>
        <v>22</v>
      </c>
    </row>
    <row r="33" spans="1:9" x14ac:dyDescent="0.35">
      <c r="A33" s="33">
        <f t="shared" si="0"/>
        <v>23</v>
      </c>
      <c r="B33" s="668" t="s">
        <v>1259</v>
      </c>
      <c r="C33" s="668"/>
      <c r="D33" s="668"/>
      <c r="E33" s="26">
        <f>E32*E31</f>
        <v>19065.733220134647</v>
      </c>
      <c r="F33" s="1941"/>
      <c r="G33" s="684" t="s">
        <v>1235</v>
      </c>
      <c r="H33" s="33">
        <f t="shared" si="1"/>
        <v>23</v>
      </c>
    </row>
    <row r="34" spans="1:9" x14ac:dyDescent="0.35">
      <c r="A34" s="33">
        <f t="shared" si="0"/>
        <v>24</v>
      </c>
      <c r="B34" s="668"/>
      <c r="C34" s="668"/>
      <c r="D34" s="668"/>
      <c r="E34" s="15"/>
      <c r="G34" s="684"/>
      <c r="H34" s="33">
        <f t="shared" si="1"/>
        <v>24</v>
      </c>
    </row>
    <row r="35" spans="1:9" x14ac:dyDescent="0.35">
      <c r="A35" s="33">
        <f t="shared" si="0"/>
        <v>25</v>
      </c>
      <c r="B35" s="668" t="s">
        <v>712</v>
      </c>
      <c r="C35" s="668"/>
      <c r="D35" s="668"/>
      <c r="E35" s="27">
        <f>'Stmt AQ'!E13</f>
        <v>1304.0991895338727</v>
      </c>
      <c r="F35" s="668"/>
      <c r="G35" s="33" t="s">
        <v>1355</v>
      </c>
      <c r="H35" s="33">
        <f t="shared" si="1"/>
        <v>25</v>
      </c>
      <c r="I35" s="1944"/>
    </row>
    <row r="36" spans="1:9" x14ac:dyDescent="0.35">
      <c r="A36" s="33">
        <f t="shared" si="0"/>
        <v>26</v>
      </c>
      <c r="B36" s="668" t="s">
        <v>582</v>
      </c>
      <c r="C36" s="668"/>
      <c r="D36" s="668"/>
      <c r="E36" s="28">
        <f>'Stmt AU'!E23</f>
        <v>-5774.4090000000006</v>
      </c>
      <c r="F36" s="1941"/>
      <c r="G36" s="684" t="s">
        <v>1056</v>
      </c>
      <c r="H36" s="33">
        <f t="shared" si="1"/>
        <v>26</v>
      </c>
      <c r="I36" s="1944"/>
    </row>
    <row r="37" spans="1:9" x14ac:dyDescent="0.35">
      <c r="A37" s="33">
        <f t="shared" si="0"/>
        <v>27</v>
      </c>
      <c r="B37" s="668" t="s">
        <v>895</v>
      </c>
      <c r="C37" s="668"/>
      <c r="D37" s="668"/>
      <c r="E37" s="29">
        <f>'Stmt Misc.'!E10</f>
        <v>0</v>
      </c>
      <c r="G37" s="684" t="s">
        <v>1057</v>
      </c>
      <c r="H37" s="33">
        <f t="shared" si="1"/>
        <v>27</v>
      </c>
    </row>
    <row r="38" spans="1:9" x14ac:dyDescent="0.35">
      <c r="A38" s="33">
        <f t="shared" si="0"/>
        <v>28</v>
      </c>
      <c r="B38" s="669" t="s">
        <v>583</v>
      </c>
      <c r="C38" s="668"/>
      <c r="D38" s="668"/>
      <c r="E38" s="30">
        <f>'Stmt AU'!E25</f>
        <v>0</v>
      </c>
      <c r="G38" s="684" t="s">
        <v>1058</v>
      </c>
      <c r="H38" s="33">
        <f t="shared" si="1"/>
        <v>28</v>
      </c>
      <c r="I38" s="1944"/>
    </row>
    <row r="39" spans="1:9" x14ac:dyDescent="0.35">
      <c r="A39" s="33">
        <f t="shared" si="0"/>
        <v>29</v>
      </c>
      <c r="C39" s="668"/>
      <c r="D39" s="668"/>
      <c r="E39" s="18" t="s">
        <v>10</v>
      </c>
      <c r="G39" s="684"/>
      <c r="H39" s="33">
        <f t="shared" si="1"/>
        <v>29</v>
      </c>
      <c r="I39" s="1944"/>
    </row>
    <row r="40" spans="1:9" ht="18" thickBot="1" x14ac:dyDescent="0.4">
      <c r="A40" s="33">
        <f t="shared" si="0"/>
        <v>30</v>
      </c>
      <c r="B40" s="668" t="s">
        <v>877</v>
      </c>
      <c r="C40" s="716"/>
      <c r="D40" s="716"/>
      <c r="E40" s="31">
        <f>E29+E33+E25+SUM(E35:E38)</f>
        <v>986401.22256758157</v>
      </c>
      <c r="F40" s="1941"/>
      <c r="G40" s="684" t="s">
        <v>1236</v>
      </c>
      <c r="H40" s="33">
        <f t="shared" si="1"/>
        <v>30</v>
      </c>
      <c r="I40" s="1944"/>
    </row>
    <row r="41" spans="1:9" ht="16" thickTop="1" x14ac:dyDescent="0.35">
      <c r="A41" s="33"/>
      <c r="B41" s="668"/>
      <c r="C41" s="716"/>
      <c r="D41" s="716"/>
      <c r="E41" s="32"/>
      <c r="F41" s="1941"/>
      <c r="G41" s="684"/>
      <c r="H41" s="33"/>
      <c r="I41" s="1944"/>
    </row>
    <row r="42" spans="1:9" x14ac:dyDescent="0.35">
      <c r="A42" s="662"/>
      <c r="B42" s="668"/>
      <c r="C42" s="716"/>
      <c r="D42" s="716"/>
      <c r="E42" s="32"/>
      <c r="F42" s="1941"/>
      <c r="G42" s="684"/>
      <c r="H42" s="662"/>
      <c r="I42" s="1944"/>
    </row>
    <row r="43" spans="1:9" ht="18" x14ac:dyDescent="0.35">
      <c r="A43" s="682">
        <v>1</v>
      </c>
      <c r="B43" s="1942" t="s">
        <v>587</v>
      </c>
      <c r="C43" s="716"/>
      <c r="D43" s="716"/>
      <c r="E43" s="32"/>
      <c r="F43" s="1941"/>
      <c r="G43" s="684"/>
      <c r="H43" s="662"/>
      <c r="I43" s="1944"/>
    </row>
    <row r="44" spans="1:9" ht="18" x14ac:dyDescent="0.35">
      <c r="A44" s="682"/>
      <c r="C44" s="716"/>
      <c r="D44" s="716"/>
      <c r="E44" s="32"/>
      <c r="F44" s="1941"/>
      <c r="G44" s="684"/>
      <c r="H44" s="662"/>
      <c r="I44" s="1944"/>
    </row>
    <row r="45" spans="1:9" x14ac:dyDescent="0.35">
      <c r="A45" s="662"/>
      <c r="B45" s="668"/>
      <c r="C45" s="716"/>
      <c r="D45" s="716"/>
      <c r="E45" s="32"/>
      <c r="F45" s="1941"/>
      <c r="G45" s="684"/>
      <c r="H45" s="662"/>
      <c r="I45" s="1944"/>
    </row>
    <row r="46" spans="1:9" x14ac:dyDescent="0.35">
      <c r="A46" s="662"/>
      <c r="B46" s="2281" t="s">
        <v>18</v>
      </c>
      <c r="C46" s="2278"/>
      <c r="D46" s="2278"/>
      <c r="E46" s="2278"/>
      <c r="F46" s="2278"/>
      <c r="G46" s="2278"/>
      <c r="H46" s="662"/>
      <c r="I46" s="1944"/>
    </row>
    <row r="47" spans="1:9" x14ac:dyDescent="0.35">
      <c r="A47" s="662"/>
      <c r="B47" s="2281" t="s">
        <v>573</v>
      </c>
      <c r="C47" s="2278"/>
      <c r="D47" s="2278"/>
      <c r="E47" s="2278"/>
      <c r="F47" s="2278"/>
      <c r="G47" s="2278"/>
      <c r="H47" s="662"/>
      <c r="I47" s="1944"/>
    </row>
    <row r="48" spans="1:9" ht="18" x14ac:dyDescent="0.35">
      <c r="A48" s="662"/>
      <c r="B48" s="2281" t="s">
        <v>574</v>
      </c>
      <c r="C48" s="2282"/>
      <c r="D48" s="2282"/>
      <c r="E48" s="2282"/>
      <c r="F48" s="2282"/>
      <c r="G48" s="2282"/>
      <c r="H48" s="662"/>
      <c r="I48" s="1944"/>
    </row>
    <row r="49" spans="1:9" x14ac:dyDescent="0.35">
      <c r="A49" s="662"/>
      <c r="B49" s="2283" t="str">
        <f>B5</f>
        <v>For the Base Period &amp; True-Up Period Ending December 31, 2021</v>
      </c>
      <c r="C49" s="2284"/>
      <c r="D49" s="2284"/>
      <c r="E49" s="2284"/>
      <c r="F49" s="2284"/>
      <c r="G49" s="2284"/>
      <c r="H49" s="662"/>
      <c r="I49" s="1944"/>
    </row>
    <row r="50" spans="1:9" x14ac:dyDescent="0.35">
      <c r="A50" s="662"/>
      <c r="B50" s="2277" t="s">
        <v>2</v>
      </c>
      <c r="C50" s="2278"/>
      <c r="D50" s="2278"/>
      <c r="E50" s="2278"/>
      <c r="F50" s="2278"/>
      <c r="G50" s="2278"/>
      <c r="H50" s="662"/>
      <c r="I50" s="1944"/>
    </row>
    <row r="51" spans="1:9" x14ac:dyDescent="0.35">
      <c r="A51" s="662"/>
      <c r="B51" s="668"/>
      <c r="C51" s="716"/>
      <c r="D51" s="716"/>
      <c r="E51" s="32"/>
      <c r="F51" s="1941"/>
      <c r="G51" s="684"/>
      <c r="H51" s="662"/>
      <c r="I51" s="1944"/>
    </row>
    <row r="52" spans="1:9" x14ac:dyDescent="0.35">
      <c r="A52" s="662" t="s">
        <v>3</v>
      </c>
      <c r="B52" s="664"/>
      <c r="C52" s="664"/>
      <c r="D52" s="664"/>
      <c r="E52" s="54"/>
      <c r="G52" s="684"/>
      <c r="H52" s="662" t="s">
        <v>3</v>
      </c>
      <c r="I52" s="1944"/>
    </row>
    <row r="53" spans="1:9" x14ac:dyDescent="0.35">
      <c r="A53" s="662" t="s">
        <v>25</v>
      </c>
      <c r="B53" s="665" t="s">
        <v>10</v>
      </c>
      <c r="C53" s="668"/>
      <c r="D53" s="668"/>
      <c r="E53" s="711" t="s">
        <v>135</v>
      </c>
      <c r="G53" s="685" t="s">
        <v>9</v>
      </c>
      <c r="H53" s="662" t="s">
        <v>25</v>
      </c>
      <c r="I53" s="1944"/>
    </row>
    <row r="54" spans="1:9" ht="18" x14ac:dyDescent="0.35">
      <c r="A54" s="662"/>
      <c r="B54" s="666" t="s">
        <v>944</v>
      </c>
      <c r="C54" s="668"/>
      <c r="D54" s="668"/>
      <c r="E54" s="33"/>
      <c r="G54" s="684"/>
      <c r="H54" s="662"/>
      <c r="I54" s="1944"/>
    </row>
    <row r="55" spans="1:9" x14ac:dyDescent="0.35">
      <c r="A55" s="662">
        <v>1</v>
      </c>
      <c r="B55" s="667" t="s">
        <v>508</v>
      </c>
      <c r="C55" s="716"/>
      <c r="D55" s="716"/>
      <c r="E55" s="34">
        <f>'Stmt AJ'!E29</f>
        <v>0</v>
      </c>
      <c r="F55" s="681"/>
      <c r="G55" s="684" t="s">
        <v>1059</v>
      </c>
      <c r="H55" s="662">
        <f>A55</f>
        <v>1</v>
      </c>
      <c r="I55" s="1944"/>
    </row>
    <row r="56" spans="1:9" x14ac:dyDescent="0.35">
      <c r="A56" s="662">
        <f t="shared" ref="A56:A93" si="2">A55+1</f>
        <v>2</v>
      </c>
      <c r="B56" s="663"/>
      <c r="C56" s="716"/>
      <c r="D56" s="716"/>
      <c r="E56" s="32"/>
      <c r="F56" s="681"/>
      <c r="G56" s="686"/>
      <c r="H56" s="662">
        <f t="shared" ref="H56:H93" si="3">H55+1</f>
        <v>2</v>
      </c>
    </row>
    <row r="57" spans="1:9" ht="18" x14ac:dyDescent="0.35">
      <c r="A57" s="662">
        <f t="shared" si="2"/>
        <v>3</v>
      </c>
      <c r="B57" s="663" t="s">
        <v>1395</v>
      </c>
      <c r="C57" s="713"/>
      <c r="D57" s="713"/>
      <c r="E57" s="24">
        <f>IFERROR('Stmt AV'!G225,0)</f>
        <v>1.6599077318567683E-2</v>
      </c>
      <c r="F57" s="717"/>
      <c r="G57" s="684" t="s">
        <v>1498</v>
      </c>
      <c r="H57" s="662">
        <f t="shared" si="3"/>
        <v>3</v>
      </c>
    </row>
    <row r="58" spans="1:9" x14ac:dyDescent="0.35">
      <c r="A58" s="662">
        <f t="shared" si="2"/>
        <v>4</v>
      </c>
      <c r="B58" s="670" t="s">
        <v>585</v>
      </c>
      <c r="C58" s="713"/>
      <c r="D58" s="713"/>
      <c r="E58" s="25">
        <f>'BK-1 Retail TRR'!E141</f>
        <v>0</v>
      </c>
      <c r="G58" s="684" t="s">
        <v>1265</v>
      </c>
      <c r="H58" s="662">
        <f t="shared" si="3"/>
        <v>4</v>
      </c>
    </row>
    <row r="59" spans="1:9" x14ac:dyDescent="0.35">
      <c r="A59" s="662">
        <f t="shared" si="2"/>
        <v>5</v>
      </c>
      <c r="B59" s="668" t="s">
        <v>1262</v>
      </c>
      <c r="C59" s="668"/>
      <c r="D59" s="668"/>
      <c r="E59" s="35">
        <f>E58*E57</f>
        <v>0</v>
      </c>
      <c r="G59" s="684" t="s">
        <v>1274</v>
      </c>
      <c r="H59" s="662">
        <f t="shared" si="3"/>
        <v>5</v>
      </c>
    </row>
    <row r="60" spans="1:9" x14ac:dyDescent="0.35">
      <c r="A60" s="662">
        <f t="shared" si="2"/>
        <v>6</v>
      </c>
      <c r="B60" s="668"/>
      <c r="C60" s="668"/>
      <c r="D60" s="668"/>
      <c r="E60" s="1661"/>
      <c r="G60" s="684"/>
      <c r="H60" s="662">
        <f t="shared" si="3"/>
        <v>6</v>
      </c>
    </row>
    <row r="61" spans="1:9" ht="17.5" x14ac:dyDescent="0.35">
      <c r="A61" s="662">
        <f t="shared" si="2"/>
        <v>7</v>
      </c>
      <c r="B61" s="663" t="s">
        <v>1394</v>
      </c>
      <c r="C61" s="668"/>
      <c r="D61" s="668"/>
      <c r="E61" s="24">
        <f>IFERROR('Stmt AV'!G259,0)</f>
        <v>0</v>
      </c>
      <c r="G61" s="684" t="s">
        <v>1499</v>
      </c>
      <c r="H61" s="662">
        <f t="shared" si="3"/>
        <v>7</v>
      </c>
    </row>
    <row r="62" spans="1:9" x14ac:dyDescent="0.35">
      <c r="A62" s="662">
        <f t="shared" si="2"/>
        <v>8</v>
      </c>
      <c r="B62" s="670" t="s">
        <v>585</v>
      </c>
      <c r="C62" s="668"/>
      <c r="D62" s="668"/>
      <c r="E62" s="25">
        <f>'BK-1 Retail TRR'!E141</f>
        <v>0</v>
      </c>
      <c r="G62" s="684" t="s">
        <v>1265</v>
      </c>
      <c r="H62" s="662">
        <f t="shared" si="3"/>
        <v>8</v>
      </c>
    </row>
    <row r="63" spans="1:9" x14ac:dyDescent="0.35">
      <c r="A63" s="662">
        <f t="shared" si="2"/>
        <v>9</v>
      </c>
      <c r="B63" s="668" t="s">
        <v>1259</v>
      </c>
      <c r="C63" s="668"/>
      <c r="D63" s="668"/>
      <c r="E63" s="35">
        <f>E62*E61</f>
        <v>0</v>
      </c>
      <c r="G63" s="684" t="s">
        <v>1275</v>
      </c>
      <c r="H63" s="662">
        <f t="shared" si="3"/>
        <v>9</v>
      </c>
    </row>
    <row r="64" spans="1:9" x14ac:dyDescent="0.35">
      <c r="A64" s="662">
        <f t="shared" si="2"/>
        <v>10</v>
      </c>
      <c r="B64" s="668"/>
      <c r="C64" s="668"/>
      <c r="D64" s="668"/>
      <c r="E64" s="1661"/>
      <c r="G64" s="684"/>
      <c r="H64" s="662">
        <f t="shared" si="3"/>
        <v>10</v>
      </c>
    </row>
    <row r="65" spans="1:9" ht="16" thickBot="1" x14ac:dyDescent="0.4">
      <c r="A65" s="662">
        <f t="shared" si="2"/>
        <v>11</v>
      </c>
      <c r="B65" s="668" t="s">
        <v>878</v>
      </c>
      <c r="C65" s="668"/>
      <c r="D65" s="668"/>
      <c r="E65" s="36">
        <f>E55+E59+E63</f>
        <v>0</v>
      </c>
      <c r="G65" s="684" t="s">
        <v>1276</v>
      </c>
      <c r="H65" s="662">
        <f t="shared" si="3"/>
        <v>11</v>
      </c>
    </row>
    <row r="66" spans="1:9" ht="16" thickTop="1" x14ac:dyDescent="0.35">
      <c r="A66" s="662">
        <f t="shared" si="2"/>
        <v>12</v>
      </c>
      <c r="B66" s="668"/>
      <c r="C66" s="668"/>
      <c r="D66" s="668"/>
      <c r="E66" s="22"/>
      <c r="G66" s="684"/>
      <c r="H66" s="662">
        <f t="shared" si="3"/>
        <v>12</v>
      </c>
    </row>
    <row r="67" spans="1:9" ht="18" x14ac:dyDescent="0.35">
      <c r="A67" s="662">
        <f t="shared" si="2"/>
        <v>13</v>
      </c>
      <c r="B67" s="671" t="s">
        <v>943</v>
      </c>
      <c r="C67" s="668"/>
      <c r="D67" s="668"/>
      <c r="E67" s="22"/>
      <c r="G67" s="684"/>
      <c r="H67" s="662">
        <f t="shared" si="3"/>
        <v>13</v>
      </c>
    </row>
    <row r="68" spans="1:9" x14ac:dyDescent="0.35">
      <c r="A68" s="662">
        <f t="shared" si="2"/>
        <v>14</v>
      </c>
      <c r="B68" s="667" t="s">
        <v>510</v>
      </c>
      <c r="C68" s="668"/>
      <c r="D68" s="668"/>
      <c r="E68" s="37">
        <f>'Stmt AJ'!E31</f>
        <v>0</v>
      </c>
      <c r="G68" s="684" t="s">
        <v>1060</v>
      </c>
      <c r="H68" s="662">
        <f t="shared" si="3"/>
        <v>14</v>
      </c>
    </row>
    <row r="69" spans="1:9" x14ac:dyDescent="0.35">
      <c r="A69" s="662">
        <f t="shared" si="2"/>
        <v>15</v>
      </c>
      <c r="B69" s="667"/>
      <c r="C69" s="668"/>
      <c r="D69" s="668"/>
      <c r="E69" s="38"/>
      <c r="G69" s="684"/>
      <c r="H69" s="662">
        <f t="shared" si="3"/>
        <v>15</v>
      </c>
    </row>
    <row r="70" spans="1:9" x14ac:dyDescent="0.35">
      <c r="A70" s="662">
        <f t="shared" si="2"/>
        <v>16</v>
      </c>
      <c r="B70" s="667" t="s">
        <v>586</v>
      </c>
      <c r="C70" s="668"/>
      <c r="D70" s="668"/>
      <c r="E70" s="37">
        <f>E146</f>
        <v>0</v>
      </c>
      <c r="G70" s="33" t="s">
        <v>1266</v>
      </c>
      <c r="H70" s="662">
        <f t="shared" si="3"/>
        <v>16</v>
      </c>
    </row>
    <row r="71" spans="1:9" ht="17.5" x14ac:dyDescent="0.35">
      <c r="A71" s="662">
        <f t="shared" si="2"/>
        <v>17</v>
      </c>
      <c r="B71" s="663" t="s">
        <v>1393</v>
      </c>
      <c r="C71" s="713"/>
      <c r="D71" s="12"/>
      <c r="E71" s="39">
        <f>'Stmt AV'!G148</f>
        <v>9.5314045924090818E-2</v>
      </c>
      <c r="F71" s="1941"/>
      <c r="G71" s="662" t="s">
        <v>1496</v>
      </c>
      <c r="H71" s="662">
        <f t="shared" si="3"/>
        <v>17</v>
      </c>
    </row>
    <row r="72" spans="1:9" x14ac:dyDescent="0.35">
      <c r="A72" s="662">
        <f t="shared" si="2"/>
        <v>18</v>
      </c>
      <c r="B72" s="668" t="s">
        <v>1311</v>
      </c>
      <c r="C72" s="668"/>
      <c r="D72" s="668"/>
      <c r="E72" s="35">
        <f>E70*E71</f>
        <v>0</v>
      </c>
      <c r="G72" s="684" t="s">
        <v>1277</v>
      </c>
      <c r="H72" s="662">
        <f t="shared" si="3"/>
        <v>18</v>
      </c>
    </row>
    <row r="73" spans="1:9" x14ac:dyDescent="0.35">
      <c r="A73" s="662">
        <f t="shared" si="2"/>
        <v>19</v>
      </c>
      <c r="B73" s="668"/>
      <c r="C73" s="668"/>
      <c r="D73" s="668"/>
      <c r="E73" s="1661"/>
      <c r="G73" s="684"/>
      <c r="H73" s="662">
        <f t="shared" si="3"/>
        <v>19</v>
      </c>
      <c r="I73" s="668"/>
    </row>
    <row r="74" spans="1:9" x14ac:dyDescent="0.35">
      <c r="A74" s="662">
        <f t="shared" si="2"/>
        <v>20</v>
      </c>
      <c r="B74" s="667" t="s">
        <v>586</v>
      </c>
      <c r="C74" s="668"/>
      <c r="D74" s="668"/>
      <c r="E74" s="37">
        <f>E146</f>
        <v>0</v>
      </c>
      <c r="G74" s="33" t="s">
        <v>1266</v>
      </c>
      <c r="H74" s="662">
        <f t="shared" si="3"/>
        <v>20</v>
      </c>
      <c r="I74" s="668"/>
    </row>
    <row r="75" spans="1:9" ht="17.5" x14ac:dyDescent="0.35">
      <c r="A75" s="662">
        <f t="shared" si="2"/>
        <v>21</v>
      </c>
      <c r="B75" s="663" t="s">
        <v>1394</v>
      </c>
      <c r="C75" s="1664"/>
      <c r="D75" s="12"/>
      <c r="E75" s="1722">
        <v>0</v>
      </c>
      <c r="F75" s="665"/>
      <c r="G75" s="684" t="s">
        <v>151</v>
      </c>
      <c r="H75" s="662">
        <f t="shared" si="3"/>
        <v>21</v>
      </c>
      <c r="I75" s="1664"/>
    </row>
    <row r="76" spans="1:9" x14ac:dyDescent="0.35">
      <c r="A76" s="662">
        <f t="shared" si="2"/>
        <v>22</v>
      </c>
      <c r="B76" s="668" t="s">
        <v>1312</v>
      </c>
      <c r="C76" s="668"/>
      <c r="D76" s="668"/>
      <c r="E76" s="35">
        <f>E74*E75</f>
        <v>0</v>
      </c>
      <c r="G76" s="684" t="s">
        <v>1278</v>
      </c>
      <c r="H76" s="662">
        <f t="shared" si="3"/>
        <v>22</v>
      </c>
      <c r="I76" s="668"/>
    </row>
    <row r="77" spans="1:9" x14ac:dyDescent="0.35">
      <c r="A77" s="662">
        <f t="shared" si="2"/>
        <v>23</v>
      </c>
      <c r="B77" s="668"/>
      <c r="C77" s="668"/>
      <c r="D77" s="668"/>
      <c r="E77" s="22"/>
      <c r="F77" s="668"/>
      <c r="G77" s="33"/>
      <c r="H77" s="662">
        <f t="shared" si="3"/>
        <v>23</v>
      </c>
      <c r="I77" s="668"/>
    </row>
    <row r="78" spans="1:9" ht="16" thickBot="1" x14ac:dyDescent="0.4">
      <c r="A78" s="662">
        <f t="shared" si="2"/>
        <v>24</v>
      </c>
      <c r="B78" s="668" t="s">
        <v>879</v>
      </c>
      <c r="C78" s="668"/>
      <c r="D78" s="668"/>
      <c r="E78" s="36">
        <f>E68+E72+E76</f>
        <v>0</v>
      </c>
      <c r="G78" s="684" t="s">
        <v>1279</v>
      </c>
      <c r="H78" s="662">
        <f t="shared" si="3"/>
        <v>24</v>
      </c>
      <c r="I78" s="668"/>
    </row>
    <row r="79" spans="1:9" ht="16" thickTop="1" x14ac:dyDescent="0.35">
      <c r="A79" s="662">
        <f t="shared" si="2"/>
        <v>25</v>
      </c>
      <c r="B79" s="668"/>
      <c r="C79" s="668"/>
      <c r="D79" s="668"/>
      <c r="E79" s="22"/>
      <c r="G79" s="684"/>
      <c r="H79" s="662">
        <f t="shared" si="3"/>
        <v>25</v>
      </c>
      <c r="I79" s="668"/>
    </row>
    <row r="80" spans="1:9" ht="18" x14ac:dyDescent="0.35">
      <c r="A80" s="662">
        <f t="shared" si="2"/>
        <v>26</v>
      </c>
      <c r="B80" s="672" t="s">
        <v>941</v>
      </c>
      <c r="C80" s="716"/>
      <c r="D80" s="716"/>
      <c r="E80" s="32"/>
      <c r="F80" s="681"/>
      <c r="G80" s="686"/>
      <c r="H80" s="662">
        <f t="shared" si="3"/>
        <v>26</v>
      </c>
    </row>
    <row r="81" spans="1:8" x14ac:dyDescent="0.35">
      <c r="A81" s="662">
        <f t="shared" si="2"/>
        <v>27</v>
      </c>
      <c r="B81" s="664" t="s">
        <v>942</v>
      </c>
      <c r="C81" s="716"/>
      <c r="D81" s="716"/>
      <c r="E81" s="34">
        <f>E148</f>
        <v>0</v>
      </c>
      <c r="F81" s="681"/>
      <c r="G81" s="684" t="s">
        <v>1267</v>
      </c>
      <c r="H81" s="662">
        <f t="shared" si="3"/>
        <v>27</v>
      </c>
    </row>
    <row r="82" spans="1:8" ht="17.5" x14ac:dyDescent="0.35">
      <c r="A82" s="662">
        <f t="shared" si="2"/>
        <v>28</v>
      </c>
      <c r="B82" s="663" t="s">
        <v>1393</v>
      </c>
      <c r="C82" s="716"/>
      <c r="D82" s="716"/>
      <c r="E82" s="40">
        <f>'Stmt AV'!G148</f>
        <v>9.5314045924090818E-2</v>
      </c>
      <c r="F82" s="1941"/>
      <c r="G82" s="662" t="s">
        <v>1496</v>
      </c>
      <c r="H82" s="662">
        <f t="shared" si="3"/>
        <v>28</v>
      </c>
    </row>
    <row r="83" spans="1:8" x14ac:dyDescent="0.35">
      <c r="A83" s="662">
        <f t="shared" si="2"/>
        <v>29</v>
      </c>
      <c r="B83" s="668" t="s">
        <v>1263</v>
      </c>
      <c r="C83" s="716"/>
      <c r="D83" s="716"/>
      <c r="E83" s="41">
        <f>E81*E82</f>
        <v>0</v>
      </c>
      <c r="F83" s="681"/>
      <c r="G83" s="684" t="s">
        <v>1134</v>
      </c>
      <c r="H83" s="662">
        <f t="shared" si="3"/>
        <v>29</v>
      </c>
    </row>
    <row r="84" spans="1:8" x14ac:dyDescent="0.35">
      <c r="A84" s="662">
        <f t="shared" si="2"/>
        <v>30</v>
      </c>
      <c r="B84" s="668"/>
      <c r="C84" s="716"/>
      <c r="D84" s="716"/>
      <c r="E84" s="1662"/>
      <c r="F84" s="681"/>
      <c r="G84" s="684"/>
      <c r="H84" s="662">
        <f t="shared" si="3"/>
        <v>30</v>
      </c>
    </row>
    <row r="85" spans="1:8" x14ac:dyDescent="0.35">
      <c r="A85" s="662">
        <f t="shared" si="2"/>
        <v>31</v>
      </c>
      <c r="B85" s="664" t="s">
        <v>942</v>
      </c>
      <c r="C85" s="716"/>
      <c r="D85" s="716"/>
      <c r="E85" s="34">
        <f>E148</f>
        <v>0</v>
      </c>
      <c r="F85" s="681"/>
      <c r="G85" s="684" t="s">
        <v>1267</v>
      </c>
      <c r="H85" s="662">
        <f t="shared" si="3"/>
        <v>31</v>
      </c>
    </row>
    <row r="86" spans="1:8" ht="17.5" x14ac:dyDescent="0.35">
      <c r="A86" s="662">
        <f t="shared" si="2"/>
        <v>32</v>
      </c>
      <c r="B86" s="663" t="s">
        <v>1394</v>
      </c>
      <c r="C86" s="716"/>
      <c r="D86" s="716"/>
      <c r="E86" s="40">
        <f>'Stmt AV'!G182</f>
        <v>3.9113461135350091E-3</v>
      </c>
      <c r="F86" s="1941"/>
      <c r="G86" s="684" t="s">
        <v>1497</v>
      </c>
      <c r="H86" s="662">
        <f t="shared" si="3"/>
        <v>32</v>
      </c>
    </row>
    <row r="87" spans="1:8" x14ac:dyDescent="0.35">
      <c r="A87" s="662">
        <f t="shared" si="2"/>
        <v>33</v>
      </c>
      <c r="B87" s="668" t="s">
        <v>1261</v>
      </c>
      <c r="C87" s="716"/>
      <c r="D87" s="716"/>
      <c r="E87" s="41">
        <f>E85*E86</f>
        <v>0</v>
      </c>
      <c r="F87" s="681"/>
      <c r="G87" s="684" t="s">
        <v>1280</v>
      </c>
      <c r="H87" s="662">
        <f t="shared" si="3"/>
        <v>33</v>
      </c>
    </row>
    <row r="88" spans="1:8" x14ac:dyDescent="0.35">
      <c r="A88" s="662">
        <f t="shared" si="2"/>
        <v>34</v>
      </c>
      <c r="B88" s="668"/>
      <c r="C88" s="716"/>
      <c r="D88" s="716"/>
      <c r="E88" s="1662"/>
      <c r="F88" s="681"/>
      <c r="G88" s="684"/>
      <c r="H88" s="662">
        <f t="shared" si="3"/>
        <v>34</v>
      </c>
    </row>
    <row r="89" spans="1:8" ht="16" thickBot="1" x14ac:dyDescent="0.4">
      <c r="A89" s="662">
        <f t="shared" si="2"/>
        <v>35</v>
      </c>
      <c r="B89" s="668" t="s">
        <v>1260</v>
      </c>
      <c r="C89" s="716"/>
      <c r="D89" s="716"/>
      <c r="E89" s="36">
        <f>E83+E87</f>
        <v>0</v>
      </c>
      <c r="F89" s="681"/>
      <c r="G89" s="684" t="s">
        <v>1281</v>
      </c>
      <c r="H89" s="662">
        <f t="shared" si="3"/>
        <v>35</v>
      </c>
    </row>
    <row r="90" spans="1:8" ht="16" thickTop="1" x14ac:dyDescent="0.35">
      <c r="A90" s="662">
        <f t="shared" si="2"/>
        <v>36</v>
      </c>
      <c r="B90" s="668"/>
      <c r="C90" s="716"/>
      <c r="D90" s="716"/>
      <c r="E90" s="32"/>
      <c r="F90" s="664"/>
      <c r="G90" s="33"/>
      <c r="H90" s="662">
        <f t="shared" si="3"/>
        <v>36</v>
      </c>
    </row>
    <row r="91" spans="1:8" ht="18" thickBot="1" x14ac:dyDescent="0.4">
      <c r="A91" s="662">
        <f t="shared" si="2"/>
        <v>37</v>
      </c>
      <c r="B91" s="668" t="s">
        <v>880</v>
      </c>
      <c r="C91" s="668"/>
      <c r="D91" s="668"/>
      <c r="E91" s="31">
        <f>E65+E78+E89</f>
        <v>0</v>
      </c>
      <c r="G91" s="684" t="s">
        <v>1282</v>
      </c>
      <c r="H91" s="662">
        <f t="shared" si="3"/>
        <v>37</v>
      </c>
    </row>
    <row r="92" spans="1:8" ht="16" thickTop="1" x14ac:dyDescent="0.35">
      <c r="A92" s="662">
        <f t="shared" si="2"/>
        <v>38</v>
      </c>
      <c r="B92" s="664"/>
      <c r="C92" s="716"/>
      <c r="D92" s="716"/>
      <c r="E92" s="32"/>
      <c r="F92" s="681"/>
      <c r="G92" s="686"/>
      <c r="H92" s="662">
        <f t="shared" si="3"/>
        <v>38</v>
      </c>
    </row>
    <row r="93" spans="1:8" ht="18.5" thickBot="1" x14ac:dyDescent="0.4">
      <c r="A93" s="662">
        <f t="shared" si="2"/>
        <v>39</v>
      </c>
      <c r="B93" s="671" t="s">
        <v>764</v>
      </c>
      <c r="C93" s="716"/>
      <c r="D93" s="716"/>
      <c r="E93" s="31">
        <f>+E40+E91</f>
        <v>986401.22256758157</v>
      </c>
      <c r="F93" s="1941"/>
      <c r="G93" s="686" t="s">
        <v>1283</v>
      </c>
      <c r="H93" s="662">
        <f t="shared" si="3"/>
        <v>39</v>
      </c>
    </row>
    <row r="94" spans="1:8" ht="16" thickTop="1" x14ac:dyDescent="0.35">
      <c r="A94" s="33"/>
      <c r="B94" s="671"/>
      <c r="C94" s="716"/>
      <c r="D94" s="716"/>
      <c r="E94" s="32"/>
      <c r="F94" s="1941"/>
      <c r="G94" s="686"/>
      <c r="H94" s="33"/>
    </row>
    <row r="95" spans="1:8" x14ac:dyDescent="0.35">
      <c r="A95" s="33"/>
      <c r="B95" s="671"/>
      <c r="C95" s="716"/>
      <c r="D95" s="716"/>
      <c r="E95" s="32"/>
      <c r="F95" s="1941"/>
      <c r="G95" s="686"/>
      <c r="H95" s="33"/>
    </row>
    <row r="96" spans="1:8" ht="18" x14ac:dyDescent="0.35">
      <c r="A96" s="682">
        <v>1</v>
      </c>
      <c r="B96" s="1942" t="s">
        <v>587</v>
      </c>
      <c r="C96" s="716"/>
      <c r="D96" s="716"/>
      <c r="E96" s="32"/>
      <c r="G96" s="684"/>
      <c r="H96" s="33"/>
    </row>
    <row r="97" spans="1:8" ht="18" x14ac:dyDescent="0.35">
      <c r="A97" s="682">
        <v>2</v>
      </c>
      <c r="B97" s="668" t="s">
        <v>927</v>
      </c>
      <c r="C97" s="716"/>
      <c r="D97" s="716"/>
      <c r="E97" s="42"/>
      <c r="F97" s="683"/>
      <c r="G97" s="686"/>
      <c r="H97" s="33"/>
    </row>
    <row r="98" spans="1:8" ht="18" x14ac:dyDescent="0.35">
      <c r="A98" s="682">
        <v>3</v>
      </c>
      <c r="B98" s="668" t="s">
        <v>716</v>
      </c>
      <c r="C98" s="716"/>
      <c r="D98" s="716"/>
      <c r="E98" s="32"/>
      <c r="F98" s="681"/>
      <c r="G98" s="686"/>
      <c r="H98" s="33"/>
    </row>
    <row r="99" spans="1:8" x14ac:dyDescent="0.35">
      <c r="A99" s="33"/>
      <c r="B99" s="1941"/>
      <c r="C99" s="716"/>
      <c r="D99" s="716"/>
      <c r="E99" s="32"/>
      <c r="G99" s="684"/>
      <c r="H99" s="33"/>
    </row>
    <row r="100" spans="1:8" x14ac:dyDescent="0.35">
      <c r="A100" s="33"/>
      <c r="B100" s="668"/>
      <c r="C100" s="716"/>
      <c r="D100" s="716"/>
      <c r="E100" s="32"/>
      <c r="G100" s="684"/>
      <c r="H100" s="33"/>
    </row>
    <row r="101" spans="1:8" x14ac:dyDescent="0.35">
      <c r="A101" s="33"/>
      <c r="B101" s="2281" t="s">
        <v>18</v>
      </c>
      <c r="C101" s="2278"/>
      <c r="D101" s="2278"/>
      <c r="E101" s="2278"/>
      <c r="F101" s="2278"/>
      <c r="G101" s="2278"/>
      <c r="H101" s="33"/>
    </row>
    <row r="102" spans="1:8" x14ac:dyDescent="0.35">
      <c r="A102" s="33"/>
      <c r="B102" s="2281" t="s">
        <v>573</v>
      </c>
      <c r="C102" s="2278"/>
      <c r="D102" s="2278"/>
      <c r="E102" s="2278"/>
      <c r="F102" s="2278"/>
      <c r="G102" s="2278"/>
    </row>
    <row r="103" spans="1:8" ht="18" x14ac:dyDescent="0.35">
      <c r="A103" s="33" t="s">
        <v>10</v>
      </c>
      <c r="B103" s="2281" t="s">
        <v>574</v>
      </c>
      <c r="C103" s="2282"/>
      <c r="D103" s="2282"/>
      <c r="E103" s="2282"/>
      <c r="F103" s="2282"/>
      <c r="G103" s="2282"/>
      <c r="H103" s="33" t="s">
        <v>10</v>
      </c>
    </row>
    <row r="104" spans="1:8" x14ac:dyDescent="0.35">
      <c r="A104" s="33"/>
      <c r="B104" s="2283" t="str">
        <f>B5</f>
        <v>For the Base Period &amp; True-Up Period Ending December 31, 2021</v>
      </c>
      <c r="C104" s="2284"/>
      <c r="D104" s="2284"/>
      <c r="E104" s="2284"/>
      <c r="F104" s="2284"/>
      <c r="G104" s="2284"/>
      <c r="H104" s="33"/>
    </row>
    <row r="105" spans="1:8" x14ac:dyDescent="0.35">
      <c r="A105" s="33"/>
      <c r="B105" s="2277" t="s">
        <v>2</v>
      </c>
      <c r="C105" s="2278"/>
      <c r="D105" s="2278"/>
      <c r="E105" s="2278"/>
      <c r="F105" s="2278"/>
      <c r="G105" s="2278"/>
      <c r="H105" s="33"/>
    </row>
    <row r="106" spans="1:8" x14ac:dyDescent="0.35">
      <c r="A106" s="33"/>
      <c r="B106" s="1940"/>
      <c r="C106" s="1941"/>
      <c r="D106" s="1941"/>
      <c r="E106" s="1941"/>
      <c r="F106" s="1941"/>
      <c r="G106" s="1941"/>
      <c r="H106" s="33"/>
    </row>
    <row r="107" spans="1:8" x14ac:dyDescent="0.35">
      <c r="A107" s="662" t="s">
        <v>3</v>
      </c>
      <c r="B107" s="664"/>
      <c r="C107" s="664"/>
      <c r="D107" s="664"/>
      <c r="E107" s="54"/>
      <c r="G107" s="684"/>
      <c r="H107" s="662" t="s">
        <v>3</v>
      </c>
    </row>
    <row r="108" spans="1:8" x14ac:dyDescent="0.35">
      <c r="A108" s="662" t="s">
        <v>25</v>
      </c>
      <c r="B108" s="665" t="s">
        <v>10</v>
      </c>
      <c r="C108" s="668"/>
      <c r="D108" s="668"/>
      <c r="E108" s="711" t="s">
        <v>135</v>
      </c>
      <c r="G108" s="685" t="s">
        <v>9</v>
      </c>
      <c r="H108" s="662" t="s">
        <v>25</v>
      </c>
    </row>
    <row r="109" spans="1:8" x14ac:dyDescent="0.35">
      <c r="A109" s="33"/>
      <c r="B109" s="673" t="s">
        <v>588</v>
      </c>
      <c r="C109" s="718"/>
      <c r="D109" s="718"/>
      <c r="E109" s="718"/>
      <c r="G109" s="684"/>
      <c r="H109" s="662"/>
    </row>
    <row r="110" spans="1:8" x14ac:dyDescent="0.35">
      <c r="A110" s="33">
        <v>1</v>
      </c>
      <c r="B110" s="674" t="s">
        <v>554</v>
      </c>
      <c r="C110" s="718"/>
      <c r="D110" s="718"/>
      <c r="E110" s="718"/>
      <c r="G110" s="684"/>
      <c r="H110" s="662">
        <f>A110</f>
        <v>1</v>
      </c>
    </row>
    <row r="111" spans="1:8" x14ac:dyDescent="0.35">
      <c r="A111" s="33">
        <f t="shared" ref="A111:A148" si="4">A110+1</f>
        <v>2</v>
      </c>
      <c r="B111" s="667" t="s">
        <v>132</v>
      </c>
      <c r="C111" s="718"/>
      <c r="D111" s="718"/>
      <c r="E111" s="43">
        <f>E179</f>
        <v>5550598.5240176916</v>
      </c>
      <c r="F111" s="683"/>
      <c r="G111" s="684" t="s">
        <v>1268</v>
      </c>
      <c r="H111" s="662">
        <f t="shared" ref="H111:H147" si="5">H110+1</f>
        <v>2</v>
      </c>
    </row>
    <row r="112" spans="1:8" x14ac:dyDescent="0.35">
      <c r="A112" s="33">
        <f t="shared" si="4"/>
        <v>3</v>
      </c>
      <c r="B112" s="667" t="s">
        <v>13</v>
      </c>
      <c r="C112" s="718"/>
      <c r="D112" s="718"/>
      <c r="E112" s="44">
        <f>E180</f>
        <v>5093.7317215840376</v>
      </c>
      <c r="F112" s="683"/>
      <c r="G112" s="684" t="s">
        <v>1201</v>
      </c>
      <c r="H112" s="662">
        <f t="shared" si="5"/>
        <v>3</v>
      </c>
    </row>
    <row r="113" spans="1:9" x14ac:dyDescent="0.35">
      <c r="A113" s="33">
        <f t="shared" si="4"/>
        <v>4</v>
      </c>
      <c r="B113" s="667" t="s">
        <v>14</v>
      </c>
      <c r="C113" s="718"/>
      <c r="D113" s="718"/>
      <c r="E113" s="44">
        <f>E181</f>
        <v>59576.62398636053</v>
      </c>
      <c r="G113" s="684" t="s">
        <v>1269</v>
      </c>
      <c r="H113" s="662">
        <f t="shared" si="5"/>
        <v>4</v>
      </c>
    </row>
    <row r="114" spans="1:9" x14ac:dyDescent="0.35">
      <c r="A114" s="33">
        <f t="shared" si="4"/>
        <v>5</v>
      </c>
      <c r="B114" s="663" t="s">
        <v>555</v>
      </c>
      <c r="C114" s="718"/>
      <c r="D114" s="718"/>
      <c r="E114" s="45">
        <f>E182</f>
        <v>149391.98389468517</v>
      </c>
      <c r="G114" s="684" t="s">
        <v>1270</v>
      </c>
      <c r="H114" s="662">
        <f t="shared" si="5"/>
        <v>5</v>
      </c>
    </row>
    <row r="115" spans="1:9" x14ac:dyDescent="0.35">
      <c r="A115" s="33">
        <f t="shared" si="4"/>
        <v>6</v>
      </c>
      <c r="B115" s="667" t="s">
        <v>556</v>
      </c>
      <c r="C115" s="33"/>
      <c r="D115" s="33"/>
      <c r="E115" s="26">
        <f>SUM(E111:E114)</f>
        <v>5764660.8636203213</v>
      </c>
      <c r="F115" s="683"/>
      <c r="G115" s="684" t="s">
        <v>1061</v>
      </c>
      <c r="H115" s="662">
        <f t="shared" si="5"/>
        <v>6</v>
      </c>
    </row>
    <row r="116" spans="1:9" x14ac:dyDescent="0.35">
      <c r="A116" s="33">
        <f t="shared" si="4"/>
        <v>7</v>
      </c>
      <c r="B116" s="668"/>
      <c r="C116" s="33"/>
      <c r="D116" s="33"/>
      <c r="E116" s="18"/>
      <c r="G116" s="684"/>
      <c r="H116" s="662">
        <f t="shared" si="5"/>
        <v>7</v>
      </c>
    </row>
    <row r="117" spans="1:9" x14ac:dyDescent="0.35">
      <c r="A117" s="33">
        <f t="shared" si="4"/>
        <v>8</v>
      </c>
      <c r="B117" s="674" t="s">
        <v>557</v>
      </c>
      <c r="C117" s="33"/>
      <c r="D117" s="33"/>
      <c r="E117" s="18"/>
      <c r="G117" s="684"/>
      <c r="H117" s="662">
        <f t="shared" si="5"/>
        <v>8</v>
      </c>
    </row>
    <row r="118" spans="1:9" x14ac:dyDescent="0.35">
      <c r="A118" s="33">
        <f t="shared" si="4"/>
        <v>9</v>
      </c>
      <c r="B118" s="667" t="s">
        <v>558</v>
      </c>
      <c r="C118" s="33"/>
      <c r="D118" s="33"/>
      <c r="E118" s="46">
        <f>'Stmt AG'!E11</f>
        <v>0</v>
      </c>
      <c r="F118" s="683"/>
      <c r="G118" s="684" t="s">
        <v>1188</v>
      </c>
      <c r="H118" s="662">
        <f t="shared" si="5"/>
        <v>9</v>
      </c>
    </row>
    <row r="119" spans="1:9" x14ac:dyDescent="0.35">
      <c r="A119" s="33">
        <f t="shared" si="4"/>
        <v>10</v>
      </c>
      <c r="B119" s="667" t="s">
        <v>559</v>
      </c>
      <c r="C119" s="33"/>
      <c r="D119" s="33"/>
      <c r="E119" s="47">
        <f>'Stmt Misc.'!E12</f>
        <v>0</v>
      </c>
      <c r="G119" s="684" t="s">
        <v>1062</v>
      </c>
      <c r="H119" s="662">
        <f t="shared" si="5"/>
        <v>10</v>
      </c>
    </row>
    <row r="120" spans="1:9" x14ac:dyDescent="0.35">
      <c r="A120" s="33">
        <f t="shared" si="4"/>
        <v>11</v>
      </c>
      <c r="B120" s="667" t="s">
        <v>560</v>
      </c>
      <c r="C120" s="33"/>
      <c r="D120" s="33"/>
      <c r="E120" s="48">
        <f>SUM(E118:E119)</f>
        <v>0</v>
      </c>
      <c r="F120" s="683"/>
      <c r="G120" s="684" t="s">
        <v>1063</v>
      </c>
      <c r="H120" s="662">
        <f t="shared" si="5"/>
        <v>11</v>
      </c>
    </row>
    <row r="121" spans="1:9" x14ac:dyDescent="0.35">
      <c r="A121" s="33">
        <f t="shared" si="4"/>
        <v>12</v>
      </c>
      <c r="B121" s="667"/>
      <c r="C121" s="33"/>
      <c r="D121" s="33"/>
      <c r="E121" s="32"/>
      <c r="G121" s="684"/>
      <c r="H121" s="662">
        <f t="shared" si="5"/>
        <v>12</v>
      </c>
    </row>
    <row r="122" spans="1:9" x14ac:dyDescent="0.35">
      <c r="A122" s="33">
        <f t="shared" si="4"/>
        <v>13</v>
      </c>
      <c r="B122" s="674" t="s">
        <v>561</v>
      </c>
      <c r="C122" s="668"/>
      <c r="D122" s="668"/>
      <c r="E122" s="18"/>
      <c r="G122" s="684"/>
      <c r="H122" s="662">
        <f t="shared" si="5"/>
        <v>13</v>
      </c>
    </row>
    <row r="123" spans="1:9" ht="18" x14ac:dyDescent="0.35">
      <c r="A123" s="33">
        <f t="shared" si="4"/>
        <v>14</v>
      </c>
      <c r="B123" s="668" t="s">
        <v>1673</v>
      </c>
      <c r="C123" s="662"/>
      <c r="D123" s="662"/>
      <c r="E123" s="49">
        <f>'Stmt AF'!I17</f>
        <v>-994462.65715580597</v>
      </c>
      <c r="G123" s="684" t="s">
        <v>1189</v>
      </c>
      <c r="H123" s="662">
        <f t="shared" si="5"/>
        <v>14</v>
      </c>
      <c r="I123" s="2198"/>
    </row>
    <row r="124" spans="1:9" x14ac:dyDescent="0.35">
      <c r="A124" s="33">
        <f t="shared" si="4"/>
        <v>15</v>
      </c>
      <c r="B124" s="668" t="s">
        <v>562</v>
      </c>
      <c r="C124" s="662"/>
      <c r="D124" s="662"/>
      <c r="E124" s="29">
        <f>'Stmt AF'!I21</f>
        <v>0</v>
      </c>
      <c r="G124" s="684" t="s">
        <v>1190</v>
      </c>
      <c r="H124" s="662">
        <f t="shared" si="5"/>
        <v>15</v>
      </c>
    </row>
    <row r="125" spans="1:9" x14ac:dyDescent="0.35">
      <c r="A125" s="33">
        <f t="shared" si="4"/>
        <v>16</v>
      </c>
      <c r="B125" s="667" t="s">
        <v>563</v>
      </c>
      <c r="C125" s="662"/>
      <c r="D125" s="662"/>
      <c r="E125" s="26">
        <f>SUM(E123:E124)</f>
        <v>-994462.65715580597</v>
      </c>
      <c r="G125" s="684" t="s">
        <v>1064</v>
      </c>
      <c r="H125" s="662">
        <f t="shared" si="5"/>
        <v>16</v>
      </c>
    </row>
    <row r="126" spans="1:9" x14ac:dyDescent="0.35">
      <c r="A126" s="33">
        <f t="shared" si="4"/>
        <v>17</v>
      </c>
      <c r="B126" s="668"/>
      <c r="C126" s="662"/>
      <c r="D126" s="662"/>
      <c r="E126" s="50"/>
      <c r="G126" s="684"/>
      <c r="H126" s="662">
        <f t="shared" si="5"/>
        <v>17</v>
      </c>
    </row>
    <row r="127" spans="1:9" x14ac:dyDescent="0.35">
      <c r="A127" s="33">
        <f t="shared" si="4"/>
        <v>18</v>
      </c>
      <c r="B127" s="674" t="s">
        <v>564</v>
      </c>
      <c r="C127" s="33"/>
      <c r="D127" s="33"/>
      <c r="E127" s="50"/>
      <c r="G127" s="684"/>
      <c r="H127" s="662">
        <f t="shared" si="5"/>
        <v>18</v>
      </c>
    </row>
    <row r="128" spans="1:9" x14ac:dyDescent="0.35">
      <c r="A128" s="33">
        <f t="shared" si="4"/>
        <v>19</v>
      </c>
      <c r="B128" s="667" t="s">
        <v>565</v>
      </c>
      <c r="C128" s="33"/>
      <c r="D128" s="33"/>
      <c r="E128" s="43">
        <f>'Stmt AL'!G15</f>
        <v>48582.618939592867</v>
      </c>
      <c r="F128" s="683"/>
      <c r="G128" s="684" t="s">
        <v>1065</v>
      </c>
      <c r="H128" s="662">
        <f t="shared" si="5"/>
        <v>19</v>
      </c>
    </row>
    <row r="129" spans="1:9" x14ac:dyDescent="0.35">
      <c r="A129" s="33">
        <f t="shared" si="4"/>
        <v>20</v>
      </c>
      <c r="B129" s="667" t="s">
        <v>566</v>
      </c>
      <c r="C129" s="33"/>
      <c r="D129" s="33"/>
      <c r="E129" s="44">
        <f>'Stmt AL'!G19</f>
        <v>41912.408153349672</v>
      </c>
      <c r="F129" s="683"/>
      <c r="G129" s="684" t="s">
        <v>1066</v>
      </c>
      <c r="H129" s="662">
        <f t="shared" si="5"/>
        <v>20</v>
      </c>
    </row>
    <row r="130" spans="1:9" x14ac:dyDescent="0.35">
      <c r="A130" s="33">
        <f t="shared" si="4"/>
        <v>21</v>
      </c>
      <c r="B130" s="663" t="s">
        <v>567</v>
      </c>
      <c r="C130" s="662"/>
      <c r="D130" s="662"/>
      <c r="E130" s="45">
        <f>'Stmt AL'!E29</f>
        <v>24796.835393579735</v>
      </c>
      <c r="F130" s="1941"/>
      <c r="G130" s="684" t="s">
        <v>1067</v>
      </c>
      <c r="H130" s="662">
        <f t="shared" si="5"/>
        <v>21</v>
      </c>
    </row>
    <row r="131" spans="1:9" x14ac:dyDescent="0.35">
      <c r="A131" s="33">
        <f t="shared" si="4"/>
        <v>22</v>
      </c>
      <c r="B131" s="667" t="s">
        <v>842</v>
      </c>
      <c r="C131" s="668"/>
      <c r="D131" s="668"/>
      <c r="E131" s="26">
        <f>SUM(E128:E130)</f>
        <v>115291.86248652227</v>
      </c>
      <c r="F131" s="1941"/>
      <c r="G131" s="684" t="s">
        <v>1068</v>
      </c>
      <c r="H131" s="662">
        <f t="shared" si="5"/>
        <v>22</v>
      </c>
    </row>
    <row r="132" spans="1:9" x14ac:dyDescent="0.35">
      <c r="A132" s="33">
        <f t="shared" si="4"/>
        <v>23</v>
      </c>
      <c r="B132" s="667"/>
      <c r="C132" s="668"/>
      <c r="D132" s="668"/>
      <c r="E132" s="51"/>
      <c r="G132" s="684"/>
      <c r="H132" s="662">
        <f t="shared" si="5"/>
        <v>23</v>
      </c>
    </row>
    <row r="133" spans="1:9" x14ac:dyDescent="0.35">
      <c r="A133" s="33">
        <f t="shared" si="4"/>
        <v>24</v>
      </c>
      <c r="B133" s="667" t="s">
        <v>568</v>
      </c>
      <c r="C133" s="668"/>
      <c r="D133" s="668"/>
      <c r="E133" s="1649">
        <f>'Stmt Misc.'!E14</f>
        <v>0</v>
      </c>
      <c r="G133" s="684" t="s">
        <v>1069</v>
      </c>
      <c r="H133" s="662">
        <f t="shared" si="5"/>
        <v>24</v>
      </c>
    </row>
    <row r="134" spans="1:9" x14ac:dyDescent="0.35">
      <c r="A134" s="33">
        <f t="shared" si="4"/>
        <v>25</v>
      </c>
      <c r="B134" s="667" t="s">
        <v>1241</v>
      </c>
      <c r="C134" s="668"/>
      <c r="D134" s="668"/>
      <c r="E134" s="496">
        <f>'Stmt Misc.'!E16</f>
        <v>-11021.620822994773</v>
      </c>
      <c r="G134" s="684" t="s">
        <v>1071</v>
      </c>
      <c r="H134" s="662">
        <f t="shared" si="5"/>
        <v>25</v>
      </c>
    </row>
    <row r="135" spans="1:9" x14ac:dyDescent="0.35">
      <c r="A135" s="33">
        <f t="shared" si="4"/>
        <v>26</v>
      </c>
      <c r="B135" s="667"/>
      <c r="C135" s="668"/>
      <c r="D135" s="668"/>
      <c r="E135" s="51"/>
      <c r="G135" s="684"/>
      <c r="H135" s="662">
        <f t="shared" si="5"/>
        <v>26</v>
      </c>
    </row>
    <row r="136" spans="1:9" ht="16" thickBot="1" x14ac:dyDescent="0.4">
      <c r="A136" s="33">
        <f t="shared" si="4"/>
        <v>27</v>
      </c>
      <c r="B136" s="667" t="s">
        <v>881</v>
      </c>
      <c r="C136" s="668"/>
      <c r="D136" s="668"/>
      <c r="E136" s="52">
        <f>E133+E131+E125+E120+E115+E134</f>
        <v>4874468.4481280427</v>
      </c>
      <c r="F136" s="1941"/>
      <c r="G136" s="684" t="s">
        <v>1242</v>
      </c>
      <c r="H136" s="662">
        <f t="shared" si="5"/>
        <v>27</v>
      </c>
      <c r="I136" s="1425"/>
    </row>
    <row r="137" spans="1:9" ht="16" thickTop="1" x14ac:dyDescent="0.35">
      <c r="A137" s="33">
        <f t="shared" si="4"/>
        <v>28</v>
      </c>
      <c r="B137" s="663"/>
      <c r="C137" s="664"/>
      <c r="D137" s="664"/>
      <c r="E137" s="22"/>
      <c r="F137" s="681"/>
      <c r="G137" s="686"/>
      <c r="H137" s="662">
        <f t="shared" si="5"/>
        <v>28</v>
      </c>
    </row>
    <row r="138" spans="1:9" ht="18" x14ac:dyDescent="0.35">
      <c r="A138" s="33">
        <f t="shared" si="4"/>
        <v>29</v>
      </c>
      <c r="B138" s="673" t="s">
        <v>1500</v>
      </c>
      <c r="C138" s="668"/>
      <c r="D138" s="668"/>
      <c r="E138" s="22"/>
      <c r="G138" s="684"/>
      <c r="H138" s="662">
        <f t="shared" si="5"/>
        <v>29</v>
      </c>
    </row>
    <row r="139" spans="1:9" x14ac:dyDescent="0.35">
      <c r="A139" s="33">
        <f t="shared" si="4"/>
        <v>30</v>
      </c>
      <c r="B139" s="667" t="s">
        <v>900</v>
      </c>
      <c r="C139" s="668"/>
      <c r="D139" s="668"/>
      <c r="E139" s="37">
        <f>E188</f>
        <v>0</v>
      </c>
      <c r="G139" s="684" t="s">
        <v>1271</v>
      </c>
      <c r="H139" s="662">
        <f t="shared" si="5"/>
        <v>30</v>
      </c>
    </row>
    <row r="140" spans="1:9" x14ac:dyDescent="0.35">
      <c r="A140" s="33">
        <f t="shared" si="4"/>
        <v>31</v>
      </c>
      <c r="B140" s="667" t="s">
        <v>589</v>
      </c>
      <c r="C140" s="668"/>
      <c r="D140" s="668"/>
      <c r="E140" s="29">
        <f>'Stmt AF'!I19</f>
        <v>0</v>
      </c>
      <c r="G140" s="684" t="s">
        <v>1191</v>
      </c>
      <c r="H140" s="662">
        <f t="shared" si="5"/>
        <v>31</v>
      </c>
    </row>
    <row r="141" spans="1:9" x14ac:dyDescent="0.35">
      <c r="A141" s="33">
        <f t="shared" si="4"/>
        <v>32</v>
      </c>
      <c r="B141" s="668" t="s">
        <v>590</v>
      </c>
      <c r="C141" s="668"/>
      <c r="D141" s="668"/>
      <c r="E141" s="35">
        <f>SUM(E139:E140)</f>
        <v>0</v>
      </c>
      <c r="G141" s="684" t="s">
        <v>1245</v>
      </c>
      <c r="H141" s="662">
        <f t="shared" si="5"/>
        <v>32</v>
      </c>
    </row>
    <row r="142" spans="1:9" x14ac:dyDescent="0.35">
      <c r="A142" s="33">
        <f t="shared" si="4"/>
        <v>33</v>
      </c>
      <c r="B142" s="667"/>
      <c r="C142" s="668"/>
      <c r="D142" s="668"/>
      <c r="E142" s="22"/>
      <c r="G142" s="684"/>
      <c r="H142" s="662">
        <f t="shared" si="5"/>
        <v>33</v>
      </c>
    </row>
    <row r="143" spans="1:9" ht="18" x14ac:dyDescent="0.35">
      <c r="A143" s="33">
        <f t="shared" si="4"/>
        <v>34</v>
      </c>
      <c r="B143" s="666" t="s">
        <v>1501</v>
      </c>
      <c r="C143" s="668"/>
      <c r="D143" s="668"/>
      <c r="E143" s="22"/>
      <c r="G143" s="684"/>
      <c r="H143" s="662">
        <f t="shared" si="5"/>
        <v>34</v>
      </c>
    </row>
    <row r="144" spans="1:9" x14ac:dyDescent="0.35">
      <c r="A144" s="33">
        <f t="shared" si="4"/>
        <v>35</v>
      </c>
      <c r="B144" s="667" t="s">
        <v>591</v>
      </c>
      <c r="C144" s="668"/>
      <c r="D144" s="668"/>
      <c r="E144" s="37">
        <f>'Stmt Misc.'!E18</f>
        <v>0</v>
      </c>
      <c r="G144" s="684" t="s">
        <v>1244</v>
      </c>
      <c r="H144" s="662">
        <f t="shared" si="5"/>
        <v>35</v>
      </c>
    </row>
    <row r="145" spans="1:8" x14ac:dyDescent="0.35">
      <c r="A145" s="33">
        <f t="shared" si="4"/>
        <v>36</v>
      </c>
      <c r="B145" s="668" t="s">
        <v>592</v>
      </c>
      <c r="C145" s="668"/>
      <c r="D145" s="668"/>
      <c r="E145" s="30">
        <f>'Stmt AF'!I23</f>
        <v>0</v>
      </c>
      <c r="G145" s="684" t="s">
        <v>1192</v>
      </c>
      <c r="H145" s="662">
        <f t="shared" si="5"/>
        <v>36</v>
      </c>
    </row>
    <row r="146" spans="1:8" x14ac:dyDescent="0.35">
      <c r="A146" s="33">
        <f t="shared" si="4"/>
        <v>37</v>
      </c>
      <c r="B146" s="668" t="s">
        <v>843</v>
      </c>
      <c r="C146" s="668"/>
      <c r="D146" s="668"/>
      <c r="E146" s="35">
        <f>SUM(E144:E145)</f>
        <v>0</v>
      </c>
      <c r="G146" s="684" t="s">
        <v>1246</v>
      </c>
      <c r="H146" s="662">
        <f t="shared" si="5"/>
        <v>37</v>
      </c>
    </row>
    <row r="147" spans="1:8" x14ac:dyDescent="0.35">
      <c r="A147" s="33">
        <f t="shared" si="4"/>
        <v>38</v>
      </c>
      <c r="B147" s="667"/>
      <c r="C147" s="668"/>
      <c r="D147" s="668"/>
      <c r="E147" s="22"/>
      <c r="G147" s="684"/>
      <c r="H147" s="662">
        <f t="shared" si="5"/>
        <v>38</v>
      </c>
    </row>
    <row r="148" spans="1:8" ht="18" x14ac:dyDescent="0.35">
      <c r="A148" s="33">
        <f t="shared" si="4"/>
        <v>39</v>
      </c>
      <c r="B148" s="666" t="s">
        <v>763</v>
      </c>
      <c r="C148" s="668"/>
      <c r="D148" s="668"/>
      <c r="E148" s="37">
        <f>'Stmt AM'!E11</f>
        <v>0</v>
      </c>
      <c r="G148" s="684" t="s">
        <v>1072</v>
      </c>
      <c r="H148" s="33">
        <f t="shared" ref="H148" si="6">H147+1</f>
        <v>39</v>
      </c>
    </row>
    <row r="149" spans="1:8" x14ac:dyDescent="0.35">
      <c r="A149" s="33"/>
      <c r="B149" s="667"/>
      <c r="C149" s="668"/>
      <c r="D149" s="668"/>
      <c r="E149" s="22"/>
      <c r="G149" s="684"/>
      <c r="H149" s="33"/>
    </row>
    <row r="150" spans="1:8" x14ac:dyDescent="0.35">
      <c r="A150" s="33"/>
      <c r="B150" s="667"/>
      <c r="C150" s="668"/>
      <c r="D150" s="668"/>
      <c r="E150" s="22"/>
      <c r="G150" s="684"/>
      <c r="H150" s="33"/>
    </row>
    <row r="151" spans="1:8" ht="18" x14ac:dyDescent="0.35">
      <c r="A151" s="682">
        <v>1</v>
      </c>
      <c r="B151" s="667" t="s">
        <v>1493</v>
      </c>
      <c r="C151" s="668"/>
      <c r="D151" s="668"/>
      <c r="E151" s="22"/>
      <c r="G151" s="684"/>
      <c r="H151" s="33"/>
    </row>
    <row r="152" spans="1:8" ht="18" x14ac:dyDescent="0.35">
      <c r="A152" s="682">
        <v>2</v>
      </c>
      <c r="B152" s="668" t="s">
        <v>927</v>
      </c>
      <c r="C152" s="668"/>
      <c r="D152" s="668"/>
      <c r="E152" s="22"/>
      <c r="G152" s="684"/>
      <c r="H152" s="33"/>
    </row>
    <row r="153" spans="1:8" x14ac:dyDescent="0.35">
      <c r="A153" s="33"/>
      <c r="B153" s="1941"/>
      <c r="C153" s="668"/>
      <c r="D153" s="668"/>
      <c r="E153" s="22"/>
      <c r="G153" s="684"/>
      <c r="H153" s="33"/>
    </row>
    <row r="154" spans="1:8" x14ac:dyDescent="0.35">
      <c r="A154" s="33"/>
      <c r="B154" s="1941"/>
      <c r="C154" s="668"/>
      <c r="D154" s="668"/>
      <c r="E154" s="22"/>
      <c r="G154" s="684"/>
      <c r="H154" s="33"/>
    </row>
    <row r="155" spans="1:8" x14ac:dyDescent="0.35">
      <c r="A155" s="33"/>
      <c r="B155" s="2281" t="s">
        <v>18</v>
      </c>
      <c r="C155" s="2278"/>
      <c r="D155" s="2278"/>
      <c r="E155" s="2278"/>
      <c r="F155" s="2278"/>
      <c r="G155" s="2278"/>
      <c r="H155" s="33"/>
    </row>
    <row r="156" spans="1:8" x14ac:dyDescent="0.35">
      <c r="A156" s="33" t="s">
        <v>10</v>
      </c>
      <c r="B156" s="2281" t="s">
        <v>573</v>
      </c>
      <c r="C156" s="2278"/>
      <c r="D156" s="2278"/>
      <c r="E156" s="2278"/>
      <c r="F156" s="2278"/>
      <c r="G156" s="2278"/>
    </row>
    <row r="157" spans="1:8" ht="18" x14ac:dyDescent="0.35">
      <c r="A157" s="33"/>
      <c r="B157" s="2281" t="s">
        <v>574</v>
      </c>
      <c r="C157" s="2282"/>
      <c r="D157" s="2282"/>
      <c r="E157" s="2282"/>
      <c r="F157" s="2282"/>
      <c r="G157" s="2282"/>
      <c r="H157" s="33"/>
    </row>
    <row r="158" spans="1:8" x14ac:dyDescent="0.35">
      <c r="A158" s="33"/>
      <c r="B158" s="2283" t="str">
        <f>B5</f>
        <v>For the Base Period &amp; True-Up Period Ending December 31, 2021</v>
      </c>
      <c r="C158" s="2284"/>
      <c r="D158" s="2284"/>
      <c r="E158" s="2284"/>
      <c r="F158" s="2284"/>
      <c r="G158" s="2284"/>
      <c r="H158" s="33"/>
    </row>
    <row r="159" spans="1:8" x14ac:dyDescent="0.35">
      <c r="A159" s="33"/>
      <c r="B159" s="2277" t="s">
        <v>2</v>
      </c>
      <c r="C159" s="2278"/>
      <c r="D159" s="2278"/>
      <c r="E159" s="2278"/>
      <c r="F159" s="2278"/>
      <c r="G159" s="2278"/>
      <c r="H159" s="33"/>
    </row>
    <row r="160" spans="1:8" x14ac:dyDescent="0.35">
      <c r="A160" s="33"/>
      <c r="B160" s="675"/>
      <c r="H160" s="33"/>
    </row>
    <row r="161" spans="1:10" x14ac:dyDescent="0.35">
      <c r="A161" s="662" t="s">
        <v>3</v>
      </c>
      <c r="B161" s="664"/>
      <c r="C161" s="664"/>
      <c r="D161" s="664"/>
      <c r="E161" s="54"/>
      <c r="G161" s="684"/>
      <c r="H161" s="662" t="s">
        <v>3</v>
      </c>
    </row>
    <row r="162" spans="1:10" x14ac:dyDescent="0.35">
      <c r="A162" s="662" t="s">
        <v>25</v>
      </c>
      <c r="B162" s="665" t="s">
        <v>10</v>
      </c>
      <c r="C162" s="668"/>
      <c r="D162" s="668"/>
      <c r="E162" s="711" t="s">
        <v>135</v>
      </c>
      <c r="G162" s="685" t="s">
        <v>9</v>
      </c>
      <c r="H162" s="662" t="s">
        <v>25</v>
      </c>
    </row>
    <row r="163" spans="1:10" x14ac:dyDescent="0.35">
      <c r="A163" s="662"/>
      <c r="B163" s="673" t="s">
        <v>593</v>
      </c>
      <c r="C163" s="668"/>
      <c r="D163" s="668"/>
      <c r="E163" s="54"/>
      <c r="G163" s="684"/>
      <c r="H163" s="662"/>
    </row>
    <row r="164" spans="1:10" x14ac:dyDescent="0.35">
      <c r="A164" s="33">
        <v>1</v>
      </c>
      <c r="B164" s="674" t="s">
        <v>594</v>
      </c>
      <c r="C164" s="668"/>
      <c r="D164" s="668"/>
      <c r="E164" s="54"/>
      <c r="G164" s="684"/>
      <c r="H164" s="662">
        <f>A164</f>
        <v>1</v>
      </c>
    </row>
    <row r="165" spans="1:10" x14ac:dyDescent="0.35">
      <c r="A165" s="33">
        <f t="shared" ref="A165:A188" si="7">A164+1</f>
        <v>2</v>
      </c>
      <c r="B165" s="667" t="s">
        <v>132</v>
      </c>
      <c r="C165" s="668"/>
      <c r="D165" s="668"/>
      <c r="E165" s="27">
        <f>'Stmt AD'!I21</f>
        <v>7094919.3161269231</v>
      </c>
      <c r="F165" s="683"/>
      <c r="G165" s="684" t="s">
        <v>1073</v>
      </c>
      <c r="H165" s="33">
        <f t="shared" ref="H165:H188" si="8">H164+1</f>
        <v>2</v>
      </c>
      <c r="I165" s="1954"/>
    </row>
    <row r="166" spans="1:10" x14ac:dyDescent="0.35">
      <c r="A166" s="33">
        <f t="shared" si="7"/>
        <v>3</v>
      </c>
      <c r="B166" s="667" t="s">
        <v>595</v>
      </c>
      <c r="C166" s="668"/>
      <c r="D166" s="668"/>
      <c r="E166" s="53">
        <f>'Stmt AD'!I37</f>
        <v>38763.894961183643</v>
      </c>
      <c r="F166" s="683"/>
      <c r="G166" s="684" t="s">
        <v>1074</v>
      </c>
      <c r="H166" s="33">
        <f t="shared" si="8"/>
        <v>3</v>
      </c>
      <c r="I166" s="719"/>
    </row>
    <row r="167" spans="1:10" x14ac:dyDescent="0.35">
      <c r="A167" s="33">
        <f t="shared" si="7"/>
        <v>4</v>
      </c>
      <c r="B167" s="667" t="s">
        <v>14</v>
      </c>
      <c r="C167" s="668"/>
      <c r="D167" s="668"/>
      <c r="E167" s="53">
        <f>'Stmt AD'!I39</f>
        <v>101769.80346132621</v>
      </c>
      <c r="F167" s="1941"/>
      <c r="G167" s="684" t="s">
        <v>1075</v>
      </c>
      <c r="H167" s="33">
        <f t="shared" si="8"/>
        <v>4</v>
      </c>
      <c r="J167" s="720"/>
    </row>
    <row r="168" spans="1:10" x14ac:dyDescent="0.35">
      <c r="A168" s="33">
        <f t="shared" si="7"/>
        <v>5</v>
      </c>
      <c r="B168" s="663" t="s">
        <v>555</v>
      </c>
      <c r="C168" s="662"/>
      <c r="D168" s="662"/>
      <c r="E168" s="21">
        <f>'Stmt AD'!I41</f>
        <v>276230.81071417732</v>
      </c>
      <c r="F168" s="1941"/>
      <c r="G168" s="684" t="s">
        <v>1076</v>
      </c>
      <c r="H168" s="33">
        <f t="shared" si="8"/>
        <v>5</v>
      </c>
    </row>
    <row r="169" spans="1:10" x14ac:dyDescent="0.35">
      <c r="A169" s="33">
        <f t="shared" si="7"/>
        <v>6</v>
      </c>
      <c r="B169" s="667" t="s">
        <v>596</v>
      </c>
      <c r="C169" s="664"/>
      <c r="D169" s="664"/>
      <c r="E169" s="26">
        <f>SUM(E165:E168)</f>
        <v>7511683.8252636101</v>
      </c>
      <c r="F169" s="683"/>
      <c r="G169" s="684" t="s">
        <v>1061</v>
      </c>
      <c r="H169" s="33">
        <f t="shared" si="8"/>
        <v>6</v>
      </c>
      <c r="I169" s="719"/>
    </row>
    <row r="170" spans="1:10" x14ac:dyDescent="0.35">
      <c r="A170" s="33">
        <f t="shared" si="7"/>
        <v>7</v>
      </c>
      <c r="B170" s="668"/>
      <c r="C170" s="33"/>
      <c r="D170" s="33"/>
      <c r="E170" s="54"/>
      <c r="G170" s="684"/>
      <c r="H170" s="33">
        <f t="shared" si="8"/>
        <v>7</v>
      </c>
    </row>
    <row r="171" spans="1:10" x14ac:dyDescent="0.35">
      <c r="A171" s="33">
        <f t="shared" si="7"/>
        <v>8</v>
      </c>
      <c r="B171" s="676" t="s">
        <v>597</v>
      </c>
      <c r="C171" s="668"/>
      <c r="D171" s="668"/>
      <c r="E171" s="54"/>
      <c r="G171" s="684"/>
      <c r="H171" s="33">
        <f t="shared" si="8"/>
        <v>8</v>
      </c>
    </row>
    <row r="172" spans="1:10" x14ac:dyDescent="0.35">
      <c r="A172" s="33">
        <f t="shared" si="7"/>
        <v>9</v>
      </c>
      <c r="B172" s="668" t="s">
        <v>598</v>
      </c>
      <c r="C172" s="668"/>
      <c r="D172" s="668"/>
      <c r="E172" s="27">
        <f>'Stmt AE'!I11</f>
        <v>1544320.792109231</v>
      </c>
      <c r="F172" s="683"/>
      <c r="G172" s="684" t="s">
        <v>1077</v>
      </c>
      <c r="H172" s="33">
        <f t="shared" si="8"/>
        <v>9</v>
      </c>
    </row>
    <row r="173" spans="1:10" x14ac:dyDescent="0.35">
      <c r="A173" s="33">
        <f t="shared" si="7"/>
        <v>10</v>
      </c>
      <c r="B173" s="1942" t="s">
        <v>108</v>
      </c>
      <c r="C173" s="668"/>
      <c r="D173" s="668"/>
      <c r="E173" s="53">
        <f>'Stmt AE'!I21</f>
        <v>33670.163239599606</v>
      </c>
      <c r="F173" s="683"/>
      <c r="G173" s="684" t="s">
        <v>1078</v>
      </c>
      <c r="H173" s="33">
        <f t="shared" si="8"/>
        <v>10</v>
      </c>
    </row>
    <row r="174" spans="1:10" x14ac:dyDescent="0.35">
      <c r="A174" s="33">
        <f t="shared" si="7"/>
        <v>11</v>
      </c>
      <c r="B174" s="664" t="s">
        <v>599</v>
      </c>
      <c r="C174" s="668"/>
      <c r="D174" s="668"/>
      <c r="E174" s="53">
        <f>'Stmt AE'!I23</f>
        <v>42193.179474965684</v>
      </c>
      <c r="F174" s="1941"/>
      <c r="G174" s="684" t="s">
        <v>1079</v>
      </c>
      <c r="H174" s="33">
        <f t="shared" si="8"/>
        <v>11</v>
      </c>
    </row>
    <row r="175" spans="1:10" x14ac:dyDescent="0.35">
      <c r="A175" s="33">
        <f t="shared" si="7"/>
        <v>12</v>
      </c>
      <c r="B175" s="664" t="s">
        <v>600</v>
      </c>
      <c r="C175" s="668"/>
      <c r="D175" s="668"/>
      <c r="E175" s="21">
        <f>'Stmt AE'!I25</f>
        <v>126838.82681949215</v>
      </c>
      <c r="F175" s="1941"/>
      <c r="G175" s="684" t="s">
        <v>1080</v>
      </c>
      <c r="H175" s="33">
        <f t="shared" si="8"/>
        <v>12</v>
      </c>
    </row>
    <row r="176" spans="1:10" x14ac:dyDescent="0.35">
      <c r="A176" s="33">
        <f t="shared" si="7"/>
        <v>13</v>
      </c>
      <c r="B176" s="677" t="s">
        <v>105</v>
      </c>
      <c r="C176" s="677"/>
      <c r="D176" s="677"/>
      <c r="E176" s="55">
        <f>SUM(E172:E175)</f>
        <v>1747022.9616432884</v>
      </c>
      <c r="F176" s="683"/>
      <c r="G176" s="684" t="s">
        <v>1081</v>
      </c>
      <c r="H176" s="33">
        <f t="shared" si="8"/>
        <v>13</v>
      </c>
    </row>
    <row r="177" spans="1:8" x14ac:dyDescent="0.35">
      <c r="A177" s="33">
        <f t="shared" si="7"/>
        <v>14</v>
      </c>
      <c r="B177" s="677"/>
      <c r="C177" s="677"/>
      <c r="D177" s="677"/>
      <c r="E177" s="50"/>
      <c r="G177" s="684"/>
      <c r="H177" s="33">
        <f t="shared" si="8"/>
        <v>14</v>
      </c>
    </row>
    <row r="178" spans="1:8" x14ac:dyDescent="0.35">
      <c r="A178" s="33">
        <f t="shared" si="7"/>
        <v>15</v>
      </c>
      <c r="B178" s="674" t="s">
        <v>554</v>
      </c>
      <c r="C178" s="677"/>
      <c r="D178" s="677"/>
      <c r="E178" s="50"/>
      <c r="G178" s="684"/>
      <c r="H178" s="33">
        <f t="shared" si="8"/>
        <v>15</v>
      </c>
    </row>
    <row r="179" spans="1:8" x14ac:dyDescent="0.35">
      <c r="A179" s="33">
        <f t="shared" si="7"/>
        <v>16</v>
      </c>
      <c r="B179" s="667" t="s">
        <v>132</v>
      </c>
      <c r="C179" s="668"/>
      <c r="D179" s="668"/>
      <c r="E179" s="22">
        <f>+E165-E172</f>
        <v>5550598.5240176916</v>
      </c>
      <c r="F179" s="683"/>
      <c r="G179" s="684" t="s">
        <v>1082</v>
      </c>
      <c r="H179" s="33">
        <f t="shared" si="8"/>
        <v>16</v>
      </c>
    </row>
    <row r="180" spans="1:8" x14ac:dyDescent="0.35">
      <c r="A180" s="33">
        <f t="shared" si="7"/>
        <v>17</v>
      </c>
      <c r="B180" s="667" t="s">
        <v>13</v>
      </c>
      <c r="C180" s="668"/>
      <c r="D180" s="668"/>
      <c r="E180" s="20">
        <f>+E166-E173</f>
        <v>5093.7317215840376</v>
      </c>
      <c r="F180" s="683"/>
      <c r="G180" s="684" t="s">
        <v>1083</v>
      </c>
      <c r="H180" s="33">
        <f t="shared" si="8"/>
        <v>17</v>
      </c>
    </row>
    <row r="181" spans="1:8" x14ac:dyDescent="0.35">
      <c r="A181" s="33">
        <f t="shared" si="7"/>
        <v>18</v>
      </c>
      <c r="B181" s="667" t="s">
        <v>14</v>
      </c>
      <c r="C181" s="668"/>
      <c r="D181" s="668"/>
      <c r="E181" s="20">
        <f>+E167-E174</f>
        <v>59576.62398636053</v>
      </c>
      <c r="G181" s="684" t="s">
        <v>1084</v>
      </c>
      <c r="H181" s="33">
        <f t="shared" si="8"/>
        <v>18</v>
      </c>
    </row>
    <row r="182" spans="1:8" x14ac:dyDescent="0.35">
      <c r="A182" s="33">
        <f t="shared" si="7"/>
        <v>19</v>
      </c>
      <c r="B182" s="663" t="s">
        <v>555</v>
      </c>
      <c r="C182" s="664"/>
      <c r="D182" s="664"/>
      <c r="E182" s="56">
        <f>+E168-E175</f>
        <v>149391.98389468517</v>
      </c>
      <c r="G182" s="684" t="s">
        <v>1085</v>
      </c>
      <c r="H182" s="33">
        <f t="shared" si="8"/>
        <v>19</v>
      </c>
    </row>
    <row r="183" spans="1:8" ht="16" thickBot="1" x14ac:dyDescent="0.4">
      <c r="A183" s="33">
        <f t="shared" si="7"/>
        <v>20</v>
      </c>
      <c r="B183" s="668" t="s">
        <v>556</v>
      </c>
      <c r="C183" s="668"/>
      <c r="D183" s="668"/>
      <c r="E183" s="57">
        <f>SUM(E179:E182)</f>
        <v>5764660.8636203213</v>
      </c>
      <c r="F183" s="683"/>
      <c r="G183" s="684" t="s">
        <v>1086</v>
      </c>
      <c r="H183" s="33">
        <f t="shared" si="8"/>
        <v>20</v>
      </c>
    </row>
    <row r="184" spans="1:8" ht="16" thickTop="1" x14ac:dyDescent="0.35">
      <c r="A184" s="33">
        <f t="shared" si="7"/>
        <v>21</v>
      </c>
      <c r="B184" s="664"/>
      <c r="C184" s="664"/>
      <c r="D184" s="664"/>
      <c r="E184" s="22"/>
      <c r="F184" s="681"/>
      <c r="G184" s="686"/>
      <c r="H184" s="33">
        <f t="shared" si="8"/>
        <v>21</v>
      </c>
    </row>
    <row r="185" spans="1:8" ht="18" x14ac:dyDescent="0.35">
      <c r="A185" s="33">
        <f t="shared" si="7"/>
        <v>22</v>
      </c>
      <c r="B185" s="678" t="s">
        <v>904</v>
      </c>
      <c r="C185" s="668"/>
      <c r="D185" s="668"/>
      <c r="E185" s="22"/>
      <c r="G185" s="684"/>
      <c r="H185" s="33">
        <f t="shared" si="8"/>
        <v>22</v>
      </c>
    </row>
    <row r="186" spans="1:8" x14ac:dyDescent="0.35">
      <c r="A186" s="33">
        <f t="shared" si="7"/>
        <v>23</v>
      </c>
      <c r="B186" s="667" t="s">
        <v>902</v>
      </c>
      <c r="C186" s="668"/>
      <c r="D186" s="668"/>
      <c r="E186" s="37">
        <f>'Stmt AD'!I23</f>
        <v>0</v>
      </c>
      <c r="G186" s="684" t="s">
        <v>1087</v>
      </c>
      <c r="H186" s="33">
        <f t="shared" si="8"/>
        <v>23</v>
      </c>
    </row>
    <row r="187" spans="1:8" x14ac:dyDescent="0.35">
      <c r="A187" s="33">
        <f t="shared" si="7"/>
        <v>24</v>
      </c>
      <c r="B187" s="668" t="s">
        <v>903</v>
      </c>
      <c r="C187" s="668"/>
      <c r="D187" s="668"/>
      <c r="E187" s="30">
        <f>'Stmt AE'!I29</f>
        <v>0</v>
      </c>
      <c r="G187" s="684" t="s">
        <v>1088</v>
      </c>
      <c r="H187" s="33">
        <f t="shared" si="8"/>
        <v>24</v>
      </c>
    </row>
    <row r="188" spans="1:8" ht="16" thickBot="1" x14ac:dyDescent="0.4">
      <c r="A188" s="33">
        <f t="shared" si="7"/>
        <v>25</v>
      </c>
      <c r="B188" s="667" t="s">
        <v>601</v>
      </c>
      <c r="C188" s="668"/>
      <c r="D188" s="668"/>
      <c r="E188" s="58">
        <f>E186-E187</f>
        <v>0</v>
      </c>
      <c r="G188" s="684" t="s">
        <v>1089</v>
      </c>
      <c r="H188" s="33">
        <f t="shared" si="8"/>
        <v>25</v>
      </c>
    </row>
    <row r="189" spans="1:8" ht="16" thickTop="1" x14ac:dyDescent="0.35">
      <c r="A189" s="33"/>
      <c r="B189" s="667"/>
      <c r="C189" s="668"/>
      <c r="D189" s="668"/>
      <c r="E189" s="22"/>
      <c r="G189" s="684"/>
      <c r="H189" s="33"/>
    </row>
    <row r="190" spans="1:8" x14ac:dyDescent="0.35">
      <c r="A190" s="33"/>
      <c r="B190" s="667"/>
      <c r="C190" s="668"/>
      <c r="D190" s="668"/>
      <c r="E190" s="22"/>
      <c r="G190" s="684"/>
      <c r="H190" s="33"/>
    </row>
    <row r="191" spans="1:8" ht="18" x14ac:dyDescent="0.35">
      <c r="A191" s="682">
        <v>1</v>
      </c>
      <c r="B191" s="668" t="s">
        <v>1202</v>
      </c>
      <c r="C191" s="668"/>
      <c r="D191" s="668"/>
      <c r="E191" s="22"/>
      <c r="G191" s="684"/>
      <c r="H191" s="33"/>
    </row>
    <row r="192" spans="1:8" x14ac:dyDescent="0.35">
      <c r="A192" s="33"/>
      <c r="B192" s="668"/>
      <c r="C192" s="668"/>
      <c r="D192" s="668"/>
      <c r="E192" s="22"/>
      <c r="G192" s="684"/>
      <c r="H192" s="33"/>
    </row>
    <row r="193" spans="1:8" x14ac:dyDescent="0.35">
      <c r="A193" s="683"/>
      <c r="B193" s="668"/>
      <c r="C193" s="668"/>
      <c r="D193" s="668"/>
      <c r="E193" s="22"/>
      <c r="G193" s="684"/>
      <c r="H193" s="33"/>
    </row>
    <row r="194" spans="1:8" x14ac:dyDescent="0.35">
      <c r="A194" s="33"/>
      <c r="B194" s="2281" t="s">
        <v>18</v>
      </c>
      <c r="C194" s="2278"/>
      <c r="D194" s="2278"/>
      <c r="E194" s="2278"/>
      <c r="F194" s="2278"/>
      <c r="G194" s="2278"/>
      <c r="H194" s="33"/>
    </row>
    <row r="195" spans="1:8" x14ac:dyDescent="0.35">
      <c r="A195" s="33"/>
      <c r="B195" s="2281" t="s">
        <v>573</v>
      </c>
      <c r="C195" s="2278"/>
      <c r="D195" s="2278"/>
      <c r="E195" s="2278"/>
      <c r="F195" s="2278"/>
      <c r="G195" s="2278"/>
    </row>
    <row r="196" spans="1:8" ht="18" x14ac:dyDescent="0.35">
      <c r="A196" s="33"/>
      <c r="B196" s="2281" t="s">
        <v>602</v>
      </c>
      <c r="C196" s="2282"/>
      <c r="D196" s="2282"/>
      <c r="E196" s="2282"/>
      <c r="F196" s="2282"/>
      <c r="G196" s="2282"/>
      <c r="H196" s="33"/>
    </row>
    <row r="197" spans="1:8" x14ac:dyDescent="0.35">
      <c r="A197" s="33"/>
      <c r="B197" s="2279" t="s">
        <v>1587</v>
      </c>
      <c r="C197" s="2280"/>
      <c r="D197" s="2280"/>
      <c r="E197" s="2280"/>
      <c r="F197" s="2280"/>
      <c r="G197" s="2280"/>
      <c r="H197" s="33"/>
    </row>
    <row r="198" spans="1:8" x14ac:dyDescent="0.35">
      <c r="A198" s="33"/>
      <c r="B198" s="2277" t="s">
        <v>2</v>
      </c>
      <c r="C198" s="2278"/>
      <c r="D198" s="2278"/>
      <c r="E198" s="2278"/>
      <c r="F198" s="2278"/>
      <c r="G198" s="2278"/>
      <c r="H198" s="33"/>
    </row>
    <row r="199" spans="1:8" x14ac:dyDescent="0.35">
      <c r="A199" s="33"/>
      <c r="B199" s="1940"/>
      <c r="C199" s="1941"/>
      <c r="D199" s="1941"/>
      <c r="E199" s="1941"/>
      <c r="F199" s="1941"/>
      <c r="G199" s="1941"/>
      <c r="H199" s="33"/>
    </row>
    <row r="200" spans="1:8" x14ac:dyDescent="0.35">
      <c r="A200" s="662" t="s">
        <v>3</v>
      </c>
      <c r="B200" s="664"/>
      <c r="C200" s="664"/>
      <c r="D200" s="664"/>
      <c r="E200" s="54"/>
      <c r="G200" s="684"/>
      <c r="H200" s="662" t="s">
        <v>3</v>
      </c>
    </row>
    <row r="201" spans="1:8" x14ac:dyDescent="0.35">
      <c r="A201" s="662" t="s">
        <v>25</v>
      </c>
      <c r="B201" s="665" t="s">
        <v>10</v>
      </c>
      <c r="C201" s="668"/>
      <c r="D201" s="668"/>
      <c r="E201" s="711" t="s">
        <v>135</v>
      </c>
      <c r="G201" s="685" t="s">
        <v>9</v>
      </c>
      <c r="H201" s="662" t="s">
        <v>25</v>
      </c>
    </row>
    <row r="202" spans="1:8" x14ac:dyDescent="0.35">
      <c r="A202" s="662"/>
      <c r="B202" s="671" t="s">
        <v>603</v>
      </c>
      <c r="C202" s="668"/>
      <c r="D202" s="668"/>
      <c r="E202" s="721"/>
      <c r="G202" s="684"/>
      <c r="H202" s="662"/>
    </row>
    <row r="203" spans="1:8" ht="18" x14ac:dyDescent="0.35">
      <c r="A203" s="33"/>
      <c r="B203" s="671" t="s">
        <v>604</v>
      </c>
      <c r="C203" s="668"/>
      <c r="D203" s="668"/>
      <c r="E203" s="61"/>
      <c r="G203" s="684"/>
      <c r="H203" s="662"/>
    </row>
    <row r="204" spans="1:8" x14ac:dyDescent="0.35">
      <c r="A204" s="33"/>
      <c r="B204" s="671" t="s">
        <v>605</v>
      </c>
      <c r="C204" s="668"/>
      <c r="D204" s="668"/>
      <c r="E204" s="61"/>
      <c r="G204" s="684"/>
      <c r="H204" s="33"/>
    </row>
    <row r="205" spans="1:8" ht="17.5" x14ac:dyDescent="0.35">
      <c r="A205" s="33">
        <v>1</v>
      </c>
      <c r="B205" s="668" t="s">
        <v>606</v>
      </c>
      <c r="C205" s="668"/>
      <c r="D205" s="668"/>
      <c r="E205" s="27">
        <f>E40</f>
        <v>986401.22256758157</v>
      </c>
      <c r="F205" s="700"/>
      <c r="G205" s="684" t="s">
        <v>1237</v>
      </c>
      <c r="H205" s="33">
        <f>A205</f>
        <v>1</v>
      </c>
    </row>
    <row r="206" spans="1:8" x14ac:dyDescent="0.35">
      <c r="A206" s="33">
        <f t="shared" ref="A206:A224" si="9">A205+1</f>
        <v>2</v>
      </c>
      <c r="B206" s="668" t="s">
        <v>607</v>
      </c>
      <c r="C206" s="668"/>
      <c r="D206" s="668"/>
      <c r="E206" s="53">
        <f>(-E11)*0.5</f>
        <v>-50141.172634999995</v>
      </c>
      <c r="F206" s="683"/>
      <c r="G206" s="684" t="s">
        <v>1193</v>
      </c>
      <c r="H206" s="33">
        <f t="shared" ref="H206:H224" si="10">H205+1</f>
        <v>2</v>
      </c>
    </row>
    <row r="207" spans="1:8" x14ac:dyDescent="0.35">
      <c r="A207" s="33">
        <f t="shared" si="9"/>
        <v>3</v>
      </c>
      <c r="B207" s="668" t="s">
        <v>608</v>
      </c>
      <c r="C207" s="668"/>
      <c r="D207" s="668"/>
      <c r="E207" s="53">
        <f>(-E13)*0.5</f>
        <v>-49046.168939318937</v>
      </c>
      <c r="F207" s="700"/>
      <c r="G207" s="684" t="s">
        <v>1194</v>
      </c>
      <c r="H207" s="33">
        <f t="shared" si="10"/>
        <v>3</v>
      </c>
    </row>
    <row r="208" spans="1:8" x14ac:dyDescent="0.35">
      <c r="A208" s="33">
        <f t="shared" si="9"/>
        <v>4</v>
      </c>
      <c r="B208" s="667" t="s">
        <v>214</v>
      </c>
      <c r="C208" s="668"/>
      <c r="D208" s="668"/>
      <c r="E208" s="59">
        <f>-E15</f>
        <v>0</v>
      </c>
      <c r="G208" s="684" t="s">
        <v>1195</v>
      </c>
      <c r="H208" s="33">
        <f t="shared" si="10"/>
        <v>4</v>
      </c>
    </row>
    <row r="209" spans="1:10" x14ac:dyDescent="0.35">
      <c r="A209" s="33">
        <f t="shared" si="9"/>
        <v>5</v>
      </c>
      <c r="B209" s="668" t="s">
        <v>712</v>
      </c>
      <c r="C209" s="668"/>
      <c r="D209" s="668"/>
      <c r="E209" s="28">
        <f>-E35</f>
        <v>-1304.0991895338727</v>
      </c>
      <c r="G209" s="684" t="s">
        <v>1238</v>
      </c>
      <c r="H209" s="33">
        <f t="shared" si="10"/>
        <v>5</v>
      </c>
      <c r="I209" s="1944"/>
    </row>
    <row r="210" spans="1:10" x14ac:dyDescent="0.35">
      <c r="A210" s="33">
        <f t="shared" si="9"/>
        <v>6</v>
      </c>
      <c r="B210" s="669" t="s">
        <v>583</v>
      </c>
      <c r="C210" s="668"/>
      <c r="D210" s="668"/>
      <c r="E210" s="47">
        <f>-E38</f>
        <v>0</v>
      </c>
      <c r="G210" s="684" t="s">
        <v>1239</v>
      </c>
      <c r="H210" s="33">
        <f t="shared" si="10"/>
        <v>6</v>
      </c>
    </row>
    <row r="211" spans="1:10" ht="17.5" x14ac:dyDescent="0.35">
      <c r="A211" s="33">
        <f t="shared" si="9"/>
        <v>7</v>
      </c>
      <c r="B211" s="668" t="s">
        <v>844</v>
      </c>
      <c r="C211" s="668"/>
      <c r="D211" s="668"/>
      <c r="E211" s="26">
        <f>SUM(E205:E210)</f>
        <v>885909.78180372878</v>
      </c>
      <c r="F211" s="700"/>
      <c r="G211" s="684" t="s">
        <v>1160</v>
      </c>
      <c r="H211" s="33">
        <f t="shared" si="10"/>
        <v>7</v>
      </c>
    </row>
    <row r="212" spans="1:10" x14ac:dyDescent="0.35">
      <c r="A212" s="33">
        <f t="shared" si="9"/>
        <v>8</v>
      </c>
      <c r="B212" s="668"/>
      <c r="C212" s="668"/>
      <c r="D212" s="668"/>
      <c r="E212" s="50"/>
      <c r="G212" s="684"/>
      <c r="H212" s="33">
        <f t="shared" si="10"/>
        <v>8</v>
      </c>
    </row>
    <row r="213" spans="1:10" x14ac:dyDescent="0.35">
      <c r="A213" s="33">
        <f t="shared" si="9"/>
        <v>9</v>
      </c>
      <c r="B213" s="663" t="s">
        <v>971</v>
      </c>
      <c r="C213" s="668"/>
      <c r="D213" s="668"/>
      <c r="E213" s="60">
        <f>E183</f>
        <v>5764660.8636203213</v>
      </c>
      <c r="F213" s="683"/>
      <c r="G213" s="684" t="s">
        <v>1272</v>
      </c>
      <c r="H213" s="33">
        <f t="shared" si="10"/>
        <v>9</v>
      </c>
    </row>
    <row r="214" spans="1:10" x14ac:dyDescent="0.35">
      <c r="A214" s="33">
        <f t="shared" si="9"/>
        <v>10</v>
      </c>
      <c r="B214" s="668"/>
      <c r="C214" s="668"/>
      <c r="D214" s="668"/>
      <c r="E214" s="61"/>
      <c r="G214" s="684"/>
      <c r="H214" s="33">
        <f t="shared" si="10"/>
        <v>10</v>
      </c>
    </row>
    <row r="215" spans="1:10" ht="17.5" x14ac:dyDescent="0.35">
      <c r="A215" s="33">
        <f t="shared" si="9"/>
        <v>11</v>
      </c>
      <c r="B215" s="668" t="s">
        <v>609</v>
      </c>
      <c r="C215" s="668"/>
      <c r="D215" s="668"/>
      <c r="E215" s="62">
        <f>E211/E213</f>
        <v>0.15367942759556541</v>
      </c>
      <c r="F215" s="700"/>
      <c r="G215" s="684" t="s">
        <v>1290</v>
      </c>
      <c r="H215" s="33">
        <f t="shared" si="10"/>
        <v>11</v>
      </c>
    </row>
    <row r="216" spans="1:10" x14ac:dyDescent="0.35">
      <c r="A216" s="33">
        <f t="shared" si="9"/>
        <v>12</v>
      </c>
      <c r="B216" s="668"/>
      <c r="C216" s="668"/>
      <c r="D216" s="668"/>
      <c r="E216" s="63"/>
      <c r="G216" s="684"/>
      <c r="H216" s="33">
        <f t="shared" si="10"/>
        <v>12</v>
      </c>
    </row>
    <row r="217" spans="1:10" ht="31" x14ac:dyDescent="0.35">
      <c r="A217" s="33">
        <f t="shared" si="9"/>
        <v>13</v>
      </c>
      <c r="B217" s="1942" t="s">
        <v>610</v>
      </c>
      <c r="C217" s="668"/>
      <c r="D217" s="668"/>
      <c r="E217" s="64">
        <f>'Summary of HV-LV Splits'!I15</f>
        <v>784881.24964879011</v>
      </c>
      <c r="F217" s="700"/>
      <c r="G217" s="687" t="s">
        <v>1196</v>
      </c>
      <c r="H217" s="33">
        <f t="shared" si="10"/>
        <v>13</v>
      </c>
      <c r="J217" s="722"/>
    </row>
    <row r="218" spans="1:10" x14ac:dyDescent="0.35">
      <c r="A218" s="33">
        <f t="shared" si="9"/>
        <v>14</v>
      </c>
      <c r="C218" s="668"/>
      <c r="D218" s="668"/>
      <c r="E218" s="1650"/>
      <c r="F218" s="700"/>
      <c r="G218" s="687"/>
      <c r="H218" s="33">
        <f t="shared" si="10"/>
        <v>14</v>
      </c>
      <c r="J218" s="722"/>
    </row>
    <row r="219" spans="1:10" x14ac:dyDescent="0.35">
      <c r="A219" s="33">
        <f t="shared" si="9"/>
        <v>15</v>
      </c>
      <c r="B219" s="1942" t="s">
        <v>292</v>
      </c>
      <c r="C219" s="668"/>
      <c r="D219" s="668"/>
      <c r="E219" s="1701">
        <f>'AJ-1B'!F43</f>
        <v>3.0155777651454004E-2</v>
      </c>
      <c r="F219" s="700"/>
      <c r="G219" s="687" t="s">
        <v>1210</v>
      </c>
      <c r="H219" s="33">
        <f t="shared" si="10"/>
        <v>15</v>
      </c>
      <c r="J219" s="722"/>
    </row>
    <row r="220" spans="1:10" x14ac:dyDescent="0.35">
      <c r="A220" s="33">
        <f t="shared" si="9"/>
        <v>16</v>
      </c>
      <c r="B220" s="1942" t="s">
        <v>1208</v>
      </c>
      <c r="C220" s="668"/>
      <c r="D220" s="668"/>
      <c r="E220" s="1650">
        <f>E217*E219</f>
        <v>23668.704447204276</v>
      </c>
      <c r="F220" s="700"/>
      <c r="G220" s="687" t="s">
        <v>1291</v>
      </c>
      <c r="H220" s="33">
        <f t="shared" si="10"/>
        <v>16</v>
      </c>
      <c r="J220" s="722"/>
    </row>
    <row r="221" spans="1:10" x14ac:dyDescent="0.35">
      <c r="A221" s="33">
        <f t="shared" si="9"/>
        <v>17</v>
      </c>
      <c r="C221" s="668"/>
      <c r="D221" s="668"/>
      <c r="E221" s="1650"/>
      <c r="F221" s="700"/>
      <c r="G221" s="1663" t="s">
        <v>1295</v>
      </c>
      <c r="H221" s="33">
        <f t="shared" si="10"/>
        <v>17</v>
      </c>
      <c r="J221" s="722"/>
    </row>
    <row r="222" spans="1:10" x14ac:dyDescent="0.35">
      <c r="A222" s="33">
        <f t="shared" si="9"/>
        <v>18</v>
      </c>
      <c r="B222" s="1942" t="s">
        <v>1209</v>
      </c>
      <c r="C222" s="668"/>
      <c r="D222" s="668"/>
      <c r="E222" s="1702">
        <f>E217-E220</f>
        <v>761212.54520158586</v>
      </c>
      <c r="F222" s="700"/>
      <c r="G222" s="687" t="s">
        <v>1292</v>
      </c>
      <c r="H222" s="33">
        <f t="shared" si="10"/>
        <v>18</v>
      </c>
      <c r="J222" s="722"/>
    </row>
    <row r="223" spans="1:10" x14ac:dyDescent="0.35">
      <c r="A223" s="33">
        <f t="shared" si="9"/>
        <v>19</v>
      </c>
      <c r="B223" s="679"/>
      <c r="C223" s="668"/>
      <c r="D223" s="668"/>
      <c r="E223" s="63"/>
      <c r="G223" s="684"/>
      <c r="H223" s="33">
        <f t="shared" si="10"/>
        <v>19</v>
      </c>
    </row>
    <row r="224" spans="1:10" ht="16" thickBot="1" x14ac:dyDescent="0.4">
      <c r="A224" s="33">
        <f t="shared" si="9"/>
        <v>20</v>
      </c>
      <c r="B224" s="1942" t="s">
        <v>882</v>
      </c>
      <c r="E224" s="52">
        <f>E215*E222</f>
        <v>116982.70822514317</v>
      </c>
      <c r="F224" s="700"/>
      <c r="G224" s="684" t="s">
        <v>1293</v>
      </c>
      <c r="H224" s="33">
        <f t="shared" si="10"/>
        <v>20</v>
      </c>
    </row>
    <row r="225" spans="1:8" ht="16" thickTop="1" x14ac:dyDescent="0.35">
      <c r="A225" s="33"/>
      <c r="E225" s="22"/>
      <c r="G225" s="684"/>
      <c r="H225" s="33"/>
    </row>
    <row r="226" spans="1:8" x14ac:dyDescent="0.35">
      <c r="A226" s="33"/>
      <c r="B226" s="1941"/>
      <c r="C226" s="668"/>
      <c r="D226" s="668"/>
      <c r="E226" s="63"/>
      <c r="G226" s="684"/>
      <c r="H226" s="33"/>
    </row>
    <row r="227" spans="1:8" x14ac:dyDescent="0.35">
      <c r="A227" s="33"/>
      <c r="B227" s="2281" t="s">
        <v>18</v>
      </c>
      <c r="C227" s="2278"/>
      <c r="D227" s="2278"/>
      <c r="E227" s="2278"/>
      <c r="F227" s="2278"/>
      <c r="G227" s="2278"/>
    </row>
    <row r="228" spans="1:8" x14ac:dyDescent="0.35">
      <c r="A228" s="33" t="s">
        <v>10</v>
      </c>
      <c r="B228" s="2281" t="s">
        <v>573</v>
      </c>
      <c r="C228" s="2278"/>
      <c r="D228" s="2278"/>
      <c r="E228" s="2278"/>
      <c r="F228" s="2278"/>
      <c r="G228" s="2278"/>
    </row>
    <row r="229" spans="1:8" ht="18" x14ac:dyDescent="0.35">
      <c r="A229" s="33"/>
      <c r="B229" s="2281" t="s">
        <v>602</v>
      </c>
      <c r="C229" s="2282"/>
      <c r="D229" s="2282"/>
      <c r="E229" s="2282"/>
      <c r="F229" s="2282"/>
      <c r="G229" s="2282"/>
    </row>
    <row r="230" spans="1:8" x14ac:dyDescent="0.35">
      <c r="A230" s="33"/>
      <c r="B230" s="2283" t="str">
        <f>B197</f>
        <v>For the Forecast Period January 1, 2023 - December 31, 2023</v>
      </c>
      <c r="C230" s="2284"/>
      <c r="D230" s="2284"/>
      <c r="E230" s="2284"/>
      <c r="F230" s="2284"/>
      <c r="G230" s="2284"/>
    </row>
    <row r="231" spans="1:8" x14ac:dyDescent="0.35">
      <c r="A231" s="33"/>
      <c r="B231" s="2277" t="s">
        <v>2</v>
      </c>
      <c r="C231" s="2278"/>
      <c r="D231" s="2278"/>
      <c r="E231" s="2278"/>
      <c r="F231" s="2278"/>
      <c r="G231" s="2278"/>
    </row>
    <row r="232" spans="1:8" x14ac:dyDescent="0.35">
      <c r="A232" s="33"/>
      <c r="B232" s="1940"/>
      <c r="C232" s="1941"/>
      <c r="D232" s="1941"/>
      <c r="E232" s="1941"/>
      <c r="F232" s="1941"/>
      <c r="G232" s="1941"/>
    </row>
    <row r="233" spans="1:8" x14ac:dyDescent="0.35">
      <c r="A233" s="662" t="s">
        <v>3</v>
      </c>
      <c r="B233" s="664"/>
      <c r="C233" s="664"/>
      <c r="D233" s="664"/>
      <c r="E233" s="54"/>
      <c r="G233" s="684"/>
      <c r="H233" s="662" t="s">
        <v>3</v>
      </c>
    </row>
    <row r="234" spans="1:8" x14ac:dyDescent="0.35">
      <c r="A234" s="662" t="s">
        <v>25</v>
      </c>
      <c r="B234" s="665" t="s">
        <v>10</v>
      </c>
      <c r="C234" s="668"/>
      <c r="D234" s="668"/>
      <c r="E234" s="711" t="s">
        <v>135</v>
      </c>
      <c r="G234" s="685" t="s">
        <v>9</v>
      </c>
      <c r="H234" s="662" t="s">
        <v>25</v>
      </c>
    </row>
    <row r="235" spans="1:8" x14ac:dyDescent="0.35">
      <c r="A235" s="662"/>
      <c r="B235" s="671" t="s">
        <v>612</v>
      </c>
      <c r="C235" s="668"/>
      <c r="D235" s="668"/>
      <c r="E235" s="712"/>
      <c r="G235" s="686"/>
      <c r="H235" s="662"/>
    </row>
    <row r="236" spans="1:8" x14ac:dyDescent="0.35">
      <c r="A236" s="662"/>
      <c r="B236" s="672" t="s">
        <v>613</v>
      </c>
      <c r="C236" s="668"/>
      <c r="D236" s="668"/>
      <c r="E236" s="712"/>
      <c r="G236" s="686"/>
      <c r="H236" s="662"/>
    </row>
    <row r="237" spans="1:8" ht="18" x14ac:dyDescent="0.35">
      <c r="A237" s="33"/>
      <c r="B237" s="671" t="s">
        <v>614</v>
      </c>
      <c r="C237" s="668"/>
      <c r="D237" s="668"/>
      <c r="E237" s="63"/>
      <c r="G237" s="684"/>
      <c r="H237" s="33"/>
    </row>
    <row r="238" spans="1:8" x14ac:dyDescent="0.35">
      <c r="A238" s="33"/>
      <c r="B238" s="671" t="s">
        <v>615</v>
      </c>
      <c r="C238" s="664"/>
      <c r="D238" s="664"/>
      <c r="E238" s="63"/>
      <c r="F238" s="681"/>
      <c r="G238" s="686"/>
      <c r="H238" s="33"/>
    </row>
    <row r="239" spans="1:8" ht="17.5" x14ac:dyDescent="0.35">
      <c r="A239" s="33">
        <v>1</v>
      </c>
      <c r="B239" s="668" t="s">
        <v>616</v>
      </c>
      <c r="C239" s="668"/>
      <c r="D239" s="668"/>
      <c r="E239" s="27">
        <f>E40+E65</f>
        <v>986401.22256758157</v>
      </c>
      <c r="F239" s="700"/>
      <c r="G239" s="684" t="s">
        <v>1319</v>
      </c>
      <c r="H239" s="33">
        <f>A239</f>
        <v>1</v>
      </c>
    </row>
    <row r="240" spans="1:8" x14ac:dyDescent="0.35">
      <c r="A240" s="33">
        <f t="shared" ref="A240:A273" si="11">A239+1</f>
        <v>2</v>
      </c>
      <c r="B240" s="668" t="s">
        <v>607</v>
      </c>
      <c r="C240" s="668"/>
      <c r="D240" s="668"/>
      <c r="E240" s="53">
        <f>(-E11)*0.5</f>
        <v>-50141.172634999995</v>
      </c>
      <c r="F240" s="683"/>
      <c r="G240" s="684" t="s">
        <v>1193</v>
      </c>
      <c r="H240" s="33">
        <f t="shared" ref="H240:H273" si="12">H239+1</f>
        <v>2</v>
      </c>
    </row>
    <row r="241" spans="1:9" x14ac:dyDescent="0.35">
      <c r="A241" s="33">
        <f t="shared" si="11"/>
        <v>3</v>
      </c>
      <c r="B241" s="668" t="s">
        <v>608</v>
      </c>
      <c r="C241" s="668"/>
      <c r="D241" s="668"/>
      <c r="E241" s="53">
        <f>(-E13*0.5)</f>
        <v>-49046.168939318937</v>
      </c>
      <c r="F241" s="700"/>
      <c r="G241" s="684" t="s">
        <v>1194</v>
      </c>
      <c r="H241" s="33">
        <f t="shared" si="12"/>
        <v>3</v>
      </c>
    </row>
    <row r="242" spans="1:9" x14ac:dyDescent="0.35">
      <c r="A242" s="33">
        <f t="shared" si="11"/>
        <v>4</v>
      </c>
      <c r="B242" s="667" t="s">
        <v>214</v>
      </c>
      <c r="C242" s="668"/>
      <c r="D242" s="668"/>
      <c r="E242" s="59">
        <f>-E15</f>
        <v>0</v>
      </c>
      <c r="G242" s="684" t="s">
        <v>1195</v>
      </c>
      <c r="H242" s="33">
        <f t="shared" si="12"/>
        <v>4</v>
      </c>
    </row>
    <row r="243" spans="1:9" x14ac:dyDescent="0.35">
      <c r="A243" s="33">
        <f t="shared" si="11"/>
        <v>5</v>
      </c>
      <c r="B243" s="668" t="s">
        <v>712</v>
      </c>
      <c r="C243" s="668"/>
      <c r="D243" s="668"/>
      <c r="E243" s="28">
        <f>-E35</f>
        <v>-1304.0991895338727</v>
      </c>
      <c r="F243" s="681"/>
      <c r="G243" s="684" t="s">
        <v>1238</v>
      </c>
      <c r="H243" s="33">
        <f t="shared" si="12"/>
        <v>5</v>
      </c>
      <c r="I243" s="1944"/>
    </row>
    <row r="244" spans="1:9" x14ac:dyDescent="0.35">
      <c r="A244" s="33">
        <f t="shared" si="11"/>
        <v>6</v>
      </c>
      <c r="B244" s="669" t="s">
        <v>583</v>
      </c>
      <c r="C244" s="668"/>
      <c r="D244" s="668"/>
      <c r="E244" s="47">
        <f>-E38</f>
        <v>0</v>
      </c>
      <c r="G244" s="684" t="s">
        <v>1239</v>
      </c>
      <c r="H244" s="33">
        <f t="shared" si="12"/>
        <v>6</v>
      </c>
    </row>
    <row r="245" spans="1:9" ht="17.5" x14ac:dyDescent="0.35">
      <c r="A245" s="33">
        <f t="shared" si="11"/>
        <v>7</v>
      </c>
      <c r="B245" s="668" t="s">
        <v>845</v>
      </c>
      <c r="C245" s="668"/>
      <c r="D245" s="668"/>
      <c r="E245" s="26">
        <f>SUM(E239:E244)</f>
        <v>885909.78180372878</v>
      </c>
      <c r="F245" s="700"/>
      <c r="G245" s="684" t="s">
        <v>1160</v>
      </c>
      <c r="H245" s="33">
        <f t="shared" si="12"/>
        <v>7</v>
      </c>
    </row>
    <row r="246" spans="1:9" x14ac:dyDescent="0.35">
      <c r="A246" s="33">
        <f t="shared" si="11"/>
        <v>8</v>
      </c>
      <c r="B246" s="668"/>
      <c r="C246" s="668"/>
      <c r="D246" s="668"/>
      <c r="E246" s="63"/>
      <c r="G246" s="684"/>
      <c r="H246" s="33">
        <f t="shared" si="12"/>
        <v>8</v>
      </c>
    </row>
    <row r="247" spans="1:9" x14ac:dyDescent="0.35">
      <c r="A247" s="33">
        <f t="shared" si="11"/>
        <v>9</v>
      </c>
      <c r="B247" s="663" t="s">
        <v>972</v>
      </c>
      <c r="C247" s="668"/>
      <c r="D247" s="668"/>
      <c r="E247" s="60">
        <f>+E183+E188</f>
        <v>5764660.8636203213</v>
      </c>
      <c r="F247" s="683"/>
      <c r="G247" s="684" t="s">
        <v>1273</v>
      </c>
      <c r="H247" s="33">
        <f t="shared" si="12"/>
        <v>9</v>
      </c>
    </row>
    <row r="248" spans="1:9" x14ac:dyDescent="0.35">
      <c r="A248" s="33">
        <f t="shared" si="11"/>
        <v>10</v>
      </c>
      <c r="B248" s="668"/>
      <c r="C248" s="668"/>
      <c r="D248" s="668"/>
      <c r="E248" s="61"/>
      <c r="G248" s="684"/>
      <c r="H248" s="33">
        <f t="shared" si="12"/>
        <v>10</v>
      </c>
    </row>
    <row r="249" spans="1:9" ht="18" x14ac:dyDescent="0.35">
      <c r="A249" s="33">
        <f t="shared" si="11"/>
        <v>11</v>
      </c>
      <c r="B249" s="668" t="s">
        <v>617</v>
      </c>
      <c r="C249" s="668"/>
      <c r="D249" s="668"/>
      <c r="E249" s="62">
        <f>E245/E247</f>
        <v>0.15367942759556541</v>
      </c>
      <c r="F249" s="700"/>
      <c r="G249" s="684" t="s">
        <v>1290</v>
      </c>
      <c r="H249" s="33">
        <f t="shared" si="12"/>
        <v>11</v>
      </c>
    </row>
    <row r="250" spans="1:9" x14ac:dyDescent="0.35">
      <c r="A250" s="33">
        <f t="shared" si="11"/>
        <v>12</v>
      </c>
      <c r="B250" s="668"/>
      <c r="C250" s="668"/>
      <c r="D250" s="668"/>
      <c r="E250" s="63"/>
      <c r="F250" s="681"/>
      <c r="G250" s="684"/>
      <c r="H250" s="33">
        <f t="shared" si="12"/>
        <v>12</v>
      </c>
    </row>
    <row r="251" spans="1:9" ht="31" x14ac:dyDescent="0.35">
      <c r="A251" s="33">
        <f t="shared" si="11"/>
        <v>13</v>
      </c>
      <c r="B251" s="1942" t="s">
        <v>618</v>
      </c>
      <c r="C251" s="668"/>
      <c r="D251" s="668"/>
      <c r="E251" s="64">
        <f>'Summary of HV-LV Splits'!I18</f>
        <v>0</v>
      </c>
      <c r="G251" s="687" t="s">
        <v>1197</v>
      </c>
      <c r="H251" s="33">
        <f t="shared" si="12"/>
        <v>13</v>
      </c>
    </row>
    <row r="252" spans="1:9" x14ac:dyDescent="0.35">
      <c r="A252" s="33">
        <f t="shared" si="11"/>
        <v>14</v>
      </c>
      <c r="C252" s="668"/>
      <c r="D252" s="668"/>
      <c r="E252" s="296"/>
      <c r="G252" s="687"/>
      <c r="H252" s="33">
        <f t="shared" si="12"/>
        <v>14</v>
      </c>
    </row>
    <row r="253" spans="1:9" x14ac:dyDescent="0.35">
      <c r="A253" s="33">
        <f t="shared" si="11"/>
        <v>15</v>
      </c>
      <c r="B253" s="1942" t="s">
        <v>292</v>
      </c>
      <c r="C253" s="668"/>
      <c r="D253" s="668"/>
      <c r="E253" s="1622">
        <f>E219</f>
        <v>3.0155777651454004E-2</v>
      </c>
      <c r="G253" s="687" t="s">
        <v>1296</v>
      </c>
      <c r="H253" s="33">
        <f t="shared" si="12"/>
        <v>15</v>
      </c>
    </row>
    <row r="254" spans="1:9" x14ac:dyDescent="0.35">
      <c r="A254" s="33">
        <f t="shared" si="11"/>
        <v>16</v>
      </c>
      <c r="B254" s="1942" t="s">
        <v>1208</v>
      </c>
      <c r="C254" s="668"/>
      <c r="D254" s="668"/>
      <c r="E254" s="296">
        <f>E251*E253</f>
        <v>0</v>
      </c>
      <c r="G254" s="687" t="s">
        <v>1291</v>
      </c>
      <c r="H254" s="33">
        <f t="shared" si="12"/>
        <v>16</v>
      </c>
    </row>
    <row r="255" spans="1:9" x14ac:dyDescent="0.35">
      <c r="A255" s="33">
        <f t="shared" si="11"/>
        <v>17</v>
      </c>
      <c r="C255" s="668"/>
      <c r="D255" s="668"/>
      <c r="E255" s="296"/>
      <c r="G255" s="687"/>
      <c r="H255" s="33">
        <f t="shared" si="12"/>
        <v>17</v>
      </c>
    </row>
    <row r="256" spans="1:9" x14ac:dyDescent="0.35">
      <c r="A256" s="33">
        <f t="shared" si="11"/>
        <v>18</v>
      </c>
      <c r="B256" s="1942" t="s">
        <v>1209</v>
      </c>
      <c r="C256" s="668"/>
      <c r="D256" s="668"/>
      <c r="E256" s="1623">
        <f>E251-E254</f>
        <v>0</v>
      </c>
      <c r="G256" s="687" t="s">
        <v>1292</v>
      </c>
      <c r="H256" s="33">
        <f t="shared" si="12"/>
        <v>18</v>
      </c>
    </row>
    <row r="257" spans="1:9" x14ac:dyDescent="0.35">
      <c r="A257" s="33">
        <f t="shared" si="11"/>
        <v>19</v>
      </c>
      <c r="B257" s="679"/>
      <c r="C257" s="668"/>
      <c r="D257" s="668"/>
      <c r="E257" s="63"/>
      <c r="G257" s="684"/>
      <c r="H257" s="33">
        <f t="shared" si="12"/>
        <v>19</v>
      </c>
    </row>
    <row r="258" spans="1:9" ht="18" thickBot="1" x14ac:dyDescent="0.4">
      <c r="A258" s="33">
        <f t="shared" si="11"/>
        <v>20</v>
      </c>
      <c r="B258" s="1942" t="s">
        <v>893</v>
      </c>
      <c r="E258" s="58">
        <f>E249*E256</f>
        <v>0</v>
      </c>
      <c r="G258" s="684" t="s">
        <v>1293</v>
      </c>
      <c r="H258" s="33">
        <f t="shared" si="12"/>
        <v>20</v>
      </c>
    </row>
    <row r="259" spans="1:9" ht="16" thickTop="1" x14ac:dyDescent="0.35">
      <c r="A259" s="33">
        <f t="shared" si="11"/>
        <v>21</v>
      </c>
      <c r="E259" s="22"/>
      <c r="G259" s="684"/>
      <c r="H259" s="33">
        <f t="shared" si="12"/>
        <v>21</v>
      </c>
      <c r="I259" s="722"/>
    </row>
    <row r="260" spans="1:9" x14ac:dyDescent="0.35">
      <c r="A260" s="33">
        <f t="shared" si="11"/>
        <v>22</v>
      </c>
      <c r="B260" s="680" t="s">
        <v>619</v>
      </c>
      <c r="E260" s="22"/>
      <c r="G260" s="684"/>
      <c r="H260" s="33">
        <f t="shared" si="12"/>
        <v>22</v>
      </c>
      <c r="I260" s="722"/>
    </row>
    <row r="261" spans="1:9" ht="31" x14ac:dyDescent="0.35">
      <c r="A261" s="33">
        <f t="shared" si="11"/>
        <v>23</v>
      </c>
      <c r="B261" s="1942" t="s">
        <v>620</v>
      </c>
      <c r="E261" s="65">
        <f>'Summary of HV-LV Splits'!I20+'Summary of HV-LV Splits'!I22</f>
        <v>0</v>
      </c>
      <c r="G261" s="687" t="s">
        <v>1198</v>
      </c>
      <c r="H261" s="33">
        <f t="shared" si="12"/>
        <v>23</v>
      </c>
    </row>
    <row r="262" spans="1:9" x14ac:dyDescent="0.35">
      <c r="A262" s="33">
        <f t="shared" si="11"/>
        <v>24</v>
      </c>
      <c r="E262" s="22"/>
      <c r="G262" s="684"/>
      <c r="H262" s="33">
        <f t="shared" si="12"/>
        <v>24</v>
      </c>
      <c r="I262" s="722"/>
    </row>
    <row r="263" spans="1:9" ht="17.5" x14ac:dyDescent="0.35">
      <c r="A263" s="33">
        <f t="shared" si="11"/>
        <v>25</v>
      </c>
      <c r="B263" s="1942" t="s">
        <v>1393</v>
      </c>
      <c r="E263" s="66">
        <f>'Stmt AV'!G148</f>
        <v>9.5314045924090818E-2</v>
      </c>
      <c r="F263" s="700"/>
      <c r="G263" s="684" t="s">
        <v>1496</v>
      </c>
      <c r="H263" s="33">
        <f t="shared" si="12"/>
        <v>25</v>
      </c>
      <c r="I263" s="722"/>
    </row>
    <row r="264" spans="1:9" x14ac:dyDescent="0.35">
      <c r="A264" s="33">
        <f t="shared" si="11"/>
        <v>26</v>
      </c>
      <c r="E264" s="22"/>
      <c r="G264" s="684"/>
      <c r="H264" s="33">
        <f t="shared" si="12"/>
        <v>26</v>
      </c>
      <c r="I264" s="722"/>
    </row>
    <row r="265" spans="1:9" ht="16" thickBot="1" x14ac:dyDescent="0.4">
      <c r="A265" s="33">
        <f t="shared" si="11"/>
        <v>27</v>
      </c>
      <c r="B265" s="1942" t="s">
        <v>1313</v>
      </c>
      <c r="E265" s="58">
        <f>E261*E263</f>
        <v>0</v>
      </c>
      <c r="G265" s="684" t="s">
        <v>1294</v>
      </c>
      <c r="H265" s="33">
        <f t="shared" si="12"/>
        <v>27</v>
      </c>
      <c r="I265" s="722"/>
    </row>
    <row r="266" spans="1:9" ht="16" thickTop="1" x14ac:dyDescent="0.35">
      <c r="A266" s="33">
        <f t="shared" si="11"/>
        <v>28</v>
      </c>
      <c r="E266" s="1661"/>
      <c r="G266" s="684"/>
      <c r="H266" s="33">
        <f t="shared" si="12"/>
        <v>28</v>
      </c>
      <c r="I266" s="722"/>
    </row>
    <row r="267" spans="1:9" ht="31" x14ac:dyDescent="0.35">
      <c r="A267" s="33">
        <f t="shared" si="11"/>
        <v>29</v>
      </c>
      <c r="B267" s="1942" t="s">
        <v>620</v>
      </c>
      <c r="E267" s="65">
        <f>'Summary of HV-LV Splits'!I20+'Summary of HV-LV Splits'!I22</f>
        <v>0</v>
      </c>
      <c r="G267" s="687" t="s">
        <v>1198</v>
      </c>
      <c r="H267" s="33">
        <f t="shared" si="12"/>
        <v>29</v>
      </c>
      <c r="I267" s="722"/>
    </row>
    <row r="268" spans="1:9" x14ac:dyDescent="0.35">
      <c r="A268" s="33">
        <f t="shared" si="11"/>
        <v>30</v>
      </c>
      <c r="E268" s="1661"/>
      <c r="G268" s="684"/>
      <c r="H268" s="33">
        <f t="shared" si="12"/>
        <v>30</v>
      </c>
      <c r="I268" s="722"/>
    </row>
    <row r="269" spans="1:9" ht="17.5" x14ac:dyDescent="0.35">
      <c r="A269" s="33">
        <f t="shared" si="11"/>
        <v>31</v>
      </c>
      <c r="B269" s="1942" t="s">
        <v>1394</v>
      </c>
      <c r="E269" s="66">
        <f>'Stmt AV'!G182</f>
        <v>3.9113461135350091E-3</v>
      </c>
      <c r="G269" s="684" t="s">
        <v>1497</v>
      </c>
      <c r="H269" s="33">
        <f t="shared" si="12"/>
        <v>31</v>
      </c>
      <c r="I269" s="722"/>
    </row>
    <row r="270" spans="1:9" x14ac:dyDescent="0.35">
      <c r="A270" s="33">
        <f t="shared" si="11"/>
        <v>32</v>
      </c>
      <c r="E270" s="22"/>
      <c r="G270" s="684"/>
      <c r="H270" s="33">
        <f t="shared" si="12"/>
        <v>32</v>
      </c>
      <c r="I270" s="722"/>
    </row>
    <row r="271" spans="1:9" ht="16" thickBot="1" x14ac:dyDescent="0.4">
      <c r="A271" s="33">
        <f t="shared" si="11"/>
        <v>33</v>
      </c>
      <c r="B271" s="1942" t="s">
        <v>1315</v>
      </c>
      <c r="E271" s="58">
        <f>E267*E269</f>
        <v>0</v>
      </c>
      <c r="G271" s="684" t="s">
        <v>1314</v>
      </c>
      <c r="H271" s="33">
        <f t="shared" si="12"/>
        <v>33</v>
      </c>
      <c r="I271" s="722"/>
    </row>
    <row r="272" spans="1:9" ht="16" thickTop="1" x14ac:dyDescent="0.35">
      <c r="A272" s="33">
        <f t="shared" si="11"/>
        <v>34</v>
      </c>
      <c r="E272" s="22"/>
      <c r="G272" s="684"/>
      <c r="H272" s="33">
        <f t="shared" si="12"/>
        <v>34</v>
      </c>
      <c r="I272" s="722"/>
    </row>
    <row r="273" spans="1:9" ht="16" thickBot="1" x14ac:dyDescent="0.4">
      <c r="A273" s="33">
        <f t="shared" si="11"/>
        <v>35</v>
      </c>
      <c r="B273" s="1942" t="s">
        <v>1317</v>
      </c>
      <c r="E273" s="58">
        <f>E265+E271</f>
        <v>0</v>
      </c>
      <c r="G273" s="684" t="s">
        <v>1316</v>
      </c>
      <c r="H273" s="33">
        <f t="shared" si="12"/>
        <v>35</v>
      </c>
      <c r="I273" s="722"/>
    </row>
    <row r="274" spans="1:9" ht="16" thickTop="1" x14ac:dyDescent="0.35">
      <c r="A274" s="33"/>
      <c r="E274" s="1661"/>
      <c r="G274" s="684"/>
      <c r="H274" s="33"/>
      <c r="I274" s="722"/>
    </row>
    <row r="275" spans="1:9" x14ac:dyDescent="0.35">
      <c r="A275" s="662"/>
      <c r="E275" s="22"/>
      <c r="G275" s="684"/>
      <c r="H275" s="662"/>
      <c r="I275" s="722"/>
    </row>
    <row r="276" spans="1:9" ht="18" x14ac:dyDescent="0.35">
      <c r="A276" s="682">
        <v>1</v>
      </c>
      <c r="B276" s="668" t="s">
        <v>622</v>
      </c>
      <c r="E276" s="22"/>
      <c r="G276" s="684"/>
      <c r="H276" s="662"/>
      <c r="I276" s="722"/>
    </row>
    <row r="277" spans="1:9" x14ac:dyDescent="0.35">
      <c r="A277" s="662"/>
      <c r="E277" s="22"/>
      <c r="G277" s="684"/>
      <c r="H277" s="662"/>
      <c r="I277" s="722"/>
    </row>
    <row r="278" spans="1:9" x14ac:dyDescent="0.35">
      <c r="A278" s="662"/>
      <c r="E278" s="22"/>
      <c r="G278" s="684"/>
      <c r="H278" s="33"/>
      <c r="I278" s="722"/>
    </row>
    <row r="279" spans="1:9" x14ac:dyDescent="0.35">
      <c r="A279" s="33"/>
      <c r="B279" s="2281" t="s">
        <v>18</v>
      </c>
      <c r="C279" s="2278"/>
      <c r="D279" s="2278"/>
      <c r="E279" s="2278"/>
      <c r="F279" s="2278"/>
      <c r="G279" s="2278"/>
      <c r="H279" s="33"/>
      <c r="I279" s="722"/>
    </row>
    <row r="280" spans="1:9" x14ac:dyDescent="0.35">
      <c r="A280" s="33"/>
      <c r="B280" s="2281" t="s">
        <v>573</v>
      </c>
      <c r="C280" s="2278"/>
      <c r="D280" s="2278"/>
      <c r="E280" s="2278"/>
      <c r="F280" s="2278"/>
      <c r="G280" s="2278"/>
      <c r="I280" s="722"/>
    </row>
    <row r="281" spans="1:9" ht="18" x14ac:dyDescent="0.35">
      <c r="A281" s="33"/>
      <c r="B281" s="2281" t="s">
        <v>623</v>
      </c>
      <c r="C281" s="2282"/>
      <c r="D281" s="2282"/>
      <c r="E281" s="2282"/>
      <c r="F281" s="2282"/>
      <c r="G281" s="2282"/>
      <c r="H281" s="33"/>
      <c r="I281" s="722"/>
    </row>
    <row r="282" spans="1:9" x14ac:dyDescent="0.35">
      <c r="A282" s="33"/>
      <c r="B282" s="2279" t="s">
        <v>1588</v>
      </c>
      <c r="C282" s="2285"/>
      <c r="D282" s="2285"/>
      <c r="E282" s="2285"/>
      <c r="F282" s="2285"/>
      <c r="G282" s="2285"/>
      <c r="H282" s="33"/>
    </row>
    <row r="283" spans="1:9" x14ac:dyDescent="0.35">
      <c r="A283" s="662"/>
      <c r="B283" s="2277" t="s">
        <v>2</v>
      </c>
      <c r="C283" s="2278"/>
      <c r="D283" s="2278"/>
      <c r="E283" s="2278"/>
      <c r="F283" s="2278"/>
      <c r="G283" s="2278"/>
      <c r="H283" s="662"/>
    </row>
    <row r="284" spans="1:9" x14ac:dyDescent="0.35">
      <c r="A284" s="662"/>
      <c r="B284" s="675"/>
      <c r="H284" s="662"/>
      <c r="I284" s="722"/>
    </row>
    <row r="285" spans="1:9" x14ac:dyDescent="0.35">
      <c r="A285" s="662" t="s">
        <v>3</v>
      </c>
      <c r="B285" s="664"/>
      <c r="C285" s="664"/>
      <c r="D285" s="664"/>
      <c r="E285" s="54"/>
      <c r="G285" s="684"/>
      <c r="H285" s="662" t="s">
        <v>3</v>
      </c>
      <c r="I285" s="722"/>
    </row>
    <row r="286" spans="1:9" x14ac:dyDescent="0.35">
      <c r="A286" s="662" t="s">
        <v>25</v>
      </c>
      <c r="B286" s="665" t="s">
        <v>10</v>
      </c>
      <c r="C286" s="668"/>
      <c r="D286" s="668"/>
      <c r="E286" s="711" t="s">
        <v>135</v>
      </c>
      <c r="G286" s="685" t="s">
        <v>9</v>
      </c>
      <c r="H286" s="662" t="s">
        <v>25</v>
      </c>
      <c r="I286" s="722"/>
    </row>
    <row r="287" spans="1:9" x14ac:dyDescent="0.35">
      <c r="A287" s="662"/>
      <c r="E287" s="721"/>
      <c r="G287" s="688"/>
      <c r="H287" s="662"/>
      <c r="I287" s="722"/>
    </row>
    <row r="288" spans="1:9" ht="18" x14ac:dyDescent="0.35">
      <c r="A288" s="33"/>
      <c r="B288" s="671" t="s">
        <v>624</v>
      </c>
      <c r="E288" s="668"/>
      <c r="G288" s="684"/>
      <c r="H288" s="33"/>
      <c r="I288" s="722"/>
    </row>
    <row r="289" spans="1:9" x14ac:dyDescent="0.35">
      <c r="A289" s="33">
        <v>1</v>
      </c>
      <c r="B289" s="671"/>
      <c r="E289" s="668"/>
      <c r="G289" s="684"/>
      <c r="H289" s="33">
        <f>A289</f>
        <v>1</v>
      </c>
      <c r="I289" s="722"/>
    </row>
    <row r="290" spans="1:9" ht="17.5" x14ac:dyDescent="0.35">
      <c r="A290" s="33">
        <f t="shared" ref="A290:A313" si="13">A289+1</f>
        <v>2</v>
      </c>
      <c r="B290" s="668" t="s">
        <v>584</v>
      </c>
      <c r="C290" s="1942" t="s">
        <v>10</v>
      </c>
      <c r="E290" s="11">
        <f>E40</f>
        <v>986401.22256758157</v>
      </c>
      <c r="F290" s="700"/>
      <c r="G290" s="684" t="s">
        <v>1237</v>
      </c>
      <c r="H290" s="33">
        <f t="shared" ref="H290:H313" si="14">H289+1</f>
        <v>2</v>
      </c>
      <c r="I290" s="722"/>
    </row>
    <row r="291" spans="1:9" x14ac:dyDescent="0.35">
      <c r="A291" s="33">
        <f t="shared" si="13"/>
        <v>3</v>
      </c>
      <c r="E291" s="67"/>
      <c r="G291" s="684"/>
      <c r="H291" s="33">
        <f t="shared" si="14"/>
        <v>3</v>
      </c>
    </row>
    <row r="292" spans="1:9" ht="17.5" x14ac:dyDescent="0.35">
      <c r="A292" s="33">
        <f t="shared" si="13"/>
        <v>4</v>
      </c>
      <c r="B292" s="668" t="s">
        <v>625</v>
      </c>
      <c r="E292" s="68">
        <f>E91</f>
        <v>0</v>
      </c>
      <c r="G292" s="684" t="s">
        <v>1243</v>
      </c>
      <c r="H292" s="33">
        <f t="shared" si="14"/>
        <v>4</v>
      </c>
    </row>
    <row r="293" spans="1:9" x14ac:dyDescent="0.35">
      <c r="A293" s="33">
        <f t="shared" si="13"/>
        <v>5</v>
      </c>
      <c r="B293" s="668"/>
      <c r="E293" s="12"/>
      <c r="G293" s="684"/>
      <c r="H293" s="33">
        <f t="shared" si="14"/>
        <v>5</v>
      </c>
    </row>
    <row r="294" spans="1:9" x14ac:dyDescent="0.35">
      <c r="A294" s="33">
        <f t="shared" si="13"/>
        <v>6</v>
      </c>
      <c r="B294" s="664" t="s">
        <v>626</v>
      </c>
      <c r="C294" s="1888"/>
      <c r="D294" s="664"/>
      <c r="E294" s="69">
        <f>'True-Up'!M34</f>
        <v>77465.882169009143</v>
      </c>
      <c r="F294" s="700"/>
      <c r="G294" s="686" t="s">
        <v>1199</v>
      </c>
      <c r="H294" s="33">
        <f t="shared" si="14"/>
        <v>6</v>
      </c>
    </row>
    <row r="295" spans="1:9" x14ac:dyDescent="0.35">
      <c r="A295" s="33">
        <f t="shared" si="13"/>
        <v>7</v>
      </c>
      <c r="B295" s="681"/>
      <c r="C295" s="681"/>
      <c r="D295" s="681"/>
      <c r="E295" s="71"/>
      <c r="F295" s="681"/>
      <c r="G295" s="686"/>
      <c r="H295" s="33">
        <f t="shared" si="14"/>
        <v>7</v>
      </c>
    </row>
    <row r="296" spans="1:9" x14ac:dyDescent="0.35">
      <c r="A296" s="33">
        <f t="shared" si="13"/>
        <v>8</v>
      </c>
      <c r="B296" s="681" t="s">
        <v>627</v>
      </c>
      <c r="C296" s="681"/>
      <c r="D296" s="681"/>
      <c r="E296" s="70">
        <f>'Interest TU CY'!D31</f>
        <v>2636.4898917868759</v>
      </c>
      <c r="F296" s="681"/>
      <c r="G296" s="686" t="s">
        <v>1200</v>
      </c>
      <c r="H296" s="33">
        <f t="shared" si="14"/>
        <v>8</v>
      </c>
    </row>
    <row r="297" spans="1:9" x14ac:dyDescent="0.35">
      <c r="A297" s="33">
        <f t="shared" si="13"/>
        <v>9</v>
      </c>
      <c r="B297" s="681"/>
      <c r="C297" s="681"/>
      <c r="D297" s="681"/>
      <c r="E297" s="71"/>
      <c r="F297" s="681"/>
      <c r="G297" s="686"/>
      <c r="H297" s="33">
        <f t="shared" si="14"/>
        <v>9</v>
      </c>
    </row>
    <row r="298" spans="1:9" x14ac:dyDescent="0.35">
      <c r="A298" s="33">
        <f>A297+1</f>
        <v>10</v>
      </c>
      <c r="B298" s="1942" t="s">
        <v>611</v>
      </c>
      <c r="E298" s="69">
        <f>E224</f>
        <v>116982.70822514317</v>
      </c>
      <c r="F298" s="700"/>
      <c r="G298" s="684" t="s">
        <v>1284</v>
      </c>
      <c r="H298" s="33">
        <f t="shared" si="14"/>
        <v>10</v>
      </c>
    </row>
    <row r="299" spans="1:9" x14ac:dyDescent="0.35">
      <c r="A299" s="33">
        <f t="shared" si="13"/>
        <v>11</v>
      </c>
      <c r="E299" s="72"/>
      <c r="G299" s="684"/>
      <c r="H299" s="33">
        <f t="shared" si="14"/>
        <v>11</v>
      </c>
    </row>
    <row r="300" spans="1:9" ht="17.5" x14ac:dyDescent="0.35">
      <c r="A300" s="33">
        <f t="shared" si="13"/>
        <v>12</v>
      </c>
      <c r="B300" s="1942" t="s">
        <v>628</v>
      </c>
      <c r="E300" s="68">
        <f>E258</f>
        <v>0</v>
      </c>
      <c r="G300" s="684" t="s">
        <v>1285</v>
      </c>
      <c r="H300" s="33">
        <f t="shared" si="14"/>
        <v>12</v>
      </c>
    </row>
    <row r="301" spans="1:9" x14ac:dyDescent="0.35">
      <c r="A301" s="33">
        <f t="shared" si="13"/>
        <v>13</v>
      </c>
      <c r="E301" s="72"/>
      <c r="G301" s="684"/>
      <c r="H301" s="33">
        <f t="shared" si="14"/>
        <v>13</v>
      </c>
    </row>
    <row r="302" spans="1:9" x14ac:dyDescent="0.35">
      <c r="A302" s="33">
        <f t="shared" si="13"/>
        <v>14</v>
      </c>
      <c r="B302" s="1942" t="s">
        <v>621</v>
      </c>
      <c r="E302" s="73">
        <f>E273</f>
        <v>0</v>
      </c>
      <c r="G302" s="684" t="s">
        <v>1318</v>
      </c>
      <c r="H302" s="33">
        <f t="shared" si="14"/>
        <v>14</v>
      </c>
    </row>
    <row r="303" spans="1:9" x14ac:dyDescent="0.35">
      <c r="A303" s="33">
        <f t="shared" si="13"/>
        <v>15</v>
      </c>
      <c r="E303" s="71"/>
      <c r="G303" s="684"/>
      <c r="H303" s="33">
        <f t="shared" si="14"/>
        <v>15</v>
      </c>
    </row>
    <row r="304" spans="1:9" ht="18" x14ac:dyDescent="0.35">
      <c r="A304" s="33">
        <f t="shared" si="13"/>
        <v>16</v>
      </c>
      <c r="B304" s="680" t="s">
        <v>666</v>
      </c>
      <c r="C304" s="722"/>
      <c r="E304" s="74">
        <f>E290+E292+E294+E296+E298+E300+E302</f>
        <v>1183486.3028535207</v>
      </c>
      <c r="F304" s="700"/>
      <c r="G304" s="684" t="s">
        <v>1286</v>
      </c>
      <c r="H304" s="33">
        <f t="shared" si="14"/>
        <v>16</v>
      </c>
    </row>
    <row r="305" spans="1:13" x14ac:dyDescent="0.35">
      <c r="A305" s="33">
        <f t="shared" si="13"/>
        <v>17</v>
      </c>
      <c r="E305" s="16"/>
      <c r="G305" s="684"/>
      <c r="H305" s="33">
        <f t="shared" si="14"/>
        <v>17</v>
      </c>
    </row>
    <row r="306" spans="1:13" x14ac:dyDescent="0.35">
      <c r="A306" s="33">
        <f t="shared" si="13"/>
        <v>18</v>
      </c>
      <c r="B306" s="663" t="s">
        <v>629</v>
      </c>
      <c r="C306" s="78">
        <v>1.0274999999999999E-2</v>
      </c>
      <c r="D306" s="668"/>
      <c r="E306" s="75">
        <f>$E$304*C306</f>
        <v>12160.321761819925</v>
      </c>
      <c r="F306" s="700"/>
      <c r="G306" s="33" t="s">
        <v>1287</v>
      </c>
      <c r="H306" s="33">
        <f t="shared" si="14"/>
        <v>18</v>
      </c>
      <c r="J306" s="723"/>
    </row>
    <row r="307" spans="1:13" x14ac:dyDescent="0.35">
      <c r="A307" s="33">
        <f t="shared" si="13"/>
        <v>19</v>
      </c>
      <c r="B307" s="663" t="s">
        <v>630</v>
      </c>
      <c r="C307" s="78">
        <v>1.73E-3</v>
      </c>
      <c r="D307" s="668"/>
      <c r="E307" s="76">
        <f>$E$304*C307</f>
        <v>2047.4313039365909</v>
      </c>
      <c r="F307" s="700"/>
      <c r="G307" s="33" t="s">
        <v>1288</v>
      </c>
      <c r="H307" s="33">
        <f t="shared" si="14"/>
        <v>19</v>
      </c>
      <c r="J307" s="723"/>
    </row>
    <row r="308" spans="1:13" x14ac:dyDescent="0.35">
      <c r="A308" s="33">
        <f t="shared" si="13"/>
        <v>20</v>
      </c>
      <c r="B308" s="668"/>
      <c r="C308" s="668"/>
      <c r="D308" s="668"/>
      <c r="E308" s="20"/>
      <c r="G308" s="684"/>
      <c r="H308" s="33">
        <f t="shared" si="14"/>
        <v>20</v>
      </c>
      <c r="I308" s="2274"/>
      <c r="J308" s="2273"/>
      <c r="K308" s="2273"/>
      <c r="L308" s="2273"/>
      <c r="M308" s="2272"/>
    </row>
    <row r="309" spans="1:13" ht="18" x14ac:dyDescent="0.35">
      <c r="A309" s="33">
        <f t="shared" si="13"/>
        <v>21</v>
      </c>
      <c r="B309" s="671" t="s">
        <v>720</v>
      </c>
      <c r="C309" s="724"/>
      <c r="D309" s="668"/>
      <c r="E309" s="22">
        <f>SUM(E304:E307)</f>
        <v>1197694.0559192772</v>
      </c>
      <c r="F309" s="700"/>
      <c r="G309" s="684" t="s">
        <v>1086</v>
      </c>
      <c r="H309" s="33">
        <f t="shared" si="14"/>
        <v>21</v>
      </c>
      <c r="I309" s="2205"/>
      <c r="J309" s="1425"/>
      <c r="K309" s="2205"/>
      <c r="L309" s="2205"/>
      <c r="M309" s="2272"/>
    </row>
    <row r="310" spans="1:13" x14ac:dyDescent="0.35">
      <c r="A310" s="33">
        <f t="shared" si="13"/>
        <v>22</v>
      </c>
      <c r="B310" s="1941"/>
      <c r="E310" s="77"/>
      <c r="G310" s="684"/>
      <c r="H310" s="33">
        <f t="shared" si="14"/>
        <v>22</v>
      </c>
      <c r="I310" s="2205"/>
      <c r="J310" s="2272"/>
      <c r="K310" s="2205"/>
      <c r="L310" s="2205"/>
      <c r="M310" s="2272"/>
    </row>
    <row r="311" spans="1:13" ht="18" x14ac:dyDescent="0.35">
      <c r="A311" s="33">
        <f t="shared" si="13"/>
        <v>23</v>
      </c>
      <c r="B311" s="671" t="s">
        <v>722</v>
      </c>
      <c r="E311" s="2268">
        <v>-4437</v>
      </c>
      <c r="G311" s="689" t="s">
        <v>731</v>
      </c>
      <c r="H311" s="33">
        <f t="shared" si="14"/>
        <v>23</v>
      </c>
      <c r="I311" s="2205"/>
      <c r="J311" s="1425"/>
      <c r="K311" s="2205"/>
      <c r="L311" s="2205"/>
      <c r="M311" s="2272"/>
    </row>
    <row r="312" spans="1:13" x14ac:dyDescent="0.35">
      <c r="A312" s="33">
        <f t="shared" si="13"/>
        <v>24</v>
      </c>
      <c r="B312" s="668" t="s">
        <v>10</v>
      </c>
      <c r="H312" s="33">
        <f t="shared" si="14"/>
        <v>24</v>
      </c>
      <c r="I312" s="2205"/>
      <c r="J312" s="2272"/>
      <c r="K312" s="2205"/>
      <c r="L312" s="2205"/>
      <c r="M312" s="2272"/>
    </row>
    <row r="313" spans="1:13" ht="18.5" thickBot="1" x14ac:dyDescent="0.4">
      <c r="A313" s="33">
        <f t="shared" si="13"/>
        <v>25</v>
      </c>
      <c r="B313" s="671" t="s">
        <v>721</v>
      </c>
      <c r="E313" s="245">
        <f>E309+E311</f>
        <v>1193257.0559192772</v>
      </c>
      <c r="G313" s="684" t="s">
        <v>1289</v>
      </c>
      <c r="H313" s="33">
        <f t="shared" si="14"/>
        <v>25</v>
      </c>
      <c r="I313" s="2205"/>
      <c r="J313" s="1425"/>
      <c r="K313" s="2205"/>
      <c r="L313" s="2205"/>
    </row>
    <row r="314" spans="1:13" ht="16" thickTop="1" x14ac:dyDescent="0.35">
      <c r="J314" s="2179"/>
      <c r="L314" s="2179"/>
    </row>
    <row r="315" spans="1:13" x14ac:dyDescent="0.35">
      <c r="E315" s="242"/>
    </row>
    <row r="317" spans="1:13" x14ac:dyDescent="0.35">
      <c r="E317" s="2275"/>
    </row>
    <row r="319" spans="1:13" x14ac:dyDescent="0.35">
      <c r="E319" s="722"/>
    </row>
  </sheetData>
  <mergeCells count="35">
    <mergeCell ref="B101:G101"/>
    <mergeCell ref="B2:G2"/>
    <mergeCell ref="B3:G3"/>
    <mergeCell ref="B4:G4"/>
    <mergeCell ref="B5:G5"/>
    <mergeCell ref="B6:G6"/>
    <mergeCell ref="B46:G46"/>
    <mergeCell ref="B47:G47"/>
    <mergeCell ref="B48:G48"/>
    <mergeCell ref="B49:G49"/>
    <mergeCell ref="B50:G50"/>
    <mergeCell ref="B196:G196"/>
    <mergeCell ref="B102:G102"/>
    <mergeCell ref="B103:G103"/>
    <mergeCell ref="B104:G104"/>
    <mergeCell ref="B105:G105"/>
    <mergeCell ref="B155:G155"/>
    <mergeCell ref="B156:G156"/>
    <mergeCell ref="B157:G157"/>
    <mergeCell ref="B158:G158"/>
    <mergeCell ref="B159:G159"/>
    <mergeCell ref="B194:G194"/>
    <mergeCell ref="B195:G195"/>
    <mergeCell ref="B283:G283"/>
    <mergeCell ref="B197:G197"/>
    <mergeCell ref="B198:G198"/>
    <mergeCell ref="B227:G227"/>
    <mergeCell ref="B228:G228"/>
    <mergeCell ref="B229:G229"/>
    <mergeCell ref="B230:G230"/>
    <mergeCell ref="B231:G231"/>
    <mergeCell ref="B279:G279"/>
    <mergeCell ref="B280:G280"/>
    <mergeCell ref="B281:G281"/>
    <mergeCell ref="B282:G282"/>
  </mergeCells>
  <printOptions horizontalCentered="1"/>
  <pageMargins left="0.5" right="0.5" top="0.5" bottom="0.5" header="0.25" footer="0.25"/>
  <pageSetup scale="53" fitToHeight="0" orientation="portrait" r:id="rId1"/>
  <headerFooter scaleWithDoc="0">
    <oddFooter>&amp;C&amp;"Times New Roman,Regular"&amp;10BK-1
Page &amp;P of 7</oddFooter>
  </headerFooter>
  <rowBreaks count="6" manualBreakCount="6">
    <brk id="44" max="7" man="1"/>
    <brk id="99" max="8" man="1"/>
    <brk id="153" max="8" man="1"/>
    <brk id="192" max="8" man="1"/>
    <brk id="225" max="8" man="1"/>
    <brk id="27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1"/>
  <sheetViews>
    <sheetView zoomScale="80" zoomScaleNormal="80" workbookViewId="0"/>
  </sheetViews>
  <sheetFormatPr defaultColWidth="15.453125" defaultRowHeight="15.5" x14ac:dyDescent="0.35"/>
  <cols>
    <col min="1" max="1" width="5.08984375" style="1563" customWidth="1"/>
    <col min="2" max="2" width="73.90625" style="79" customWidth="1"/>
    <col min="3" max="3" width="10.453125" style="79" customWidth="1"/>
    <col min="4" max="4" width="1.54296875" style="79" customWidth="1"/>
    <col min="5" max="5" width="16.90625" style="79" customWidth="1"/>
    <col min="6" max="6" width="1.54296875" style="79" customWidth="1"/>
    <col min="7" max="7" width="15.90625" style="79" customWidth="1"/>
    <col min="8" max="8" width="15.54296875" style="79" customWidth="1"/>
    <col min="9" max="9" width="41" style="79" customWidth="1"/>
    <col min="10" max="10" width="5.08984375" style="1563" bestFit="1" customWidth="1"/>
    <col min="11" max="11" width="11.453125" style="79" bestFit="1" customWidth="1"/>
    <col min="12" max="12" width="9.453125" style="79" bestFit="1" customWidth="1"/>
    <col min="13" max="13" width="11.453125" style="79" bestFit="1" customWidth="1"/>
    <col min="14" max="14" width="9.90625" style="79" bestFit="1" customWidth="1"/>
    <col min="15" max="15" width="7.90625" style="79" bestFit="1" customWidth="1"/>
    <col min="16" max="16384" width="15.453125" style="79"/>
  </cols>
  <sheetData>
    <row r="2" spans="1:10" x14ac:dyDescent="0.35">
      <c r="B2" s="2281" t="s">
        <v>18</v>
      </c>
      <c r="C2" s="2281"/>
      <c r="D2" s="2281"/>
      <c r="E2" s="2278"/>
      <c r="F2" s="2278"/>
      <c r="G2" s="2278"/>
      <c r="H2" s="2278"/>
      <c r="I2" s="2278"/>
    </row>
    <row r="3" spans="1:10" x14ac:dyDescent="0.35">
      <c r="B3" s="2281" t="s">
        <v>631</v>
      </c>
      <c r="C3" s="2281"/>
      <c r="D3" s="2281"/>
      <c r="E3" s="2278"/>
      <c r="F3" s="2278"/>
      <c r="G3" s="2278"/>
      <c r="H3" s="2278"/>
      <c r="I3" s="2278"/>
    </row>
    <row r="4" spans="1:10" ht="18" x14ac:dyDescent="0.35">
      <c r="B4" s="2281" t="s">
        <v>632</v>
      </c>
      <c r="C4" s="2281"/>
      <c r="D4" s="2281"/>
      <c r="E4" s="2278"/>
      <c r="F4" s="2278"/>
      <c r="G4" s="2278"/>
      <c r="H4" s="2278"/>
      <c r="I4" s="2278"/>
    </row>
    <row r="5" spans="1:10" x14ac:dyDescent="0.35">
      <c r="B5" s="2283" t="str">
        <f>'BK-1 Retail TRR'!B282:G282</f>
        <v>For the Rate Effective Period January 1, 2023 - December 31, 2023</v>
      </c>
      <c r="C5" s="2283"/>
      <c r="D5" s="2283"/>
      <c r="E5" s="2284"/>
      <c r="F5" s="2284"/>
      <c r="G5" s="2284"/>
      <c r="H5" s="2284"/>
      <c r="I5" s="2284"/>
    </row>
    <row r="6" spans="1:10" x14ac:dyDescent="0.35">
      <c r="B6" s="2277" t="s">
        <v>2</v>
      </c>
      <c r="C6" s="2277"/>
      <c r="D6" s="2277"/>
      <c r="E6" s="2278"/>
      <c r="F6" s="2278"/>
      <c r="G6" s="2278"/>
      <c r="H6" s="2278"/>
      <c r="I6" s="2278"/>
    </row>
    <row r="7" spans="1:10" x14ac:dyDescent="0.35">
      <c r="B7" s="86"/>
      <c r="C7" s="86"/>
      <c r="D7" s="86"/>
      <c r="E7" s="22"/>
      <c r="H7" s="695"/>
      <c r="I7" s="182"/>
    </row>
    <row r="8" spans="1:10" x14ac:dyDescent="0.35">
      <c r="A8" s="693" t="s">
        <v>3</v>
      </c>
      <c r="B8" s="86"/>
      <c r="C8" s="86"/>
      <c r="D8" s="86"/>
      <c r="E8" s="22"/>
      <c r="H8" s="695"/>
      <c r="I8" s="182"/>
      <c r="J8" s="693" t="s">
        <v>3</v>
      </c>
    </row>
    <row r="9" spans="1:10" x14ac:dyDescent="0.35">
      <c r="A9" s="693" t="s">
        <v>25</v>
      </c>
      <c r="B9" s="86"/>
      <c r="C9" s="696"/>
      <c r="D9" s="696"/>
      <c r="E9" s="697" t="s">
        <v>31</v>
      </c>
      <c r="G9" s="2287" t="s">
        <v>9</v>
      </c>
      <c r="H9" s="2287"/>
      <c r="I9" s="698"/>
      <c r="J9" s="693" t="s">
        <v>25</v>
      </c>
    </row>
    <row r="10" spans="1:10" x14ac:dyDescent="0.35">
      <c r="A10" s="693"/>
      <c r="B10" s="680" t="s">
        <v>633</v>
      </c>
      <c r="C10" s="680"/>
      <c r="D10" s="680"/>
      <c r="E10" s="699"/>
      <c r="G10" s="345"/>
      <c r="H10" s="695"/>
      <c r="J10" s="693"/>
    </row>
    <row r="11" spans="1:10" x14ac:dyDescent="0.35">
      <c r="A11" s="694">
        <v>1</v>
      </c>
      <c r="B11" s="1691" t="s">
        <v>663</v>
      </c>
      <c r="C11" s="1691"/>
      <c r="D11" s="1691"/>
      <c r="E11" s="49">
        <f>'BK-1 Retail TRR'!E304</f>
        <v>1183486.3028535207</v>
      </c>
      <c r="F11" s="700"/>
      <c r="G11" s="2286" t="s">
        <v>1304</v>
      </c>
      <c r="H11" s="2286"/>
      <c r="I11" s="1690"/>
      <c r="J11" s="694">
        <f>A11</f>
        <v>1</v>
      </c>
    </row>
    <row r="12" spans="1:10" x14ac:dyDescent="0.35">
      <c r="A12" s="694">
        <f>A11+1</f>
        <v>2</v>
      </c>
      <c r="B12" s="80"/>
      <c r="C12" s="80"/>
      <c r="D12" s="80"/>
      <c r="E12" s="81"/>
      <c r="F12" s="1691"/>
      <c r="G12" s="1690"/>
      <c r="H12" s="1690"/>
      <c r="I12" s="1690"/>
      <c r="J12" s="694">
        <f>J11+1</f>
        <v>2</v>
      </c>
    </row>
    <row r="13" spans="1:10" x14ac:dyDescent="0.35">
      <c r="A13" s="694">
        <f t="shared" ref="A13:A42" si="0">A12+1</f>
        <v>3</v>
      </c>
      <c r="B13" s="690" t="s">
        <v>693</v>
      </c>
      <c r="C13" s="80"/>
      <c r="D13" s="80"/>
      <c r="E13" s="82">
        <f>-'BK-1 Retail TRR'!E15</f>
        <v>0</v>
      </c>
      <c r="F13" s="1691"/>
      <c r="G13" s="2286" t="s">
        <v>1181</v>
      </c>
      <c r="H13" s="2286"/>
      <c r="I13" s="2286"/>
      <c r="J13" s="694">
        <f t="shared" ref="J13:J42" si="1">J12+1</f>
        <v>3</v>
      </c>
    </row>
    <row r="14" spans="1:10" x14ac:dyDescent="0.35">
      <c r="A14" s="694">
        <f t="shared" si="0"/>
        <v>4</v>
      </c>
      <c r="B14" s="690"/>
      <c r="C14" s="80"/>
      <c r="D14" s="80"/>
      <c r="E14" s="12"/>
      <c r="F14" s="1691"/>
      <c r="G14" s="1690"/>
      <c r="H14" s="1690"/>
      <c r="I14" s="1690"/>
      <c r="J14" s="694">
        <f t="shared" si="1"/>
        <v>4</v>
      </c>
    </row>
    <row r="15" spans="1:10" x14ac:dyDescent="0.35">
      <c r="A15" s="694">
        <f t="shared" si="0"/>
        <v>5</v>
      </c>
      <c r="B15" s="668" t="s">
        <v>1298</v>
      </c>
      <c r="C15" s="80"/>
      <c r="D15" s="80"/>
      <c r="E15" s="82">
        <f>-'Stmt AL'!E40</f>
        <v>0</v>
      </c>
      <c r="F15" s="1691"/>
      <c r="G15" s="1895" t="s">
        <v>1182</v>
      </c>
      <c r="H15" s="1895"/>
      <c r="I15" s="1894"/>
      <c r="J15" s="694">
        <f t="shared" si="1"/>
        <v>5</v>
      </c>
    </row>
    <row r="16" spans="1:10" s="1656" customFormat="1" x14ac:dyDescent="0.35">
      <c r="A16" s="694">
        <f t="shared" si="0"/>
        <v>6</v>
      </c>
      <c r="B16" s="668"/>
      <c r="C16" s="80"/>
      <c r="D16" s="80"/>
      <c r="E16" s="1664"/>
      <c r="F16" s="1691"/>
      <c r="G16" s="1655"/>
      <c r="H16" s="1655"/>
      <c r="I16" s="1690"/>
      <c r="J16" s="694">
        <f t="shared" si="1"/>
        <v>6</v>
      </c>
    </row>
    <row r="17" spans="1:11" s="1656" customFormat="1" x14ac:dyDescent="0.35">
      <c r="A17" s="694">
        <f t="shared" si="0"/>
        <v>7</v>
      </c>
      <c r="B17" s="668" t="s">
        <v>1299</v>
      </c>
      <c r="C17" s="80"/>
      <c r="D17" s="80"/>
      <c r="E17" s="82">
        <f>-'Stmt AL'!E44</f>
        <v>0</v>
      </c>
      <c r="F17" s="1691"/>
      <c r="G17" s="1893" t="s">
        <v>1300</v>
      </c>
      <c r="H17" s="1893"/>
      <c r="I17" s="1894"/>
      <c r="J17" s="694">
        <f t="shared" si="1"/>
        <v>7</v>
      </c>
    </row>
    <row r="18" spans="1:11" x14ac:dyDescent="0.35">
      <c r="A18" s="694">
        <f t="shared" si="0"/>
        <v>8</v>
      </c>
      <c r="B18" s="691"/>
      <c r="C18" s="80"/>
      <c r="D18" s="80"/>
      <c r="E18" s="12"/>
      <c r="F18" s="1691"/>
      <c r="G18" s="1690"/>
      <c r="H18" s="1690"/>
      <c r="I18" s="1690"/>
      <c r="J18" s="694">
        <f t="shared" si="1"/>
        <v>8</v>
      </c>
    </row>
    <row r="19" spans="1:11" x14ac:dyDescent="0.35">
      <c r="A19" s="694">
        <f t="shared" si="0"/>
        <v>9</v>
      </c>
      <c r="B19" s="80" t="s">
        <v>694</v>
      </c>
      <c r="C19" s="80"/>
      <c r="D19" s="80"/>
      <c r="E19" s="83">
        <f>-'Stmt AQ'!E11</f>
        <v>-1304.0991895338727</v>
      </c>
      <c r="F19" s="1691"/>
      <c r="G19" s="1895" t="s">
        <v>1183</v>
      </c>
      <c r="H19" s="1895"/>
      <c r="I19" s="1894"/>
      <c r="J19" s="694">
        <f t="shared" si="1"/>
        <v>9</v>
      </c>
    </row>
    <row r="20" spans="1:11" x14ac:dyDescent="0.35">
      <c r="A20" s="694">
        <f t="shared" si="0"/>
        <v>10</v>
      </c>
      <c r="B20" s="84"/>
      <c r="C20" s="84"/>
      <c r="D20" s="84"/>
      <c r="E20" s="22"/>
      <c r="F20" s="1691"/>
      <c r="G20" s="1690"/>
      <c r="H20" s="1690"/>
      <c r="I20" s="1690"/>
      <c r="J20" s="694">
        <f t="shared" si="1"/>
        <v>10</v>
      </c>
      <c r="K20" s="701"/>
    </row>
    <row r="21" spans="1:11" ht="16" thickBot="1" x14ac:dyDescent="0.4">
      <c r="A21" s="694">
        <f t="shared" si="0"/>
        <v>11</v>
      </c>
      <c r="B21" s="85" t="s">
        <v>892</v>
      </c>
      <c r="C21" s="85"/>
      <c r="D21" s="85"/>
      <c r="E21" s="52">
        <f>SUM(E11:E19)</f>
        <v>1182182.2036639869</v>
      </c>
      <c r="F21" s="700"/>
      <c r="G21" s="2286" t="s">
        <v>1301</v>
      </c>
      <c r="H21" s="2286"/>
      <c r="I21" s="1690"/>
      <c r="J21" s="694">
        <f t="shared" si="1"/>
        <v>11</v>
      </c>
    </row>
    <row r="22" spans="1:11" ht="16" thickTop="1" x14ac:dyDescent="0.35">
      <c r="A22" s="694">
        <f t="shared" si="0"/>
        <v>12</v>
      </c>
      <c r="B22" s="86"/>
      <c r="C22" s="86"/>
      <c r="D22" s="86"/>
      <c r="E22" s="22"/>
      <c r="F22" s="1691"/>
      <c r="G22" s="1703"/>
      <c r="H22" s="1703"/>
      <c r="I22" s="1692"/>
      <c r="J22" s="694">
        <f t="shared" si="1"/>
        <v>12</v>
      </c>
    </row>
    <row r="23" spans="1:11" ht="18" x14ac:dyDescent="0.35">
      <c r="A23" s="694">
        <f t="shared" si="0"/>
        <v>13</v>
      </c>
      <c r="B23" s="86" t="s">
        <v>778</v>
      </c>
      <c r="C23" s="86"/>
      <c r="D23" s="86"/>
      <c r="E23" s="87" t="s">
        <v>4</v>
      </c>
      <c r="F23" s="1692"/>
      <c r="G23" s="1692" t="s">
        <v>5</v>
      </c>
      <c r="H23" s="1692" t="s">
        <v>390</v>
      </c>
      <c r="I23" s="1692"/>
      <c r="J23" s="694">
        <f t="shared" si="1"/>
        <v>13</v>
      </c>
    </row>
    <row r="24" spans="1:11" x14ac:dyDescent="0.35">
      <c r="A24" s="694">
        <f t="shared" si="0"/>
        <v>14</v>
      </c>
      <c r="B24" s="1689" t="s">
        <v>634</v>
      </c>
      <c r="C24" s="1689"/>
      <c r="D24" s="1689"/>
      <c r="E24" s="89" t="s">
        <v>31</v>
      </c>
      <c r="F24" s="1692"/>
      <c r="G24" s="89" t="s">
        <v>635</v>
      </c>
      <c r="H24" s="89" t="s">
        <v>636</v>
      </c>
      <c r="I24" s="89" t="s">
        <v>9</v>
      </c>
      <c r="J24" s="694">
        <f t="shared" si="1"/>
        <v>14</v>
      </c>
    </row>
    <row r="25" spans="1:11" x14ac:dyDescent="0.35">
      <c r="A25" s="694">
        <f t="shared" si="0"/>
        <v>15</v>
      </c>
      <c r="B25" s="90" t="s">
        <v>637</v>
      </c>
      <c r="C25" s="90"/>
      <c r="D25" s="90"/>
      <c r="E25" s="1691"/>
      <c r="F25" s="1691"/>
      <c r="G25" s="1691"/>
      <c r="H25" s="1691"/>
      <c r="I25" s="694"/>
      <c r="J25" s="694">
        <f t="shared" si="1"/>
        <v>15</v>
      </c>
      <c r="K25" s="701"/>
    </row>
    <row r="26" spans="1:11" ht="31" x14ac:dyDescent="0.35">
      <c r="A26" s="694">
        <f t="shared" si="0"/>
        <v>16</v>
      </c>
      <c r="B26" s="85" t="s">
        <v>898</v>
      </c>
      <c r="C26" s="85"/>
      <c r="D26" s="85"/>
      <c r="E26" s="92">
        <f>G26+H26</f>
        <v>1</v>
      </c>
      <c r="F26" s="702"/>
      <c r="G26" s="1536">
        <f>'HV-LV Plant Study'!F50</f>
        <v>0.54023520944303016</v>
      </c>
      <c r="H26" s="1536">
        <f>'HV-LV Plant Study'!E50</f>
        <v>0.45976479055696984</v>
      </c>
      <c r="I26" s="689" t="s">
        <v>1184</v>
      </c>
      <c r="J26" s="694">
        <f t="shared" si="1"/>
        <v>16</v>
      </c>
      <c r="K26" s="701"/>
    </row>
    <row r="27" spans="1:11" x14ac:dyDescent="0.35">
      <c r="A27" s="694">
        <f t="shared" si="0"/>
        <v>17</v>
      </c>
      <c r="B27" s="85" t="s">
        <v>857</v>
      </c>
      <c r="C27" s="85"/>
      <c r="D27" s="85"/>
      <c r="E27" s="93">
        <f>E21-E31</f>
        <v>1065199.4954388437</v>
      </c>
      <c r="F27" s="688"/>
      <c r="G27" s="93">
        <f>G26*E27</f>
        <v>575458.27251701383</v>
      </c>
      <c r="H27" s="93">
        <f>H26*E27</f>
        <v>489741.22292182996</v>
      </c>
      <c r="I27" s="1692" t="s">
        <v>1302</v>
      </c>
      <c r="J27" s="694">
        <f t="shared" si="1"/>
        <v>17</v>
      </c>
    </row>
    <row r="28" spans="1:11" x14ac:dyDescent="0.35">
      <c r="A28" s="694">
        <f t="shared" si="0"/>
        <v>18</v>
      </c>
      <c r="B28" s="85"/>
      <c r="C28" s="85"/>
      <c r="D28" s="85"/>
      <c r="E28" s="94"/>
      <c r="F28" s="84"/>
      <c r="G28" s="91"/>
      <c r="H28" s="74"/>
      <c r="I28" s="1692" t="s">
        <v>1303</v>
      </c>
      <c r="J28" s="694">
        <f t="shared" si="1"/>
        <v>18</v>
      </c>
    </row>
    <row r="29" spans="1:11" ht="15.75" customHeight="1" x14ac:dyDescent="0.35">
      <c r="A29" s="694">
        <f t="shared" si="0"/>
        <v>19</v>
      </c>
      <c r="B29" s="1689" t="s">
        <v>856</v>
      </c>
      <c r="C29" s="1689"/>
      <c r="D29" s="1689"/>
      <c r="E29" s="85"/>
      <c r="F29" s="84"/>
      <c r="G29" s="85"/>
      <c r="H29" s="100"/>
      <c r="I29" s="703"/>
      <c r="J29" s="694">
        <f t="shared" si="1"/>
        <v>19</v>
      </c>
      <c r="K29" s="701"/>
    </row>
    <row r="30" spans="1:11" ht="31" x14ac:dyDescent="0.35">
      <c r="A30" s="694">
        <f t="shared" si="0"/>
        <v>20</v>
      </c>
      <c r="B30" s="85" t="s">
        <v>858</v>
      </c>
      <c r="C30" s="85"/>
      <c r="D30" s="85"/>
      <c r="E30" s="92">
        <f>+G30+H30</f>
        <v>1</v>
      </c>
      <c r="F30" s="684"/>
      <c r="G30" s="1704">
        <f>'Summary of HV-LV Splits'!G29</f>
        <v>0.19995176531014108</v>
      </c>
      <c r="H30" s="1704">
        <f>'Summary of HV-LV Splits'!H29</f>
        <v>0.80004823468985886</v>
      </c>
      <c r="I30" s="704" t="s">
        <v>1185</v>
      </c>
      <c r="J30" s="694">
        <f t="shared" si="1"/>
        <v>20</v>
      </c>
      <c r="K30" s="1537"/>
    </row>
    <row r="31" spans="1:11" ht="31" x14ac:dyDescent="0.35">
      <c r="A31" s="694">
        <f t="shared" si="0"/>
        <v>21</v>
      </c>
      <c r="B31" s="85" t="s">
        <v>859</v>
      </c>
      <c r="C31" s="85"/>
      <c r="D31" s="85"/>
      <c r="E31" s="2265">
        <f>'BK-1 Retail TRR'!E298+'BK-1 Retail TRR'!E300+'BK-1 Retail TRR'!E302</f>
        <v>116982.70822514317</v>
      </c>
      <c r="F31" s="686"/>
      <c r="G31" s="93">
        <f>G30*E31</f>
        <v>23390.89902037854</v>
      </c>
      <c r="H31" s="93">
        <f>H30*E31</f>
        <v>93591.809204764621</v>
      </c>
      <c r="I31" s="689" t="s">
        <v>1305</v>
      </c>
      <c r="J31" s="694">
        <f t="shared" si="1"/>
        <v>21</v>
      </c>
    </row>
    <row r="32" spans="1:11" x14ac:dyDescent="0.35">
      <c r="A32" s="694">
        <f t="shared" si="0"/>
        <v>22</v>
      </c>
      <c r="B32" s="85"/>
      <c r="C32" s="85"/>
      <c r="D32" s="85"/>
      <c r="E32" s="94"/>
      <c r="F32" s="84"/>
      <c r="G32" s="85"/>
      <c r="H32" s="85"/>
      <c r="I32" s="1692" t="s">
        <v>1306</v>
      </c>
      <c r="J32" s="694">
        <f t="shared" si="1"/>
        <v>22</v>
      </c>
      <c r="K32" s="701"/>
    </row>
    <row r="33" spans="1:15" x14ac:dyDescent="0.35">
      <c r="A33" s="694">
        <f t="shared" si="0"/>
        <v>23</v>
      </c>
      <c r="B33" s="692" t="s">
        <v>638</v>
      </c>
      <c r="C33" s="1703"/>
      <c r="D33" s="1703"/>
      <c r="E33" s="85"/>
      <c r="F33" s="85"/>
      <c r="G33" s="85"/>
      <c r="H33" s="85"/>
      <c r="I33" s="1692"/>
      <c r="J33" s="694">
        <f t="shared" si="1"/>
        <v>23</v>
      </c>
    </row>
    <row r="34" spans="1:15" x14ac:dyDescent="0.35">
      <c r="A34" s="694">
        <f t="shared" si="0"/>
        <v>24</v>
      </c>
      <c r="B34" s="692" t="s">
        <v>639</v>
      </c>
      <c r="C34" s="1703"/>
      <c r="D34" s="1703"/>
      <c r="E34" s="85"/>
      <c r="F34" s="85"/>
      <c r="G34" s="85"/>
      <c r="H34" s="85"/>
      <c r="I34" s="1692"/>
      <c r="J34" s="694">
        <f t="shared" si="1"/>
        <v>24</v>
      </c>
      <c r="K34" s="88"/>
    </row>
    <row r="35" spans="1:15" ht="17.5" x14ac:dyDescent="0.35">
      <c r="A35" s="694">
        <f t="shared" si="0"/>
        <v>25</v>
      </c>
      <c r="B35" s="1691" t="s">
        <v>664</v>
      </c>
      <c r="C35" s="1691"/>
      <c r="D35" s="1691"/>
      <c r="E35" s="74">
        <f>+E27+E31</f>
        <v>1182182.2036639869</v>
      </c>
      <c r="F35" s="33"/>
      <c r="G35" s="74">
        <f>+G27+G31</f>
        <v>598849.17153739242</v>
      </c>
      <c r="H35" s="74">
        <f>+H27+H31</f>
        <v>583333.03212659457</v>
      </c>
      <c r="I35" s="694" t="s">
        <v>1307</v>
      </c>
      <c r="J35" s="694">
        <f t="shared" si="1"/>
        <v>25</v>
      </c>
      <c r="K35" s="88"/>
    </row>
    <row r="36" spans="1:15" ht="18" x14ac:dyDescent="0.35">
      <c r="A36" s="694">
        <f t="shared" si="0"/>
        <v>26</v>
      </c>
      <c r="B36" s="85" t="s">
        <v>899</v>
      </c>
      <c r="C36" s="78">
        <v>1.0274999999999999E-2</v>
      </c>
      <c r="D36" s="1691"/>
      <c r="E36" s="96">
        <f>G36+H36</f>
        <v>12146.922142647465</v>
      </c>
      <c r="F36" s="684"/>
      <c r="G36" s="102">
        <f>G35*C36</f>
        <v>6153.1752375467067</v>
      </c>
      <c r="H36" s="102">
        <f>H35*C36</f>
        <v>5993.7469051007592</v>
      </c>
      <c r="I36" s="33" t="s">
        <v>1308</v>
      </c>
      <c r="J36" s="694">
        <f t="shared" si="1"/>
        <v>26</v>
      </c>
      <c r="K36" s="2274"/>
      <c r="L36" s="2273"/>
      <c r="M36" s="2273"/>
      <c r="N36" s="2273"/>
      <c r="O36" s="2272"/>
    </row>
    <row r="37" spans="1:15" x14ac:dyDescent="0.35">
      <c r="A37" s="694">
        <f t="shared" si="0"/>
        <v>27</v>
      </c>
      <c r="B37" s="85" t="s">
        <v>798</v>
      </c>
      <c r="C37" s="85"/>
      <c r="D37" s="85"/>
      <c r="E37" s="97">
        <f>E35+E36</f>
        <v>1194329.1258066343</v>
      </c>
      <c r="F37" s="686"/>
      <c r="G37" s="97">
        <f>G35+G36</f>
        <v>605002.3467749391</v>
      </c>
      <c r="H37" s="97">
        <f>H35+H36</f>
        <v>589326.77903169533</v>
      </c>
      <c r="I37" s="694" t="s">
        <v>1133</v>
      </c>
      <c r="J37" s="694">
        <f t="shared" si="1"/>
        <v>27</v>
      </c>
      <c r="K37" s="2205"/>
      <c r="L37" s="1425"/>
      <c r="M37" s="2205"/>
      <c r="N37" s="2205"/>
      <c r="O37" s="2272"/>
    </row>
    <row r="38" spans="1:15" x14ac:dyDescent="0.35">
      <c r="A38" s="694">
        <f t="shared" si="0"/>
        <v>28</v>
      </c>
      <c r="B38" s="85"/>
      <c r="C38" s="85"/>
      <c r="D38" s="85"/>
      <c r="E38" s="97"/>
      <c r="F38" s="684"/>
      <c r="G38" s="97"/>
      <c r="H38" s="97"/>
      <c r="I38" s="694"/>
      <c r="J38" s="694">
        <f t="shared" si="1"/>
        <v>28</v>
      </c>
      <c r="K38" s="2205"/>
      <c r="L38" s="2272"/>
      <c r="M38" s="2205"/>
      <c r="N38" s="2205"/>
      <c r="O38" s="2272"/>
    </row>
    <row r="39" spans="1:15" x14ac:dyDescent="0.35">
      <c r="A39" s="694">
        <f t="shared" si="0"/>
        <v>29</v>
      </c>
      <c r="B39" s="86" t="s">
        <v>1211</v>
      </c>
      <c r="C39" s="85"/>
      <c r="D39" s="85"/>
      <c r="E39" s="240">
        <v>-4430</v>
      </c>
      <c r="F39" s="706"/>
      <c r="G39" s="1616">
        <f>E39*G26</f>
        <v>-2393.2419778326234</v>
      </c>
      <c r="H39" s="1616">
        <f>E39*H26</f>
        <v>-2036.7580221673763</v>
      </c>
      <c r="I39" s="689" t="s">
        <v>969</v>
      </c>
      <c r="J39" s="694">
        <f t="shared" si="1"/>
        <v>29</v>
      </c>
      <c r="K39" s="2205"/>
      <c r="L39" s="1875"/>
      <c r="M39" s="2205"/>
      <c r="N39" s="2205"/>
      <c r="O39" s="2272"/>
    </row>
    <row r="40" spans="1:15" x14ac:dyDescent="0.35">
      <c r="A40" s="694">
        <f t="shared" si="0"/>
        <v>30</v>
      </c>
      <c r="B40" s="85"/>
      <c r="C40" s="85"/>
      <c r="D40" s="85"/>
      <c r="E40" s="98"/>
      <c r="F40" s="706"/>
      <c r="G40" s="98"/>
      <c r="H40" s="98"/>
      <c r="I40" s="694" t="s">
        <v>1309</v>
      </c>
      <c r="J40" s="694">
        <f t="shared" si="1"/>
        <v>30</v>
      </c>
      <c r="K40" s="2205"/>
      <c r="L40" s="2272"/>
      <c r="M40" s="2205"/>
      <c r="N40" s="2205"/>
      <c r="O40" s="2272"/>
    </row>
    <row r="41" spans="1:15" s="1615" customFormat="1" x14ac:dyDescent="0.35">
      <c r="A41" s="694">
        <f t="shared" si="0"/>
        <v>31</v>
      </c>
      <c r="B41" s="85"/>
      <c r="C41" s="85"/>
      <c r="D41" s="85"/>
      <c r="E41" s="98"/>
      <c r="F41" s="706"/>
      <c r="G41" s="98"/>
      <c r="H41" s="98"/>
      <c r="I41" s="694"/>
      <c r="J41" s="694">
        <f t="shared" si="1"/>
        <v>31</v>
      </c>
      <c r="K41" s="2205"/>
      <c r="L41" s="2272"/>
      <c r="M41" s="2205"/>
      <c r="N41" s="2205"/>
      <c r="O41" s="2272"/>
    </row>
    <row r="42" spans="1:15" ht="18.5" thickBot="1" x14ac:dyDescent="0.4">
      <c r="A42" s="694">
        <f t="shared" si="0"/>
        <v>32</v>
      </c>
      <c r="B42" s="86" t="s">
        <v>1212</v>
      </c>
      <c r="C42" s="85"/>
      <c r="D42" s="85"/>
      <c r="E42" s="99">
        <f>E37+E39</f>
        <v>1189899.1258066343</v>
      </c>
      <c r="F42" s="706"/>
      <c r="G42" s="99">
        <f>G37+G39</f>
        <v>602609.10479710647</v>
      </c>
      <c r="H42" s="99">
        <f>H37+H39</f>
        <v>587290.02100952796</v>
      </c>
      <c r="I42" s="689" t="s">
        <v>1047</v>
      </c>
      <c r="J42" s="694">
        <f t="shared" si="1"/>
        <v>32</v>
      </c>
      <c r="K42" s="2205"/>
      <c r="L42" s="1425"/>
      <c r="M42" s="2205"/>
      <c r="N42" s="2205"/>
    </row>
    <row r="43" spans="1:15" ht="16" thickTop="1" x14ac:dyDescent="0.35">
      <c r="A43" s="694"/>
      <c r="B43" s="692"/>
      <c r="C43" s="692"/>
      <c r="D43" s="692"/>
      <c r="E43" s="707"/>
      <c r="F43" s="683"/>
      <c r="G43" s="707"/>
      <c r="H43" s="707"/>
      <c r="I43" s="708"/>
      <c r="J43" s="694"/>
      <c r="L43" s="2179"/>
      <c r="N43" s="2179"/>
    </row>
    <row r="44" spans="1:15" x14ac:dyDescent="0.35">
      <c r="A44" s="694"/>
      <c r="E44" s="709"/>
      <c r="F44" s="710"/>
      <c r="G44" s="709"/>
      <c r="H44" s="709"/>
      <c r="I44" s="708"/>
      <c r="J44" s="694"/>
    </row>
    <row r="45" spans="1:15" ht="18" x14ac:dyDescent="0.35">
      <c r="A45" s="682">
        <v>1</v>
      </c>
      <c r="B45" s="79" t="s">
        <v>907</v>
      </c>
      <c r="I45" s="182"/>
      <c r="J45" s="694"/>
    </row>
    <row r="46" spans="1:15" ht="18" x14ac:dyDescent="0.35">
      <c r="A46" s="682">
        <v>2</v>
      </c>
      <c r="B46" s="85" t="s">
        <v>640</v>
      </c>
      <c r="C46" s="85"/>
      <c r="D46" s="85"/>
    </row>
    <row r="47" spans="1:15" ht="18" x14ac:dyDescent="0.35">
      <c r="A47" s="682">
        <v>3</v>
      </c>
      <c r="B47" s="85" t="s">
        <v>979</v>
      </c>
      <c r="C47" s="85"/>
      <c r="D47" s="85"/>
    </row>
    <row r="48" spans="1:15" x14ac:dyDescent="0.35">
      <c r="B48" s="85"/>
      <c r="C48" s="85"/>
      <c r="D48" s="85"/>
    </row>
    <row r="50" spans="6:6" x14ac:dyDescent="0.35">
      <c r="F50" s="85"/>
    </row>
    <row r="51" spans="6:6" x14ac:dyDescent="0.35">
      <c r="F51" s="85"/>
    </row>
  </sheetData>
  <mergeCells count="9">
    <mergeCell ref="G21:H21"/>
    <mergeCell ref="B2:I2"/>
    <mergeCell ref="B3:I3"/>
    <mergeCell ref="B4:I4"/>
    <mergeCell ref="B5:I5"/>
    <mergeCell ref="B6:I6"/>
    <mergeCell ref="G11:H11"/>
    <mergeCell ref="G9:H9"/>
    <mergeCell ref="G13:I13"/>
  </mergeCells>
  <printOptions horizontalCentered="1"/>
  <pageMargins left="0.5" right="0.5" top="0.5" bottom="0.5" header="0.25" footer="0.25"/>
  <pageSetup orientation="portrait" r:id="rId1"/>
  <headerFooter scaleWithDoc="0">
    <oddFooter>&amp;C&amp;"Times New Roman,Regular"&amp;10BK-2
Page 1 of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zoomScale="80" zoomScaleNormal="80" workbookViewId="0"/>
  </sheetViews>
  <sheetFormatPr defaultColWidth="8.90625" defaultRowHeight="15.5" x14ac:dyDescent="0.35"/>
  <cols>
    <col min="1" max="1" width="5.08984375" style="182" bestFit="1" customWidth="1"/>
    <col min="2" max="2" width="55.90625" style="79" customWidth="1"/>
    <col min="3" max="3" width="40.08984375" style="182" bestFit="1" customWidth="1"/>
    <col min="4" max="4" width="1.54296875" style="79" customWidth="1"/>
    <col min="5" max="5" width="16.90625" style="79" customWidth="1"/>
    <col min="6" max="6" width="1.54296875" style="79" customWidth="1"/>
    <col min="7" max="7" width="16.90625" style="79" customWidth="1"/>
    <col min="8" max="8" width="1.54296875" style="79" customWidth="1"/>
    <col min="9" max="9" width="16.90625" style="79" customWidth="1"/>
    <col min="10" max="10" width="1.54296875" style="79" customWidth="1"/>
    <col min="11" max="11" width="34.54296875" style="725" customWidth="1"/>
    <col min="12" max="12" width="5.08984375" style="1563" bestFit="1" customWidth="1"/>
    <col min="13" max="13" width="8.90625" style="79"/>
    <col min="14" max="14" width="38.08984375" style="79" customWidth="1"/>
    <col min="15" max="16384" width="8.90625" style="79"/>
  </cols>
  <sheetData>
    <row r="1" spans="1:14" x14ac:dyDescent="0.35">
      <c r="A1" s="182" t="s">
        <v>10</v>
      </c>
    </row>
    <row r="2" spans="1:14" x14ac:dyDescent="0.35">
      <c r="A2" s="79"/>
      <c r="B2" s="2288" t="s">
        <v>18</v>
      </c>
      <c r="C2" s="2288"/>
      <c r="D2" s="2288"/>
      <c r="E2" s="2288"/>
      <c r="F2" s="2288"/>
      <c r="G2" s="2288"/>
      <c r="H2" s="2288"/>
      <c r="I2" s="2288"/>
      <c r="J2" s="2288"/>
      <c r="K2" s="2288"/>
      <c r="N2" s="726"/>
    </row>
    <row r="3" spans="1:14" x14ac:dyDescent="0.35">
      <c r="A3" s="79"/>
      <c r="B3" s="2288" t="s">
        <v>1322</v>
      </c>
      <c r="C3" s="2288"/>
      <c r="D3" s="2288"/>
      <c r="E3" s="2288"/>
      <c r="F3" s="2288"/>
      <c r="G3" s="2288"/>
      <c r="H3" s="2289"/>
      <c r="I3" s="2289"/>
      <c r="J3" s="2289"/>
      <c r="K3" s="2289"/>
      <c r="N3" s="726"/>
    </row>
    <row r="4" spans="1:14" x14ac:dyDescent="0.35">
      <c r="A4" s="79"/>
      <c r="B4" s="2288" t="s">
        <v>1</v>
      </c>
      <c r="C4" s="2288"/>
      <c r="D4" s="2288"/>
      <c r="E4" s="2288"/>
      <c r="F4" s="2288"/>
      <c r="G4" s="2288"/>
      <c r="H4" s="2278"/>
      <c r="I4" s="2278"/>
      <c r="J4" s="2278"/>
      <c r="K4" s="2278"/>
    </row>
    <row r="5" spans="1:14" x14ac:dyDescent="0.35">
      <c r="A5" s="367"/>
      <c r="B5" s="2290" t="s">
        <v>1589</v>
      </c>
      <c r="C5" s="2290"/>
      <c r="D5" s="2290"/>
      <c r="E5" s="2290"/>
      <c r="F5" s="2290"/>
      <c r="G5" s="2290"/>
      <c r="H5" s="2280"/>
      <c r="I5" s="2280"/>
      <c r="J5" s="2280"/>
      <c r="K5" s="2280"/>
      <c r="L5" s="367"/>
      <c r="N5" s="88"/>
    </row>
    <row r="6" spans="1:14" x14ac:dyDescent="0.35">
      <c r="A6" s="367"/>
      <c r="B6" s="2291" t="s">
        <v>2</v>
      </c>
      <c r="C6" s="2278"/>
      <c r="D6" s="2278"/>
      <c r="E6" s="2278"/>
      <c r="F6" s="2278"/>
      <c r="G6" s="2278"/>
      <c r="H6" s="2278"/>
      <c r="I6" s="2278"/>
      <c r="J6" s="2278"/>
      <c r="K6" s="2278"/>
      <c r="L6" s="367"/>
      <c r="N6" s="726"/>
    </row>
    <row r="7" spans="1:14" x14ac:dyDescent="0.35">
      <c r="A7" s="367"/>
      <c r="B7" s="727"/>
      <c r="C7" s="728"/>
      <c r="D7" s="88"/>
      <c r="E7" s="88"/>
      <c r="F7" s="88"/>
      <c r="G7" s="88"/>
      <c r="H7" s="88"/>
      <c r="I7" s="88"/>
      <c r="J7" s="88"/>
      <c r="K7" s="88"/>
      <c r="L7" s="367"/>
      <c r="N7" s="726"/>
    </row>
    <row r="8" spans="1:14" x14ac:dyDescent="0.35">
      <c r="A8" s="367" t="s">
        <v>3</v>
      </c>
      <c r="B8" s="729"/>
      <c r="C8" s="236" t="s">
        <v>648</v>
      </c>
      <c r="D8" s="729"/>
      <c r="E8" s="730" t="s">
        <v>4</v>
      </c>
      <c r="F8" s="367"/>
      <c r="G8" s="730" t="s">
        <v>5</v>
      </c>
      <c r="H8" s="367"/>
      <c r="I8" s="730" t="s">
        <v>6</v>
      </c>
      <c r="J8" s="729"/>
      <c r="L8" s="367" t="s">
        <v>3</v>
      </c>
    </row>
    <row r="9" spans="1:14" x14ac:dyDescent="0.35">
      <c r="A9" s="731" t="s">
        <v>25</v>
      </c>
      <c r="B9" s="729"/>
      <c r="C9" s="732" t="s">
        <v>646</v>
      </c>
      <c r="D9" s="729"/>
      <c r="E9" s="733">
        <v>44196</v>
      </c>
      <c r="F9" s="729"/>
      <c r="G9" s="734">
        <v>44561</v>
      </c>
      <c r="H9" s="729"/>
      <c r="I9" s="735" t="s">
        <v>8</v>
      </c>
      <c r="J9" s="729"/>
      <c r="K9" s="736" t="s">
        <v>9</v>
      </c>
      <c r="L9" s="731" t="s">
        <v>25</v>
      </c>
      <c r="N9" s="220"/>
    </row>
    <row r="10" spans="1:14" x14ac:dyDescent="0.35">
      <c r="A10" s="367"/>
      <c r="B10" s="136"/>
      <c r="E10" s="737"/>
      <c r="G10" s="737"/>
      <c r="H10" s="737"/>
      <c r="I10" s="737"/>
      <c r="J10" s="737"/>
      <c r="K10" s="738"/>
      <c r="L10" s="367"/>
    </row>
    <row r="11" spans="1:14" ht="18" x14ac:dyDescent="0.35">
      <c r="A11" s="367">
        <v>1</v>
      </c>
      <c r="B11" s="79" t="s">
        <v>974</v>
      </c>
      <c r="C11" s="694" t="s">
        <v>1706</v>
      </c>
      <c r="E11" s="103"/>
      <c r="G11" s="103"/>
      <c r="H11" s="104"/>
      <c r="I11" s="105">
        <f>'AD-1'!E31</f>
        <v>566175.05046153837</v>
      </c>
      <c r="J11" s="201"/>
      <c r="K11" s="739" t="s">
        <v>1163</v>
      </c>
      <c r="L11" s="367">
        <f>A11</f>
        <v>1</v>
      </c>
    </row>
    <row r="12" spans="1:14" x14ac:dyDescent="0.35">
      <c r="A12" s="367">
        <f t="shared" ref="A12:A45" si="0">+A11+1</f>
        <v>2</v>
      </c>
      <c r="B12" s="79" t="s">
        <v>10</v>
      </c>
      <c r="C12" s="694"/>
      <c r="E12" s="103"/>
      <c r="G12" s="103"/>
      <c r="H12" s="106"/>
      <c r="I12" s="103"/>
      <c r="J12" s="106"/>
      <c r="K12" s="739"/>
      <c r="L12" s="367">
        <f t="shared" ref="L12:L45" si="1">+L11+1</f>
        <v>2</v>
      </c>
      <c r="N12" s="2092"/>
    </row>
    <row r="13" spans="1:14" ht="18" x14ac:dyDescent="0.35">
      <c r="A13" s="367">
        <f t="shared" si="0"/>
        <v>3</v>
      </c>
      <c r="B13" s="79" t="s">
        <v>975</v>
      </c>
      <c r="C13" s="694" t="s">
        <v>1706</v>
      </c>
      <c r="E13" s="103"/>
      <c r="G13" s="103"/>
      <c r="H13" s="104"/>
      <c r="I13" s="107">
        <f>'AD-2'!E31</f>
        <v>0</v>
      </c>
      <c r="J13" s="201"/>
      <c r="K13" s="739" t="s">
        <v>1164</v>
      </c>
      <c r="L13" s="367">
        <f t="shared" si="1"/>
        <v>3</v>
      </c>
    </row>
    <row r="14" spans="1:14" x14ac:dyDescent="0.35">
      <c r="A14" s="367">
        <f t="shared" si="0"/>
        <v>4</v>
      </c>
      <c r="C14" s="694"/>
      <c r="E14" s="103"/>
      <c r="F14" s="88"/>
      <c r="G14" s="103"/>
      <c r="H14" s="106"/>
      <c r="I14" s="103"/>
      <c r="J14" s="106"/>
      <c r="K14" s="739"/>
      <c r="L14" s="367">
        <f t="shared" si="1"/>
        <v>4</v>
      </c>
    </row>
    <row r="15" spans="1:14" ht="18" x14ac:dyDescent="0.35">
      <c r="A15" s="367">
        <f t="shared" si="0"/>
        <v>5</v>
      </c>
      <c r="B15" s="79" t="s">
        <v>976</v>
      </c>
      <c r="C15" s="694"/>
      <c r="E15" s="103"/>
      <c r="F15" s="88"/>
      <c r="G15" s="103"/>
      <c r="H15" s="104"/>
      <c r="I15" s="107">
        <f>'AD-3'!E31</f>
        <v>0</v>
      </c>
      <c r="J15" s="106"/>
      <c r="K15" s="739" t="s">
        <v>1165</v>
      </c>
      <c r="L15" s="367">
        <f t="shared" si="1"/>
        <v>5</v>
      </c>
    </row>
    <row r="16" spans="1:14" x14ac:dyDescent="0.35">
      <c r="A16" s="367">
        <f t="shared" si="0"/>
        <v>6</v>
      </c>
      <c r="C16" s="694"/>
      <c r="E16" s="103"/>
      <c r="F16" s="88"/>
      <c r="G16" s="103"/>
      <c r="H16" s="106"/>
      <c r="I16" s="103"/>
      <c r="J16" s="106"/>
      <c r="K16" s="739"/>
      <c r="L16" s="367">
        <f t="shared" si="1"/>
        <v>6</v>
      </c>
    </row>
    <row r="17" spans="1:14" ht="18" x14ac:dyDescent="0.35">
      <c r="A17" s="367">
        <f t="shared" si="0"/>
        <v>7</v>
      </c>
      <c r="B17" s="79" t="s">
        <v>977</v>
      </c>
      <c r="C17" s="694" t="s">
        <v>1706</v>
      </c>
      <c r="E17" s="108"/>
      <c r="F17" s="109"/>
      <c r="G17" s="108"/>
      <c r="H17" s="110"/>
      <c r="I17" s="111">
        <f>'AD-4'!E31</f>
        <v>542749.88971846167</v>
      </c>
      <c r="J17" s="201"/>
      <c r="K17" s="739" t="s">
        <v>1166</v>
      </c>
      <c r="L17" s="367">
        <f t="shared" si="1"/>
        <v>7</v>
      </c>
      <c r="N17" s="2205"/>
    </row>
    <row r="18" spans="1:14" x14ac:dyDescent="0.35">
      <c r="A18" s="367">
        <f t="shared" si="0"/>
        <v>8</v>
      </c>
      <c r="C18" s="694"/>
      <c r="E18" s="108"/>
      <c r="F18" s="88"/>
      <c r="G18" s="108"/>
      <c r="H18" s="112"/>
      <c r="I18" s="108"/>
      <c r="J18" s="112"/>
      <c r="K18" s="739"/>
      <c r="L18" s="367">
        <f t="shared" si="1"/>
        <v>8</v>
      </c>
      <c r="N18" s="2205"/>
    </row>
    <row r="19" spans="1:14" ht="18" x14ac:dyDescent="0.35">
      <c r="A19" s="367">
        <f>+A18+1</f>
        <v>9</v>
      </c>
      <c r="B19" s="79" t="s">
        <v>978</v>
      </c>
      <c r="C19" s="694" t="s">
        <v>1707</v>
      </c>
      <c r="E19" s="113">
        <f>'AD-5'!E15</f>
        <v>8046663.23037</v>
      </c>
      <c r="F19" s="114"/>
      <c r="G19" s="113">
        <f>'AD-5'!E17</f>
        <v>8919066.8144000024</v>
      </c>
      <c r="H19" s="110"/>
      <c r="I19" s="108">
        <f>(E19+G19)/2</f>
        <v>8482865.0223850012</v>
      </c>
      <c r="J19" s="106"/>
      <c r="K19" s="740" t="s">
        <v>1167</v>
      </c>
      <c r="L19" s="367">
        <f>+L18+1</f>
        <v>9</v>
      </c>
      <c r="N19" s="2205"/>
    </row>
    <row r="20" spans="1:14" x14ac:dyDescent="0.35">
      <c r="A20" s="731">
        <f t="shared" si="0"/>
        <v>10</v>
      </c>
      <c r="B20" s="81"/>
      <c r="C20" s="693"/>
      <c r="D20" s="81"/>
      <c r="E20" s="108"/>
      <c r="F20" s="81"/>
      <c r="G20" s="108"/>
      <c r="H20" s="112"/>
      <c r="I20" s="108"/>
      <c r="J20" s="112"/>
      <c r="K20" s="741"/>
      <c r="L20" s="731">
        <f t="shared" si="1"/>
        <v>10</v>
      </c>
      <c r="N20" s="2205"/>
    </row>
    <row r="21" spans="1:14" ht="18" x14ac:dyDescent="0.35">
      <c r="A21" s="731">
        <f t="shared" si="0"/>
        <v>11</v>
      </c>
      <c r="B21" s="81" t="s">
        <v>779</v>
      </c>
      <c r="C21" s="694" t="s">
        <v>1706</v>
      </c>
      <c r="D21" s="81"/>
      <c r="E21" s="110"/>
      <c r="F21" s="81"/>
      <c r="G21" s="110"/>
      <c r="H21" s="110"/>
      <c r="I21" s="115">
        <f>'AD-6'!E31</f>
        <v>7094919.3161269231</v>
      </c>
      <c r="J21" s="201"/>
      <c r="K21" s="740" t="s">
        <v>1168</v>
      </c>
      <c r="L21" s="731">
        <f t="shared" si="1"/>
        <v>11</v>
      </c>
      <c r="N21" s="2205"/>
    </row>
    <row r="22" spans="1:14" x14ac:dyDescent="0.35">
      <c r="A22" s="731">
        <f t="shared" si="0"/>
        <v>12</v>
      </c>
      <c r="B22" s="81"/>
      <c r="C22" s="693"/>
      <c r="D22" s="81"/>
      <c r="E22" s="108"/>
      <c r="F22" s="81"/>
      <c r="G22" s="108"/>
      <c r="H22" s="112"/>
      <c r="I22" s="108"/>
      <c r="J22" s="112"/>
      <c r="K22" s="741"/>
      <c r="L22" s="731">
        <f t="shared" si="1"/>
        <v>12</v>
      </c>
      <c r="N22" s="2205"/>
    </row>
    <row r="23" spans="1:14" ht="18" x14ac:dyDescent="0.35">
      <c r="A23" s="731">
        <f t="shared" si="0"/>
        <v>13</v>
      </c>
      <c r="B23" s="81" t="s">
        <v>963</v>
      </c>
      <c r="C23" s="693"/>
      <c r="D23" s="81"/>
      <c r="E23" s="110"/>
      <c r="F23" s="81"/>
      <c r="G23" s="110"/>
      <c r="H23" s="110"/>
      <c r="I23" s="116">
        <f>'AD-7'!E32</f>
        <v>0</v>
      </c>
      <c r="J23" s="112"/>
      <c r="K23" s="740" t="s">
        <v>1169</v>
      </c>
      <c r="L23" s="731">
        <f t="shared" si="1"/>
        <v>13</v>
      </c>
      <c r="N23" s="2205"/>
    </row>
    <row r="24" spans="1:14" x14ac:dyDescent="0.35">
      <c r="A24" s="731">
        <f t="shared" si="0"/>
        <v>14</v>
      </c>
      <c r="B24" s="81"/>
      <c r="C24" s="693"/>
      <c r="D24" s="81"/>
      <c r="E24" s="108"/>
      <c r="F24" s="81"/>
      <c r="G24" s="108"/>
      <c r="H24" s="112"/>
      <c r="I24" s="108"/>
      <c r="J24" s="112"/>
      <c r="K24" s="741"/>
      <c r="L24" s="731">
        <f t="shared" si="1"/>
        <v>14</v>
      </c>
      <c r="N24" s="2205"/>
    </row>
    <row r="25" spans="1:14" ht="18" x14ac:dyDescent="0.35">
      <c r="A25" s="731">
        <f>+A24+1</f>
        <v>15</v>
      </c>
      <c r="B25" s="79" t="s">
        <v>922</v>
      </c>
      <c r="C25" s="694" t="s">
        <v>1707</v>
      </c>
      <c r="D25" s="701"/>
      <c r="E25" s="111">
        <f>'AD-8'!C14</f>
        <v>191341.26459999999</v>
      </c>
      <c r="F25" s="109"/>
      <c r="G25" s="111">
        <f>'AD-8'!C16</f>
        <v>191893.59429000001</v>
      </c>
      <c r="H25" s="106"/>
      <c r="I25" s="108">
        <f>(E25+G25)/2</f>
        <v>191617.42944500002</v>
      </c>
      <c r="J25" s="742"/>
      <c r="K25" s="743" t="s">
        <v>1170</v>
      </c>
      <c r="L25" s="731">
        <f>+L24+1</f>
        <v>15</v>
      </c>
    </row>
    <row r="26" spans="1:14" x14ac:dyDescent="0.35">
      <c r="A26" s="731">
        <f t="shared" si="0"/>
        <v>16</v>
      </c>
      <c r="B26" s="81"/>
      <c r="C26" s="693"/>
      <c r="D26" s="81"/>
      <c r="E26" s="108"/>
      <c r="F26" s="81"/>
      <c r="G26" s="108"/>
      <c r="H26" s="112"/>
      <c r="I26" s="108"/>
      <c r="J26" s="112"/>
      <c r="K26" s="741"/>
      <c r="L26" s="731">
        <f t="shared" si="1"/>
        <v>16</v>
      </c>
    </row>
    <row r="27" spans="1:14" ht="18" x14ac:dyDescent="0.35">
      <c r="A27" s="731">
        <f t="shared" si="0"/>
        <v>17</v>
      </c>
      <c r="B27" s="79" t="s">
        <v>923</v>
      </c>
      <c r="C27" s="694" t="s">
        <v>1707</v>
      </c>
      <c r="E27" s="111">
        <f>'AD-9'!C14</f>
        <v>487232.91625999997</v>
      </c>
      <c r="F27" s="109"/>
      <c r="G27" s="111">
        <f>'AD-9'!C16</f>
        <v>518902.72382000007</v>
      </c>
      <c r="H27" s="110"/>
      <c r="I27" s="108">
        <f>(E27+G27)/2</f>
        <v>503067.82004000002</v>
      </c>
      <c r="J27" s="106"/>
      <c r="K27" s="740" t="s">
        <v>1171</v>
      </c>
      <c r="L27" s="731">
        <f t="shared" si="1"/>
        <v>17</v>
      </c>
    </row>
    <row r="28" spans="1:14" x14ac:dyDescent="0.35">
      <c r="A28" s="367">
        <f t="shared" si="0"/>
        <v>18</v>
      </c>
      <c r="E28" s="103"/>
      <c r="F28" s="88"/>
      <c r="G28" s="103"/>
      <c r="H28" s="106"/>
      <c r="I28" s="103"/>
      <c r="J28" s="106"/>
      <c r="K28" s="740"/>
      <c r="L28" s="367">
        <f t="shared" si="1"/>
        <v>18</v>
      </c>
    </row>
    <row r="29" spans="1:14" ht="18" x14ac:dyDescent="0.35">
      <c r="A29" s="367">
        <f t="shared" si="0"/>
        <v>19</v>
      </c>
      <c r="B29" s="79" t="s">
        <v>921</v>
      </c>
      <c r="E29" s="111">
        <f>'AD-10'!D15</f>
        <v>1226852.8540925998</v>
      </c>
      <c r="F29" s="109"/>
      <c r="G29" s="111">
        <f>'AD-10'!D19</f>
        <v>1504071.7826376001</v>
      </c>
      <c r="H29" s="110"/>
      <c r="I29" s="117">
        <f>(E29+G29)/2</f>
        <v>1365462.3183650998</v>
      </c>
      <c r="J29" s="112"/>
      <c r="K29" s="740" t="s">
        <v>1172</v>
      </c>
      <c r="L29" s="367">
        <f t="shared" si="1"/>
        <v>19</v>
      </c>
    </row>
    <row r="30" spans="1:14" x14ac:dyDescent="0.35">
      <c r="A30" s="367">
        <f t="shared" si="0"/>
        <v>20</v>
      </c>
      <c r="E30" s="108"/>
      <c r="F30" s="88"/>
      <c r="G30" s="108"/>
      <c r="H30" s="112"/>
      <c r="I30" s="108"/>
      <c r="J30" s="112"/>
      <c r="K30" s="739"/>
      <c r="L30" s="367">
        <f t="shared" si="1"/>
        <v>20</v>
      </c>
    </row>
    <row r="31" spans="1:14" ht="16" thickBot="1" x14ac:dyDescent="0.4">
      <c r="A31" s="367">
        <f t="shared" si="0"/>
        <v>21</v>
      </c>
      <c r="B31" s="79" t="s">
        <v>11</v>
      </c>
      <c r="E31" s="118"/>
      <c r="F31" s="119"/>
      <c r="G31" s="118"/>
      <c r="H31" s="120"/>
      <c r="I31" s="121">
        <f>I11+I13+I15+I17+I19+I21+I23+I25+I27+I29</f>
        <v>18746856.846542023</v>
      </c>
      <c r="J31" s="201"/>
      <c r="K31" s="739" t="s">
        <v>1173</v>
      </c>
      <c r="L31" s="367">
        <f t="shared" si="1"/>
        <v>21</v>
      </c>
      <c r="M31" s="744"/>
    </row>
    <row r="32" spans="1:14" ht="16" thickTop="1" x14ac:dyDescent="0.35">
      <c r="A32" s="367">
        <f t="shared" si="0"/>
        <v>22</v>
      </c>
      <c r="E32" s="122"/>
      <c r="G32" s="122"/>
      <c r="H32" s="123"/>
      <c r="I32" s="122"/>
      <c r="J32" s="123"/>
      <c r="K32" s="739" t="s">
        <v>10</v>
      </c>
      <c r="L32" s="367">
        <f t="shared" si="1"/>
        <v>22</v>
      </c>
    </row>
    <row r="33" spans="1:13" x14ac:dyDescent="0.35">
      <c r="A33" s="367">
        <f t="shared" si="0"/>
        <v>23</v>
      </c>
      <c r="B33" s="79" t="s">
        <v>12</v>
      </c>
      <c r="E33" s="124"/>
      <c r="G33" s="124"/>
      <c r="H33" s="123"/>
      <c r="I33" s="125">
        <f>'Stmt AI'!E25</f>
        <v>0.20229837689326716</v>
      </c>
      <c r="J33" s="123"/>
      <c r="K33" s="739" t="s">
        <v>1110</v>
      </c>
      <c r="L33" s="367">
        <f t="shared" si="1"/>
        <v>23</v>
      </c>
    </row>
    <row r="34" spans="1:13" x14ac:dyDescent="0.35">
      <c r="A34" s="367">
        <f t="shared" si="0"/>
        <v>24</v>
      </c>
      <c r="E34" s="122"/>
      <c r="G34" s="122"/>
      <c r="H34" s="123"/>
      <c r="I34" s="122"/>
      <c r="J34" s="123"/>
      <c r="K34" s="739"/>
      <c r="L34" s="367">
        <f t="shared" si="1"/>
        <v>24</v>
      </c>
    </row>
    <row r="35" spans="1:13" x14ac:dyDescent="0.35">
      <c r="A35" s="367">
        <f t="shared" si="0"/>
        <v>25</v>
      </c>
      <c r="B35" s="81" t="s">
        <v>153</v>
      </c>
      <c r="C35" s="345"/>
      <c r="D35" s="81"/>
      <c r="E35" s="126"/>
      <c r="F35" s="126"/>
      <c r="G35" s="126"/>
      <c r="H35" s="127"/>
      <c r="I35" s="128">
        <f>I21+I23</f>
        <v>7094919.3161269231</v>
      </c>
      <c r="J35" s="201"/>
      <c r="K35" s="745" t="s">
        <v>1174</v>
      </c>
      <c r="L35" s="367">
        <f t="shared" si="1"/>
        <v>25</v>
      </c>
    </row>
    <row r="36" spans="1:13" x14ac:dyDescent="0.35">
      <c r="A36" s="367">
        <f t="shared" si="0"/>
        <v>26</v>
      </c>
      <c r="E36" s="122"/>
      <c r="G36" s="122"/>
      <c r="H36" s="123"/>
      <c r="I36" s="129"/>
      <c r="J36" s="123"/>
      <c r="K36" s="739"/>
      <c r="L36" s="367">
        <f t="shared" si="1"/>
        <v>26</v>
      </c>
    </row>
    <row r="37" spans="1:13" x14ac:dyDescent="0.35">
      <c r="A37" s="367">
        <f t="shared" si="0"/>
        <v>27</v>
      </c>
      <c r="B37" s="79" t="s">
        <v>13</v>
      </c>
      <c r="E37" s="130"/>
      <c r="G37" s="130"/>
      <c r="H37" s="123"/>
      <c r="I37" s="131">
        <f>I25*I33</f>
        <v>38763.894961183643</v>
      </c>
      <c r="J37" s="201"/>
      <c r="K37" s="745" t="s">
        <v>1175</v>
      </c>
      <c r="L37" s="367">
        <f t="shared" si="1"/>
        <v>27</v>
      </c>
      <c r="M37" s="744"/>
    </row>
    <row r="38" spans="1:13" x14ac:dyDescent="0.35">
      <c r="A38" s="367">
        <f t="shared" si="0"/>
        <v>28</v>
      </c>
      <c r="E38" s="122"/>
      <c r="G38" s="122"/>
      <c r="H38" s="123"/>
      <c r="I38" s="132"/>
      <c r="J38" s="123"/>
      <c r="K38" s="739"/>
      <c r="L38" s="367">
        <f t="shared" si="1"/>
        <v>28</v>
      </c>
    </row>
    <row r="39" spans="1:13" x14ac:dyDescent="0.35">
      <c r="A39" s="367">
        <f t="shared" si="0"/>
        <v>29</v>
      </c>
      <c r="B39" s="79" t="s">
        <v>14</v>
      </c>
      <c r="E39" s="130"/>
      <c r="G39" s="130"/>
      <c r="H39" s="123"/>
      <c r="I39" s="131">
        <f>I27*I33</f>
        <v>101769.80346132621</v>
      </c>
      <c r="J39" s="123"/>
      <c r="K39" s="745" t="s">
        <v>1176</v>
      </c>
      <c r="L39" s="367">
        <f t="shared" si="1"/>
        <v>29</v>
      </c>
      <c r="M39" s="744"/>
    </row>
    <row r="40" spans="1:13" x14ac:dyDescent="0.35">
      <c r="A40" s="367">
        <f t="shared" si="0"/>
        <v>30</v>
      </c>
      <c r="E40" s="130"/>
      <c r="G40" s="130"/>
      <c r="H40" s="123"/>
      <c r="I40" s="133"/>
      <c r="J40" s="123"/>
      <c r="K40" s="739"/>
      <c r="L40" s="367">
        <f t="shared" si="1"/>
        <v>30</v>
      </c>
      <c r="M40" s="744"/>
    </row>
    <row r="41" spans="1:13" x14ac:dyDescent="0.35">
      <c r="A41" s="367">
        <f t="shared" si="0"/>
        <v>31</v>
      </c>
      <c r="B41" s="79" t="s">
        <v>15</v>
      </c>
      <c r="E41" s="130"/>
      <c r="G41" s="130"/>
      <c r="H41" s="123"/>
      <c r="I41" s="134">
        <f>I29*I33</f>
        <v>276230.81071417732</v>
      </c>
      <c r="J41" s="123"/>
      <c r="K41" s="745" t="s">
        <v>1177</v>
      </c>
      <c r="L41" s="367">
        <f t="shared" si="1"/>
        <v>31</v>
      </c>
      <c r="M41" s="744"/>
    </row>
    <row r="42" spans="1:13" x14ac:dyDescent="0.35">
      <c r="A42" s="367">
        <f t="shared" si="0"/>
        <v>32</v>
      </c>
      <c r="B42" s="79" t="s">
        <v>10</v>
      </c>
      <c r="C42" s="367"/>
      <c r="D42" s="136"/>
      <c r="E42" s="135"/>
      <c r="F42" s="136"/>
      <c r="G42" s="135"/>
      <c r="H42" s="137"/>
      <c r="I42" s="138"/>
      <c r="J42" s="137"/>
      <c r="K42" s="739"/>
      <c r="L42" s="367">
        <f t="shared" si="1"/>
        <v>32</v>
      </c>
    </row>
    <row r="43" spans="1:13" ht="16" thickBot="1" x14ac:dyDescent="0.4">
      <c r="A43" s="367">
        <f t="shared" si="0"/>
        <v>33</v>
      </c>
      <c r="B43" s="79" t="s">
        <v>16</v>
      </c>
      <c r="C43" s="367"/>
      <c r="D43" s="136"/>
      <c r="E43" s="130"/>
      <c r="G43" s="130"/>
      <c r="H43" s="139"/>
      <c r="I43" s="140">
        <f>I35+I37+I39+I41</f>
        <v>7511683.8252636101</v>
      </c>
      <c r="J43" s="201"/>
      <c r="K43" s="745" t="s">
        <v>1178</v>
      </c>
      <c r="L43" s="367">
        <f t="shared" si="1"/>
        <v>33</v>
      </c>
      <c r="M43" s="744"/>
    </row>
    <row r="44" spans="1:13" ht="16" thickTop="1" x14ac:dyDescent="0.35">
      <c r="A44" s="367">
        <f t="shared" si="0"/>
        <v>34</v>
      </c>
      <c r="C44" s="367"/>
      <c r="D44" s="136"/>
      <c r="E44" s="141"/>
      <c r="F44" s="136"/>
      <c r="G44" s="141"/>
      <c r="H44" s="139"/>
      <c r="I44" s="142"/>
      <c r="J44" s="139"/>
      <c r="K44" s="739"/>
      <c r="L44" s="367">
        <f t="shared" si="1"/>
        <v>34</v>
      </c>
    </row>
    <row r="45" spans="1:13" ht="18.5" thickBot="1" x14ac:dyDescent="0.4">
      <c r="A45" s="367">
        <f t="shared" si="0"/>
        <v>35</v>
      </c>
      <c r="B45" s="79" t="s">
        <v>1180</v>
      </c>
      <c r="C45" s="367"/>
      <c r="D45" s="136"/>
      <c r="E45" s="143"/>
      <c r="F45" s="136"/>
      <c r="G45" s="143"/>
      <c r="H45" s="139"/>
      <c r="I45" s="144">
        <f>I43/I31</f>
        <v>0.40069030700734176</v>
      </c>
      <c r="J45" s="201"/>
      <c r="K45" s="745" t="s">
        <v>1179</v>
      </c>
      <c r="L45" s="367">
        <f t="shared" si="1"/>
        <v>35</v>
      </c>
      <c r="M45" s="744"/>
    </row>
    <row r="46" spans="1:13" ht="16" thickTop="1" x14ac:dyDescent="0.35">
      <c r="A46" s="367"/>
      <c r="E46" s="728"/>
      <c r="G46" s="746"/>
      <c r="H46" s="747"/>
      <c r="I46" s="747"/>
      <c r="J46" s="747"/>
      <c r="K46" s="748"/>
      <c r="L46" s="367"/>
    </row>
    <row r="47" spans="1:13" x14ac:dyDescent="0.35">
      <c r="B47" s="692"/>
    </row>
    <row r="48" spans="1:13" ht="18" x14ac:dyDescent="0.35">
      <c r="A48" s="749">
        <v>1</v>
      </c>
      <c r="B48" s="79" t="s">
        <v>908</v>
      </c>
    </row>
    <row r="49" spans="1:2" ht="18" x14ac:dyDescent="0.35">
      <c r="A49" s="750">
        <v>2</v>
      </c>
      <c r="B49" s="79" t="s">
        <v>715</v>
      </c>
    </row>
    <row r="50" spans="1:2" ht="18" x14ac:dyDescent="0.35">
      <c r="A50" s="751">
        <v>3</v>
      </c>
      <c r="B50" s="79" t="s">
        <v>730</v>
      </c>
    </row>
    <row r="51" spans="1:2" ht="18" x14ac:dyDescent="0.35">
      <c r="A51" s="751">
        <v>4</v>
      </c>
      <c r="B51" s="85" t="s">
        <v>924</v>
      </c>
    </row>
    <row r="52" spans="1:2" ht="18" x14ac:dyDescent="0.35">
      <c r="A52" s="751">
        <v>5</v>
      </c>
      <c r="B52" s="79" t="s">
        <v>17</v>
      </c>
    </row>
    <row r="53" spans="1:2" ht="18" x14ac:dyDescent="0.35">
      <c r="A53" s="751"/>
    </row>
    <row r="54" spans="1:2" ht="18" x14ac:dyDescent="0.35">
      <c r="A54" s="751"/>
    </row>
    <row r="55" spans="1:2" ht="18" x14ac:dyDescent="0.35">
      <c r="A55" s="751"/>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47"/>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2" customWidth="1"/>
    <col min="5" max="5" width="18.54296875" style="88" customWidth="1"/>
    <col min="6" max="6" width="62.54296875" style="790"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9" x14ac:dyDescent="0.35">
      <c r="B2" s="2289" t="s">
        <v>18</v>
      </c>
      <c r="C2" s="2289"/>
      <c r="D2" s="2289"/>
      <c r="E2" s="2289"/>
      <c r="F2" s="2289"/>
    </row>
    <row r="3" spans="1:9" x14ac:dyDescent="0.35">
      <c r="B3" s="2289" t="s">
        <v>19</v>
      </c>
      <c r="C3" s="2289"/>
      <c r="D3" s="2289"/>
      <c r="E3" s="2289"/>
      <c r="F3" s="2289"/>
    </row>
    <row r="4" spans="1:9" x14ac:dyDescent="0.35">
      <c r="B4" s="2289" t="s">
        <v>20</v>
      </c>
      <c r="C4" s="2289"/>
      <c r="D4" s="2289"/>
      <c r="E4" s="2289"/>
      <c r="F4" s="2289"/>
    </row>
    <row r="5" spans="1:9" x14ac:dyDescent="0.35">
      <c r="B5" s="2289" t="s">
        <v>1590</v>
      </c>
      <c r="C5" s="2289"/>
      <c r="D5" s="2289"/>
      <c r="E5" s="2289"/>
      <c r="F5" s="2289"/>
    </row>
    <row r="6" spans="1:9" x14ac:dyDescent="0.35">
      <c r="B6" s="2292" t="s">
        <v>2</v>
      </c>
      <c r="C6" s="2292"/>
      <c r="D6" s="2292"/>
      <c r="E6" s="2292"/>
      <c r="F6" s="2292"/>
    </row>
    <row r="7" spans="1:9" x14ac:dyDescent="0.35">
      <c r="B7" s="752"/>
      <c r="C7" s="753"/>
      <c r="D7" s="754"/>
      <c r="E7" s="752"/>
      <c r="F7" s="755"/>
    </row>
    <row r="8" spans="1:9" x14ac:dyDescent="0.35">
      <c r="B8" s="2289" t="s">
        <v>28</v>
      </c>
      <c r="C8" s="2289"/>
      <c r="D8" s="2289"/>
      <c r="E8" s="2289"/>
      <c r="F8" s="2289"/>
    </row>
    <row r="10" spans="1:9" x14ac:dyDescent="0.35">
      <c r="B10" s="756"/>
      <c r="C10" s="757" t="s">
        <v>31</v>
      </c>
      <c r="D10" s="758"/>
      <c r="E10" s="757"/>
      <c r="F10" s="758"/>
    </row>
    <row r="11" spans="1:9" x14ac:dyDescent="0.35">
      <c r="B11" s="759"/>
      <c r="C11" s="595" t="s">
        <v>32</v>
      </c>
      <c r="D11" s="760"/>
      <c r="E11" s="761" t="s">
        <v>32</v>
      </c>
      <c r="F11" s="762"/>
    </row>
    <row r="12" spans="1:9" ht="15.5" x14ac:dyDescent="0.35">
      <c r="A12" s="182" t="s">
        <v>3</v>
      </c>
      <c r="B12" s="764"/>
      <c r="C12" s="595" t="s">
        <v>33</v>
      </c>
      <c r="D12" s="760"/>
      <c r="E12" s="765" t="s">
        <v>33</v>
      </c>
      <c r="F12" s="762"/>
      <c r="G12" s="1563" t="s">
        <v>3</v>
      </c>
    </row>
    <row r="13" spans="1:9" ht="18" x14ac:dyDescent="0.35">
      <c r="A13" s="182" t="s">
        <v>25</v>
      </c>
      <c r="B13" s="766" t="s">
        <v>23</v>
      </c>
      <c r="C13" s="767" t="s">
        <v>36</v>
      </c>
      <c r="D13" s="768" t="s">
        <v>9</v>
      </c>
      <c r="E13" s="769" t="s">
        <v>717</v>
      </c>
      <c r="F13" s="768" t="s">
        <v>9</v>
      </c>
      <c r="G13" s="1563" t="s">
        <v>25</v>
      </c>
    </row>
    <row r="14" spans="1:9" ht="15.5" x14ac:dyDescent="0.35">
      <c r="A14" s="182">
        <v>1</v>
      </c>
      <c r="B14" s="1747" t="s">
        <v>1435</v>
      </c>
      <c r="C14" s="527">
        <v>546097.06288999994</v>
      </c>
      <c r="D14" s="770" t="s">
        <v>647</v>
      </c>
      <c r="E14" s="1470">
        <v>561761.59845999989</v>
      </c>
      <c r="F14" s="771" t="s">
        <v>1708</v>
      </c>
      <c r="G14" s="1563">
        <f>A14</f>
        <v>1</v>
      </c>
      <c r="H14" s="772"/>
      <c r="I14" s="773"/>
    </row>
    <row r="15" spans="1:9" ht="15.5" x14ac:dyDescent="0.35">
      <c r="A15" s="182">
        <f>A14+1</f>
        <v>2</v>
      </c>
      <c r="B15" s="1747" t="s">
        <v>1591</v>
      </c>
      <c r="C15" s="145">
        <v>546004.74259000004</v>
      </c>
      <c r="D15" s="774"/>
      <c r="E15" s="1733">
        <v>561669.27815999999</v>
      </c>
      <c r="F15" s="775"/>
      <c r="G15" s="1563">
        <f>G14+1</f>
        <v>2</v>
      </c>
      <c r="H15" s="90"/>
    </row>
    <row r="16" spans="1:9" ht="15.5" x14ac:dyDescent="0.35">
      <c r="A16" s="182">
        <f t="shared" ref="A16:A32" si="0">A15+1</f>
        <v>3</v>
      </c>
      <c r="B16" s="959" t="s">
        <v>37</v>
      </c>
      <c r="C16" s="145">
        <v>546077.72835999995</v>
      </c>
      <c r="D16" s="774"/>
      <c r="E16" s="1733">
        <v>561742.2639299999</v>
      </c>
      <c r="F16" s="775"/>
      <c r="G16" s="1563">
        <f t="shared" ref="G16:G32" si="1">G15+1</f>
        <v>3</v>
      </c>
      <c r="H16" s="90"/>
    </row>
    <row r="17" spans="1:26" ht="15.5" x14ac:dyDescent="0.35">
      <c r="A17" s="182">
        <f t="shared" si="0"/>
        <v>4</v>
      </c>
      <c r="B17" s="959" t="s">
        <v>38</v>
      </c>
      <c r="C17" s="145">
        <v>546163.42472000001</v>
      </c>
      <c r="D17" s="774"/>
      <c r="E17" s="1733">
        <v>561827.96028999996</v>
      </c>
      <c r="F17" s="775"/>
      <c r="G17" s="1563">
        <f t="shared" si="1"/>
        <v>4</v>
      </c>
      <c r="H17" s="90"/>
    </row>
    <row r="18" spans="1:26" ht="15.5" x14ac:dyDescent="0.35">
      <c r="A18" s="182">
        <f t="shared" si="0"/>
        <v>5</v>
      </c>
      <c r="B18" s="959" t="s">
        <v>39</v>
      </c>
      <c r="C18" s="145">
        <v>548630.24280999997</v>
      </c>
      <c r="D18" s="774"/>
      <c r="E18" s="1733">
        <v>564294.77837999992</v>
      </c>
      <c r="F18" s="775"/>
      <c r="G18" s="1563">
        <f t="shared" si="1"/>
        <v>5</v>
      </c>
      <c r="H18" s="90"/>
    </row>
    <row r="19" spans="1:26" ht="15.5" x14ac:dyDescent="0.35">
      <c r="A19" s="182">
        <f t="shared" si="0"/>
        <v>6</v>
      </c>
      <c r="B19" s="959" t="s">
        <v>40</v>
      </c>
      <c r="C19" s="145">
        <v>548052.64346000005</v>
      </c>
      <c r="D19" s="774"/>
      <c r="E19" s="1733">
        <v>563717.17903</v>
      </c>
      <c r="F19" s="775"/>
      <c r="G19" s="1563">
        <f t="shared" si="1"/>
        <v>6</v>
      </c>
      <c r="H19" s="90"/>
    </row>
    <row r="20" spans="1:26" ht="15.5" x14ac:dyDescent="0.35">
      <c r="A20" s="182">
        <f>A19+1</f>
        <v>7</v>
      </c>
      <c r="B20" s="959" t="s">
        <v>41</v>
      </c>
      <c r="C20" s="145">
        <v>550043.56746000005</v>
      </c>
      <c r="D20" s="774"/>
      <c r="E20" s="1733">
        <v>565708.10303</v>
      </c>
      <c r="F20" s="775"/>
      <c r="G20" s="1563">
        <f>G19+1</f>
        <v>7</v>
      </c>
      <c r="H20" s="90"/>
    </row>
    <row r="21" spans="1:26" ht="15.5" x14ac:dyDescent="0.35">
      <c r="A21" s="182">
        <f t="shared" si="0"/>
        <v>8</v>
      </c>
      <c r="B21" s="959" t="s">
        <v>42</v>
      </c>
      <c r="C21" s="145">
        <v>550025.83343</v>
      </c>
      <c r="D21" s="774"/>
      <c r="E21" s="1733">
        <v>565690.36899999995</v>
      </c>
      <c r="F21" s="775"/>
      <c r="G21" s="1563">
        <f t="shared" si="1"/>
        <v>8</v>
      </c>
      <c r="H21" s="90"/>
    </row>
    <row r="22" spans="1:26" ht="15.5" x14ac:dyDescent="0.35">
      <c r="A22" s="182">
        <f t="shared" si="0"/>
        <v>9</v>
      </c>
      <c r="B22" s="959" t="s">
        <v>43</v>
      </c>
      <c r="C22" s="145">
        <v>554596.06724</v>
      </c>
      <c r="D22" s="774"/>
      <c r="E22" s="1733">
        <v>570260.60280999995</v>
      </c>
      <c r="F22" s="775"/>
      <c r="G22" s="1563">
        <f t="shared" si="1"/>
        <v>9</v>
      </c>
      <c r="H22" s="90"/>
      <c r="N22" s="109"/>
      <c r="O22" s="109"/>
      <c r="P22" s="109"/>
      <c r="Q22" s="109"/>
      <c r="R22" s="109"/>
      <c r="S22" s="109"/>
      <c r="T22" s="109"/>
      <c r="U22" s="109"/>
      <c r="V22" s="109"/>
      <c r="W22" s="109"/>
      <c r="X22" s="109"/>
      <c r="Y22" s="109"/>
      <c r="Z22" s="109"/>
    </row>
    <row r="23" spans="1:26" ht="15.5" x14ac:dyDescent="0.35">
      <c r="A23" s="182">
        <f t="shared" si="0"/>
        <v>10</v>
      </c>
      <c r="B23" s="959" t="s">
        <v>44</v>
      </c>
      <c r="C23" s="145">
        <v>554641.79434999998</v>
      </c>
      <c r="D23" s="774"/>
      <c r="E23" s="1733">
        <v>570306.32991999993</v>
      </c>
      <c r="F23" s="775"/>
      <c r="G23" s="1563">
        <f t="shared" si="1"/>
        <v>10</v>
      </c>
      <c r="H23" s="90"/>
    </row>
    <row r="24" spans="1:26" ht="15.5" x14ac:dyDescent="0.35">
      <c r="A24" s="182">
        <f t="shared" si="0"/>
        <v>11</v>
      </c>
      <c r="B24" s="959" t="s">
        <v>45</v>
      </c>
      <c r="C24" s="145">
        <v>555105.46687</v>
      </c>
      <c r="D24" s="774"/>
      <c r="E24" s="1733">
        <v>570770.00243999995</v>
      </c>
      <c r="F24" s="775"/>
      <c r="G24" s="1563">
        <f t="shared" si="1"/>
        <v>11</v>
      </c>
      <c r="H24" s="90"/>
    </row>
    <row r="25" spans="1:26" ht="15.5" x14ac:dyDescent="0.35">
      <c r="A25" s="182">
        <f t="shared" si="0"/>
        <v>12</v>
      </c>
      <c r="B25" s="959" t="s">
        <v>46</v>
      </c>
      <c r="C25" s="145">
        <v>555597.15902999998</v>
      </c>
      <c r="D25" s="774"/>
      <c r="E25" s="1733">
        <v>571261.69459999993</v>
      </c>
      <c r="F25" s="775"/>
      <c r="G25" s="1563">
        <f t="shared" si="1"/>
        <v>12</v>
      </c>
      <c r="H25" s="90"/>
    </row>
    <row r="26" spans="1:26" ht="15.5" x14ac:dyDescent="0.35">
      <c r="A26" s="182">
        <f t="shared" si="0"/>
        <v>13</v>
      </c>
      <c r="B26" s="1748" t="s">
        <v>1592</v>
      </c>
      <c r="C26" s="146">
        <v>555600.96037999995</v>
      </c>
      <c r="D26" s="770" t="s">
        <v>647</v>
      </c>
      <c r="E26" s="146">
        <v>571265.49594999989</v>
      </c>
      <c r="F26" s="771" t="s">
        <v>1709</v>
      </c>
      <c r="G26" s="1563">
        <f t="shared" si="1"/>
        <v>13</v>
      </c>
      <c r="H26" s="90"/>
      <c r="I26" s="773"/>
    </row>
    <row r="27" spans="1:26" ht="15.5" x14ac:dyDescent="0.35">
      <c r="A27" s="182">
        <f t="shared" si="0"/>
        <v>14</v>
      </c>
      <c r="B27" s="776"/>
      <c r="C27" s="147"/>
      <c r="D27" s="777"/>
      <c r="E27" s="150"/>
      <c r="F27" s="778"/>
      <c r="G27" s="1563">
        <f t="shared" si="1"/>
        <v>14</v>
      </c>
      <c r="H27" s="90"/>
    </row>
    <row r="28" spans="1:26" ht="15.5" x14ac:dyDescent="0.35">
      <c r="A28" s="182">
        <f t="shared" si="0"/>
        <v>15</v>
      </c>
      <c r="B28" s="776" t="s">
        <v>47</v>
      </c>
      <c r="C28" s="148">
        <f>SUM(C14:C26)</f>
        <v>7156636.6935899993</v>
      </c>
      <c r="D28" s="1594" t="s">
        <v>1146</v>
      </c>
      <c r="E28" s="148">
        <f>SUM(E14:E26)</f>
        <v>7360275.6559999995</v>
      </c>
      <c r="F28" s="1595" t="s">
        <v>1146</v>
      </c>
      <c r="G28" s="1563">
        <f t="shared" si="1"/>
        <v>15</v>
      </c>
      <c r="H28" s="90"/>
    </row>
    <row r="29" spans="1:26" ht="15.5" x14ac:dyDescent="0.35">
      <c r="A29" s="182">
        <f t="shared" si="0"/>
        <v>16</v>
      </c>
      <c r="B29" s="781"/>
      <c r="C29" s="149"/>
      <c r="D29" s="782"/>
      <c r="E29" s="149"/>
      <c r="F29" s="783"/>
      <c r="G29" s="1563">
        <f t="shared" si="1"/>
        <v>16</v>
      </c>
      <c r="H29" s="90"/>
    </row>
    <row r="30" spans="1:26" ht="15.5" x14ac:dyDescent="0.35">
      <c r="A30" s="182">
        <f t="shared" si="0"/>
        <v>17</v>
      </c>
      <c r="B30" s="776"/>
      <c r="C30" s="148"/>
      <c r="D30" s="784"/>
      <c r="E30" s="148"/>
      <c r="F30" s="785"/>
      <c r="G30" s="1563">
        <f t="shared" si="1"/>
        <v>17</v>
      </c>
      <c r="H30" s="90"/>
    </row>
    <row r="31" spans="1:26" ht="15.5" x14ac:dyDescent="0.35">
      <c r="A31" s="182">
        <f t="shared" si="0"/>
        <v>18</v>
      </c>
      <c r="B31" s="776" t="s">
        <v>48</v>
      </c>
      <c r="C31" s="148">
        <f>C28/13</f>
        <v>550510.51489153842</v>
      </c>
      <c r="D31" s="770" t="s">
        <v>1148</v>
      </c>
      <c r="E31" s="148">
        <f>E28/13</f>
        <v>566175.05046153837</v>
      </c>
      <c r="F31" s="771" t="s">
        <v>1710</v>
      </c>
      <c r="G31" s="1563">
        <f t="shared" si="1"/>
        <v>18</v>
      </c>
      <c r="H31" s="772"/>
      <c r="I31" s="773"/>
    </row>
    <row r="32" spans="1:26" ht="15.5" x14ac:dyDescent="0.35">
      <c r="A32" s="182">
        <f t="shared" si="0"/>
        <v>19</v>
      </c>
      <c r="B32" s="781"/>
      <c r="C32" s="786"/>
      <c r="D32" s="783"/>
      <c r="E32" s="786"/>
      <c r="F32" s="783"/>
      <c r="G32" s="1563">
        <f t="shared" si="1"/>
        <v>19</v>
      </c>
    </row>
    <row r="33" spans="1:6" ht="15.5" x14ac:dyDescent="0.35">
      <c r="A33" s="182"/>
      <c r="B33" s="109"/>
      <c r="C33" s="787"/>
      <c r="D33" s="788"/>
      <c r="E33" s="787"/>
      <c r="F33" s="788"/>
    </row>
    <row r="34" spans="1:6" x14ac:dyDescent="0.35">
      <c r="C34" s="789"/>
      <c r="D34" s="788"/>
      <c r="E34" s="789"/>
    </row>
    <row r="35" spans="1:6" ht="18" x14ac:dyDescent="0.35">
      <c r="A35" s="750">
        <v>1</v>
      </c>
      <c r="B35" s="1550" t="s">
        <v>909</v>
      </c>
      <c r="C35" s="789"/>
      <c r="D35" s="790"/>
      <c r="E35" s="789"/>
    </row>
    <row r="36" spans="1:6" ht="15.5" x14ac:dyDescent="0.35">
      <c r="B36" s="1550" t="s">
        <v>910</v>
      </c>
      <c r="C36" s="789"/>
      <c r="D36" s="790"/>
      <c r="E36" s="789"/>
    </row>
    <row r="37" spans="1:6" x14ac:dyDescent="0.35">
      <c r="C37" s="789"/>
      <c r="D37" s="790"/>
      <c r="E37" s="789"/>
    </row>
    <row r="38" spans="1:6" x14ac:dyDescent="0.35">
      <c r="C38" s="789"/>
      <c r="D38" s="790"/>
      <c r="E38" s="789"/>
    </row>
    <row r="39" spans="1:6" x14ac:dyDescent="0.35">
      <c r="C39" s="791"/>
      <c r="E39" s="789"/>
    </row>
    <row r="40" spans="1:6" x14ac:dyDescent="0.35">
      <c r="C40" s="791"/>
      <c r="E40" s="789"/>
    </row>
    <row r="41" spans="1:6" x14ac:dyDescent="0.35">
      <c r="C41" s="791"/>
      <c r="E41" s="789"/>
    </row>
    <row r="42" spans="1:6" x14ac:dyDescent="0.35">
      <c r="C42" s="791"/>
      <c r="E42" s="789"/>
    </row>
    <row r="43" spans="1:6" x14ac:dyDescent="0.35">
      <c r="C43" s="791"/>
      <c r="E43" s="789"/>
    </row>
    <row r="44" spans="1:6" x14ac:dyDescent="0.35">
      <c r="C44" s="791"/>
      <c r="E44" s="789"/>
    </row>
    <row r="45" spans="1:6" x14ac:dyDescent="0.35">
      <c r="C45" s="791"/>
      <c r="E45" s="789"/>
    </row>
    <row r="46" spans="1:6" x14ac:dyDescent="0.35">
      <c r="C46" s="791"/>
      <c r="E46" s="789"/>
    </row>
    <row r="47" spans="1:6" x14ac:dyDescent="0.35">
      <c r="C47" s="791"/>
      <c r="E47" s="789"/>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39"/>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2" customWidth="1"/>
    <col min="5" max="5" width="18.54296875" style="88" customWidth="1"/>
    <col min="6" max="6" width="62.54296875" style="790"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8" x14ac:dyDescent="0.35">
      <c r="B2" s="2289" t="s">
        <v>18</v>
      </c>
      <c r="C2" s="2289"/>
      <c r="D2" s="2289"/>
      <c r="E2" s="2289"/>
      <c r="F2" s="2289"/>
    </row>
    <row r="3" spans="1:8" x14ac:dyDescent="0.35">
      <c r="B3" s="2289" t="s">
        <v>19</v>
      </c>
      <c r="C3" s="2289"/>
      <c r="D3" s="2289"/>
      <c r="E3" s="2289"/>
      <c r="F3" s="2289"/>
    </row>
    <row r="4" spans="1:8" x14ac:dyDescent="0.35">
      <c r="B4" s="2289" t="s">
        <v>20</v>
      </c>
      <c r="C4" s="2289"/>
      <c r="D4" s="2289"/>
      <c r="E4" s="2289"/>
      <c r="F4" s="2289"/>
    </row>
    <row r="5" spans="1:8" x14ac:dyDescent="0.35">
      <c r="B5" s="2289" t="s">
        <v>1590</v>
      </c>
      <c r="C5" s="2289"/>
      <c r="D5" s="2289"/>
      <c r="E5" s="2289"/>
      <c r="F5" s="2289"/>
    </row>
    <row r="6" spans="1:8" x14ac:dyDescent="0.35">
      <c r="B6" s="2292" t="s">
        <v>2</v>
      </c>
      <c r="C6" s="2292"/>
      <c r="D6" s="2292"/>
      <c r="E6" s="2292"/>
      <c r="F6" s="2292"/>
    </row>
    <row r="7" spans="1:8" x14ac:dyDescent="0.35">
      <c r="B7" s="752"/>
      <c r="C7" s="753"/>
      <c r="D7" s="754"/>
      <c r="E7" s="752"/>
      <c r="F7" s="755"/>
    </row>
    <row r="8" spans="1:8" x14ac:dyDescent="0.35">
      <c r="B8" s="2289" t="s">
        <v>49</v>
      </c>
      <c r="C8" s="2289"/>
      <c r="D8" s="2289"/>
      <c r="E8" s="2289"/>
      <c r="F8" s="2289"/>
    </row>
    <row r="10" spans="1:8" x14ac:dyDescent="0.35">
      <c r="B10" s="756"/>
      <c r="C10" s="757" t="s">
        <v>31</v>
      </c>
      <c r="D10" s="758"/>
      <c r="E10" s="757"/>
      <c r="F10" s="758"/>
    </row>
    <row r="11" spans="1:8" x14ac:dyDescent="0.35">
      <c r="B11" s="759"/>
      <c r="C11" s="765" t="s">
        <v>50</v>
      </c>
      <c r="D11" s="760"/>
      <c r="E11" s="765" t="s">
        <v>50</v>
      </c>
      <c r="F11" s="760"/>
      <c r="H11" s="794"/>
    </row>
    <row r="12" spans="1:8" ht="15.5" x14ac:dyDescent="0.35">
      <c r="A12" s="182" t="s">
        <v>3</v>
      </c>
      <c r="B12" s="764"/>
      <c r="C12" s="595" t="s">
        <v>33</v>
      </c>
      <c r="D12" s="760"/>
      <c r="E12" s="765" t="s">
        <v>33</v>
      </c>
      <c r="F12" s="760"/>
      <c r="G12" s="1563" t="s">
        <v>3</v>
      </c>
      <c r="H12" s="794"/>
    </row>
    <row r="13" spans="1:8" ht="18" x14ac:dyDescent="0.35">
      <c r="A13" s="182" t="s">
        <v>25</v>
      </c>
      <c r="B13" s="766" t="s">
        <v>23</v>
      </c>
      <c r="C13" s="767" t="s">
        <v>36</v>
      </c>
      <c r="D13" s="768" t="s">
        <v>9</v>
      </c>
      <c r="E13" s="769" t="s">
        <v>717</v>
      </c>
      <c r="F13" s="768" t="s">
        <v>9</v>
      </c>
      <c r="G13" s="1563" t="s">
        <v>25</v>
      </c>
      <c r="H13" s="794"/>
    </row>
    <row r="14" spans="1:8" ht="15.5" x14ac:dyDescent="0.35">
      <c r="A14" s="182">
        <v>1</v>
      </c>
      <c r="B14" s="1747" t="str">
        <f>'AD-1'!B14</f>
        <v>Dec-20</v>
      </c>
      <c r="C14" s="151">
        <v>0</v>
      </c>
      <c r="D14" s="770" t="s">
        <v>647</v>
      </c>
      <c r="E14" s="151">
        <v>0</v>
      </c>
      <c r="F14" s="771" t="s">
        <v>1708</v>
      </c>
      <c r="G14" s="1563">
        <f>A14</f>
        <v>1</v>
      </c>
      <c r="H14" s="773"/>
    </row>
    <row r="15" spans="1:8" ht="15.5" x14ac:dyDescent="0.35">
      <c r="A15" s="182">
        <f>A14+1</f>
        <v>2</v>
      </c>
      <c r="B15" s="1747" t="str">
        <f>'AD-1'!B15</f>
        <v>Jan-21</v>
      </c>
      <c r="C15" s="152">
        <v>0</v>
      </c>
      <c r="D15" s="775"/>
      <c r="E15" s="152">
        <v>0</v>
      </c>
      <c r="F15" s="775"/>
      <c r="G15" s="1563">
        <f>G14+1</f>
        <v>2</v>
      </c>
    </row>
    <row r="16" spans="1:8" ht="15.5" x14ac:dyDescent="0.35">
      <c r="A16" s="182">
        <f t="shared" ref="A16:A32" si="0">A15+1</f>
        <v>3</v>
      </c>
      <c r="B16" s="959" t="s">
        <v>37</v>
      </c>
      <c r="C16" s="152">
        <v>0</v>
      </c>
      <c r="D16" s="775"/>
      <c r="E16" s="152">
        <v>0</v>
      </c>
      <c r="F16" s="775"/>
      <c r="G16" s="1563">
        <f t="shared" ref="G16:G32" si="1">G15+1</f>
        <v>3</v>
      </c>
    </row>
    <row r="17" spans="1:26" ht="15.5" x14ac:dyDescent="0.35">
      <c r="A17" s="182">
        <f t="shared" si="0"/>
        <v>4</v>
      </c>
      <c r="B17" s="959" t="s">
        <v>38</v>
      </c>
      <c r="C17" s="152">
        <v>0</v>
      </c>
      <c r="D17" s="775"/>
      <c r="E17" s="152">
        <v>0</v>
      </c>
      <c r="F17" s="775"/>
      <c r="G17" s="1563">
        <f t="shared" si="1"/>
        <v>4</v>
      </c>
    </row>
    <row r="18" spans="1:26" ht="15.5" x14ac:dyDescent="0.35">
      <c r="A18" s="182">
        <f t="shared" si="0"/>
        <v>5</v>
      </c>
      <c r="B18" s="959" t="s">
        <v>39</v>
      </c>
      <c r="C18" s="152">
        <v>0</v>
      </c>
      <c r="D18" s="775"/>
      <c r="E18" s="152">
        <v>0</v>
      </c>
      <c r="F18" s="775"/>
      <c r="G18" s="1563">
        <f t="shared" si="1"/>
        <v>5</v>
      </c>
    </row>
    <row r="19" spans="1:26" ht="15.5" x14ac:dyDescent="0.35">
      <c r="A19" s="182">
        <f t="shared" si="0"/>
        <v>6</v>
      </c>
      <c r="B19" s="959" t="s">
        <v>40</v>
      </c>
      <c r="C19" s="152">
        <v>0</v>
      </c>
      <c r="D19" s="775"/>
      <c r="E19" s="152">
        <v>0</v>
      </c>
      <c r="F19" s="775"/>
      <c r="G19" s="1563">
        <f t="shared" si="1"/>
        <v>6</v>
      </c>
    </row>
    <row r="20" spans="1:26" ht="15.5" x14ac:dyDescent="0.35">
      <c r="A20" s="182">
        <f>A19+1</f>
        <v>7</v>
      </c>
      <c r="B20" s="959" t="s">
        <v>41</v>
      </c>
      <c r="C20" s="152">
        <v>0</v>
      </c>
      <c r="D20" s="775"/>
      <c r="E20" s="152">
        <v>0</v>
      </c>
      <c r="F20" s="775"/>
      <c r="G20" s="1563">
        <f>G19+1</f>
        <v>7</v>
      </c>
    </row>
    <row r="21" spans="1:26" ht="15.5" x14ac:dyDescent="0.35">
      <c r="A21" s="182">
        <f t="shared" si="0"/>
        <v>8</v>
      </c>
      <c r="B21" s="959" t="s">
        <v>42</v>
      </c>
      <c r="C21" s="152">
        <v>0</v>
      </c>
      <c r="D21" s="775"/>
      <c r="E21" s="152">
        <v>0</v>
      </c>
      <c r="F21" s="775"/>
      <c r="G21" s="1563">
        <f t="shared" si="1"/>
        <v>8</v>
      </c>
    </row>
    <row r="22" spans="1:26" ht="15.5" x14ac:dyDescent="0.35">
      <c r="A22" s="182">
        <f t="shared" si="0"/>
        <v>9</v>
      </c>
      <c r="B22" s="959" t="s">
        <v>43</v>
      </c>
      <c r="C22" s="152">
        <v>0</v>
      </c>
      <c r="D22" s="775"/>
      <c r="E22" s="152">
        <v>0</v>
      </c>
      <c r="F22" s="775"/>
      <c r="G22" s="1563">
        <f t="shared" si="1"/>
        <v>9</v>
      </c>
      <c r="N22" s="109"/>
      <c r="O22" s="109"/>
      <c r="P22" s="109"/>
      <c r="Q22" s="109"/>
      <c r="R22" s="109"/>
      <c r="S22" s="109"/>
      <c r="T22" s="109"/>
      <c r="U22" s="109"/>
      <c r="V22" s="109"/>
      <c r="W22" s="109"/>
      <c r="X22" s="109"/>
      <c r="Y22" s="109"/>
      <c r="Z22" s="109"/>
    </row>
    <row r="23" spans="1:26" ht="15.5" x14ac:dyDescent="0.35">
      <c r="A23" s="182">
        <f t="shared" si="0"/>
        <v>10</v>
      </c>
      <c r="B23" s="959" t="s">
        <v>44</v>
      </c>
      <c r="C23" s="152">
        <v>0</v>
      </c>
      <c r="D23" s="775"/>
      <c r="E23" s="152">
        <v>0</v>
      </c>
      <c r="F23" s="775"/>
      <c r="G23" s="1563">
        <f t="shared" si="1"/>
        <v>10</v>
      </c>
    </row>
    <row r="24" spans="1:26" ht="15.5" x14ac:dyDescent="0.35">
      <c r="A24" s="182">
        <f t="shared" si="0"/>
        <v>11</v>
      </c>
      <c r="B24" s="959" t="s">
        <v>45</v>
      </c>
      <c r="C24" s="152">
        <v>0</v>
      </c>
      <c r="D24" s="775"/>
      <c r="E24" s="152">
        <v>0</v>
      </c>
      <c r="F24" s="775"/>
      <c r="G24" s="1563">
        <f t="shared" si="1"/>
        <v>11</v>
      </c>
    </row>
    <row r="25" spans="1:26" ht="15.5" x14ac:dyDescent="0.35">
      <c r="A25" s="182">
        <f t="shared" si="0"/>
        <v>12</v>
      </c>
      <c r="B25" s="959" t="s">
        <v>46</v>
      </c>
      <c r="C25" s="153">
        <v>0</v>
      </c>
      <c r="D25" s="775"/>
      <c r="E25" s="152">
        <v>0</v>
      </c>
      <c r="F25" s="775"/>
      <c r="G25" s="1563">
        <f t="shared" si="1"/>
        <v>12</v>
      </c>
    </row>
    <row r="26" spans="1:26" ht="15.5" x14ac:dyDescent="0.35">
      <c r="A26" s="182">
        <f t="shared" si="0"/>
        <v>13</v>
      </c>
      <c r="B26" s="1748" t="str">
        <f>'AD-1'!B26</f>
        <v>Dec-21</v>
      </c>
      <c r="C26" s="154">
        <v>0</v>
      </c>
      <c r="D26" s="813" t="s">
        <v>647</v>
      </c>
      <c r="E26" s="154">
        <v>0</v>
      </c>
      <c r="F26" s="771" t="s">
        <v>1709</v>
      </c>
      <c r="G26" s="1563">
        <f t="shared" si="1"/>
        <v>13</v>
      </c>
      <c r="H26" s="773"/>
    </row>
    <row r="27" spans="1:26" ht="15.5" x14ac:dyDescent="0.35">
      <c r="A27" s="182">
        <f t="shared" si="0"/>
        <v>14</v>
      </c>
      <c r="B27" s="776"/>
      <c r="C27" s="155"/>
      <c r="D27" s="784"/>
      <c r="E27" s="157"/>
      <c r="F27" s="778"/>
      <c r="G27" s="1563">
        <f t="shared" si="1"/>
        <v>14</v>
      </c>
    </row>
    <row r="28" spans="1:26" ht="15.5" x14ac:dyDescent="0.35">
      <c r="A28" s="182">
        <f t="shared" si="0"/>
        <v>15</v>
      </c>
      <c r="B28" s="776" t="s">
        <v>47</v>
      </c>
      <c r="C28" s="156">
        <f>SUM(C14:C26)</f>
        <v>0</v>
      </c>
      <c r="D28" s="1594" t="s">
        <v>1146</v>
      </c>
      <c r="E28" s="156">
        <f>SUM(E14:E26)</f>
        <v>0</v>
      </c>
      <c r="F28" s="1595" t="s">
        <v>1146</v>
      </c>
      <c r="G28" s="1563">
        <f t="shared" si="1"/>
        <v>15</v>
      </c>
    </row>
    <row r="29" spans="1:26" ht="15.5" x14ac:dyDescent="0.35">
      <c r="A29" s="182">
        <f t="shared" si="0"/>
        <v>16</v>
      </c>
      <c r="B29" s="781"/>
      <c r="C29" s="1734"/>
      <c r="D29" s="782"/>
      <c r="E29" s="1734"/>
      <c r="F29" s="783"/>
      <c r="G29" s="1563">
        <f t="shared" si="1"/>
        <v>16</v>
      </c>
    </row>
    <row r="30" spans="1:26" ht="15.5" x14ac:dyDescent="0.35">
      <c r="A30" s="182">
        <f t="shared" si="0"/>
        <v>17</v>
      </c>
      <c r="B30" s="776"/>
      <c r="C30" s="157"/>
      <c r="D30" s="784"/>
      <c r="E30" s="157"/>
      <c r="F30" s="785"/>
      <c r="G30" s="1563">
        <f t="shared" si="1"/>
        <v>17</v>
      </c>
    </row>
    <row r="31" spans="1:26" ht="15.5" x14ac:dyDescent="0.35">
      <c r="A31" s="182">
        <f t="shared" si="0"/>
        <v>18</v>
      </c>
      <c r="B31" s="776" t="s">
        <v>48</v>
      </c>
      <c r="C31" s="156">
        <f>C28/13</f>
        <v>0</v>
      </c>
      <c r="D31" s="1594" t="s">
        <v>1148</v>
      </c>
      <c r="E31" s="156">
        <f>E28/13</f>
        <v>0</v>
      </c>
      <c r="F31" s="771" t="s">
        <v>1710</v>
      </c>
      <c r="G31" s="1563">
        <f t="shared" si="1"/>
        <v>18</v>
      </c>
      <c r="H31" s="773"/>
    </row>
    <row r="32" spans="1:26" ht="15.5" x14ac:dyDescent="0.35">
      <c r="A32" s="182">
        <f t="shared" si="0"/>
        <v>19</v>
      </c>
      <c r="B32" s="781"/>
      <c r="C32" s="158"/>
      <c r="D32" s="783"/>
      <c r="E32" s="158"/>
      <c r="F32" s="783"/>
      <c r="G32" s="1563">
        <f t="shared" si="1"/>
        <v>19</v>
      </c>
      <c r="H32" s="90"/>
    </row>
    <row r="33" spans="1:8" ht="15.5" x14ac:dyDescent="0.35">
      <c r="B33" s="79"/>
      <c r="C33" s="795"/>
      <c r="D33" s="725"/>
      <c r="E33" s="795"/>
      <c r="F33" s="725"/>
      <c r="G33" s="1579"/>
      <c r="H33" s="90"/>
    </row>
    <row r="34" spans="1:8" ht="15.5" x14ac:dyDescent="0.35">
      <c r="C34" s="795"/>
      <c r="D34" s="725"/>
      <c r="E34" s="795"/>
      <c r="F34" s="725"/>
      <c r="G34" s="1579"/>
      <c r="H34" s="90"/>
    </row>
    <row r="35" spans="1:8" ht="18" x14ac:dyDescent="0.35">
      <c r="A35" s="750">
        <v>1</v>
      </c>
      <c r="B35" s="1550" t="s">
        <v>909</v>
      </c>
      <c r="C35" s="796"/>
      <c r="D35" s="725"/>
      <c r="E35" s="796"/>
      <c r="F35" s="725"/>
      <c r="G35" s="1579"/>
      <c r="H35" s="90"/>
    </row>
    <row r="36" spans="1:8" ht="15.5" x14ac:dyDescent="0.35">
      <c r="B36" s="1550" t="s">
        <v>910</v>
      </c>
      <c r="C36" s="796"/>
      <c r="D36" s="725"/>
      <c r="E36" s="796"/>
      <c r="F36" s="725"/>
      <c r="G36" s="1579"/>
      <c r="H36" s="90"/>
    </row>
    <row r="37" spans="1:8" ht="15.5" x14ac:dyDescent="0.35">
      <c r="C37" s="796"/>
      <c r="D37" s="725"/>
      <c r="E37" s="796"/>
      <c r="F37" s="725"/>
      <c r="G37" s="1579"/>
      <c r="H37" s="90"/>
    </row>
    <row r="38" spans="1:8" ht="15.5" x14ac:dyDescent="0.35">
      <c r="C38" s="796"/>
      <c r="D38" s="725"/>
      <c r="E38" s="796"/>
      <c r="F38" s="725"/>
      <c r="G38" s="1579"/>
    </row>
    <row r="39" spans="1:8" x14ac:dyDescent="0.35">
      <c r="C39" s="797"/>
      <c r="E39" s="794"/>
      <c r="G39" s="1579"/>
    </row>
  </sheetData>
  <mergeCells count="6">
    <mergeCell ref="B8:F8"/>
    <mergeCell ref="B5:F5"/>
    <mergeCell ref="B2:F2"/>
    <mergeCell ref="B3:F3"/>
    <mergeCell ref="B4:F4"/>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Z38"/>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3" customWidth="1"/>
    <col min="5" max="5" width="18.54296875" style="88" customWidth="1"/>
    <col min="6" max="6" width="62.54296875" style="88"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9" x14ac:dyDescent="0.35">
      <c r="B2" s="2289" t="s">
        <v>18</v>
      </c>
      <c r="C2" s="2289"/>
      <c r="D2" s="2289"/>
      <c r="E2" s="2289"/>
      <c r="F2" s="2289"/>
    </row>
    <row r="3" spans="1:9" x14ac:dyDescent="0.35">
      <c r="B3" s="2289" t="s">
        <v>19</v>
      </c>
      <c r="C3" s="2289"/>
      <c r="D3" s="2289"/>
      <c r="E3" s="2289"/>
      <c r="F3" s="2289"/>
    </row>
    <row r="4" spans="1:9" x14ac:dyDescent="0.35">
      <c r="B4" s="2289" t="s">
        <v>20</v>
      </c>
      <c r="C4" s="2289"/>
      <c r="D4" s="2289"/>
      <c r="E4" s="2289"/>
      <c r="F4" s="2289"/>
    </row>
    <row r="5" spans="1:9" x14ac:dyDescent="0.35">
      <c r="B5" s="2289" t="s">
        <v>1590</v>
      </c>
      <c r="C5" s="2289"/>
      <c r="D5" s="2289"/>
      <c r="E5" s="2289"/>
      <c r="F5" s="2289"/>
    </row>
    <row r="6" spans="1:9" x14ac:dyDescent="0.35">
      <c r="B6" s="2292" t="s">
        <v>2</v>
      </c>
      <c r="C6" s="2292"/>
      <c r="D6" s="2292"/>
      <c r="E6" s="2292"/>
      <c r="F6" s="2292"/>
    </row>
    <row r="7" spans="1:9" x14ac:dyDescent="0.35">
      <c r="B7" s="752"/>
      <c r="C7" s="753"/>
      <c r="D7" s="753"/>
      <c r="E7" s="752"/>
      <c r="F7" s="752"/>
    </row>
    <row r="8" spans="1:9" x14ac:dyDescent="0.35">
      <c r="B8" s="2289" t="s">
        <v>52</v>
      </c>
      <c r="C8" s="2289"/>
      <c r="D8" s="2289"/>
      <c r="E8" s="2289"/>
      <c r="F8" s="2289"/>
    </row>
    <row r="10" spans="1:9" x14ac:dyDescent="0.35">
      <c r="B10" s="756"/>
      <c r="C10" s="757" t="s">
        <v>31</v>
      </c>
      <c r="D10" s="798"/>
      <c r="E10" s="757"/>
      <c r="F10" s="798"/>
    </row>
    <row r="11" spans="1:9" x14ac:dyDescent="0.35">
      <c r="B11" s="759"/>
      <c r="C11" s="765" t="s">
        <v>53</v>
      </c>
      <c r="D11" s="799"/>
      <c r="E11" s="765" t="s">
        <v>53</v>
      </c>
      <c r="F11" s="799"/>
    </row>
    <row r="12" spans="1:9" ht="15.5" x14ac:dyDescent="0.35">
      <c r="A12" s="182" t="s">
        <v>3</v>
      </c>
      <c r="B12" s="764"/>
      <c r="C12" s="595" t="s">
        <v>33</v>
      </c>
      <c r="D12" s="799"/>
      <c r="E12" s="765" t="s">
        <v>33</v>
      </c>
      <c r="F12" s="799"/>
      <c r="G12" s="1563" t="s">
        <v>3</v>
      </c>
    </row>
    <row r="13" spans="1:9" ht="18" x14ac:dyDescent="0.35">
      <c r="A13" s="182" t="s">
        <v>25</v>
      </c>
      <c r="B13" s="766" t="s">
        <v>23</v>
      </c>
      <c r="C13" s="767" t="s">
        <v>36</v>
      </c>
      <c r="D13" s="766" t="s">
        <v>9</v>
      </c>
      <c r="E13" s="769" t="s">
        <v>717</v>
      </c>
      <c r="F13" s="766" t="s">
        <v>9</v>
      </c>
      <c r="G13" s="1563" t="s">
        <v>25</v>
      </c>
      <c r="H13" s="794"/>
    </row>
    <row r="14" spans="1:9" ht="15.5" x14ac:dyDescent="0.35">
      <c r="A14" s="182">
        <v>1</v>
      </c>
      <c r="B14" s="1747" t="str">
        <f>'AD-1'!B14</f>
        <v>Dec-20</v>
      </c>
      <c r="C14" s="151">
        <v>0</v>
      </c>
      <c r="D14" s="1596" t="s">
        <v>647</v>
      </c>
      <c r="E14" s="151">
        <v>0</v>
      </c>
      <c r="F14" s="1735" t="s">
        <v>647</v>
      </c>
      <c r="G14" s="1563">
        <f>A14</f>
        <v>1</v>
      </c>
      <c r="H14" s="802"/>
      <c r="I14" s="802"/>
    </row>
    <row r="15" spans="1:9" ht="15.5" x14ac:dyDescent="0.35">
      <c r="A15" s="182">
        <f>A14+1</f>
        <v>2</v>
      </c>
      <c r="B15" s="1747" t="str">
        <f>'AD-1'!B15</f>
        <v>Jan-21</v>
      </c>
      <c r="C15" s="152">
        <v>0</v>
      </c>
      <c r="D15" s="803"/>
      <c r="E15" s="152">
        <v>0</v>
      </c>
      <c r="F15" s="1736"/>
      <c r="G15" s="1563">
        <f>G14+1</f>
        <v>2</v>
      </c>
      <c r="H15" s="802"/>
      <c r="I15" s="90"/>
    </row>
    <row r="16" spans="1:9" ht="15.5" x14ac:dyDescent="0.35">
      <c r="A16" s="182">
        <f t="shared" ref="A16:A32" si="0">A15+1</f>
        <v>3</v>
      </c>
      <c r="B16" s="959" t="s">
        <v>37</v>
      </c>
      <c r="C16" s="152">
        <v>0</v>
      </c>
      <c r="D16" s="803"/>
      <c r="E16" s="152">
        <v>0</v>
      </c>
      <c r="F16" s="1736"/>
      <c r="G16" s="1563">
        <f t="shared" ref="G16:G32" si="1">G15+1</f>
        <v>3</v>
      </c>
      <c r="H16" s="794"/>
    </row>
    <row r="17" spans="1:26" ht="15.5" x14ac:dyDescent="0.35">
      <c r="A17" s="182">
        <f t="shared" si="0"/>
        <v>4</v>
      </c>
      <c r="B17" s="959" t="s">
        <v>38</v>
      </c>
      <c r="C17" s="152">
        <v>0</v>
      </c>
      <c r="D17" s="803"/>
      <c r="E17" s="152">
        <v>0</v>
      </c>
      <c r="F17" s="1736"/>
      <c r="G17" s="1563">
        <f t="shared" si="1"/>
        <v>4</v>
      </c>
      <c r="H17" s="794"/>
    </row>
    <row r="18" spans="1:26" ht="15.5" x14ac:dyDescent="0.35">
      <c r="A18" s="182">
        <f t="shared" si="0"/>
        <v>5</v>
      </c>
      <c r="B18" s="959" t="s">
        <v>39</v>
      </c>
      <c r="C18" s="152">
        <v>0</v>
      </c>
      <c r="D18" s="803"/>
      <c r="E18" s="152">
        <v>0</v>
      </c>
      <c r="F18" s="1736"/>
      <c r="G18" s="1563">
        <f t="shared" si="1"/>
        <v>5</v>
      </c>
      <c r="H18" s="794"/>
    </row>
    <row r="19" spans="1:26" ht="15.5" x14ac:dyDescent="0.35">
      <c r="A19" s="182">
        <f t="shared" si="0"/>
        <v>6</v>
      </c>
      <c r="B19" s="959" t="s">
        <v>40</v>
      </c>
      <c r="C19" s="152">
        <v>0</v>
      </c>
      <c r="D19" s="803"/>
      <c r="E19" s="152">
        <v>0</v>
      </c>
      <c r="F19" s="1736"/>
      <c r="G19" s="1563">
        <f t="shared" si="1"/>
        <v>6</v>
      </c>
      <c r="H19" s="794"/>
    </row>
    <row r="20" spans="1:26" ht="15.5" x14ac:dyDescent="0.35">
      <c r="A20" s="182">
        <f>A19+1</f>
        <v>7</v>
      </c>
      <c r="B20" s="959" t="s">
        <v>41</v>
      </c>
      <c r="C20" s="152">
        <v>0</v>
      </c>
      <c r="D20" s="803"/>
      <c r="E20" s="152">
        <v>0</v>
      </c>
      <c r="F20" s="1736"/>
      <c r="G20" s="1563">
        <f>G19+1</f>
        <v>7</v>
      </c>
      <c r="H20" s="794"/>
    </row>
    <row r="21" spans="1:26" ht="15.5" x14ac:dyDescent="0.35">
      <c r="A21" s="182">
        <f t="shared" si="0"/>
        <v>8</v>
      </c>
      <c r="B21" s="959" t="s">
        <v>42</v>
      </c>
      <c r="C21" s="152">
        <v>0</v>
      </c>
      <c r="D21" s="803"/>
      <c r="E21" s="152">
        <v>0</v>
      </c>
      <c r="F21" s="1736"/>
      <c r="G21" s="1563">
        <f t="shared" si="1"/>
        <v>8</v>
      </c>
    </row>
    <row r="22" spans="1:26" ht="15.5" x14ac:dyDescent="0.35">
      <c r="A22" s="182">
        <f t="shared" si="0"/>
        <v>9</v>
      </c>
      <c r="B22" s="959" t="s">
        <v>43</v>
      </c>
      <c r="C22" s="152">
        <v>0</v>
      </c>
      <c r="D22" s="803"/>
      <c r="E22" s="152">
        <v>0</v>
      </c>
      <c r="F22" s="1736"/>
      <c r="G22" s="1563">
        <f t="shared" si="1"/>
        <v>9</v>
      </c>
      <c r="N22" s="109"/>
      <c r="O22" s="109"/>
      <c r="P22" s="109"/>
      <c r="Q22" s="109"/>
      <c r="R22" s="109"/>
      <c r="S22" s="109"/>
      <c r="T22" s="109"/>
      <c r="U22" s="109"/>
      <c r="V22" s="109"/>
      <c r="W22" s="109"/>
      <c r="X22" s="109"/>
      <c r="Y22" s="109"/>
      <c r="Z22" s="109"/>
    </row>
    <row r="23" spans="1:26" ht="15.5" x14ac:dyDescent="0.35">
      <c r="A23" s="182">
        <f t="shared" si="0"/>
        <v>10</v>
      </c>
      <c r="B23" s="959" t="s">
        <v>44</v>
      </c>
      <c r="C23" s="152">
        <v>0</v>
      </c>
      <c r="D23" s="803"/>
      <c r="E23" s="152">
        <v>0</v>
      </c>
      <c r="F23" s="1736"/>
      <c r="G23" s="1563">
        <f t="shared" si="1"/>
        <v>10</v>
      </c>
    </row>
    <row r="24" spans="1:26" ht="15.5" x14ac:dyDescent="0.35">
      <c r="A24" s="182">
        <f t="shared" si="0"/>
        <v>11</v>
      </c>
      <c r="B24" s="959" t="s">
        <v>45</v>
      </c>
      <c r="C24" s="152">
        <v>0</v>
      </c>
      <c r="D24" s="803"/>
      <c r="E24" s="152">
        <v>0</v>
      </c>
      <c r="F24" s="1736"/>
      <c r="G24" s="1563">
        <f t="shared" si="1"/>
        <v>11</v>
      </c>
    </row>
    <row r="25" spans="1:26" ht="15.5" x14ac:dyDescent="0.35">
      <c r="A25" s="182">
        <f t="shared" si="0"/>
        <v>12</v>
      </c>
      <c r="B25" s="959" t="s">
        <v>46</v>
      </c>
      <c r="C25" s="152">
        <v>0</v>
      </c>
      <c r="D25" s="803"/>
      <c r="E25" s="152">
        <v>0</v>
      </c>
      <c r="F25" s="1736"/>
      <c r="G25" s="1563">
        <f t="shared" si="1"/>
        <v>12</v>
      </c>
      <c r="I25" s="90"/>
    </row>
    <row r="26" spans="1:26" ht="15.5" x14ac:dyDescent="0.35">
      <c r="A26" s="182">
        <f t="shared" si="0"/>
        <v>13</v>
      </c>
      <c r="B26" s="1748" t="str">
        <f>'AD-1'!B26</f>
        <v>Dec-21</v>
      </c>
      <c r="C26" s="154">
        <v>0</v>
      </c>
      <c r="D26" s="1597" t="s">
        <v>647</v>
      </c>
      <c r="E26" s="154">
        <v>0</v>
      </c>
      <c r="F26" s="1737" t="s">
        <v>647</v>
      </c>
      <c r="G26" s="1563">
        <f t="shared" si="1"/>
        <v>13</v>
      </c>
      <c r="H26" s="90"/>
      <c r="I26" s="802"/>
    </row>
    <row r="27" spans="1:26" ht="15.5" x14ac:dyDescent="0.35">
      <c r="A27" s="182">
        <f t="shared" si="0"/>
        <v>14</v>
      </c>
      <c r="B27" s="776"/>
      <c r="C27" s="155"/>
      <c r="D27" s="804"/>
      <c r="E27" s="157"/>
      <c r="F27" s="805"/>
      <c r="G27" s="1563">
        <f t="shared" si="1"/>
        <v>14</v>
      </c>
      <c r="H27" s="90"/>
      <c r="I27" s="90"/>
    </row>
    <row r="28" spans="1:26" ht="15.5" x14ac:dyDescent="0.35">
      <c r="A28" s="182">
        <f t="shared" si="0"/>
        <v>15</v>
      </c>
      <c r="B28" s="776" t="s">
        <v>47</v>
      </c>
      <c r="C28" s="156">
        <f>SUM(C14:C26)</f>
        <v>0</v>
      </c>
      <c r="D28" s="1596" t="s">
        <v>1146</v>
      </c>
      <c r="E28" s="156">
        <f>SUM(E14:E26)</f>
        <v>0</v>
      </c>
      <c r="F28" s="1599" t="s">
        <v>1146</v>
      </c>
      <c r="G28" s="1563">
        <f t="shared" si="1"/>
        <v>15</v>
      </c>
      <c r="H28" s="90"/>
      <c r="I28" s="90"/>
    </row>
    <row r="29" spans="1:26" ht="15.5" x14ac:dyDescent="0.35">
      <c r="A29" s="182">
        <f t="shared" si="0"/>
        <v>16</v>
      </c>
      <c r="B29" s="781"/>
      <c r="C29" s="158"/>
      <c r="D29" s="265"/>
      <c r="E29" s="158"/>
      <c r="F29" s="807"/>
      <c r="G29" s="1563">
        <f t="shared" si="1"/>
        <v>16</v>
      </c>
      <c r="H29" s="90"/>
      <c r="I29" s="90"/>
    </row>
    <row r="30" spans="1:26" ht="15.5" x14ac:dyDescent="0.35">
      <c r="A30" s="182">
        <f t="shared" si="0"/>
        <v>17</v>
      </c>
      <c r="B30" s="776"/>
      <c r="C30" s="157"/>
      <c r="D30" s="264"/>
      <c r="E30" s="157"/>
      <c r="F30" s="808"/>
      <c r="G30" s="1563">
        <f t="shared" si="1"/>
        <v>17</v>
      </c>
      <c r="H30" s="90"/>
      <c r="I30" s="90"/>
    </row>
    <row r="31" spans="1:26" ht="15.5" x14ac:dyDescent="0.35">
      <c r="A31" s="182">
        <f t="shared" si="0"/>
        <v>18</v>
      </c>
      <c r="B31" s="776" t="s">
        <v>48</v>
      </c>
      <c r="C31" s="159">
        <f>C28/13</f>
        <v>0</v>
      </c>
      <c r="D31" s="1596" t="s">
        <v>1148</v>
      </c>
      <c r="E31" s="159">
        <f>E28/13</f>
        <v>0</v>
      </c>
      <c r="F31" s="1599" t="s">
        <v>1148</v>
      </c>
      <c r="G31" s="1563">
        <f t="shared" si="1"/>
        <v>18</v>
      </c>
      <c r="H31" s="90"/>
      <c r="I31" s="802"/>
    </row>
    <row r="32" spans="1:26" ht="15.5" x14ac:dyDescent="0.35">
      <c r="A32" s="182">
        <f t="shared" si="0"/>
        <v>19</v>
      </c>
      <c r="B32" s="781"/>
      <c r="C32" s="158"/>
      <c r="D32" s="809"/>
      <c r="E32" s="158"/>
      <c r="F32" s="807"/>
      <c r="G32" s="1563">
        <f t="shared" si="1"/>
        <v>19</v>
      </c>
      <c r="H32" s="90"/>
    </row>
    <row r="33" spans="1:7" ht="15.5" x14ac:dyDescent="0.35">
      <c r="A33" s="182"/>
      <c r="B33" s="79"/>
      <c r="C33" s="795"/>
      <c r="D33" s="795"/>
      <c r="E33" s="795"/>
      <c r="F33" s="796"/>
      <c r="G33" s="1579"/>
    </row>
    <row r="34" spans="1:7" ht="15.5" x14ac:dyDescent="0.35">
      <c r="A34" s="182"/>
      <c r="C34" s="796"/>
      <c r="D34" s="796"/>
      <c r="E34" s="796"/>
      <c r="F34" s="796"/>
      <c r="G34" s="1579"/>
    </row>
    <row r="35" spans="1:7" ht="18" x14ac:dyDescent="0.35">
      <c r="A35" s="750">
        <v>1</v>
      </c>
      <c r="B35" s="1550" t="s">
        <v>909</v>
      </c>
      <c r="C35" s="796"/>
      <c r="D35" s="796"/>
      <c r="E35" s="796"/>
      <c r="F35" s="796"/>
      <c r="G35" s="1579"/>
    </row>
    <row r="36" spans="1:7" ht="15.5" x14ac:dyDescent="0.35">
      <c r="B36" s="1550" t="s">
        <v>910</v>
      </c>
      <c r="C36" s="796"/>
      <c r="D36" s="796"/>
      <c r="E36" s="796"/>
      <c r="F36" s="796"/>
      <c r="G36" s="1579"/>
    </row>
    <row r="37" spans="1:7" ht="15.5" x14ac:dyDescent="0.35">
      <c r="C37" s="796"/>
      <c r="D37" s="796"/>
      <c r="E37" s="796"/>
      <c r="F37" s="796"/>
      <c r="G37" s="1579"/>
    </row>
    <row r="38" spans="1:7" x14ac:dyDescent="0.35">
      <c r="C38" s="797"/>
      <c r="D38" s="797"/>
      <c r="E38" s="794"/>
      <c r="F38" s="794"/>
      <c r="G38" s="1579"/>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Z44"/>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818" customWidth="1"/>
    <col min="5" max="5" width="18.54296875" style="88" customWidth="1"/>
    <col min="6" max="6" width="62.54296875" style="790" customWidth="1"/>
    <col min="7" max="7" width="5.08984375" style="1561" customWidth="1"/>
    <col min="8" max="8" width="24" style="90"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8" x14ac:dyDescent="0.35">
      <c r="B2" s="2289" t="s">
        <v>18</v>
      </c>
      <c r="C2" s="2289"/>
      <c r="D2" s="2289"/>
      <c r="E2" s="2289"/>
      <c r="F2" s="2289"/>
    </row>
    <row r="3" spans="1:8" x14ac:dyDescent="0.35">
      <c r="B3" s="2289" t="s">
        <v>19</v>
      </c>
      <c r="C3" s="2289"/>
      <c r="D3" s="2289"/>
      <c r="E3" s="2289"/>
      <c r="F3" s="2289"/>
    </row>
    <row r="4" spans="1:8" x14ac:dyDescent="0.35">
      <c r="B4" s="2289" t="s">
        <v>20</v>
      </c>
      <c r="C4" s="2289"/>
      <c r="D4" s="2289"/>
      <c r="E4" s="2289"/>
      <c r="F4" s="2289"/>
    </row>
    <row r="5" spans="1:8" x14ac:dyDescent="0.35">
      <c r="B5" s="2289" t="s">
        <v>1590</v>
      </c>
      <c r="C5" s="2289"/>
      <c r="D5" s="2289"/>
      <c r="E5" s="2289"/>
      <c r="F5" s="2289"/>
    </row>
    <row r="6" spans="1:8" x14ac:dyDescent="0.35">
      <c r="B6" s="2292" t="s">
        <v>2</v>
      </c>
      <c r="C6" s="2292"/>
      <c r="D6" s="2292"/>
      <c r="E6" s="2292"/>
      <c r="F6" s="2292"/>
    </row>
    <row r="7" spans="1:8" x14ac:dyDescent="0.35">
      <c r="B7" s="752"/>
      <c r="C7" s="753"/>
      <c r="D7" s="810"/>
      <c r="E7" s="752"/>
      <c r="F7" s="755"/>
    </row>
    <row r="8" spans="1:8" x14ac:dyDescent="0.35">
      <c r="B8" s="2289" t="s">
        <v>54</v>
      </c>
      <c r="C8" s="2289"/>
      <c r="D8" s="2289"/>
      <c r="E8" s="2289"/>
      <c r="F8" s="2289"/>
    </row>
    <row r="10" spans="1:8" x14ac:dyDescent="0.35">
      <c r="B10" s="756"/>
      <c r="C10" s="757" t="s">
        <v>31</v>
      </c>
      <c r="D10" s="811"/>
      <c r="E10" s="757"/>
      <c r="F10" s="758"/>
    </row>
    <row r="11" spans="1:8" ht="15.5" x14ac:dyDescent="0.35">
      <c r="A11" s="182"/>
      <c r="B11" s="759"/>
      <c r="C11" s="595" t="s">
        <v>55</v>
      </c>
      <c r="D11" s="812"/>
      <c r="E11" s="765" t="s">
        <v>55</v>
      </c>
      <c r="F11" s="760"/>
    </row>
    <row r="12" spans="1:8" ht="15.5" x14ac:dyDescent="0.35">
      <c r="A12" s="182" t="s">
        <v>3</v>
      </c>
      <c r="B12" s="764"/>
      <c r="C12" s="595" t="s">
        <v>33</v>
      </c>
      <c r="D12" s="760"/>
      <c r="E12" s="765" t="s">
        <v>33</v>
      </c>
      <c r="F12" s="760"/>
      <c r="G12" s="1563" t="s">
        <v>3</v>
      </c>
    </row>
    <row r="13" spans="1:8" ht="18" x14ac:dyDescent="0.35">
      <c r="A13" s="182" t="s">
        <v>25</v>
      </c>
      <c r="B13" s="766" t="s">
        <v>23</v>
      </c>
      <c r="C13" s="767" t="s">
        <v>36</v>
      </c>
      <c r="D13" s="768" t="s">
        <v>9</v>
      </c>
      <c r="E13" s="769" t="s">
        <v>717</v>
      </c>
      <c r="F13" s="768" t="s">
        <v>9</v>
      </c>
      <c r="G13" s="1563" t="s">
        <v>25</v>
      </c>
    </row>
    <row r="14" spans="1:8" ht="15.5" x14ac:dyDescent="0.35">
      <c r="A14" s="182">
        <v>1</v>
      </c>
      <c r="B14" s="1747" t="str">
        <f>'AD-1'!B14</f>
        <v>Dec-20</v>
      </c>
      <c r="C14" s="527">
        <v>579274.81100999995</v>
      </c>
      <c r="D14" s="770" t="s">
        <v>647</v>
      </c>
      <c r="E14" s="527">
        <v>537020.37522000005</v>
      </c>
      <c r="F14" s="771" t="s">
        <v>1708</v>
      </c>
      <c r="G14" s="1725">
        <f>A14</f>
        <v>1</v>
      </c>
      <c r="H14" s="773"/>
    </row>
    <row r="15" spans="1:8" ht="15.5" x14ac:dyDescent="0.35">
      <c r="A15" s="182">
        <f>A14+1</f>
        <v>2</v>
      </c>
      <c r="B15" s="1747" t="str">
        <f>'AD-1'!B15</f>
        <v>Jan-21</v>
      </c>
      <c r="C15" s="145">
        <v>579309.99205</v>
      </c>
      <c r="D15" s="774"/>
      <c r="E15" s="145">
        <v>537055.5562600001</v>
      </c>
      <c r="F15" s="775"/>
      <c r="G15" s="1725">
        <f>G14+1</f>
        <v>2</v>
      </c>
      <c r="H15" s="88"/>
    </row>
    <row r="16" spans="1:8" ht="15.5" x14ac:dyDescent="0.35">
      <c r="A16" s="182">
        <f t="shared" ref="A16:A32" si="0">A15+1</f>
        <v>3</v>
      </c>
      <c r="B16" s="959" t="s">
        <v>37</v>
      </c>
      <c r="C16" s="145">
        <v>582168.96565000003</v>
      </c>
      <c r="D16" s="774"/>
      <c r="E16" s="145">
        <v>539914.52986000013</v>
      </c>
      <c r="F16" s="775"/>
      <c r="G16" s="1725">
        <f t="shared" ref="G16:G26" si="1">G15+1</f>
        <v>3</v>
      </c>
      <c r="H16" s="88"/>
    </row>
    <row r="17" spans="1:26" ht="15.5" x14ac:dyDescent="0.35">
      <c r="A17" s="182">
        <f t="shared" si="0"/>
        <v>4</v>
      </c>
      <c r="B17" s="959" t="s">
        <v>38</v>
      </c>
      <c r="C17" s="145">
        <v>582255.31498999998</v>
      </c>
      <c r="D17" s="774"/>
      <c r="E17" s="145">
        <v>540000.87920000008</v>
      </c>
      <c r="F17" s="775"/>
      <c r="G17" s="1725">
        <f t="shared" si="1"/>
        <v>4</v>
      </c>
      <c r="H17" s="88"/>
    </row>
    <row r="18" spans="1:26" ht="15.5" x14ac:dyDescent="0.35">
      <c r="A18" s="182">
        <f t="shared" si="0"/>
        <v>5</v>
      </c>
      <c r="B18" s="959" t="s">
        <v>39</v>
      </c>
      <c r="C18" s="145">
        <v>582389.30796999997</v>
      </c>
      <c r="D18" s="774"/>
      <c r="E18" s="145">
        <v>540134.87218000006</v>
      </c>
      <c r="F18" s="775"/>
      <c r="G18" s="1725">
        <f t="shared" si="1"/>
        <v>5</v>
      </c>
      <c r="H18" s="88"/>
    </row>
    <row r="19" spans="1:26" ht="15.5" x14ac:dyDescent="0.35">
      <c r="A19" s="182">
        <f t="shared" si="0"/>
        <v>6</v>
      </c>
      <c r="B19" s="959" t="s">
        <v>40</v>
      </c>
      <c r="C19" s="145">
        <v>607598.19137000002</v>
      </c>
      <c r="D19" s="774"/>
      <c r="E19" s="145">
        <v>565343.75558000011</v>
      </c>
      <c r="F19" s="775"/>
      <c r="G19" s="1725">
        <f t="shared" si="1"/>
        <v>6</v>
      </c>
      <c r="H19" s="88"/>
    </row>
    <row r="20" spans="1:26" ht="15.5" x14ac:dyDescent="0.35">
      <c r="A20" s="182">
        <f>A19+1</f>
        <v>7</v>
      </c>
      <c r="B20" s="959" t="s">
        <v>41</v>
      </c>
      <c r="C20" s="145">
        <v>607800.62912000006</v>
      </c>
      <c r="D20" s="774"/>
      <c r="E20" s="145">
        <v>565546.19333000015</v>
      </c>
      <c r="F20" s="775"/>
      <c r="G20" s="1725">
        <f>G19+1</f>
        <v>7</v>
      </c>
      <c r="H20" s="88"/>
    </row>
    <row r="21" spans="1:26" ht="15.5" x14ac:dyDescent="0.35">
      <c r="A21" s="182">
        <f t="shared" si="0"/>
        <v>8</v>
      </c>
      <c r="B21" s="959" t="s">
        <v>42</v>
      </c>
      <c r="C21" s="145">
        <v>607795.42611</v>
      </c>
      <c r="D21" s="774"/>
      <c r="E21" s="145">
        <v>565540.9903200001</v>
      </c>
      <c r="F21" s="775"/>
      <c r="G21" s="1725">
        <f t="shared" si="1"/>
        <v>8</v>
      </c>
      <c r="H21" s="88"/>
    </row>
    <row r="22" spans="1:26" ht="15.5" x14ac:dyDescent="0.35">
      <c r="A22" s="182">
        <f t="shared" si="0"/>
        <v>9</v>
      </c>
      <c r="B22" s="959" t="s">
        <v>43</v>
      </c>
      <c r="C22" s="160">
        <v>572497.65706</v>
      </c>
      <c r="D22" s="774"/>
      <c r="E22" s="145">
        <v>530243.2212700001</v>
      </c>
      <c r="F22" s="775"/>
      <c r="G22" s="1725">
        <f t="shared" si="1"/>
        <v>9</v>
      </c>
      <c r="H22" s="88"/>
      <c r="N22" s="109"/>
      <c r="O22" s="109"/>
      <c r="P22" s="109"/>
      <c r="Q22" s="109"/>
      <c r="R22" s="109"/>
      <c r="S22" s="109"/>
      <c r="T22" s="109"/>
      <c r="U22" s="109"/>
      <c r="V22" s="109"/>
      <c r="W22" s="109"/>
      <c r="X22" s="109"/>
      <c r="Y22" s="109"/>
      <c r="Z22" s="109"/>
    </row>
    <row r="23" spans="1:26" ht="15.5" x14ac:dyDescent="0.35">
      <c r="A23" s="182">
        <f t="shared" si="0"/>
        <v>10</v>
      </c>
      <c r="B23" s="959" t="s">
        <v>44</v>
      </c>
      <c r="C23" s="160">
        <v>572212.35759000003</v>
      </c>
      <c r="D23" s="774"/>
      <c r="E23" s="145">
        <v>530214.99804000009</v>
      </c>
      <c r="F23" s="775"/>
      <c r="G23" s="1725">
        <f t="shared" si="1"/>
        <v>10</v>
      </c>
      <c r="H23" s="88"/>
    </row>
    <row r="24" spans="1:26" ht="15.5" x14ac:dyDescent="0.35">
      <c r="A24" s="182">
        <f t="shared" si="0"/>
        <v>11</v>
      </c>
      <c r="B24" s="959" t="s">
        <v>45</v>
      </c>
      <c r="C24" s="160">
        <v>571401.17304999998</v>
      </c>
      <c r="D24" s="774"/>
      <c r="E24" s="145">
        <v>529403.81350000005</v>
      </c>
      <c r="F24" s="775"/>
      <c r="G24" s="1725">
        <f t="shared" si="1"/>
        <v>11</v>
      </c>
      <c r="H24" s="88"/>
    </row>
    <row r="25" spans="1:26" ht="15.5" x14ac:dyDescent="0.35">
      <c r="A25" s="182">
        <f t="shared" si="0"/>
        <v>12</v>
      </c>
      <c r="B25" s="959" t="s">
        <v>46</v>
      </c>
      <c r="C25" s="160">
        <v>579704.12898000004</v>
      </c>
      <c r="D25" s="774"/>
      <c r="E25" s="145">
        <v>537706.7694300001</v>
      </c>
      <c r="F25" s="775"/>
      <c r="G25" s="1725">
        <f t="shared" si="1"/>
        <v>12</v>
      </c>
      <c r="H25" s="88"/>
    </row>
    <row r="26" spans="1:26" ht="15.5" x14ac:dyDescent="0.35">
      <c r="A26" s="182">
        <f t="shared" si="0"/>
        <v>13</v>
      </c>
      <c r="B26" s="1748" t="str">
        <f>'AD-1'!B26</f>
        <v>Dec-21</v>
      </c>
      <c r="C26" s="161">
        <v>579619.97169999999</v>
      </c>
      <c r="D26" s="813" t="s">
        <v>647</v>
      </c>
      <c r="E26" s="146">
        <v>537622.61215000006</v>
      </c>
      <c r="F26" s="771" t="s">
        <v>1709</v>
      </c>
      <c r="G26" s="1725">
        <f t="shared" si="1"/>
        <v>13</v>
      </c>
      <c r="H26" s="773"/>
    </row>
    <row r="27" spans="1:26" ht="15.5" x14ac:dyDescent="0.35">
      <c r="A27" s="182">
        <f>A26+1</f>
        <v>14</v>
      </c>
      <c r="B27" s="776"/>
      <c r="C27" s="155"/>
      <c r="D27" s="784"/>
      <c r="E27" s="157"/>
      <c r="F27" s="778"/>
      <c r="G27" s="1563">
        <f>G26+1</f>
        <v>14</v>
      </c>
      <c r="H27" s="88"/>
    </row>
    <row r="28" spans="1:26" ht="15.5" x14ac:dyDescent="0.35">
      <c r="A28" s="182">
        <f t="shared" si="0"/>
        <v>15</v>
      </c>
      <c r="B28" s="776" t="s">
        <v>47</v>
      </c>
      <c r="C28" s="148">
        <f>SUM(C14:C26)</f>
        <v>7604027.9266500007</v>
      </c>
      <c r="D28" s="1594" t="s">
        <v>1146</v>
      </c>
      <c r="E28" s="148">
        <f>SUM(E14:E26)</f>
        <v>7055748.5663400013</v>
      </c>
      <c r="F28" s="1595" t="s">
        <v>1146</v>
      </c>
      <c r="G28" s="1563">
        <f t="shared" ref="G28:G32" si="2">G27+1</f>
        <v>15</v>
      </c>
      <c r="H28" s="88"/>
    </row>
    <row r="29" spans="1:26" ht="15.5" x14ac:dyDescent="0.35">
      <c r="A29" s="182">
        <f t="shared" si="0"/>
        <v>16</v>
      </c>
      <c r="B29" s="781"/>
      <c r="C29" s="149"/>
      <c r="D29" s="814"/>
      <c r="E29" s="149"/>
      <c r="F29" s="815"/>
      <c r="G29" s="1563">
        <f t="shared" si="2"/>
        <v>16</v>
      </c>
      <c r="H29" s="88"/>
    </row>
    <row r="30" spans="1:26" ht="15.5" x14ac:dyDescent="0.35">
      <c r="A30" s="182">
        <f t="shared" si="0"/>
        <v>17</v>
      </c>
      <c r="B30" s="776"/>
      <c r="C30" s="148"/>
      <c r="D30" s="779"/>
      <c r="E30" s="148"/>
      <c r="F30" s="780"/>
      <c r="G30" s="1563">
        <f t="shared" si="2"/>
        <v>17</v>
      </c>
      <c r="H30" s="88"/>
    </row>
    <row r="31" spans="1:26" ht="15.5" x14ac:dyDescent="0.35">
      <c r="A31" s="182">
        <f t="shared" si="0"/>
        <v>18</v>
      </c>
      <c r="B31" s="776" t="s">
        <v>48</v>
      </c>
      <c r="C31" s="148">
        <f>C28/13</f>
        <v>584925.22512692318</v>
      </c>
      <c r="D31" s="1594" t="s">
        <v>1148</v>
      </c>
      <c r="E31" s="148">
        <f>E28/13</f>
        <v>542749.88971846167</v>
      </c>
      <c r="F31" s="771" t="s">
        <v>1710</v>
      </c>
      <c r="G31" s="1563">
        <f t="shared" si="2"/>
        <v>18</v>
      </c>
      <c r="H31" s="773"/>
    </row>
    <row r="32" spans="1:26" ht="15.5" x14ac:dyDescent="0.35">
      <c r="A32" s="182">
        <f t="shared" si="0"/>
        <v>19</v>
      </c>
      <c r="B32" s="781"/>
      <c r="C32" s="158"/>
      <c r="D32" s="782"/>
      <c r="E32" s="158"/>
      <c r="F32" s="783"/>
      <c r="G32" s="1563">
        <f t="shared" si="2"/>
        <v>19</v>
      </c>
      <c r="H32" s="88"/>
    </row>
    <row r="33" spans="1:8" ht="15.5" x14ac:dyDescent="0.35">
      <c r="B33" s="79"/>
      <c r="C33" s="795"/>
      <c r="D33" s="816"/>
      <c r="E33" s="795"/>
      <c r="F33" s="725"/>
      <c r="H33" s="88"/>
    </row>
    <row r="34" spans="1:8" ht="15.5" x14ac:dyDescent="0.35">
      <c r="C34" s="795"/>
      <c r="D34" s="816"/>
      <c r="E34" s="795"/>
      <c r="F34" s="725"/>
      <c r="H34" s="88"/>
    </row>
    <row r="35" spans="1:8" ht="18" x14ac:dyDescent="0.35">
      <c r="A35" s="750">
        <v>1</v>
      </c>
      <c r="B35" s="1550" t="s">
        <v>909</v>
      </c>
      <c r="C35" s="795"/>
      <c r="D35" s="816"/>
      <c r="E35" s="795"/>
      <c r="F35" s="725"/>
    </row>
    <row r="36" spans="1:8" ht="15.5" x14ac:dyDescent="0.35">
      <c r="B36" s="1550" t="s">
        <v>910</v>
      </c>
      <c r="C36" s="795"/>
      <c r="D36" s="816"/>
      <c r="E36" s="795"/>
      <c r="F36" s="725"/>
    </row>
    <row r="37" spans="1:8" ht="15.5" x14ac:dyDescent="0.35">
      <c r="C37" s="795"/>
      <c r="D37" s="816"/>
      <c r="E37" s="795"/>
      <c r="F37" s="725"/>
    </row>
    <row r="38" spans="1:8" ht="15.5" x14ac:dyDescent="0.35">
      <c r="C38" s="795"/>
      <c r="D38" s="816"/>
      <c r="E38" s="795"/>
      <c r="F38" s="725"/>
    </row>
    <row r="39" spans="1:8" x14ac:dyDescent="0.35">
      <c r="C39" s="817"/>
      <c r="D39" s="817"/>
      <c r="E39" s="817"/>
      <c r="F39" s="817"/>
      <c r="G39" s="1580"/>
    </row>
    <row r="40" spans="1:8" x14ac:dyDescent="0.35">
      <c r="E40" s="819"/>
    </row>
    <row r="41" spans="1:8" x14ac:dyDescent="0.35">
      <c r="E41" s="819"/>
    </row>
    <row r="42" spans="1:8" x14ac:dyDescent="0.35">
      <c r="E42" s="819"/>
    </row>
    <row r="43" spans="1:8" x14ac:dyDescent="0.35">
      <c r="E43" s="820"/>
    </row>
    <row r="44" spans="1:8" x14ac:dyDescent="0.35">
      <c r="E44" s="819"/>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6.54296875" style="793" bestFit="1" customWidth="1"/>
    <col min="5" max="5" width="18.54296875" style="88" customWidth="1"/>
    <col min="6" max="6" width="60.08984375" style="88"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9" x14ac:dyDescent="0.35">
      <c r="B2" s="2289" t="s">
        <v>18</v>
      </c>
      <c r="C2" s="2289"/>
      <c r="D2" s="2289"/>
      <c r="E2" s="2289"/>
      <c r="F2" s="2289"/>
    </row>
    <row r="3" spans="1:9" x14ac:dyDescent="0.35">
      <c r="B3" s="2289" t="s">
        <v>19</v>
      </c>
      <c r="C3" s="2289"/>
      <c r="D3" s="2289"/>
      <c r="E3" s="2289"/>
      <c r="F3" s="2289"/>
    </row>
    <row r="4" spans="1:9" x14ac:dyDescent="0.35">
      <c r="B4" s="2289" t="s">
        <v>20</v>
      </c>
      <c r="C4" s="2289"/>
      <c r="D4" s="2289"/>
      <c r="E4" s="2289"/>
      <c r="F4" s="2289"/>
    </row>
    <row r="5" spans="1:9" x14ac:dyDescent="0.35">
      <c r="B5" s="2289" t="s">
        <v>1590</v>
      </c>
      <c r="C5" s="2289"/>
      <c r="D5" s="2289"/>
      <c r="E5" s="2289"/>
      <c r="F5" s="2289"/>
    </row>
    <row r="6" spans="1:9" x14ac:dyDescent="0.35">
      <c r="B6" s="2292" t="s">
        <v>2</v>
      </c>
      <c r="C6" s="2292"/>
      <c r="D6" s="2292"/>
      <c r="E6" s="2292"/>
      <c r="F6" s="2292"/>
    </row>
    <row r="7" spans="1:9" x14ac:dyDescent="0.35">
      <c r="B7" s="752"/>
      <c r="C7" s="753"/>
      <c r="D7" s="753"/>
      <c r="E7" s="752"/>
      <c r="F7" s="752"/>
    </row>
    <row r="8" spans="1:9" x14ac:dyDescent="0.35">
      <c r="B8" s="2289" t="s">
        <v>56</v>
      </c>
      <c r="C8" s="2289"/>
      <c r="D8" s="2289"/>
      <c r="E8" s="2289"/>
      <c r="F8" s="2289"/>
    </row>
    <row r="9" spans="1:9" ht="15.5" x14ac:dyDescent="0.35">
      <c r="G9" s="1563"/>
    </row>
    <row r="10" spans="1:9" ht="15.5" x14ac:dyDescent="0.35">
      <c r="B10" s="756"/>
      <c r="C10" s="757" t="s">
        <v>31</v>
      </c>
      <c r="D10" s="798"/>
      <c r="E10" s="757"/>
      <c r="F10" s="798"/>
      <c r="G10" s="1563"/>
    </row>
    <row r="11" spans="1:9" ht="15.5" x14ac:dyDescent="0.35">
      <c r="B11" s="759"/>
      <c r="C11" s="595" t="s">
        <v>57</v>
      </c>
      <c r="D11" s="812"/>
      <c r="E11" s="765" t="s">
        <v>57</v>
      </c>
      <c r="F11" s="812"/>
      <c r="G11" s="1563"/>
    </row>
    <row r="12" spans="1:9" ht="15.5" x14ac:dyDescent="0.35">
      <c r="A12" s="182" t="s">
        <v>3</v>
      </c>
      <c r="B12" s="764"/>
      <c r="C12" s="595" t="s">
        <v>58</v>
      </c>
      <c r="D12" s="760"/>
      <c r="E12" s="765" t="s">
        <v>58</v>
      </c>
      <c r="F12" s="760"/>
      <c r="G12" s="1563" t="s">
        <v>3</v>
      </c>
    </row>
    <row r="13" spans="1:9" ht="18" x14ac:dyDescent="0.35">
      <c r="A13" s="182" t="s">
        <v>25</v>
      </c>
      <c r="B13" s="766" t="s">
        <v>23</v>
      </c>
      <c r="C13" s="767" t="s">
        <v>36</v>
      </c>
      <c r="D13" s="768" t="s">
        <v>9</v>
      </c>
      <c r="E13" s="769" t="s">
        <v>717</v>
      </c>
      <c r="F13" s="768" t="s">
        <v>9</v>
      </c>
      <c r="G13" s="1563" t="s">
        <v>25</v>
      </c>
    </row>
    <row r="14" spans="1:9" ht="15.5" x14ac:dyDescent="0.35">
      <c r="A14" s="345"/>
      <c r="B14" s="821"/>
      <c r="C14" s="822"/>
      <c r="D14" s="799"/>
      <c r="E14" s="765"/>
      <c r="F14" s="799"/>
      <c r="G14" s="345"/>
    </row>
    <row r="15" spans="1:9" ht="15.5" x14ac:dyDescent="0.35">
      <c r="A15" s="182">
        <v>1</v>
      </c>
      <c r="B15" s="1747" t="str">
        <f>'AD-1'!B14</f>
        <v>Dec-20</v>
      </c>
      <c r="C15" s="527">
        <v>7898625.7785799997</v>
      </c>
      <c r="D15" s="823" t="s">
        <v>647</v>
      </c>
      <c r="E15" s="1470">
        <v>8046663.23037</v>
      </c>
      <c r="F15" s="824" t="s">
        <v>1708</v>
      </c>
      <c r="G15" s="1725">
        <f>A15</f>
        <v>1</v>
      </c>
      <c r="H15" s="90"/>
      <c r="I15" s="773"/>
    </row>
    <row r="16" spans="1:9" ht="15.5" x14ac:dyDescent="0.35">
      <c r="A16" s="182">
        <f>A15+1</f>
        <v>2</v>
      </c>
      <c r="B16" s="959"/>
      <c r="C16" s="145"/>
      <c r="D16" s="823"/>
      <c r="E16" s="1733"/>
      <c r="F16" s="824"/>
      <c r="G16" s="1725">
        <f>G15+1</f>
        <v>2</v>
      </c>
      <c r="H16" s="90"/>
    </row>
    <row r="17" spans="1:9" ht="15.5" x14ac:dyDescent="0.35">
      <c r="A17" s="182">
        <f t="shared" ref="A17:A21" si="0">A16+1</f>
        <v>3</v>
      </c>
      <c r="B17" s="1747" t="str">
        <f>'AD-1'!B26</f>
        <v>Dec-21</v>
      </c>
      <c r="C17" s="162">
        <v>8756414.4048299994</v>
      </c>
      <c r="D17" s="823" t="s">
        <v>647</v>
      </c>
      <c r="E17" s="162">
        <v>8919066.8144000024</v>
      </c>
      <c r="F17" s="824" t="s">
        <v>1709</v>
      </c>
      <c r="G17" s="1725">
        <f t="shared" ref="G17" si="1">G16+1</f>
        <v>3</v>
      </c>
      <c r="H17" s="90"/>
      <c r="I17" s="773"/>
    </row>
    <row r="18" spans="1:9" ht="15.5" x14ac:dyDescent="0.35">
      <c r="A18" s="182">
        <f t="shared" si="0"/>
        <v>4</v>
      </c>
      <c r="B18" s="825"/>
      <c r="C18" s="163"/>
      <c r="D18" s="826"/>
      <c r="E18" s="163"/>
      <c r="F18" s="826"/>
      <c r="G18" s="1563">
        <f t="shared" ref="G18:G21" si="2">G17+1</f>
        <v>4</v>
      </c>
      <c r="H18" s="90"/>
    </row>
    <row r="19" spans="1:9" ht="15.5" x14ac:dyDescent="0.35">
      <c r="A19" s="182">
        <f>A18+1</f>
        <v>5</v>
      </c>
      <c r="B19" s="776"/>
      <c r="C19" s="157"/>
      <c r="D19" s="827"/>
      <c r="E19" s="157"/>
      <c r="F19" s="827"/>
      <c r="G19" s="1563">
        <f>G18+1</f>
        <v>5</v>
      </c>
    </row>
    <row r="20" spans="1:9" ht="15.5" x14ac:dyDescent="0.35">
      <c r="A20" s="182">
        <f t="shared" si="0"/>
        <v>6</v>
      </c>
      <c r="B20" s="776" t="s">
        <v>27</v>
      </c>
      <c r="C20" s="148">
        <f>(C15+C17)/2</f>
        <v>8327520.091705</v>
      </c>
      <c r="D20" s="1236" t="s">
        <v>1152</v>
      </c>
      <c r="E20" s="148">
        <f>(E15+E17)/2</f>
        <v>8482865.0223850012</v>
      </c>
      <c r="F20" s="525" t="s">
        <v>1152</v>
      </c>
      <c r="G20" s="1563">
        <f t="shared" si="2"/>
        <v>6</v>
      </c>
    </row>
    <row r="21" spans="1:9" ht="15.5" x14ac:dyDescent="0.35">
      <c r="A21" s="182">
        <f t="shared" si="0"/>
        <v>7</v>
      </c>
      <c r="B21" s="781"/>
      <c r="C21" s="149"/>
      <c r="D21" s="379"/>
      <c r="E21" s="149"/>
      <c r="F21" s="829"/>
      <c r="G21" s="1563">
        <f t="shared" si="2"/>
        <v>7</v>
      </c>
    </row>
    <row r="22" spans="1:9" ht="15.5" x14ac:dyDescent="0.35">
      <c r="B22" s="79"/>
      <c r="C22" s="79"/>
      <c r="D22" s="81"/>
      <c r="E22" s="79"/>
      <c r="F22" s="79"/>
    </row>
    <row r="23" spans="1:9" ht="15.5" x14ac:dyDescent="0.35">
      <c r="C23" s="79"/>
      <c r="D23" s="79"/>
      <c r="E23" s="830"/>
      <c r="F23" s="79"/>
    </row>
    <row r="24" spans="1:9" ht="18" x14ac:dyDescent="0.35">
      <c r="A24" s="750">
        <v>1</v>
      </c>
      <c r="B24" s="1550" t="s">
        <v>909</v>
      </c>
      <c r="C24" s="79"/>
      <c r="D24" s="79"/>
      <c r="E24" s="79"/>
      <c r="F24" s="79"/>
    </row>
    <row r="25" spans="1:9" ht="15.5" x14ac:dyDescent="0.35">
      <c r="B25" s="1550" t="s">
        <v>910</v>
      </c>
      <c r="C25" s="79"/>
      <c r="D25" s="79"/>
      <c r="E25" s="79"/>
      <c r="F25" s="79"/>
    </row>
    <row r="26" spans="1:9" ht="15.5" x14ac:dyDescent="0.35">
      <c r="C26" s="79"/>
      <c r="D26" s="79"/>
      <c r="E26" s="79"/>
      <c r="F26" s="79"/>
    </row>
    <row r="27" spans="1:9" ht="15.5" x14ac:dyDescent="0.35">
      <c r="C27" s="79"/>
      <c r="D27" s="79"/>
      <c r="E27" s="79"/>
      <c r="F27" s="79"/>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Z42"/>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3" customWidth="1"/>
    <col min="5" max="5" width="18.54296875" style="88" customWidth="1"/>
    <col min="6" max="6" width="62.54296875" style="88" customWidth="1"/>
    <col min="7" max="7" width="5.08984375" style="1561" customWidth="1"/>
    <col min="8" max="8" width="24" style="88" customWidth="1"/>
    <col min="9" max="9" width="11" style="88" customWidth="1"/>
    <col min="10" max="10" width="9.90625" style="88" customWidth="1"/>
    <col min="11" max="11" width="9.08984375" style="88" customWidth="1"/>
    <col min="12" max="12" width="14" style="88" customWidth="1"/>
    <col min="13" max="13" width="13.453125" style="88" customWidth="1"/>
    <col min="14" max="16384" width="9.08984375" style="88"/>
  </cols>
  <sheetData>
    <row r="2" spans="1:11" x14ac:dyDescent="0.35">
      <c r="B2" s="2289" t="s">
        <v>18</v>
      </c>
      <c r="C2" s="2289"/>
      <c r="D2" s="2289"/>
      <c r="E2" s="2289"/>
      <c r="F2" s="2289"/>
    </row>
    <row r="3" spans="1:11" x14ac:dyDescent="0.35">
      <c r="B3" s="2289" t="s">
        <v>19</v>
      </c>
      <c r="C3" s="2289"/>
      <c r="D3" s="2289"/>
      <c r="E3" s="2289"/>
      <c r="F3" s="2289"/>
    </row>
    <row r="4" spans="1:11" x14ac:dyDescent="0.35">
      <c r="B4" s="2289" t="s">
        <v>20</v>
      </c>
      <c r="C4" s="2289"/>
      <c r="D4" s="2289"/>
      <c r="E4" s="2289"/>
      <c r="F4" s="2289"/>
    </row>
    <row r="5" spans="1:11" x14ac:dyDescent="0.35">
      <c r="B5" s="2289" t="s">
        <v>1590</v>
      </c>
      <c r="C5" s="2289"/>
      <c r="D5" s="2289"/>
      <c r="E5" s="2289"/>
      <c r="F5" s="2289"/>
    </row>
    <row r="6" spans="1:11" x14ac:dyDescent="0.35">
      <c r="B6" s="2292" t="s">
        <v>2</v>
      </c>
      <c r="C6" s="2292"/>
      <c r="D6" s="2292"/>
      <c r="E6" s="2292"/>
      <c r="F6" s="2292"/>
    </row>
    <row r="7" spans="1:11" x14ac:dyDescent="0.35">
      <c r="B7" s="752"/>
      <c r="C7" s="753"/>
      <c r="D7" s="753"/>
      <c r="E7" s="752"/>
      <c r="F7" s="752"/>
    </row>
    <row r="8" spans="1:11" x14ac:dyDescent="0.35">
      <c r="B8" s="2289" t="s">
        <v>59</v>
      </c>
      <c r="C8" s="2289"/>
      <c r="D8" s="2289"/>
      <c r="E8" s="2289"/>
      <c r="F8" s="2289"/>
    </row>
    <row r="10" spans="1:11" x14ac:dyDescent="0.35">
      <c r="B10" s="756"/>
      <c r="C10" s="757" t="s">
        <v>31</v>
      </c>
      <c r="D10" s="798"/>
      <c r="E10" s="757"/>
      <c r="F10" s="798"/>
    </row>
    <row r="11" spans="1:11" ht="15.5" x14ac:dyDescent="0.35">
      <c r="B11" s="759"/>
      <c r="C11" s="765" t="s">
        <v>61</v>
      </c>
      <c r="D11" s="812"/>
      <c r="E11" s="765" t="s">
        <v>61</v>
      </c>
      <c r="F11" s="812"/>
      <c r="G11" s="1563"/>
    </row>
    <row r="12" spans="1:11" ht="15.5" x14ac:dyDescent="0.35">
      <c r="A12" s="182" t="s">
        <v>3</v>
      </c>
      <c r="B12" s="764"/>
      <c r="C12" s="765" t="s">
        <v>58</v>
      </c>
      <c r="D12" s="760"/>
      <c r="E12" s="765" t="s">
        <v>58</v>
      </c>
      <c r="F12" s="760"/>
      <c r="G12" s="1563" t="s">
        <v>3</v>
      </c>
    </row>
    <row r="13" spans="1:11" ht="18" x14ac:dyDescent="0.35">
      <c r="A13" s="182" t="s">
        <v>25</v>
      </c>
      <c r="B13" s="766" t="s">
        <v>23</v>
      </c>
      <c r="C13" s="769" t="s">
        <v>36</v>
      </c>
      <c r="D13" s="768" t="s">
        <v>9</v>
      </c>
      <c r="E13" s="769" t="s">
        <v>717</v>
      </c>
      <c r="F13" s="768" t="s">
        <v>9</v>
      </c>
      <c r="G13" s="1563" t="s">
        <v>25</v>
      </c>
    </row>
    <row r="14" spans="1:11" ht="15.5" x14ac:dyDescent="0.35">
      <c r="A14" s="182">
        <v>1</v>
      </c>
      <c r="B14" s="1747" t="str">
        <f>'AD-1'!B14</f>
        <v>Dec-20</v>
      </c>
      <c r="C14" s="527">
        <v>7042462.6852700002</v>
      </c>
      <c r="D14" s="823" t="s">
        <v>647</v>
      </c>
      <c r="E14" s="1470">
        <v>6921237.9750600001</v>
      </c>
      <c r="F14" s="824" t="s">
        <v>1708</v>
      </c>
      <c r="G14" s="1725">
        <f>A14</f>
        <v>1</v>
      </c>
      <c r="H14" s="773"/>
      <c r="K14" s="819"/>
    </row>
    <row r="15" spans="1:11" ht="15.5" x14ac:dyDescent="0.35">
      <c r="A15" s="182">
        <f>A14+1</f>
        <v>2</v>
      </c>
      <c r="B15" s="1747" t="str">
        <f>'AD-1'!B15</f>
        <v>Jan-21</v>
      </c>
      <c r="C15" s="145">
        <v>7052883.9491499998</v>
      </c>
      <c r="D15" s="831"/>
      <c r="E15" s="1733">
        <v>6931659.2430599993</v>
      </c>
      <c r="F15" s="832"/>
      <c r="G15" s="1725">
        <f>G14+1</f>
        <v>2</v>
      </c>
      <c r="H15" s="819"/>
      <c r="K15" s="819"/>
    </row>
    <row r="16" spans="1:11" ht="15.5" x14ac:dyDescent="0.35">
      <c r="A16" s="182">
        <f t="shared" ref="A16:A32" si="0">A15+1</f>
        <v>3</v>
      </c>
      <c r="B16" s="959" t="s">
        <v>37</v>
      </c>
      <c r="C16" s="145">
        <v>7063661.6032199999</v>
      </c>
      <c r="D16" s="831"/>
      <c r="E16" s="1733">
        <v>6942475.7241200004</v>
      </c>
      <c r="F16" s="832"/>
      <c r="G16" s="1725">
        <f t="shared" ref="G16:G26" si="1">G15+1</f>
        <v>3</v>
      </c>
      <c r="H16" s="819"/>
      <c r="K16" s="819"/>
    </row>
    <row r="17" spans="1:26" ht="15.5" x14ac:dyDescent="0.35">
      <c r="A17" s="182">
        <f t="shared" si="0"/>
        <v>4</v>
      </c>
      <c r="B17" s="959" t="s">
        <v>38</v>
      </c>
      <c r="C17" s="145">
        <v>7063774.1366800005</v>
      </c>
      <c r="D17" s="831"/>
      <c r="E17" s="1733">
        <v>6943626.9024300007</v>
      </c>
      <c r="F17" s="832"/>
      <c r="G17" s="1725">
        <f t="shared" si="1"/>
        <v>4</v>
      </c>
      <c r="H17" s="819"/>
      <c r="K17" s="819"/>
    </row>
    <row r="18" spans="1:26" ht="15.5" x14ac:dyDescent="0.35">
      <c r="A18" s="182">
        <f t="shared" si="0"/>
        <v>5</v>
      </c>
      <c r="B18" s="959" t="s">
        <v>39</v>
      </c>
      <c r="C18" s="145">
        <v>7071958.2014699997</v>
      </c>
      <c r="D18" s="831"/>
      <c r="E18" s="1733">
        <v>6951808.1239899993</v>
      </c>
      <c r="F18" s="832"/>
      <c r="G18" s="1725">
        <f t="shared" si="1"/>
        <v>5</v>
      </c>
      <c r="H18" s="819"/>
      <c r="K18" s="819"/>
    </row>
    <row r="19" spans="1:26" ht="15.5" x14ac:dyDescent="0.35">
      <c r="A19" s="182">
        <f t="shared" si="0"/>
        <v>6</v>
      </c>
      <c r="B19" s="959" t="s">
        <v>40</v>
      </c>
      <c r="C19" s="145">
        <v>7189663.3859299999</v>
      </c>
      <c r="D19" s="831"/>
      <c r="E19" s="1733">
        <v>7069513.3084499994</v>
      </c>
      <c r="F19" s="832"/>
      <c r="G19" s="1725">
        <f t="shared" si="1"/>
        <v>6</v>
      </c>
      <c r="H19" s="819"/>
      <c r="K19" s="819"/>
    </row>
    <row r="20" spans="1:26" ht="15.5" x14ac:dyDescent="0.35">
      <c r="A20" s="182">
        <f>A19+1</f>
        <v>7</v>
      </c>
      <c r="B20" s="959" t="s">
        <v>41</v>
      </c>
      <c r="C20" s="145">
        <v>7206329.7542500002</v>
      </c>
      <c r="D20" s="831"/>
      <c r="E20" s="1733">
        <v>7086125.3962700004</v>
      </c>
      <c r="F20" s="832"/>
      <c r="G20" s="1725">
        <f>G19+1</f>
        <v>7</v>
      </c>
      <c r="H20" s="819"/>
      <c r="K20" s="819"/>
    </row>
    <row r="21" spans="1:26" ht="15.5" x14ac:dyDescent="0.35">
      <c r="A21" s="182">
        <f t="shared" si="0"/>
        <v>8</v>
      </c>
      <c r="B21" s="959" t="s">
        <v>42</v>
      </c>
      <c r="C21" s="145">
        <v>7266241.3874199996</v>
      </c>
      <c r="D21" s="831"/>
      <c r="E21" s="1733">
        <v>7143639.2010499993</v>
      </c>
      <c r="F21" s="832"/>
      <c r="G21" s="1725">
        <f t="shared" si="1"/>
        <v>8</v>
      </c>
      <c r="H21" s="819"/>
      <c r="K21" s="819"/>
    </row>
    <row r="22" spans="1:26" ht="15.5" x14ac:dyDescent="0.35">
      <c r="A22" s="182">
        <f t="shared" si="0"/>
        <v>9</v>
      </c>
      <c r="B22" s="959" t="s">
        <v>43</v>
      </c>
      <c r="C22" s="145">
        <v>7288509.0132200001</v>
      </c>
      <c r="D22" s="831"/>
      <c r="E22" s="1733">
        <v>7165906.8268600004</v>
      </c>
      <c r="F22" s="832"/>
      <c r="G22" s="1725">
        <f t="shared" si="1"/>
        <v>9</v>
      </c>
      <c r="H22" s="819"/>
      <c r="K22" s="819"/>
      <c r="N22" s="109"/>
      <c r="O22" s="109"/>
      <c r="P22" s="109"/>
      <c r="Q22" s="109"/>
      <c r="R22" s="109"/>
      <c r="S22" s="109"/>
      <c r="T22" s="109"/>
      <c r="U22" s="109"/>
      <c r="V22" s="109"/>
      <c r="W22" s="109"/>
      <c r="X22" s="109"/>
      <c r="Y22" s="109"/>
      <c r="Z22" s="109"/>
    </row>
    <row r="23" spans="1:26" ht="15.5" x14ac:dyDescent="0.35">
      <c r="A23" s="182">
        <f t="shared" si="0"/>
        <v>10</v>
      </c>
      <c r="B23" s="959" t="s">
        <v>44</v>
      </c>
      <c r="C23" s="145">
        <v>7297574.4184999997</v>
      </c>
      <c r="D23" s="831"/>
      <c r="E23" s="1733">
        <v>7174972.2321299994</v>
      </c>
      <c r="F23" s="832"/>
      <c r="G23" s="1725">
        <f t="shared" si="1"/>
        <v>10</v>
      </c>
      <c r="H23" s="819"/>
      <c r="K23" s="819"/>
    </row>
    <row r="24" spans="1:26" ht="15.5" x14ac:dyDescent="0.35">
      <c r="A24" s="182">
        <f t="shared" si="0"/>
        <v>11</v>
      </c>
      <c r="B24" s="959" t="s">
        <v>45</v>
      </c>
      <c r="C24" s="145">
        <v>7361721.8178599998</v>
      </c>
      <c r="D24" s="831"/>
      <c r="E24" s="1733">
        <v>7239160.78156</v>
      </c>
      <c r="F24" s="832"/>
      <c r="G24" s="1725">
        <f t="shared" si="1"/>
        <v>11</v>
      </c>
      <c r="H24" s="819"/>
      <c r="K24" s="819"/>
    </row>
    <row r="25" spans="1:26" ht="15.5" x14ac:dyDescent="0.35">
      <c r="A25" s="182">
        <f t="shared" si="0"/>
        <v>12</v>
      </c>
      <c r="B25" s="959" t="s">
        <v>46</v>
      </c>
      <c r="C25" s="145">
        <v>7452162.3033499997</v>
      </c>
      <c r="D25" s="831"/>
      <c r="E25" s="1733">
        <v>7329601.2670399994</v>
      </c>
      <c r="F25" s="832"/>
      <c r="G25" s="1725">
        <f t="shared" si="1"/>
        <v>12</v>
      </c>
      <c r="H25" s="819"/>
      <c r="K25" s="819"/>
    </row>
    <row r="26" spans="1:26" ht="15.5" x14ac:dyDescent="0.35">
      <c r="A26" s="182">
        <f t="shared" si="0"/>
        <v>13</v>
      </c>
      <c r="B26" s="1748" t="str">
        <f>'AD-1'!B26</f>
        <v>Dec-21</v>
      </c>
      <c r="C26" s="146">
        <v>7470320.8718600003</v>
      </c>
      <c r="D26" s="833" t="s">
        <v>647</v>
      </c>
      <c r="E26" s="1738">
        <v>7334224.12763</v>
      </c>
      <c r="F26" s="824" t="s">
        <v>1709</v>
      </c>
      <c r="G26" s="1725">
        <f t="shared" si="1"/>
        <v>13</v>
      </c>
      <c r="H26" s="773"/>
      <c r="K26" s="819"/>
    </row>
    <row r="27" spans="1:26" ht="15.5" x14ac:dyDescent="0.35">
      <c r="A27" s="182">
        <f t="shared" si="0"/>
        <v>14</v>
      </c>
      <c r="B27" s="776"/>
      <c r="C27" s="155"/>
      <c r="D27" s="834"/>
      <c r="E27" s="157"/>
      <c r="F27" s="756"/>
      <c r="G27" s="1563">
        <f t="shared" ref="G27:G32" si="2">G26+1</f>
        <v>14</v>
      </c>
    </row>
    <row r="28" spans="1:26" ht="15.5" x14ac:dyDescent="0.35">
      <c r="A28" s="182">
        <f t="shared" si="0"/>
        <v>15</v>
      </c>
      <c r="B28" s="776" t="s">
        <v>47</v>
      </c>
      <c r="C28" s="148">
        <f>SUM(C14:C26)</f>
        <v>93827263.528180003</v>
      </c>
      <c r="D28" s="1234" t="s">
        <v>1146</v>
      </c>
      <c r="E28" s="148">
        <f>SUM(E14:E26)</f>
        <v>92233951.109650001</v>
      </c>
      <c r="F28" s="1236" t="s">
        <v>1146</v>
      </c>
      <c r="G28" s="1563">
        <f t="shared" si="2"/>
        <v>15</v>
      </c>
    </row>
    <row r="29" spans="1:26" ht="15.5" x14ac:dyDescent="0.35">
      <c r="A29" s="182">
        <f t="shared" si="0"/>
        <v>16</v>
      </c>
      <c r="B29" s="781"/>
      <c r="C29" s="149"/>
      <c r="D29" s="230"/>
      <c r="E29" s="149"/>
      <c r="F29" s="835"/>
      <c r="G29" s="1563">
        <f t="shared" si="2"/>
        <v>16</v>
      </c>
    </row>
    <row r="30" spans="1:26" ht="15.5" x14ac:dyDescent="0.35">
      <c r="A30" s="182">
        <f t="shared" si="0"/>
        <v>17</v>
      </c>
      <c r="B30" s="776"/>
      <c r="C30" s="157"/>
      <c r="D30" s="186"/>
      <c r="E30" s="157"/>
      <c r="F30" s="828"/>
      <c r="G30" s="1563">
        <f t="shared" si="2"/>
        <v>17</v>
      </c>
    </row>
    <row r="31" spans="1:26" ht="15.5" x14ac:dyDescent="0.35">
      <c r="A31" s="182">
        <f t="shared" si="0"/>
        <v>18</v>
      </c>
      <c r="B31" s="776" t="s">
        <v>48</v>
      </c>
      <c r="C31" s="148">
        <f>C28/13</f>
        <v>7217481.8098600004</v>
      </c>
      <c r="D31" s="1234" t="s">
        <v>1148</v>
      </c>
      <c r="E31" s="148">
        <f>E28/13</f>
        <v>7094919.3161269231</v>
      </c>
      <c r="F31" s="824" t="s">
        <v>1710</v>
      </c>
      <c r="G31" s="1563">
        <f t="shared" si="2"/>
        <v>18</v>
      </c>
      <c r="H31" s="773"/>
    </row>
    <row r="32" spans="1:26" ht="15.5" x14ac:dyDescent="0.35">
      <c r="A32" s="182">
        <f t="shared" si="0"/>
        <v>19</v>
      </c>
      <c r="B32" s="781"/>
      <c r="C32" s="786"/>
      <c r="D32" s="836"/>
      <c r="E32" s="786"/>
      <c r="F32" s="836"/>
      <c r="G32" s="1563">
        <f t="shared" si="2"/>
        <v>19</v>
      </c>
    </row>
    <row r="33" spans="1:8" ht="15.5" x14ac:dyDescent="0.35">
      <c r="A33" s="182"/>
      <c r="B33" s="79"/>
      <c r="C33" s="79"/>
      <c r="D33" s="81"/>
      <c r="E33" s="79"/>
      <c r="F33" s="79"/>
    </row>
    <row r="34" spans="1:8" ht="15.5" x14ac:dyDescent="0.35">
      <c r="D34" s="79"/>
      <c r="E34" s="830"/>
      <c r="F34" s="79"/>
    </row>
    <row r="35" spans="1:8" ht="18" x14ac:dyDescent="0.35">
      <c r="A35" s="750">
        <v>1</v>
      </c>
      <c r="B35" s="1550" t="s">
        <v>909</v>
      </c>
      <c r="C35" s="79"/>
      <c r="D35" s="79"/>
      <c r="E35" s="79"/>
      <c r="F35" s="79"/>
    </row>
    <row r="36" spans="1:8" ht="15.5" x14ac:dyDescent="0.35">
      <c r="B36" s="1550" t="s">
        <v>910</v>
      </c>
      <c r="C36" s="837"/>
      <c r="D36" s="79"/>
      <c r="E36" s="79"/>
      <c r="F36" s="79"/>
    </row>
    <row r="37" spans="1:8" ht="15.5" x14ac:dyDescent="0.35">
      <c r="C37" s="79"/>
      <c r="D37" s="79"/>
      <c r="E37" s="79"/>
      <c r="F37" s="79"/>
      <c r="H37" s="90"/>
    </row>
    <row r="38" spans="1:8" ht="15.5" x14ac:dyDescent="0.35">
      <c r="C38" s="79"/>
      <c r="D38" s="79"/>
      <c r="E38" s="79"/>
      <c r="F38" s="79"/>
      <c r="H38" s="90"/>
    </row>
    <row r="39" spans="1:8" ht="15.5" x14ac:dyDescent="0.35">
      <c r="A39" s="838"/>
      <c r="C39" s="79"/>
      <c r="D39" s="88"/>
      <c r="H39" s="90"/>
    </row>
    <row r="40" spans="1:8" x14ac:dyDescent="0.35">
      <c r="H40" s="90"/>
    </row>
    <row r="42" spans="1:8" x14ac:dyDescent="0.35">
      <c r="A42" s="838"/>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170"/>
  <sheetViews>
    <sheetView zoomScale="80" zoomScaleNormal="80" workbookViewId="0"/>
  </sheetViews>
  <sheetFormatPr defaultColWidth="9.08984375" defaultRowHeight="15.5" x14ac:dyDescent="0.35"/>
  <cols>
    <col min="1" max="1" width="5.08984375" style="1563" customWidth="1"/>
    <col min="2" max="2" width="11.08984375" style="182" customWidth="1"/>
    <col min="3" max="3" width="32.453125" style="79" customWidth="1"/>
    <col min="4" max="10" width="18.54296875" style="130" customWidth="1"/>
    <col min="11" max="11" width="18.54296875" style="79" customWidth="1"/>
    <col min="12" max="12" width="24" style="79" customWidth="1"/>
    <col min="13" max="13" width="5.08984375" style="1563" customWidth="1"/>
    <col min="14" max="14" width="11.90625" style="79" bestFit="1" customWidth="1"/>
    <col min="15" max="15" width="13.08984375" style="79" customWidth="1"/>
    <col min="16" max="16384" width="9.08984375" style="79"/>
  </cols>
  <sheetData>
    <row r="2" spans="1:13" s="88" customFormat="1" ht="15" x14ac:dyDescent="0.35">
      <c r="A2" s="1561"/>
      <c r="B2" s="2289" t="s">
        <v>18</v>
      </c>
      <c r="C2" s="2289"/>
      <c r="D2" s="2289"/>
      <c r="E2" s="2289"/>
      <c r="F2" s="2289"/>
      <c r="G2" s="2289"/>
      <c r="H2" s="2289"/>
      <c r="I2" s="2289"/>
      <c r="J2" s="2289"/>
      <c r="K2" s="2289"/>
      <c r="L2" s="2289"/>
      <c r="M2" s="1561"/>
    </row>
    <row r="3" spans="1:13" s="88" customFormat="1" ht="15" x14ac:dyDescent="0.35">
      <c r="A3" s="1561"/>
      <c r="B3" s="2289" t="s">
        <v>62</v>
      </c>
      <c r="C3" s="2289"/>
      <c r="D3" s="2289"/>
      <c r="E3" s="2289"/>
      <c r="F3" s="2289"/>
      <c r="G3" s="2289"/>
      <c r="H3" s="2289"/>
      <c r="I3" s="2289"/>
      <c r="J3" s="2289"/>
      <c r="K3" s="2289"/>
      <c r="L3" s="2289"/>
      <c r="M3" s="1561"/>
    </row>
    <row r="4" spans="1:13" x14ac:dyDescent="0.35">
      <c r="B4" s="2289" t="s">
        <v>63</v>
      </c>
      <c r="C4" s="2289"/>
      <c r="D4" s="2289"/>
      <c r="E4" s="2289"/>
      <c r="F4" s="2289"/>
      <c r="G4" s="2289"/>
      <c r="H4" s="2289"/>
      <c r="I4" s="2289"/>
      <c r="J4" s="2289"/>
      <c r="K4" s="2289"/>
      <c r="L4" s="2289"/>
    </row>
    <row r="5" spans="1:13" x14ac:dyDescent="0.35">
      <c r="B5" s="2292" t="s">
        <v>1593</v>
      </c>
      <c r="C5" s="2292"/>
      <c r="D5" s="2292"/>
      <c r="E5" s="2292"/>
      <c r="F5" s="2292"/>
      <c r="G5" s="2292"/>
      <c r="H5" s="2292"/>
      <c r="I5" s="2292"/>
      <c r="J5" s="2292"/>
      <c r="K5" s="2292"/>
      <c r="L5" s="2292"/>
    </row>
    <row r="6" spans="1:13" x14ac:dyDescent="0.35">
      <c r="B6" s="2292" t="s">
        <v>2</v>
      </c>
      <c r="C6" s="2289"/>
      <c r="D6" s="2289"/>
      <c r="E6" s="2289"/>
      <c r="F6" s="2289"/>
      <c r="G6" s="2289"/>
      <c r="H6" s="2289"/>
      <c r="I6" s="2289"/>
      <c r="J6" s="2289"/>
      <c r="K6" s="2289"/>
      <c r="L6" s="2289"/>
    </row>
    <row r="7" spans="1:13" x14ac:dyDescent="0.35">
      <c r="C7" s="752"/>
      <c r="D7" s="753"/>
      <c r="E7" s="839"/>
      <c r="F7" s="839"/>
      <c r="G7" s="839"/>
      <c r="H7" s="839"/>
      <c r="I7" s="839"/>
      <c r="J7" s="839"/>
    </row>
    <row r="8" spans="1:13" s="728" customFormat="1" ht="15" x14ac:dyDescent="0.35">
      <c r="A8" s="1561"/>
      <c r="B8" s="798"/>
      <c r="C8" s="840"/>
      <c r="D8" s="841" t="s">
        <v>29</v>
      </c>
      <c r="E8" s="842" t="s">
        <v>30</v>
      </c>
      <c r="F8" s="842" t="s">
        <v>64</v>
      </c>
      <c r="G8" s="842" t="s">
        <v>65</v>
      </c>
      <c r="H8" s="842" t="s">
        <v>66</v>
      </c>
      <c r="I8" s="842" t="s">
        <v>67</v>
      </c>
      <c r="J8" s="842" t="s">
        <v>68</v>
      </c>
      <c r="K8" s="842" t="s">
        <v>69</v>
      </c>
      <c r="L8" s="798"/>
      <c r="M8" s="1561" t="s">
        <v>10</v>
      </c>
    </row>
    <row r="9" spans="1:13" x14ac:dyDescent="0.35">
      <c r="B9" s="843"/>
      <c r="C9" s="844"/>
      <c r="D9" s="845"/>
      <c r="E9" s="846"/>
      <c r="F9" s="846"/>
      <c r="G9" s="846"/>
      <c r="H9" s="846"/>
      <c r="I9" s="846"/>
      <c r="J9" s="848"/>
      <c r="K9" s="849" t="s">
        <v>31</v>
      </c>
      <c r="L9" s="843"/>
      <c r="M9" s="1563" t="s">
        <v>10</v>
      </c>
    </row>
    <row r="10" spans="1:13" x14ac:dyDescent="0.35">
      <c r="B10" s="850"/>
      <c r="C10" s="170"/>
      <c r="D10" s="845"/>
      <c r="E10" s="846" t="s">
        <v>70</v>
      </c>
      <c r="F10" s="846" t="s">
        <v>57</v>
      </c>
      <c r="G10" s="846" t="s">
        <v>61</v>
      </c>
      <c r="H10" s="846" t="s">
        <v>61</v>
      </c>
      <c r="I10" s="846" t="s">
        <v>61</v>
      </c>
      <c r="J10" s="848" t="s">
        <v>61</v>
      </c>
      <c r="K10" s="846" t="s">
        <v>61</v>
      </c>
      <c r="L10" s="525"/>
      <c r="M10" s="1563" t="s">
        <v>10</v>
      </c>
    </row>
    <row r="11" spans="1:13" x14ac:dyDescent="0.35">
      <c r="B11" s="851"/>
      <c r="C11" s="827"/>
      <c r="D11" s="852" t="s">
        <v>31</v>
      </c>
      <c r="E11" s="846" t="s">
        <v>71</v>
      </c>
      <c r="F11" s="846" t="s">
        <v>71</v>
      </c>
      <c r="G11" s="846" t="s">
        <v>71</v>
      </c>
      <c r="H11" s="846" t="s">
        <v>71</v>
      </c>
      <c r="I11" s="846" t="s">
        <v>71</v>
      </c>
      <c r="J11" s="848" t="s">
        <v>71</v>
      </c>
      <c r="K11" s="846" t="s">
        <v>58</v>
      </c>
      <c r="L11" s="799"/>
    </row>
    <row r="12" spans="1:13" x14ac:dyDescent="0.35">
      <c r="A12" s="1563" t="s">
        <v>3</v>
      </c>
      <c r="B12" s="851"/>
      <c r="C12" s="799"/>
      <c r="D12" s="852" t="s">
        <v>61</v>
      </c>
      <c r="E12" s="846" t="s">
        <v>72</v>
      </c>
      <c r="F12" s="853" t="s">
        <v>72</v>
      </c>
      <c r="G12" s="846" t="s">
        <v>72</v>
      </c>
      <c r="H12" s="846" t="s">
        <v>72</v>
      </c>
      <c r="I12" s="846" t="s">
        <v>72</v>
      </c>
      <c r="J12" s="848" t="s">
        <v>72</v>
      </c>
      <c r="K12" s="846" t="s">
        <v>51</v>
      </c>
      <c r="L12" s="799"/>
      <c r="M12" s="1563" t="s">
        <v>3</v>
      </c>
    </row>
    <row r="13" spans="1:13" x14ac:dyDescent="0.35">
      <c r="A13" s="1563" t="s">
        <v>25</v>
      </c>
      <c r="B13" s="854" t="s">
        <v>73</v>
      </c>
      <c r="C13" s="854" t="s">
        <v>74</v>
      </c>
      <c r="D13" s="856" t="s">
        <v>71</v>
      </c>
      <c r="E13" s="857" t="s">
        <v>75</v>
      </c>
      <c r="F13" s="857" t="s">
        <v>76</v>
      </c>
      <c r="G13" s="857" t="s">
        <v>77</v>
      </c>
      <c r="H13" s="857" t="s">
        <v>78</v>
      </c>
      <c r="I13" s="857" t="s">
        <v>50</v>
      </c>
      <c r="J13" s="859" t="s">
        <v>79</v>
      </c>
      <c r="K13" s="854" t="s">
        <v>80</v>
      </c>
      <c r="L13" s="854" t="s">
        <v>9</v>
      </c>
      <c r="M13" s="1563" t="s">
        <v>25</v>
      </c>
    </row>
    <row r="14" spans="1:13" x14ac:dyDescent="0.35">
      <c r="B14" s="525"/>
      <c r="C14" s="170" t="s">
        <v>81</v>
      </c>
      <c r="D14" s="169"/>
      <c r="E14" s="170"/>
      <c r="F14" s="170"/>
      <c r="G14" s="170"/>
      <c r="H14" s="170"/>
      <c r="I14" s="170"/>
      <c r="J14" s="627"/>
      <c r="K14" s="171"/>
      <c r="L14" s="525"/>
    </row>
    <row r="15" spans="1:13" x14ac:dyDescent="0.35">
      <c r="A15" s="1563">
        <v>1</v>
      </c>
      <c r="B15" s="860">
        <v>303</v>
      </c>
      <c r="C15" s="170" t="s">
        <v>82</v>
      </c>
      <c r="D15" s="164">
        <v>0</v>
      </c>
      <c r="E15" s="164">
        <v>0</v>
      </c>
      <c r="F15" s="165">
        <v>0</v>
      </c>
      <c r="G15" s="165">
        <v>0</v>
      </c>
      <c r="H15" s="165">
        <v>0</v>
      </c>
      <c r="I15" s="165">
        <v>0</v>
      </c>
      <c r="J15" s="165">
        <v>0</v>
      </c>
      <c r="K15" s="151">
        <f>SUM(D15:J15)</f>
        <v>0</v>
      </c>
      <c r="L15" s="525" t="s">
        <v>647</v>
      </c>
      <c r="M15" s="1563">
        <f>A15</f>
        <v>1</v>
      </c>
    </row>
    <row r="16" spans="1:13" x14ac:dyDescent="0.35">
      <c r="A16" s="1563">
        <f t="shared" ref="A16:A35" si="0">A15+1</f>
        <v>2</v>
      </c>
      <c r="B16" s="525">
        <v>310.10000000000002</v>
      </c>
      <c r="C16" s="170" t="s">
        <v>83</v>
      </c>
      <c r="D16" s="166">
        <v>0</v>
      </c>
      <c r="E16" s="166">
        <v>0</v>
      </c>
      <c r="F16" s="167">
        <v>0</v>
      </c>
      <c r="G16" s="167">
        <v>0</v>
      </c>
      <c r="H16" s="167">
        <v>0</v>
      </c>
      <c r="I16" s="167">
        <v>0</v>
      </c>
      <c r="J16" s="167">
        <v>0</v>
      </c>
      <c r="K16" s="152">
        <f>SUM(D16:J16)</f>
        <v>0</v>
      </c>
      <c r="L16" s="525" t="s">
        <v>647</v>
      </c>
      <c r="M16" s="1563">
        <f>M15+1</f>
        <v>2</v>
      </c>
    </row>
    <row r="17" spans="1:13" x14ac:dyDescent="0.35">
      <c r="A17" s="1563">
        <f t="shared" si="0"/>
        <v>3</v>
      </c>
      <c r="B17" s="860">
        <v>340</v>
      </c>
      <c r="C17" s="861" t="s">
        <v>84</v>
      </c>
      <c r="D17" s="166">
        <v>0</v>
      </c>
      <c r="E17" s="166">
        <v>4.56576</v>
      </c>
      <c r="F17" s="167">
        <v>0</v>
      </c>
      <c r="G17" s="167">
        <v>0</v>
      </c>
      <c r="H17" s="167">
        <v>0</v>
      </c>
      <c r="I17" s="167">
        <v>0</v>
      </c>
      <c r="J17" s="167">
        <v>0</v>
      </c>
      <c r="K17" s="168">
        <f>SUM(D17:J17)</f>
        <v>4.56576</v>
      </c>
      <c r="L17" s="525" t="s">
        <v>647</v>
      </c>
      <c r="M17" s="1563">
        <f t="shared" ref="M17:M35" si="1">M16+1</f>
        <v>3</v>
      </c>
    </row>
    <row r="18" spans="1:13" x14ac:dyDescent="0.35">
      <c r="A18" s="1563">
        <f t="shared" si="0"/>
        <v>4</v>
      </c>
      <c r="B18" s="860">
        <v>360</v>
      </c>
      <c r="C18" s="861" t="s">
        <v>84</v>
      </c>
      <c r="D18" s="166">
        <v>0</v>
      </c>
      <c r="E18" s="166">
        <v>0</v>
      </c>
      <c r="F18" s="1866">
        <v>3626.3653199999999</v>
      </c>
      <c r="G18" s="167">
        <v>0</v>
      </c>
      <c r="H18" s="167">
        <v>0</v>
      </c>
      <c r="I18" s="167">
        <v>0</v>
      </c>
      <c r="J18" s="167">
        <v>0</v>
      </c>
      <c r="K18" s="168">
        <f>SUM(D18:J18)</f>
        <v>3626.3653199999999</v>
      </c>
      <c r="L18" s="525" t="s">
        <v>647</v>
      </c>
      <c r="M18" s="1563">
        <f t="shared" si="1"/>
        <v>4</v>
      </c>
    </row>
    <row r="19" spans="1:13" x14ac:dyDescent="0.35">
      <c r="A19" s="1563">
        <f t="shared" si="0"/>
        <v>5</v>
      </c>
      <c r="B19" s="860">
        <v>361</v>
      </c>
      <c r="C19" s="170" t="s">
        <v>85</v>
      </c>
      <c r="D19" s="166">
        <v>0</v>
      </c>
      <c r="E19" s="166">
        <v>0</v>
      </c>
      <c r="F19" s="1866">
        <v>1434.0601099999999</v>
      </c>
      <c r="G19" s="167">
        <v>0</v>
      </c>
      <c r="H19" s="167">
        <v>0</v>
      </c>
      <c r="I19" s="167">
        <v>0</v>
      </c>
      <c r="J19" s="167">
        <v>0</v>
      </c>
      <c r="K19" s="168">
        <f>SUM(D19:J19)</f>
        <v>1434.0601099999999</v>
      </c>
      <c r="L19" s="525" t="s">
        <v>647</v>
      </c>
      <c r="M19" s="1563">
        <f t="shared" si="1"/>
        <v>5</v>
      </c>
    </row>
    <row r="20" spans="1:13" x14ac:dyDescent="0.35">
      <c r="A20" s="1563">
        <f t="shared" si="0"/>
        <v>6</v>
      </c>
      <c r="B20" s="525"/>
      <c r="C20" s="170"/>
      <c r="D20" s="169"/>
      <c r="E20" s="170"/>
      <c r="F20" s="170"/>
      <c r="G20" s="170"/>
      <c r="H20" s="170"/>
      <c r="I20" s="170"/>
      <c r="J20" s="627"/>
      <c r="K20" s="171"/>
      <c r="L20" s="525"/>
      <c r="M20" s="1563">
        <f t="shared" si="1"/>
        <v>6</v>
      </c>
    </row>
    <row r="21" spans="1:13" s="88" customFormat="1" x14ac:dyDescent="0.35">
      <c r="A21" s="1563">
        <f t="shared" si="0"/>
        <v>7</v>
      </c>
      <c r="B21" s="862" t="s">
        <v>86</v>
      </c>
      <c r="C21" s="863" t="s">
        <v>87</v>
      </c>
      <c r="D21" s="632">
        <f t="shared" ref="D21:K21" si="2">SUM(D15:D20)</f>
        <v>0</v>
      </c>
      <c r="E21" s="632">
        <f t="shared" si="2"/>
        <v>4.56576</v>
      </c>
      <c r="F21" s="632">
        <f t="shared" si="2"/>
        <v>5060.4254299999993</v>
      </c>
      <c r="G21" s="632">
        <f t="shared" si="2"/>
        <v>0</v>
      </c>
      <c r="H21" s="632">
        <f t="shared" si="2"/>
        <v>0</v>
      </c>
      <c r="I21" s="632">
        <f t="shared" si="2"/>
        <v>0</v>
      </c>
      <c r="J21" s="632">
        <f t="shared" si="2"/>
        <v>0</v>
      </c>
      <c r="K21" s="633">
        <f t="shared" si="2"/>
        <v>5064.9911899999997</v>
      </c>
      <c r="L21" s="876" t="s">
        <v>1048</v>
      </c>
      <c r="M21" s="1563">
        <f t="shared" si="1"/>
        <v>7</v>
      </c>
    </row>
    <row r="22" spans="1:13" x14ac:dyDescent="0.35">
      <c r="A22" s="1563">
        <f t="shared" si="0"/>
        <v>8</v>
      </c>
      <c r="B22" s="525"/>
      <c r="C22" s="170"/>
      <c r="D22" s="172"/>
      <c r="E22" s="173"/>
      <c r="F22" s="173"/>
      <c r="G22" s="173"/>
      <c r="H22" s="173"/>
      <c r="I22" s="173"/>
      <c r="J22" s="628"/>
      <c r="K22" s="171"/>
      <c r="L22" s="525"/>
      <c r="M22" s="1563">
        <f t="shared" si="1"/>
        <v>8</v>
      </c>
    </row>
    <row r="23" spans="1:13" x14ac:dyDescent="0.35">
      <c r="A23" s="1563">
        <f t="shared" si="0"/>
        <v>9</v>
      </c>
      <c r="B23" s="860">
        <v>350</v>
      </c>
      <c r="C23" s="170" t="s">
        <v>84</v>
      </c>
      <c r="D23" s="330">
        <v>252442.56854000001</v>
      </c>
      <c r="E23" s="164">
        <v>0</v>
      </c>
      <c r="F23" s="164">
        <v>0</v>
      </c>
      <c r="G23" s="164">
        <v>0</v>
      </c>
      <c r="H23" s="164">
        <v>0</v>
      </c>
      <c r="I23" s="164">
        <v>0</v>
      </c>
      <c r="J23" s="164">
        <v>-13529.40286</v>
      </c>
      <c r="K23" s="228">
        <f t="shared" ref="K23:K31" si="3">SUM(D23:J23)</f>
        <v>238913.16568000001</v>
      </c>
      <c r="L23" s="525" t="s">
        <v>647</v>
      </c>
      <c r="M23" s="1563">
        <f t="shared" si="1"/>
        <v>9</v>
      </c>
    </row>
    <row r="24" spans="1:13" x14ac:dyDescent="0.35">
      <c r="A24" s="1563">
        <f t="shared" si="0"/>
        <v>10</v>
      </c>
      <c r="B24" s="860">
        <v>352</v>
      </c>
      <c r="C24" s="170" t="s">
        <v>85</v>
      </c>
      <c r="D24" s="1739">
        <v>669356.12040999997</v>
      </c>
      <c r="E24" s="167">
        <v>0</v>
      </c>
      <c r="F24" s="167">
        <v>0</v>
      </c>
      <c r="G24" s="1740">
        <v>-1928.27782</v>
      </c>
      <c r="H24" s="167">
        <v>0</v>
      </c>
      <c r="I24" s="167">
        <v>0</v>
      </c>
      <c r="J24" s="1741">
        <v>-93300.126130000004</v>
      </c>
      <c r="K24" s="174">
        <f t="shared" si="3"/>
        <v>574127.71646000003</v>
      </c>
      <c r="L24" s="525" t="s">
        <v>647</v>
      </c>
      <c r="M24" s="1563">
        <f t="shared" si="1"/>
        <v>10</v>
      </c>
    </row>
    <row r="25" spans="1:13" x14ac:dyDescent="0.35">
      <c r="A25" s="1563">
        <f t="shared" si="0"/>
        <v>11</v>
      </c>
      <c r="B25" s="860">
        <v>353</v>
      </c>
      <c r="C25" s="170" t="s">
        <v>88</v>
      </c>
      <c r="D25" s="1739">
        <v>1966465.8510699999</v>
      </c>
      <c r="E25" s="167">
        <v>0</v>
      </c>
      <c r="F25" s="167">
        <v>0</v>
      </c>
      <c r="G25" s="1740">
        <v>-12009.877780000001</v>
      </c>
      <c r="H25" s="1740">
        <v>-1420.3928800000001</v>
      </c>
      <c r="I25" s="167">
        <v>0</v>
      </c>
      <c r="J25" s="1741">
        <v>-2375.2730900000001</v>
      </c>
      <c r="K25" s="174">
        <f t="shared" si="3"/>
        <v>1950660.3073199999</v>
      </c>
      <c r="L25" s="525" t="s">
        <v>647</v>
      </c>
      <c r="M25" s="1563">
        <f t="shared" si="1"/>
        <v>11</v>
      </c>
    </row>
    <row r="26" spans="1:13" x14ac:dyDescent="0.35">
      <c r="A26" s="1563">
        <f t="shared" si="0"/>
        <v>12</v>
      </c>
      <c r="B26" s="860">
        <v>354</v>
      </c>
      <c r="C26" s="170" t="s">
        <v>89</v>
      </c>
      <c r="D26" s="1739">
        <v>922725.56374000001</v>
      </c>
      <c r="E26" s="167">
        <v>0</v>
      </c>
      <c r="F26" s="167">
        <v>0</v>
      </c>
      <c r="G26" s="167">
        <v>0</v>
      </c>
      <c r="H26" s="167">
        <v>0</v>
      </c>
      <c r="I26" s="167">
        <v>0</v>
      </c>
      <c r="J26" s="167">
        <v>0</v>
      </c>
      <c r="K26" s="174">
        <f t="shared" si="3"/>
        <v>922725.56374000001</v>
      </c>
      <c r="L26" s="525" t="s">
        <v>647</v>
      </c>
      <c r="M26" s="1563">
        <f t="shared" si="1"/>
        <v>12</v>
      </c>
    </row>
    <row r="27" spans="1:13" x14ac:dyDescent="0.35">
      <c r="A27" s="1563">
        <f t="shared" si="0"/>
        <v>13</v>
      </c>
      <c r="B27" s="860">
        <v>355</v>
      </c>
      <c r="C27" s="170" t="s">
        <v>90</v>
      </c>
      <c r="D27" s="1739">
        <v>930750.21439999982</v>
      </c>
      <c r="E27" s="167">
        <v>0</v>
      </c>
      <c r="F27" s="167">
        <v>0</v>
      </c>
      <c r="G27" s="167">
        <v>0</v>
      </c>
      <c r="H27" s="167">
        <v>0</v>
      </c>
      <c r="I27" s="167">
        <v>0</v>
      </c>
      <c r="J27" s="167">
        <v>0</v>
      </c>
      <c r="K27" s="174">
        <f t="shared" si="3"/>
        <v>930750.21439999982</v>
      </c>
      <c r="L27" s="525" t="s">
        <v>647</v>
      </c>
      <c r="M27" s="1563">
        <f t="shared" si="1"/>
        <v>13</v>
      </c>
    </row>
    <row r="28" spans="1:13" x14ac:dyDescent="0.35">
      <c r="A28" s="1563">
        <f t="shared" si="0"/>
        <v>14</v>
      </c>
      <c r="B28" s="860">
        <v>356</v>
      </c>
      <c r="C28" s="170" t="s">
        <v>91</v>
      </c>
      <c r="D28" s="1739">
        <v>821798.41578000004</v>
      </c>
      <c r="E28" s="167">
        <v>0</v>
      </c>
      <c r="F28" s="167">
        <v>0</v>
      </c>
      <c r="G28" s="167">
        <v>0</v>
      </c>
      <c r="H28" s="167">
        <v>0</v>
      </c>
      <c r="I28" s="167">
        <v>0</v>
      </c>
      <c r="J28" s="167">
        <v>0</v>
      </c>
      <c r="K28" s="174">
        <f t="shared" si="3"/>
        <v>821798.41578000004</v>
      </c>
      <c r="L28" s="525" t="s">
        <v>647</v>
      </c>
      <c r="M28" s="1563">
        <f t="shared" si="1"/>
        <v>14</v>
      </c>
    </row>
    <row r="29" spans="1:13" x14ac:dyDescent="0.35">
      <c r="A29" s="1563">
        <f t="shared" si="0"/>
        <v>15</v>
      </c>
      <c r="B29" s="860">
        <v>357</v>
      </c>
      <c r="C29" s="170" t="s">
        <v>92</v>
      </c>
      <c r="D29" s="1739">
        <v>550520.79674999998</v>
      </c>
      <c r="E29" s="167">
        <v>0</v>
      </c>
      <c r="F29" s="167">
        <v>0</v>
      </c>
      <c r="G29" s="167">
        <v>0</v>
      </c>
      <c r="H29" s="167">
        <v>0</v>
      </c>
      <c r="I29" s="167">
        <v>0</v>
      </c>
      <c r="J29" s="167">
        <v>0</v>
      </c>
      <c r="K29" s="174">
        <f t="shared" si="3"/>
        <v>550520.79674999998</v>
      </c>
      <c r="L29" s="525" t="s">
        <v>647</v>
      </c>
      <c r="M29" s="1563">
        <f t="shared" si="1"/>
        <v>15</v>
      </c>
    </row>
    <row r="30" spans="1:13" x14ac:dyDescent="0.35">
      <c r="A30" s="1563">
        <f t="shared" si="0"/>
        <v>16</v>
      </c>
      <c r="B30" s="860">
        <v>358</v>
      </c>
      <c r="C30" s="170" t="s">
        <v>93</v>
      </c>
      <c r="D30" s="1739">
        <v>557705.66040000005</v>
      </c>
      <c r="E30" s="167">
        <v>0</v>
      </c>
      <c r="F30" s="167">
        <v>0</v>
      </c>
      <c r="G30" s="1740">
        <v>-1726.37997</v>
      </c>
      <c r="H30" s="167">
        <v>0</v>
      </c>
      <c r="I30" s="167">
        <v>0</v>
      </c>
      <c r="J30" s="167">
        <v>0</v>
      </c>
      <c r="K30" s="174">
        <f t="shared" si="3"/>
        <v>555979.28043000004</v>
      </c>
      <c r="L30" s="525" t="s">
        <v>647</v>
      </c>
      <c r="M30" s="1563">
        <f t="shared" si="1"/>
        <v>16</v>
      </c>
    </row>
    <row r="31" spans="1:13" x14ac:dyDescent="0.35">
      <c r="A31" s="1563">
        <f t="shared" si="0"/>
        <v>17</v>
      </c>
      <c r="B31" s="860">
        <v>359</v>
      </c>
      <c r="C31" s="170" t="s">
        <v>94</v>
      </c>
      <c r="D31" s="1739">
        <v>370697.49418000004</v>
      </c>
      <c r="E31" s="167">
        <v>0</v>
      </c>
      <c r="F31" s="167">
        <v>0</v>
      </c>
      <c r="G31" s="167">
        <v>0</v>
      </c>
      <c r="H31" s="167">
        <v>0</v>
      </c>
      <c r="I31" s="167">
        <v>0</v>
      </c>
      <c r="J31" s="167">
        <v>0</v>
      </c>
      <c r="K31" s="174">
        <f t="shared" si="3"/>
        <v>370697.49418000004</v>
      </c>
      <c r="L31" s="525" t="s">
        <v>647</v>
      </c>
      <c r="M31" s="1563">
        <f t="shared" si="1"/>
        <v>17</v>
      </c>
    </row>
    <row r="32" spans="1:13" x14ac:dyDescent="0.35">
      <c r="A32" s="1563">
        <f t="shared" si="0"/>
        <v>18</v>
      </c>
      <c r="B32" s="860"/>
      <c r="C32" s="170"/>
      <c r="D32" s="172"/>
      <c r="F32" s="176"/>
      <c r="G32" s="176"/>
      <c r="H32" s="176"/>
      <c r="I32" s="176"/>
      <c r="J32" s="628"/>
      <c r="K32" s="177"/>
      <c r="L32" s="860"/>
      <c r="M32" s="1563">
        <f t="shared" si="1"/>
        <v>18</v>
      </c>
    </row>
    <row r="33" spans="1:13" x14ac:dyDescent="0.35">
      <c r="A33" s="1563">
        <f t="shared" si="0"/>
        <v>19</v>
      </c>
      <c r="B33" s="864" t="s">
        <v>86</v>
      </c>
      <c r="C33" s="863" t="s">
        <v>59</v>
      </c>
      <c r="D33" s="632">
        <f>SUM(D23:D32)</f>
        <v>7042462.6852700002</v>
      </c>
      <c r="E33" s="632">
        <f>SUM(E23:E32)</f>
        <v>0</v>
      </c>
      <c r="F33" s="632">
        <f>SUM(F23:F32)</f>
        <v>0</v>
      </c>
      <c r="G33" s="632">
        <f t="shared" ref="G33:H33" si="4">SUM(G23:G32)</f>
        <v>-15664.53557</v>
      </c>
      <c r="H33" s="632">
        <f t="shared" si="4"/>
        <v>-1420.3928800000001</v>
      </c>
      <c r="I33" s="632">
        <f>SUM(I23:I32)</f>
        <v>0</v>
      </c>
      <c r="J33" s="632">
        <f>SUM(J23:J32)</f>
        <v>-109204.80208000001</v>
      </c>
      <c r="K33" s="633">
        <f>SUM(K23:K32)</f>
        <v>6916172.9547400009</v>
      </c>
      <c r="L33" s="924" t="s">
        <v>1158</v>
      </c>
      <c r="M33" s="1563">
        <f t="shared" si="1"/>
        <v>19</v>
      </c>
    </row>
    <row r="34" spans="1:13" x14ac:dyDescent="0.35">
      <c r="A34" s="1563">
        <f t="shared" si="0"/>
        <v>20</v>
      </c>
      <c r="B34" s="850"/>
      <c r="D34" s="85"/>
      <c r="J34" s="126"/>
      <c r="K34" s="175"/>
      <c r="L34" s="865"/>
      <c r="M34" s="1563">
        <f t="shared" si="1"/>
        <v>20</v>
      </c>
    </row>
    <row r="35" spans="1:13" x14ac:dyDescent="0.35">
      <c r="A35" s="1563">
        <f t="shared" si="0"/>
        <v>21</v>
      </c>
      <c r="B35" s="866" t="s">
        <v>95</v>
      </c>
      <c r="C35" s="867"/>
      <c r="D35" s="178">
        <f t="shared" ref="D35:K35" si="5">D33+D21</f>
        <v>7042462.6852700002</v>
      </c>
      <c r="E35" s="178">
        <f t="shared" si="5"/>
        <v>4.56576</v>
      </c>
      <c r="F35" s="178">
        <f t="shared" si="5"/>
        <v>5060.4254299999993</v>
      </c>
      <c r="G35" s="178">
        <f t="shared" si="5"/>
        <v>-15664.53557</v>
      </c>
      <c r="H35" s="178">
        <f t="shared" si="5"/>
        <v>-1420.3928800000001</v>
      </c>
      <c r="I35" s="179">
        <f t="shared" si="5"/>
        <v>0</v>
      </c>
      <c r="J35" s="178">
        <f t="shared" si="5"/>
        <v>-109204.80208000001</v>
      </c>
      <c r="K35" s="180">
        <f t="shared" si="5"/>
        <v>6921237.9459300013</v>
      </c>
      <c r="L35" s="876" t="s">
        <v>1159</v>
      </c>
      <c r="M35" s="1563">
        <f t="shared" si="1"/>
        <v>21</v>
      </c>
    </row>
    <row r="36" spans="1:13" x14ac:dyDescent="0.35">
      <c r="D36" s="79"/>
    </row>
    <row r="37" spans="1:13" x14ac:dyDescent="0.35">
      <c r="D37" s="79"/>
    </row>
    <row r="38" spans="1:13" x14ac:dyDescent="0.35">
      <c r="B38" s="1549" t="s">
        <v>911</v>
      </c>
      <c r="D38" s="79"/>
    </row>
    <row r="39" spans="1:13" x14ac:dyDescent="0.35">
      <c r="D39" s="79"/>
      <c r="K39" s="795"/>
      <c r="L39" s="795"/>
    </row>
    <row r="40" spans="1:13" x14ac:dyDescent="0.35">
      <c r="D40" s="79"/>
    </row>
    <row r="41" spans="1:13" x14ac:dyDescent="0.35">
      <c r="D41" s="79"/>
    </row>
    <row r="42" spans="1:13" x14ac:dyDescent="0.35">
      <c r="D42" s="79"/>
    </row>
    <row r="43" spans="1:13" x14ac:dyDescent="0.35">
      <c r="D43" s="79"/>
    </row>
    <row r="44" spans="1:13" x14ac:dyDescent="0.35">
      <c r="D44" s="79"/>
    </row>
    <row r="45" spans="1:13" x14ac:dyDescent="0.35">
      <c r="D45" s="79"/>
    </row>
    <row r="46" spans="1:13" x14ac:dyDescent="0.35">
      <c r="D46" s="79"/>
    </row>
    <row r="47" spans="1:13" x14ac:dyDescent="0.35">
      <c r="D47" s="79"/>
    </row>
    <row r="48" spans="1:13" x14ac:dyDescent="0.35">
      <c r="D48" s="79"/>
    </row>
    <row r="49" spans="4:4" x14ac:dyDescent="0.35">
      <c r="D49" s="79"/>
    </row>
    <row r="50" spans="4:4" x14ac:dyDescent="0.35">
      <c r="D50" s="79"/>
    </row>
    <row r="51" spans="4:4" x14ac:dyDescent="0.35">
      <c r="D51" s="79"/>
    </row>
    <row r="52" spans="4:4" x14ac:dyDescent="0.35">
      <c r="D52" s="79"/>
    </row>
    <row r="53" spans="4:4" x14ac:dyDescent="0.35">
      <c r="D53" s="79"/>
    </row>
    <row r="54" spans="4:4" x14ac:dyDescent="0.35">
      <c r="D54" s="79"/>
    </row>
    <row r="55" spans="4:4" x14ac:dyDescent="0.35">
      <c r="D55" s="79"/>
    </row>
    <row r="56" spans="4:4" x14ac:dyDescent="0.35">
      <c r="D56" s="79"/>
    </row>
    <row r="57" spans="4:4" x14ac:dyDescent="0.35">
      <c r="D57" s="79"/>
    </row>
    <row r="58" spans="4:4" x14ac:dyDescent="0.35">
      <c r="D58" s="79"/>
    </row>
    <row r="59" spans="4:4" x14ac:dyDescent="0.35">
      <c r="D59" s="79"/>
    </row>
    <row r="60" spans="4:4" x14ac:dyDescent="0.35">
      <c r="D60" s="79"/>
    </row>
    <row r="61" spans="4:4" x14ac:dyDescent="0.35">
      <c r="D61" s="79"/>
    </row>
    <row r="62" spans="4:4" x14ac:dyDescent="0.35">
      <c r="D62" s="79"/>
    </row>
    <row r="63" spans="4:4" x14ac:dyDescent="0.35">
      <c r="D63" s="79"/>
    </row>
    <row r="64" spans="4:4" x14ac:dyDescent="0.35">
      <c r="D64" s="79"/>
    </row>
    <row r="65" spans="4:4" x14ac:dyDescent="0.35">
      <c r="D65" s="79"/>
    </row>
    <row r="66" spans="4:4" x14ac:dyDescent="0.35">
      <c r="D66" s="79"/>
    </row>
    <row r="67" spans="4:4" x14ac:dyDescent="0.35">
      <c r="D67" s="79"/>
    </row>
    <row r="68" spans="4:4" x14ac:dyDescent="0.35">
      <c r="D68" s="79"/>
    </row>
    <row r="69" spans="4:4" x14ac:dyDescent="0.35">
      <c r="D69" s="79"/>
    </row>
    <row r="70" spans="4:4" x14ac:dyDescent="0.35">
      <c r="D70" s="79"/>
    </row>
    <row r="71" spans="4:4" x14ac:dyDescent="0.35">
      <c r="D71" s="79"/>
    </row>
    <row r="72" spans="4:4" x14ac:dyDescent="0.35">
      <c r="D72" s="79"/>
    </row>
    <row r="73" spans="4:4" x14ac:dyDescent="0.35">
      <c r="D73" s="79"/>
    </row>
    <row r="74" spans="4:4" x14ac:dyDescent="0.35">
      <c r="D74" s="79"/>
    </row>
    <row r="75" spans="4:4" x14ac:dyDescent="0.35">
      <c r="D75" s="79"/>
    </row>
    <row r="76" spans="4:4" x14ac:dyDescent="0.35">
      <c r="D76" s="79"/>
    </row>
    <row r="77" spans="4:4" x14ac:dyDescent="0.35">
      <c r="D77" s="79"/>
    </row>
    <row r="78" spans="4:4" x14ac:dyDescent="0.35">
      <c r="D78" s="79"/>
    </row>
    <row r="79" spans="4:4" x14ac:dyDescent="0.35">
      <c r="D79" s="79"/>
    </row>
    <row r="80" spans="4:4" x14ac:dyDescent="0.35">
      <c r="D80" s="79"/>
    </row>
    <row r="81" spans="4:4" x14ac:dyDescent="0.35">
      <c r="D81" s="79"/>
    </row>
    <row r="82" spans="4:4" x14ac:dyDescent="0.35">
      <c r="D82" s="79"/>
    </row>
    <row r="83" spans="4:4" x14ac:dyDescent="0.35">
      <c r="D83" s="79"/>
    </row>
    <row r="84" spans="4:4" x14ac:dyDescent="0.35">
      <c r="D84" s="79"/>
    </row>
    <row r="85" spans="4:4" x14ac:dyDescent="0.35">
      <c r="D85" s="79"/>
    </row>
    <row r="86" spans="4:4" x14ac:dyDescent="0.35">
      <c r="D86" s="79"/>
    </row>
    <row r="87" spans="4:4" x14ac:dyDescent="0.35">
      <c r="D87" s="79"/>
    </row>
    <row r="88" spans="4:4" x14ac:dyDescent="0.35">
      <c r="D88" s="79"/>
    </row>
    <row r="89" spans="4:4" x14ac:dyDescent="0.35">
      <c r="D89" s="79"/>
    </row>
    <row r="90" spans="4:4" x14ac:dyDescent="0.35">
      <c r="D90" s="79"/>
    </row>
    <row r="91" spans="4:4" x14ac:dyDescent="0.35">
      <c r="D91" s="79"/>
    </row>
    <row r="92" spans="4:4" x14ac:dyDescent="0.35">
      <c r="D92" s="79"/>
    </row>
    <row r="93" spans="4:4" x14ac:dyDescent="0.35">
      <c r="D93" s="79"/>
    </row>
    <row r="94" spans="4:4" x14ac:dyDescent="0.35">
      <c r="D94" s="79"/>
    </row>
    <row r="95" spans="4:4" x14ac:dyDescent="0.35">
      <c r="D95" s="79"/>
    </row>
    <row r="96" spans="4:4" x14ac:dyDescent="0.35">
      <c r="D96" s="79"/>
    </row>
    <row r="97" spans="4:4" x14ac:dyDescent="0.35">
      <c r="D97" s="79"/>
    </row>
    <row r="98" spans="4:4" x14ac:dyDescent="0.35">
      <c r="D98" s="79"/>
    </row>
    <row r="99" spans="4:4" x14ac:dyDescent="0.35">
      <c r="D99" s="79"/>
    </row>
    <row r="100" spans="4:4" x14ac:dyDescent="0.35">
      <c r="D100" s="79"/>
    </row>
    <row r="101" spans="4:4" x14ac:dyDescent="0.35">
      <c r="D101" s="79"/>
    </row>
    <row r="102" spans="4:4" x14ac:dyDescent="0.35">
      <c r="D102" s="79"/>
    </row>
    <row r="103" spans="4:4" x14ac:dyDescent="0.35">
      <c r="D103" s="79"/>
    </row>
    <row r="104" spans="4:4" x14ac:dyDescent="0.35">
      <c r="D104" s="79"/>
    </row>
    <row r="105" spans="4:4" x14ac:dyDescent="0.35">
      <c r="D105" s="79"/>
    </row>
    <row r="106" spans="4:4" x14ac:dyDescent="0.35">
      <c r="D106" s="79"/>
    </row>
    <row r="107" spans="4:4" x14ac:dyDescent="0.35">
      <c r="D107" s="79"/>
    </row>
    <row r="108" spans="4:4" x14ac:dyDescent="0.35">
      <c r="D108" s="79"/>
    </row>
    <row r="109" spans="4:4" x14ac:dyDescent="0.35">
      <c r="D109" s="79"/>
    </row>
    <row r="110" spans="4:4" x14ac:dyDescent="0.35">
      <c r="D110" s="79"/>
    </row>
    <row r="111" spans="4:4" x14ac:dyDescent="0.35">
      <c r="D111" s="79"/>
    </row>
    <row r="112" spans="4:4" x14ac:dyDescent="0.35">
      <c r="D112" s="79"/>
    </row>
    <row r="113" spans="4:4" x14ac:dyDescent="0.35">
      <c r="D113" s="79"/>
    </row>
    <row r="114" spans="4:4" x14ac:dyDescent="0.35">
      <c r="D114" s="79"/>
    </row>
    <row r="115" spans="4:4" x14ac:dyDescent="0.35">
      <c r="D115" s="79"/>
    </row>
    <row r="116" spans="4:4" x14ac:dyDescent="0.35">
      <c r="D116" s="79"/>
    </row>
    <row r="117" spans="4:4" x14ac:dyDescent="0.35">
      <c r="D117" s="79"/>
    </row>
    <row r="118" spans="4:4" x14ac:dyDescent="0.35">
      <c r="D118" s="79"/>
    </row>
    <row r="119" spans="4:4" x14ac:dyDescent="0.35">
      <c r="D119" s="79"/>
    </row>
    <row r="120" spans="4:4" x14ac:dyDescent="0.35">
      <c r="D120" s="79"/>
    </row>
    <row r="121" spans="4:4" x14ac:dyDescent="0.35">
      <c r="D121" s="79"/>
    </row>
    <row r="122" spans="4:4" x14ac:dyDescent="0.35">
      <c r="D122" s="79"/>
    </row>
    <row r="123" spans="4:4" x14ac:dyDescent="0.35">
      <c r="D123" s="79"/>
    </row>
    <row r="124" spans="4:4" x14ac:dyDescent="0.35">
      <c r="D124" s="79"/>
    </row>
    <row r="125" spans="4:4" x14ac:dyDescent="0.35">
      <c r="D125" s="79"/>
    </row>
    <row r="126" spans="4:4" x14ac:dyDescent="0.35">
      <c r="D126" s="79"/>
    </row>
    <row r="127" spans="4:4" x14ac:dyDescent="0.35">
      <c r="D127" s="79"/>
    </row>
    <row r="128" spans="4:4" x14ac:dyDescent="0.35">
      <c r="D128" s="79"/>
    </row>
    <row r="129" spans="4:4" x14ac:dyDescent="0.35">
      <c r="D129" s="79"/>
    </row>
    <row r="130" spans="4:4" x14ac:dyDescent="0.35">
      <c r="D130" s="79"/>
    </row>
    <row r="131" spans="4:4" x14ac:dyDescent="0.35">
      <c r="D131" s="79"/>
    </row>
    <row r="132" spans="4:4" x14ac:dyDescent="0.35">
      <c r="D132" s="79"/>
    </row>
    <row r="133" spans="4:4" x14ac:dyDescent="0.35">
      <c r="D133" s="79"/>
    </row>
    <row r="134" spans="4:4" x14ac:dyDescent="0.35">
      <c r="D134" s="79"/>
    </row>
    <row r="135" spans="4:4" x14ac:dyDescent="0.35">
      <c r="D135" s="79"/>
    </row>
    <row r="136" spans="4:4" x14ac:dyDescent="0.35">
      <c r="D136" s="79"/>
    </row>
    <row r="137" spans="4:4" x14ac:dyDescent="0.35">
      <c r="D137" s="79"/>
    </row>
    <row r="138" spans="4:4" x14ac:dyDescent="0.35">
      <c r="D138" s="79"/>
    </row>
    <row r="139" spans="4:4" x14ac:dyDescent="0.35">
      <c r="D139" s="79"/>
    </row>
    <row r="140" spans="4:4" x14ac:dyDescent="0.35">
      <c r="D140" s="79"/>
    </row>
    <row r="141" spans="4:4" x14ac:dyDescent="0.35">
      <c r="D141" s="79"/>
    </row>
    <row r="142" spans="4:4" x14ac:dyDescent="0.35">
      <c r="D142" s="79"/>
    </row>
    <row r="143" spans="4:4" x14ac:dyDescent="0.35">
      <c r="D143" s="79"/>
    </row>
    <row r="144" spans="4:4" x14ac:dyDescent="0.35">
      <c r="D144" s="79"/>
    </row>
    <row r="145" spans="4:4" x14ac:dyDescent="0.35">
      <c r="D145" s="79"/>
    </row>
    <row r="146" spans="4:4" x14ac:dyDescent="0.35">
      <c r="D146" s="79"/>
    </row>
    <row r="147" spans="4:4" x14ac:dyDescent="0.35">
      <c r="D147" s="79"/>
    </row>
    <row r="148" spans="4:4" x14ac:dyDescent="0.35">
      <c r="D148" s="79"/>
    </row>
    <row r="149" spans="4:4" x14ac:dyDescent="0.35">
      <c r="D149" s="79"/>
    </row>
    <row r="150" spans="4:4" x14ac:dyDescent="0.35">
      <c r="D150" s="79"/>
    </row>
    <row r="151" spans="4:4" x14ac:dyDescent="0.35">
      <c r="D151" s="79"/>
    </row>
    <row r="152" spans="4:4" x14ac:dyDescent="0.35">
      <c r="D152" s="79"/>
    </row>
    <row r="153" spans="4:4" x14ac:dyDescent="0.35">
      <c r="D153" s="79"/>
    </row>
    <row r="154" spans="4:4" x14ac:dyDescent="0.35">
      <c r="D154" s="79"/>
    </row>
    <row r="155" spans="4:4" x14ac:dyDescent="0.35">
      <c r="D155" s="79"/>
    </row>
    <row r="156" spans="4:4" x14ac:dyDescent="0.35">
      <c r="D156" s="79"/>
    </row>
    <row r="157" spans="4:4" x14ac:dyDescent="0.35">
      <c r="D157" s="79"/>
    </row>
    <row r="158" spans="4:4" x14ac:dyDescent="0.35">
      <c r="D158" s="79"/>
    </row>
    <row r="159" spans="4:4" x14ac:dyDescent="0.35">
      <c r="D159" s="79"/>
    </row>
    <row r="160" spans="4:4" x14ac:dyDescent="0.35">
      <c r="D160" s="79"/>
    </row>
    <row r="161" spans="4:4" x14ac:dyDescent="0.35">
      <c r="D161" s="79"/>
    </row>
    <row r="162" spans="4:4" x14ac:dyDescent="0.35">
      <c r="D162" s="79"/>
    </row>
    <row r="163" spans="4:4" x14ac:dyDescent="0.35">
      <c r="D163" s="79"/>
    </row>
    <row r="164" spans="4:4" x14ac:dyDescent="0.35">
      <c r="D164" s="79"/>
    </row>
    <row r="165" spans="4:4" x14ac:dyDescent="0.35">
      <c r="D165" s="79"/>
    </row>
    <row r="166" spans="4:4" x14ac:dyDescent="0.35">
      <c r="D166" s="79"/>
    </row>
    <row r="167" spans="4:4" x14ac:dyDescent="0.35">
      <c r="D167" s="79"/>
    </row>
    <row r="168" spans="4:4" x14ac:dyDescent="0.35">
      <c r="D168" s="79"/>
    </row>
    <row r="169" spans="4:4" x14ac:dyDescent="0.35">
      <c r="D169" s="79"/>
    </row>
    <row r="170" spans="4:4" x14ac:dyDescent="0.35">
      <c r="D170" s="79"/>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169"/>
  <sheetViews>
    <sheetView zoomScale="80" zoomScaleNormal="80" workbookViewId="0"/>
  </sheetViews>
  <sheetFormatPr defaultColWidth="9.08984375" defaultRowHeight="15.5" x14ac:dyDescent="0.35"/>
  <cols>
    <col min="1" max="1" width="5.08984375" style="1563" customWidth="1"/>
    <col min="2" max="2" width="11.08984375" style="182" customWidth="1"/>
    <col min="3" max="3" width="32.453125" style="79" customWidth="1"/>
    <col min="4" max="10" width="18.54296875" style="130" customWidth="1"/>
    <col min="11" max="11" width="18.54296875" style="79" customWidth="1"/>
    <col min="12" max="12" width="24" style="79" customWidth="1"/>
    <col min="13" max="13" width="5.08984375" style="1563" customWidth="1"/>
    <col min="14" max="16384" width="9.08984375" style="79"/>
  </cols>
  <sheetData>
    <row r="2" spans="1:13" s="88" customFormat="1" ht="15" x14ac:dyDescent="0.35">
      <c r="A2" s="1561"/>
      <c r="B2" s="2289" t="s">
        <v>18</v>
      </c>
      <c r="C2" s="2289"/>
      <c r="D2" s="2289"/>
      <c r="E2" s="2289"/>
      <c r="F2" s="2289"/>
      <c r="G2" s="2289"/>
      <c r="H2" s="2289"/>
      <c r="I2" s="2289"/>
      <c r="J2" s="2289"/>
      <c r="K2" s="2289"/>
      <c r="L2" s="2289"/>
      <c r="M2" s="1561"/>
    </row>
    <row r="3" spans="1:13" s="88" customFormat="1" ht="15" x14ac:dyDescent="0.35">
      <c r="A3" s="1561"/>
      <c r="B3" s="2289" t="s">
        <v>62</v>
      </c>
      <c r="C3" s="2289"/>
      <c r="D3" s="2289"/>
      <c r="E3" s="2289"/>
      <c r="F3" s="2289"/>
      <c r="G3" s="2289"/>
      <c r="H3" s="2289"/>
      <c r="I3" s="2289"/>
      <c r="J3" s="2289"/>
      <c r="K3" s="2289"/>
      <c r="L3" s="2289"/>
      <c r="M3" s="1561"/>
    </row>
    <row r="4" spans="1:13" x14ac:dyDescent="0.35">
      <c r="B4" s="2289" t="s">
        <v>63</v>
      </c>
      <c r="C4" s="2289"/>
      <c r="D4" s="2289"/>
      <c r="E4" s="2289"/>
      <c r="F4" s="2289"/>
      <c r="G4" s="2289"/>
      <c r="H4" s="2289"/>
      <c r="I4" s="2289"/>
      <c r="J4" s="2289"/>
      <c r="K4" s="2289"/>
      <c r="L4" s="2289"/>
    </row>
    <row r="5" spans="1:13" x14ac:dyDescent="0.35">
      <c r="B5" s="2292" t="s">
        <v>1594</v>
      </c>
      <c r="C5" s="2292"/>
      <c r="D5" s="2292"/>
      <c r="E5" s="2292"/>
      <c r="F5" s="2292"/>
      <c r="G5" s="2292"/>
      <c r="H5" s="2292"/>
      <c r="I5" s="2292"/>
      <c r="J5" s="2292"/>
      <c r="K5" s="2292"/>
      <c r="L5" s="2292"/>
    </row>
    <row r="6" spans="1:13" x14ac:dyDescent="0.35">
      <c r="B6" s="2292" t="s">
        <v>2</v>
      </c>
      <c r="C6" s="2289"/>
      <c r="D6" s="2289"/>
      <c r="E6" s="2289"/>
      <c r="F6" s="2289"/>
      <c r="G6" s="2289"/>
      <c r="H6" s="2289"/>
      <c r="I6" s="2289"/>
      <c r="J6" s="2289"/>
      <c r="K6" s="2289"/>
      <c r="L6" s="2289"/>
    </row>
    <row r="7" spans="1:13" x14ac:dyDescent="0.35">
      <c r="C7" s="752"/>
      <c r="D7" s="753"/>
      <c r="E7" s="839"/>
      <c r="F7" s="839"/>
      <c r="G7" s="839"/>
      <c r="H7" s="839"/>
      <c r="I7" s="839"/>
      <c r="J7" s="839"/>
    </row>
    <row r="8" spans="1:13" s="728" customFormat="1" ht="15" x14ac:dyDescent="0.35">
      <c r="A8" s="1561"/>
      <c r="B8" s="798"/>
      <c r="C8" s="840"/>
      <c r="D8" s="841" t="s">
        <v>29</v>
      </c>
      <c r="E8" s="842" t="s">
        <v>30</v>
      </c>
      <c r="F8" s="842" t="s">
        <v>64</v>
      </c>
      <c r="G8" s="842" t="s">
        <v>65</v>
      </c>
      <c r="H8" s="842" t="s">
        <v>66</v>
      </c>
      <c r="I8" s="842" t="s">
        <v>67</v>
      </c>
      <c r="J8" s="868" t="s">
        <v>68</v>
      </c>
      <c r="K8" s="868" t="s">
        <v>69</v>
      </c>
      <c r="L8" s="798"/>
      <c r="M8" s="1561" t="s">
        <v>10</v>
      </c>
    </row>
    <row r="9" spans="1:13" x14ac:dyDescent="0.35">
      <c r="B9" s="843"/>
      <c r="C9" s="844"/>
      <c r="D9" s="845"/>
      <c r="E9" s="846"/>
      <c r="F9" s="846"/>
      <c r="G9" s="846"/>
      <c r="H9" s="846"/>
      <c r="I9" s="846"/>
      <c r="J9" s="869"/>
      <c r="K9" s="870" t="s">
        <v>31</v>
      </c>
      <c r="L9" s="843"/>
      <c r="M9" s="1563" t="s">
        <v>10</v>
      </c>
    </row>
    <row r="10" spans="1:13" x14ac:dyDescent="0.35">
      <c r="B10" s="843"/>
      <c r="C10" s="844"/>
      <c r="D10" s="845"/>
      <c r="E10" s="846" t="s">
        <v>70</v>
      </c>
      <c r="F10" s="846" t="s">
        <v>57</v>
      </c>
      <c r="G10" s="846" t="s">
        <v>61</v>
      </c>
      <c r="H10" s="846" t="s">
        <v>61</v>
      </c>
      <c r="I10" s="846" t="s">
        <v>61</v>
      </c>
      <c r="J10" s="869" t="s">
        <v>61</v>
      </c>
      <c r="K10" s="871" t="s">
        <v>61</v>
      </c>
      <c r="L10" s="525"/>
      <c r="M10" s="1563" t="s">
        <v>10</v>
      </c>
    </row>
    <row r="11" spans="1:13" x14ac:dyDescent="0.35">
      <c r="B11" s="850"/>
      <c r="C11" s="170"/>
      <c r="D11" s="852" t="s">
        <v>31</v>
      </c>
      <c r="E11" s="846" t="s">
        <v>71</v>
      </c>
      <c r="F11" s="846" t="s">
        <v>71</v>
      </c>
      <c r="G11" s="846" t="s">
        <v>71</v>
      </c>
      <c r="H11" s="846" t="s">
        <v>71</v>
      </c>
      <c r="I11" s="846" t="s">
        <v>71</v>
      </c>
      <c r="J11" s="869" t="s">
        <v>71</v>
      </c>
      <c r="K11" s="871" t="s">
        <v>58</v>
      </c>
      <c r="L11" s="799"/>
    </row>
    <row r="12" spans="1:13" x14ac:dyDescent="0.35">
      <c r="A12" s="1563" t="s">
        <v>3</v>
      </c>
      <c r="B12" s="851"/>
      <c r="C12" s="827"/>
      <c r="D12" s="852" t="s">
        <v>61</v>
      </c>
      <c r="E12" s="846" t="s">
        <v>72</v>
      </c>
      <c r="F12" s="846" t="s">
        <v>72</v>
      </c>
      <c r="G12" s="846" t="s">
        <v>72</v>
      </c>
      <c r="H12" s="846" t="s">
        <v>72</v>
      </c>
      <c r="I12" s="846" t="s">
        <v>72</v>
      </c>
      <c r="J12" s="869" t="s">
        <v>72</v>
      </c>
      <c r="K12" s="871" t="s">
        <v>51</v>
      </c>
      <c r="L12" s="799"/>
      <c r="M12" s="1563" t="s">
        <v>3</v>
      </c>
    </row>
    <row r="13" spans="1:13" x14ac:dyDescent="0.35">
      <c r="A13" s="1563" t="s">
        <v>25</v>
      </c>
      <c r="B13" s="872" t="s">
        <v>73</v>
      </c>
      <c r="C13" s="766" t="s">
        <v>74</v>
      </c>
      <c r="D13" s="873" t="s">
        <v>71</v>
      </c>
      <c r="E13" s="857" t="s">
        <v>75</v>
      </c>
      <c r="F13" s="857" t="s">
        <v>76</v>
      </c>
      <c r="G13" s="857" t="s">
        <v>77</v>
      </c>
      <c r="H13" s="857" t="s">
        <v>78</v>
      </c>
      <c r="I13" s="857" t="s">
        <v>50</v>
      </c>
      <c r="J13" s="874" t="s">
        <v>79</v>
      </c>
      <c r="K13" s="875" t="s">
        <v>80</v>
      </c>
      <c r="L13" s="766" t="s">
        <v>9</v>
      </c>
      <c r="M13" s="1563" t="s">
        <v>25</v>
      </c>
    </row>
    <row r="14" spans="1:13" x14ac:dyDescent="0.35">
      <c r="B14" s="525"/>
      <c r="C14" s="170" t="s">
        <v>81</v>
      </c>
      <c r="D14" s="169"/>
      <c r="E14" s="170"/>
      <c r="F14" s="170"/>
      <c r="G14" s="170"/>
      <c r="H14" s="170"/>
      <c r="I14" s="170"/>
      <c r="J14" s="627"/>
      <c r="K14" s="171"/>
      <c r="L14" s="525"/>
    </row>
    <row r="15" spans="1:13" x14ac:dyDescent="0.35">
      <c r="A15" s="1563">
        <v>1</v>
      </c>
      <c r="B15" s="860">
        <v>303</v>
      </c>
      <c r="C15" s="170" t="s">
        <v>82</v>
      </c>
      <c r="D15" s="164">
        <v>0</v>
      </c>
      <c r="E15" s="164">
        <v>0</v>
      </c>
      <c r="F15" s="164">
        <v>0</v>
      </c>
      <c r="G15" s="165">
        <v>0</v>
      </c>
      <c r="H15" s="165">
        <v>0</v>
      </c>
      <c r="I15" s="165">
        <v>0</v>
      </c>
      <c r="J15" s="165">
        <v>0</v>
      </c>
      <c r="K15" s="151">
        <f>SUM(D15:J15)</f>
        <v>0</v>
      </c>
      <c r="L15" s="525" t="s">
        <v>647</v>
      </c>
      <c r="M15" s="1563">
        <f>A15</f>
        <v>1</v>
      </c>
    </row>
    <row r="16" spans="1:13" x14ac:dyDescent="0.35">
      <c r="A16" s="1563">
        <f>A15+1</f>
        <v>2</v>
      </c>
      <c r="B16" s="525">
        <v>310.10000000000002</v>
      </c>
      <c r="C16" s="170" t="s">
        <v>83</v>
      </c>
      <c r="D16" s="166">
        <v>0</v>
      </c>
      <c r="E16" s="167">
        <v>0</v>
      </c>
      <c r="F16" s="167">
        <v>0</v>
      </c>
      <c r="G16" s="167">
        <v>0</v>
      </c>
      <c r="H16" s="167">
        <v>0</v>
      </c>
      <c r="I16" s="167">
        <v>0</v>
      </c>
      <c r="J16" s="167">
        <v>0</v>
      </c>
      <c r="K16" s="152">
        <f>SUM(D16:J16)</f>
        <v>0</v>
      </c>
      <c r="L16" s="525" t="s">
        <v>647</v>
      </c>
      <c r="M16" s="1563">
        <f>M15+1</f>
        <v>2</v>
      </c>
    </row>
    <row r="17" spans="1:13" x14ac:dyDescent="0.35">
      <c r="A17" s="1563">
        <f t="shared" ref="A17:A35" si="0">A16+1</f>
        <v>3</v>
      </c>
      <c r="B17" s="860">
        <v>340</v>
      </c>
      <c r="C17" s="861" t="s">
        <v>84</v>
      </c>
      <c r="D17" s="166">
        <v>0</v>
      </c>
      <c r="E17" s="1741">
        <v>4.5990200000000003</v>
      </c>
      <c r="F17" s="167">
        <v>0</v>
      </c>
      <c r="G17" s="167">
        <v>0</v>
      </c>
      <c r="H17" s="167">
        <v>0</v>
      </c>
      <c r="I17" s="167">
        <v>0</v>
      </c>
      <c r="J17" s="167">
        <v>0</v>
      </c>
      <c r="K17" s="168">
        <f>SUM(D17:J17)</f>
        <v>4.5990200000000003</v>
      </c>
      <c r="L17" s="525" t="s">
        <v>647</v>
      </c>
      <c r="M17" s="1563">
        <f t="shared" ref="M17:M35" si="1">M16+1</f>
        <v>3</v>
      </c>
    </row>
    <row r="18" spans="1:13" x14ac:dyDescent="0.35">
      <c r="A18" s="1563">
        <f t="shared" si="0"/>
        <v>4</v>
      </c>
      <c r="B18" s="860">
        <v>360</v>
      </c>
      <c r="C18" s="861" t="s">
        <v>84</v>
      </c>
      <c r="D18" s="166">
        <v>0</v>
      </c>
      <c r="E18" s="167">
        <v>0</v>
      </c>
      <c r="F18" s="1741">
        <v>3626.3653199999999</v>
      </c>
      <c r="G18" s="167">
        <v>0</v>
      </c>
      <c r="H18" s="167">
        <v>0</v>
      </c>
      <c r="I18" s="167">
        <v>0</v>
      </c>
      <c r="J18" s="167">
        <v>0</v>
      </c>
      <c r="K18" s="168">
        <f>SUM(D18:J18)</f>
        <v>3626.3653199999999</v>
      </c>
      <c r="L18" s="525" t="s">
        <v>647</v>
      </c>
      <c r="M18" s="1563">
        <f t="shared" si="1"/>
        <v>4</v>
      </c>
    </row>
    <row r="19" spans="1:13" x14ac:dyDescent="0.35">
      <c r="A19" s="1563">
        <f t="shared" si="0"/>
        <v>5</v>
      </c>
      <c r="B19" s="860">
        <v>361</v>
      </c>
      <c r="C19" s="170" t="s">
        <v>85</v>
      </c>
      <c r="D19" s="166">
        <v>0</v>
      </c>
      <c r="E19" s="167">
        <v>0</v>
      </c>
      <c r="F19" s="1741">
        <v>1492.2876200000001</v>
      </c>
      <c r="G19" s="167">
        <v>0</v>
      </c>
      <c r="H19" s="167">
        <v>0</v>
      </c>
      <c r="I19" s="167">
        <v>0</v>
      </c>
      <c r="J19" s="167">
        <v>0</v>
      </c>
      <c r="K19" s="168">
        <f>SUM(D19:J19)</f>
        <v>1492.2876200000001</v>
      </c>
      <c r="L19" s="525" t="s">
        <v>647</v>
      </c>
      <c r="M19" s="1563">
        <f t="shared" si="1"/>
        <v>5</v>
      </c>
    </row>
    <row r="20" spans="1:13" x14ac:dyDescent="0.35">
      <c r="A20" s="1563">
        <f t="shared" si="0"/>
        <v>6</v>
      </c>
      <c r="B20" s="525"/>
      <c r="C20" s="170"/>
      <c r="D20" s="169"/>
      <c r="E20" s="170"/>
      <c r="F20" s="170"/>
      <c r="G20" s="170"/>
      <c r="H20" s="170"/>
      <c r="I20" s="170"/>
      <c r="J20" s="627"/>
      <c r="K20" s="171"/>
      <c r="L20" s="525"/>
      <c r="M20" s="1563">
        <f t="shared" si="1"/>
        <v>6</v>
      </c>
    </row>
    <row r="21" spans="1:13" s="88" customFormat="1" x14ac:dyDescent="0.35">
      <c r="A21" s="1563">
        <f t="shared" si="0"/>
        <v>7</v>
      </c>
      <c r="B21" s="862" t="s">
        <v>86</v>
      </c>
      <c r="C21" s="863" t="s">
        <v>87</v>
      </c>
      <c r="D21" s="632">
        <f t="shared" ref="D21:I21" si="2">SUM(D15:D20)</f>
        <v>0</v>
      </c>
      <c r="E21" s="632">
        <f t="shared" si="2"/>
        <v>4.5990200000000003</v>
      </c>
      <c r="F21" s="632">
        <f t="shared" si="2"/>
        <v>5118.6529399999999</v>
      </c>
      <c r="G21" s="632">
        <f t="shared" si="2"/>
        <v>0</v>
      </c>
      <c r="H21" s="632">
        <f t="shared" si="2"/>
        <v>0</v>
      </c>
      <c r="I21" s="632">
        <f t="shared" si="2"/>
        <v>0</v>
      </c>
      <c r="J21" s="632">
        <f>SUM(J15:J20)</f>
        <v>0</v>
      </c>
      <c r="K21" s="633">
        <f>SUM(K15:K20)</f>
        <v>5123.2519599999996</v>
      </c>
      <c r="L21" s="876" t="s">
        <v>1048</v>
      </c>
      <c r="M21" s="1563">
        <f t="shared" si="1"/>
        <v>7</v>
      </c>
    </row>
    <row r="22" spans="1:13" x14ac:dyDescent="0.35">
      <c r="A22" s="1563">
        <f t="shared" si="0"/>
        <v>8</v>
      </c>
      <c r="B22" s="525"/>
      <c r="C22" s="170"/>
      <c r="D22" s="172"/>
      <c r="E22" s="173"/>
      <c r="F22" s="173"/>
      <c r="G22" s="173"/>
      <c r="H22" s="173"/>
      <c r="I22" s="173"/>
      <c r="J22" s="628"/>
      <c r="K22" s="171"/>
      <c r="L22" s="525"/>
      <c r="M22" s="1563">
        <f t="shared" si="1"/>
        <v>8</v>
      </c>
    </row>
    <row r="23" spans="1:13" x14ac:dyDescent="0.35">
      <c r="A23" s="1563">
        <f t="shared" si="0"/>
        <v>9</v>
      </c>
      <c r="B23" s="860">
        <v>350</v>
      </c>
      <c r="C23" s="170" t="s">
        <v>84</v>
      </c>
      <c r="D23" s="164">
        <v>256451.00883000001</v>
      </c>
      <c r="E23" s="165">
        <v>0</v>
      </c>
      <c r="F23" s="165"/>
      <c r="G23" s="165">
        <v>0</v>
      </c>
      <c r="H23" s="165">
        <v>0</v>
      </c>
      <c r="I23" s="165">
        <v>0</v>
      </c>
      <c r="J23" s="165">
        <v>-13536.05595</v>
      </c>
      <c r="K23" s="151">
        <f t="shared" ref="K23:K31" si="3">SUM(D23:J23)</f>
        <v>242914.95288</v>
      </c>
      <c r="L23" s="525" t="s">
        <v>647</v>
      </c>
      <c r="M23" s="1563">
        <f t="shared" si="1"/>
        <v>9</v>
      </c>
    </row>
    <row r="24" spans="1:13" x14ac:dyDescent="0.35">
      <c r="A24" s="1563">
        <f t="shared" si="0"/>
        <v>10</v>
      </c>
      <c r="B24" s="860">
        <v>352</v>
      </c>
      <c r="C24" s="170" t="s">
        <v>85</v>
      </c>
      <c r="D24" s="1740">
        <v>751849.02706999995</v>
      </c>
      <c r="E24" s="167">
        <v>0</v>
      </c>
      <c r="F24" s="167"/>
      <c r="G24" s="1740">
        <v>-1928.27782</v>
      </c>
      <c r="H24" s="167">
        <v>0</v>
      </c>
      <c r="I24" s="167">
        <v>0</v>
      </c>
      <c r="J24" s="1741">
        <v>-108169.02635</v>
      </c>
      <c r="K24" s="168">
        <f t="shared" si="3"/>
        <v>641751.72289999994</v>
      </c>
      <c r="L24" s="525" t="s">
        <v>647</v>
      </c>
      <c r="M24" s="1563">
        <f t="shared" si="1"/>
        <v>10</v>
      </c>
    </row>
    <row r="25" spans="1:13" x14ac:dyDescent="0.35">
      <c r="A25" s="1563">
        <f t="shared" si="0"/>
        <v>11</v>
      </c>
      <c r="B25" s="860">
        <v>353</v>
      </c>
      <c r="C25" s="170" t="s">
        <v>88</v>
      </c>
      <c r="D25" s="1740">
        <v>2172726.4284100002</v>
      </c>
      <c r="E25" s="167">
        <v>0</v>
      </c>
      <c r="F25" s="167"/>
      <c r="G25" s="1740">
        <v>-12009.877780000001</v>
      </c>
      <c r="H25" s="166">
        <v>-1420.3928800000001</v>
      </c>
      <c r="I25" s="167">
        <v>0</v>
      </c>
      <c r="J25" s="1741">
        <v>-2429.9854399999999</v>
      </c>
      <c r="K25" s="168">
        <f t="shared" si="3"/>
        <v>2156866.1723099998</v>
      </c>
      <c r="L25" s="525" t="s">
        <v>647</v>
      </c>
      <c r="M25" s="1563">
        <f t="shared" si="1"/>
        <v>11</v>
      </c>
    </row>
    <row r="26" spans="1:13" x14ac:dyDescent="0.35">
      <c r="A26" s="1563">
        <f t="shared" si="0"/>
        <v>12</v>
      </c>
      <c r="B26" s="860">
        <v>354</v>
      </c>
      <c r="C26" s="170" t="s">
        <v>89</v>
      </c>
      <c r="D26" s="1740">
        <v>929375.37323000003</v>
      </c>
      <c r="E26" s="167">
        <v>0</v>
      </c>
      <c r="F26" s="167"/>
      <c r="G26" s="167">
        <v>0</v>
      </c>
      <c r="H26" s="167">
        <v>0</v>
      </c>
      <c r="I26" s="167">
        <v>0</v>
      </c>
      <c r="J26" s="167">
        <v>0</v>
      </c>
      <c r="K26" s="168">
        <f t="shared" si="3"/>
        <v>929375.37323000003</v>
      </c>
      <c r="L26" s="525" t="s">
        <v>647</v>
      </c>
      <c r="M26" s="1563">
        <f t="shared" si="1"/>
        <v>12</v>
      </c>
    </row>
    <row r="27" spans="1:13" x14ac:dyDescent="0.35">
      <c r="A27" s="1563">
        <f t="shared" si="0"/>
        <v>13</v>
      </c>
      <c r="B27" s="860">
        <v>355</v>
      </c>
      <c r="C27" s="170" t="s">
        <v>90</v>
      </c>
      <c r="D27" s="1740">
        <v>982049.69038000004</v>
      </c>
      <c r="E27" s="167">
        <v>0</v>
      </c>
      <c r="F27" s="167"/>
      <c r="G27" s="167">
        <v>0</v>
      </c>
      <c r="H27" s="167">
        <v>0</v>
      </c>
      <c r="I27" s="167">
        <v>0</v>
      </c>
      <c r="J27" s="167">
        <v>0</v>
      </c>
      <c r="K27" s="168">
        <f t="shared" si="3"/>
        <v>982049.69038000004</v>
      </c>
      <c r="L27" s="525" t="s">
        <v>647</v>
      </c>
      <c r="M27" s="1563">
        <f t="shared" si="1"/>
        <v>13</v>
      </c>
    </row>
    <row r="28" spans="1:13" x14ac:dyDescent="0.35">
      <c r="A28" s="1563">
        <f t="shared" si="0"/>
        <v>14</v>
      </c>
      <c r="B28" s="860">
        <v>356</v>
      </c>
      <c r="C28" s="170" t="s">
        <v>91</v>
      </c>
      <c r="D28" s="1740">
        <v>867149.75026</v>
      </c>
      <c r="E28" s="167">
        <v>0</v>
      </c>
      <c r="F28" s="167"/>
      <c r="G28" s="167">
        <v>0</v>
      </c>
      <c r="H28" s="167">
        <v>0</v>
      </c>
      <c r="I28" s="167">
        <v>0</v>
      </c>
      <c r="J28" s="167">
        <v>0</v>
      </c>
      <c r="K28" s="168">
        <f t="shared" si="3"/>
        <v>867149.75026</v>
      </c>
      <c r="L28" s="525" t="s">
        <v>647</v>
      </c>
      <c r="M28" s="1563">
        <f t="shared" si="1"/>
        <v>14</v>
      </c>
    </row>
    <row r="29" spans="1:13" x14ac:dyDescent="0.35">
      <c r="A29" s="1563">
        <f t="shared" si="0"/>
        <v>15</v>
      </c>
      <c r="B29" s="860">
        <v>357</v>
      </c>
      <c r="C29" s="170" t="s">
        <v>92</v>
      </c>
      <c r="D29" s="1740">
        <v>560488.23855999997</v>
      </c>
      <c r="E29" s="167">
        <v>0</v>
      </c>
      <c r="F29" s="167"/>
      <c r="G29" s="167">
        <v>0</v>
      </c>
      <c r="H29" s="167">
        <v>0</v>
      </c>
      <c r="I29" s="167">
        <v>0</v>
      </c>
      <c r="J29" s="167">
        <v>0</v>
      </c>
      <c r="K29" s="168">
        <f t="shared" si="3"/>
        <v>560488.23855999997</v>
      </c>
      <c r="L29" s="525" t="s">
        <v>647</v>
      </c>
      <c r="M29" s="1563">
        <f t="shared" si="1"/>
        <v>15</v>
      </c>
    </row>
    <row r="30" spans="1:13" x14ac:dyDescent="0.35">
      <c r="A30" s="1563">
        <f t="shared" si="0"/>
        <v>16</v>
      </c>
      <c r="B30" s="860">
        <v>358</v>
      </c>
      <c r="C30" s="170" t="s">
        <v>93</v>
      </c>
      <c r="D30" s="1740">
        <v>570072.43382999999</v>
      </c>
      <c r="E30" s="167">
        <v>0</v>
      </c>
      <c r="F30" s="167"/>
      <c r="G30" s="1740">
        <v>-1726.37997</v>
      </c>
      <c r="H30" s="167">
        <v>0</v>
      </c>
      <c r="I30" s="167">
        <v>0</v>
      </c>
      <c r="J30" s="167">
        <v>0</v>
      </c>
      <c r="K30" s="168">
        <f t="shared" si="3"/>
        <v>568346.05385999999</v>
      </c>
      <c r="L30" s="525" t="s">
        <v>647</v>
      </c>
      <c r="M30" s="1563">
        <f t="shared" si="1"/>
        <v>16</v>
      </c>
    </row>
    <row r="31" spans="1:13" x14ac:dyDescent="0.35">
      <c r="A31" s="1563">
        <f t="shared" si="0"/>
        <v>17</v>
      </c>
      <c r="B31" s="860">
        <v>359</v>
      </c>
      <c r="C31" s="170" t="s">
        <v>94</v>
      </c>
      <c r="D31" s="1740">
        <v>380158.92129000003</v>
      </c>
      <c r="E31" s="167">
        <v>0</v>
      </c>
      <c r="F31" s="167"/>
      <c r="G31" s="167">
        <v>0</v>
      </c>
      <c r="H31" s="167">
        <v>0</v>
      </c>
      <c r="I31" s="167">
        <v>0</v>
      </c>
      <c r="J31" s="167">
        <v>0</v>
      </c>
      <c r="K31" s="168">
        <f t="shared" si="3"/>
        <v>380158.92129000003</v>
      </c>
      <c r="L31" s="525" t="s">
        <v>647</v>
      </c>
      <c r="M31" s="1563">
        <f t="shared" si="1"/>
        <v>17</v>
      </c>
    </row>
    <row r="32" spans="1:13" x14ac:dyDescent="0.35">
      <c r="A32" s="1563">
        <f t="shared" si="0"/>
        <v>18</v>
      </c>
      <c r="B32" s="860"/>
      <c r="C32" s="170"/>
      <c r="D32" s="172"/>
      <c r="F32" s="176"/>
      <c r="G32" s="176"/>
      <c r="H32" s="176"/>
      <c r="I32" s="176"/>
      <c r="J32" s="628"/>
      <c r="K32" s="181"/>
      <c r="L32" s="860"/>
      <c r="M32" s="1563">
        <f t="shared" si="1"/>
        <v>18</v>
      </c>
    </row>
    <row r="33" spans="1:13" x14ac:dyDescent="0.35">
      <c r="A33" s="1563">
        <f t="shared" si="0"/>
        <v>19</v>
      </c>
      <c r="B33" s="864" t="s">
        <v>86</v>
      </c>
      <c r="C33" s="863" t="s">
        <v>59</v>
      </c>
      <c r="D33" s="632">
        <f>SUM(D23:D32)</f>
        <v>7470320.8718600003</v>
      </c>
      <c r="E33" s="632">
        <f t="shared" ref="E33:F33" si="4">SUM(E23:E32)</f>
        <v>0</v>
      </c>
      <c r="F33" s="632">
        <f t="shared" si="4"/>
        <v>0</v>
      </c>
      <c r="G33" s="632">
        <f>SUM(G23:G32)</f>
        <v>-15664.53557</v>
      </c>
      <c r="H33" s="632">
        <f>SUM(H23:H32)</f>
        <v>-1420.3928800000001</v>
      </c>
      <c r="I33" s="632">
        <f>SUM(I23:I32)</f>
        <v>0</v>
      </c>
      <c r="J33" s="632">
        <f>SUM(J23:J32)</f>
        <v>-124135.06774</v>
      </c>
      <c r="K33" s="633">
        <f>SUM(K23:K32)</f>
        <v>7329100.875669999</v>
      </c>
      <c r="L33" s="924" t="s">
        <v>1158</v>
      </c>
      <c r="M33" s="1563">
        <f t="shared" si="1"/>
        <v>19</v>
      </c>
    </row>
    <row r="34" spans="1:13" x14ac:dyDescent="0.35">
      <c r="A34" s="1563">
        <f t="shared" si="0"/>
        <v>20</v>
      </c>
      <c r="B34" s="850"/>
      <c r="D34" s="85"/>
      <c r="J34" s="126"/>
      <c r="K34" s="126"/>
      <c r="L34" s="865"/>
      <c r="M34" s="1563">
        <f t="shared" si="1"/>
        <v>20</v>
      </c>
    </row>
    <row r="35" spans="1:13" x14ac:dyDescent="0.35">
      <c r="A35" s="1563">
        <f t="shared" si="0"/>
        <v>21</v>
      </c>
      <c r="B35" s="866" t="s">
        <v>95</v>
      </c>
      <c r="C35" s="867"/>
      <c r="D35" s="178">
        <f>D33+D21</f>
        <v>7470320.8718600003</v>
      </c>
      <c r="E35" s="178">
        <f>E33+E21</f>
        <v>4.5990200000000003</v>
      </c>
      <c r="F35" s="178">
        <f t="shared" ref="F35" si="5">F33+F21</f>
        <v>5118.6529399999999</v>
      </c>
      <c r="G35" s="178">
        <f>G33+G21</f>
        <v>-15664.53557</v>
      </c>
      <c r="H35" s="178">
        <f>H33+H21</f>
        <v>-1420.3928800000001</v>
      </c>
      <c r="I35" s="179">
        <f>I33+I21</f>
        <v>0</v>
      </c>
      <c r="J35" s="178">
        <f>J33+J21</f>
        <v>-124135.06774</v>
      </c>
      <c r="K35" s="180">
        <f>K33+K21</f>
        <v>7334224.1276299991</v>
      </c>
      <c r="L35" s="876" t="s">
        <v>1159</v>
      </c>
      <c r="M35" s="1563">
        <f t="shared" si="1"/>
        <v>21</v>
      </c>
    </row>
    <row r="36" spans="1:13" x14ac:dyDescent="0.35">
      <c r="D36" s="79"/>
    </row>
    <row r="37" spans="1:13" x14ac:dyDescent="0.35">
      <c r="D37" s="79"/>
    </row>
    <row r="38" spans="1:13" x14ac:dyDescent="0.35">
      <c r="B38" s="695" t="s">
        <v>911</v>
      </c>
      <c r="D38" s="79"/>
      <c r="K38" s="795"/>
      <c r="L38" s="795"/>
    </row>
    <row r="39" spans="1:13" x14ac:dyDescent="0.35">
      <c r="D39" s="79"/>
    </row>
    <row r="40" spans="1:13" x14ac:dyDescent="0.35">
      <c r="D40" s="79"/>
    </row>
    <row r="41" spans="1:13" x14ac:dyDescent="0.35">
      <c r="D41" s="79"/>
    </row>
    <row r="42" spans="1:13" x14ac:dyDescent="0.35">
      <c r="D42" s="79"/>
    </row>
    <row r="43" spans="1:13" x14ac:dyDescent="0.35">
      <c r="D43" s="79"/>
    </row>
    <row r="44" spans="1:13" x14ac:dyDescent="0.35">
      <c r="D44" s="79"/>
    </row>
    <row r="45" spans="1:13" x14ac:dyDescent="0.35">
      <c r="D45" s="79"/>
    </row>
    <row r="46" spans="1:13" x14ac:dyDescent="0.35">
      <c r="D46" s="79"/>
    </row>
    <row r="47" spans="1:13" x14ac:dyDescent="0.35">
      <c r="D47" s="79"/>
    </row>
    <row r="48" spans="1:13" x14ac:dyDescent="0.35">
      <c r="D48" s="79"/>
    </row>
    <row r="49" spans="4:4" x14ac:dyDescent="0.35">
      <c r="D49" s="79"/>
    </row>
    <row r="50" spans="4:4" x14ac:dyDescent="0.35">
      <c r="D50" s="79"/>
    </row>
    <row r="51" spans="4:4" x14ac:dyDescent="0.35">
      <c r="D51" s="79"/>
    </row>
    <row r="52" spans="4:4" x14ac:dyDescent="0.35">
      <c r="D52" s="79"/>
    </row>
    <row r="53" spans="4:4" x14ac:dyDescent="0.35">
      <c r="D53" s="79"/>
    </row>
    <row r="54" spans="4:4" x14ac:dyDescent="0.35">
      <c r="D54" s="79"/>
    </row>
    <row r="55" spans="4:4" x14ac:dyDescent="0.35">
      <c r="D55" s="79"/>
    </row>
    <row r="56" spans="4:4" x14ac:dyDescent="0.35">
      <c r="D56" s="79"/>
    </row>
    <row r="57" spans="4:4" x14ac:dyDescent="0.35">
      <c r="D57" s="79"/>
    </row>
    <row r="58" spans="4:4" x14ac:dyDescent="0.35">
      <c r="D58" s="79"/>
    </row>
    <row r="59" spans="4:4" x14ac:dyDescent="0.35">
      <c r="D59" s="79"/>
    </row>
    <row r="60" spans="4:4" x14ac:dyDescent="0.35">
      <c r="D60" s="79"/>
    </row>
    <row r="61" spans="4:4" x14ac:dyDescent="0.35">
      <c r="D61" s="79"/>
    </row>
    <row r="62" spans="4:4" x14ac:dyDescent="0.35">
      <c r="D62" s="79"/>
    </row>
    <row r="63" spans="4:4" x14ac:dyDescent="0.35">
      <c r="D63" s="79"/>
    </row>
    <row r="64" spans="4:4" x14ac:dyDescent="0.35">
      <c r="D64" s="79"/>
    </row>
    <row r="65" spans="4:4" x14ac:dyDescent="0.35">
      <c r="D65" s="79"/>
    </row>
    <row r="66" spans="4:4" x14ac:dyDescent="0.35">
      <c r="D66" s="79"/>
    </row>
    <row r="67" spans="4:4" x14ac:dyDescent="0.35">
      <c r="D67" s="79"/>
    </row>
    <row r="68" spans="4:4" x14ac:dyDescent="0.35">
      <c r="D68" s="79"/>
    </row>
    <row r="69" spans="4:4" x14ac:dyDescent="0.35">
      <c r="D69" s="79"/>
    </row>
    <row r="70" spans="4:4" x14ac:dyDescent="0.35">
      <c r="D70" s="79"/>
    </row>
    <row r="71" spans="4:4" x14ac:dyDescent="0.35">
      <c r="D71" s="79"/>
    </row>
    <row r="72" spans="4:4" x14ac:dyDescent="0.35">
      <c r="D72" s="79"/>
    </row>
    <row r="73" spans="4:4" x14ac:dyDescent="0.35">
      <c r="D73" s="79"/>
    </row>
    <row r="74" spans="4:4" x14ac:dyDescent="0.35">
      <c r="D74" s="79"/>
    </row>
    <row r="75" spans="4:4" x14ac:dyDescent="0.35">
      <c r="D75" s="79"/>
    </row>
    <row r="76" spans="4:4" x14ac:dyDescent="0.35">
      <c r="D76" s="79"/>
    </row>
    <row r="77" spans="4:4" x14ac:dyDescent="0.35">
      <c r="D77" s="79"/>
    </row>
    <row r="78" spans="4:4" x14ac:dyDescent="0.35">
      <c r="D78" s="79"/>
    </row>
    <row r="79" spans="4:4" x14ac:dyDescent="0.35">
      <c r="D79" s="79"/>
    </row>
    <row r="80" spans="4:4" x14ac:dyDescent="0.35">
      <c r="D80" s="79"/>
    </row>
    <row r="81" spans="4:4" x14ac:dyDescent="0.35">
      <c r="D81" s="79"/>
    </row>
    <row r="82" spans="4:4" x14ac:dyDescent="0.35">
      <c r="D82" s="79"/>
    </row>
    <row r="83" spans="4:4" x14ac:dyDescent="0.35">
      <c r="D83" s="79"/>
    </row>
    <row r="84" spans="4:4" x14ac:dyDescent="0.35">
      <c r="D84" s="79"/>
    </row>
    <row r="85" spans="4:4" x14ac:dyDescent="0.35">
      <c r="D85" s="79"/>
    </row>
    <row r="86" spans="4:4" x14ac:dyDescent="0.35">
      <c r="D86" s="79"/>
    </row>
    <row r="87" spans="4:4" x14ac:dyDescent="0.35">
      <c r="D87" s="79"/>
    </row>
    <row r="88" spans="4:4" x14ac:dyDescent="0.35">
      <c r="D88" s="79"/>
    </row>
    <row r="89" spans="4:4" x14ac:dyDescent="0.35">
      <c r="D89" s="79"/>
    </row>
    <row r="90" spans="4:4" x14ac:dyDescent="0.35">
      <c r="D90" s="79"/>
    </row>
    <row r="91" spans="4:4" x14ac:dyDescent="0.35">
      <c r="D91" s="79"/>
    </row>
    <row r="92" spans="4:4" x14ac:dyDescent="0.35">
      <c r="D92" s="79"/>
    </row>
    <row r="93" spans="4:4" x14ac:dyDescent="0.35">
      <c r="D93" s="79"/>
    </row>
    <row r="94" spans="4:4" x14ac:dyDescent="0.35">
      <c r="D94" s="79"/>
    </row>
    <row r="95" spans="4:4" x14ac:dyDescent="0.35">
      <c r="D95" s="79"/>
    </row>
    <row r="96" spans="4:4" x14ac:dyDescent="0.35">
      <c r="D96" s="79"/>
    </row>
    <row r="97" spans="4:4" x14ac:dyDescent="0.35">
      <c r="D97" s="79"/>
    </row>
    <row r="98" spans="4:4" x14ac:dyDescent="0.35">
      <c r="D98" s="79"/>
    </row>
    <row r="99" spans="4:4" x14ac:dyDescent="0.35">
      <c r="D99" s="79"/>
    </row>
    <row r="100" spans="4:4" x14ac:dyDescent="0.35">
      <c r="D100" s="79"/>
    </row>
    <row r="101" spans="4:4" x14ac:dyDescent="0.35">
      <c r="D101" s="79"/>
    </row>
    <row r="102" spans="4:4" x14ac:dyDescent="0.35">
      <c r="D102" s="79"/>
    </row>
    <row r="103" spans="4:4" x14ac:dyDescent="0.35">
      <c r="D103" s="79"/>
    </row>
    <row r="104" spans="4:4" x14ac:dyDescent="0.35">
      <c r="D104" s="79"/>
    </row>
    <row r="105" spans="4:4" x14ac:dyDescent="0.35">
      <c r="D105" s="79"/>
    </row>
    <row r="106" spans="4:4" x14ac:dyDescent="0.35">
      <c r="D106" s="79"/>
    </row>
    <row r="107" spans="4:4" x14ac:dyDescent="0.35">
      <c r="D107" s="79"/>
    </row>
    <row r="108" spans="4:4" x14ac:dyDescent="0.35">
      <c r="D108" s="79"/>
    </row>
    <row r="109" spans="4:4" x14ac:dyDescent="0.35">
      <c r="D109" s="79"/>
    </row>
    <row r="110" spans="4:4" x14ac:dyDescent="0.35">
      <c r="D110" s="79"/>
    </row>
    <row r="111" spans="4:4" x14ac:dyDescent="0.35">
      <c r="D111" s="79"/>
    </row>
    <row r="112" spans="4:4" x14ac:dyDescent="0.35">
      <c r="D112" s="79"/>
    </row>
    <row r="113" spans="4:4" x14ac:dyDescent="0.35">
      <c r="D113" s="79"/>
    </row>
    <row r="114" spans="4:4" x14ac:dyDescent="0.35">
      <c r="D114" s="79"/>
    </row>
    <row r="115" spans="4:4" x14ac:dyDescent="0.35">
      <c r="D115" s="79"/>
    </row>
    <row r="116" spans="4:4" x14ac:dyDescent="0.35">
      <c r="D116" s="79"/>
    </row>
    <row r="117" spans="4:4" x14ac:dyDescent="0.35">
      <c r="D117" s="79"/>
    </row>
    <row r="118" spans="4:4" x14ac:dyDescent="0.35">
      <c r="D118" s="79"/>
    </row>
    <row r="119" spans="4:4" x14ac:dyDescent="0.35">
      <c r="D119" s="79"/>
    </row>
    <row r="120" spans="4:4" x14ac:dyDescent="0.35">
      <c r="D120" s="79"/>
    </row>
    <row r="121" spans="4:4" x14ac:dyDescent="0.35">
      <c r="D121" s="79"/>
    </row>
    <row r="122" spans="4:4" x14ac:dyDescent="0.35">
      <c r="D122" s="79"/>
    </row>
    <row r="123" spans="4:4" x14ac:dyDescent="0.35">
      <c r="D123" s="79"/>
    </row>
    <row r="124" spans="4:4" x14ac:dyDescent="0.35">
      <c r="D124" s="79"/>
    </row>
    <row r="125" spans="4:4" x14ac:dyDescent="0.35">
      <c r="D125" s="79"/>
    </row>
    <row r="126" spans="4:4" x14ac:dyDescent="0.35">
      <c r="D126" s="79"/>
    </row>
    <row r="127" spans="4:4" x14ac:dyDescent="0.35">
      <c r="D127" s="79"/>
    </row>
    <row r="128" spans="4:4" x14ac:dyDescent="0.35">
      <c r="D128" s="79"/>
    </row>
    <row r="129" spans="4:4" x14ac:dyDescent="0.35">
      <c r="D129" s="79"/>
    </row>
    <row r="130" spans="4:4" x14ac:dyDescent="0.35">
      <c r="D130" s="79"/>
    </row>
    <row r="131" spans="4:4" x14ac:dyDescent="0.35">
      <c r="D131" s="79"/>
    </row>
    <row r="132" spans="4:4" x14ac:dyDescent="0.35">
      <c r="D132" s="79"/>
    </row>
    <row r="133" spans="4:4" x14ac:dyDescent="0.35">
      <c r="D133" s="79"/>
    </row>
    <row r="134" spans="4:4" x14ac:dyDescent="0.35">
      <c r="D134" s="79"/>
    </row>
    <row r="135" spans="4:4" x14ac:dyDescent="0.35">
      <c r="D135" s="79"/>
    </row>
    <row r="136" spans="4:4" x14ac:dyDescent="0.35">
      <c r="D136" s="79"/>
    </row>
    <row r="137" spans="4:4" x14ac:dyDescent="0.35">
      <c r="D137" s="79"/>
    </row>
    <row r="138" spans="4:4" x14ac:dyDescent="0.35">
      <c r="D138" s="79"/>
    </row>
    <row r="139" spans="4:4" x14ac:dyDescent="0.35">
      <c r="D139" s="79"/>
    </row>
    <row r="140" spans="4:4" x14ac:dyDescent="0.35">
      <c r="D140" s="79"/>
    </row>
    <row r="141" spans="4:4" x14ac:dyDescent="0.35">
      <c r="D141" s="79"/>
    </row>
    <row r="142" spans="4:4" x14ac:dyDescent="0.35">
      <c r="D142" s="79"/>
    </row>
    <row r="143" spans="4:4" x14ac:dyDescent="0.35">
      <c r="D143" s="79"/>
    </row>
    <row r="144" spans="4:4" x14ac:dyDescent="0.35">
      <c r="D144" s="79"/>
    </row>
    <row r="145" spans="4:4" x14ac:dyDescent="0.35">
      <c r="D145" s="79"/>
    </row>
    <row r="146" spans="4:4" x14ac:dyDescent="0.35">
      <c r="D146" s="79"/>
    </row>
    <row r="147" spans="4:4" x14ac:dyDescent="0.35">
      <c r="D147" s="79"/>
    </row>
    <row r="148" spans="4:4" x14ac:dyDescent="0.35">
      <c r="D148" s="79"/>
    </row>
    <row r="149" spans="4:4" x14ac:dyDescent="0.35">
      <c r="D149" s="79"/>
    </row>
    <row r="150" spans="4:4" x14ac:dyDescent="0.35">
      <c r="D150" s="79"/>
    </row>
    <row r="151" spans="4:4" x14ac:dyDescent="0.35">
      <c r="D151" s="79"/>
    </row>
    <row r="152" spans="4:4" x14ac:dyDescent="0.35">
      <c r="D152" s="79"/>
    </row>
    <row r="153" spans="4:4" x14ac:dyDescent="0.35">
      <c r="D153" s="79"/>
    </row>
    <row r="154" spans="4:4" x14ac:dyDescent="0.35">
      <c r="D154" s="79"/>
    </row>
    <row r="155" spans="4:4" x14ac:dyDescent="0.35">
      <c r="D155" s="79"/>
    </row>
    <row r="156" spans="4:4" x14ac:dyDescent="0.35">
      <c r="D156" s="79"/>
    </row>
    <row r="157" spans="4:4" x14ac:dyDescent="0.35">
      <c r="D157" s="79"/>
    </row>
    <row r="158" spans="4:4" x14ac:dyDescent="0.35">
      <c r="D158" s="79"/>
    </row>
    <row r="159" spans="4:4" x14ac:dyDescent="0.35">
      <c r="D159" s="79"/>
    </row>
    <row r="160" spans="4:4" x14ac:dyDescent="0.35">
      <c r="D160" s="79"/>
    </row>
    <row r="161" spans="4:4" x14ac:dyDescent="0.35">
      <c r="D161" s="79"/>
    </row>
    <row r="162" spans="4:4" x14ac:dyDescent="0.35">
      <c r="D162" s="79"/>
    </row>
    <row r="163" spans="4:4" x14ac:dyDescent="0.35">
      <c r="D163" s="79"/>
    </row>
    <row r="164" spans="4:4" x14ac:dyDescent="0.35">
      <c r="D164" s="79"/>
    </row>
    <row r="165" spans="4:4" x14ac:dyDescent="0.35">
      <c r="D165" s="79"/>
    </row>
    <row r="166" spans="4:4" x14ac:dyDescent="0.35">
      <c r="D166" s="79"/>
    </row>
    <row r="167" spans="4:4" x14ac:dyDescent="0.35">
      <c r="D167" s="79"/>
    </row>
    <row r="168" spans="4:4" x14ac:dyDescent="0.35">
      <c r="D168" s="79"/>
    </row>
    <row r="169" spans="4:4" x14ac:dyDescent="0.35">
      <c r="D169" s="79"/>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39"/>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3" customWidth="1"/>
    <col min="5" max="5" width="18.54296875" style="88" customWidth="1"/>
    <col min="6" max="6" width="62.54296875" style="88"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8" x14ac:dyDescent="0.35">
      <c r="B2" s="2289" t="s">
        <v>18</v>
      </c>
      <c r="C2" s="2289"/>
      <c r="D2" s="2289"/>
      <c r="E2" s="2289"/>
      <c r="F2" s="2289"/>
    </row>
    <row r="3" spans="1:8" x14ac:dyDescent="0.35">
      <c r="B3" s="2289" t="s">
        <v>19</v>
      </c>
      <c r="C3" s="2289"/>
      <c r="D3" s="2289"/>
      <c r="E3" s="2289"/>
      <c r="F3" s="2289"/>
    </row>
    <row r="4" spans="1:8" x14ac:dyDescent="0.35">
      <c r="B4" s="2289" t="s">
        <v>20</v>
      </c>
      <c r="C4" s="2289"/>
      <c r="D4" s="2289"/>
      <c r="E4" s="2289"/>
      <c r="F4" s="2289"/>
    </row>
    <row r="5" spans="1:8" x14ac:dyDescent="0.35">
      <c r="B5" s="2289" t="s">
        <v>1590</v>
      </c>
      <c r="C5" s="2289"/>
      <c r="D5" s="2289"/>
      <c r="E5" s="2289"/>
      <c r="F5" s="2289"/>
    </row>
    <row r="6" spans="1:8" x14ac:dyDescent="0.35">
      <c r="B6" s="2292" t="s">
        <v>2</v>
      </c>
      <c r="C6" s="2292"/>
      <c r="D6" s="2292"/>
      <c r="E6" s="2292"/>
      <c r="F6" s="2292"/>
    </row>
    <row r="7" spans="1:8" x14ac:dyDescent="0.35">
      <c r="B7" s="752"/>
      <c r="C7" s="753"/>
      <c r="D7" s="753"/>
      <c r="E7" s="752"/>
      <c r="F7" s="752"/>
    </row>
    <row r="8" spans="1:8" ht="15.5" x14ac:dyDescent="0.35">
      <c r="B8" s="2289" t="s">
        <v>96</v>
      </c>
      <c r="C8" s="2282"/>
      <c r="D8" s="2282"/>
      <c r="E8" s="2282"/>
      <c r="F8" s="2282"/>
    </row>
    <row r="10" spans="1:8" x14ac:dyDescent="0.35">
      <c r="B10" s="756"/>
      <c r="C10" s="757" t="s">
        <v>31</v>
      </c>
      <c r="D10" s="798"/>
      <c r="E10" s="757"/>
      <c r="F10" s="798"/>
    </row>
    <row r="11" spans="1:8" x14ac:dyDescent="0.35">
      <c r="B11" s="759"/>
      <c r="C11" s="765" t="s">
        <v>97</v>
      </c>
      <c r="D11" s="799"/>
      <c r="E11" s="765" t="s">
        <v>97</v>
      </c>
      <c r="F11" s="799"/>
    </row>
    <row r="12" spans="1:8" ht="15.5" x14ac:dyDescent="0.35">
      <c r="A12" s="182"/>
      <c r="B12" s="764"/>
      <c r="C12" s="595" t="s">
        <v>61</v>
      </c>
      <c r="D12" s="799"/>
      <c r="E12" s="765" t="s">
        <v>60</v>
      </c>
      <c r="F12" s="799"/>
      <c r="G12" s="1563"/>
    </row>
    <row r="13" spans="1:8" ht="15.5" x14ac:dyDescent="0.35">
      <c r="A13" s="182" t="s">
        <v>3</v>
      </c>
      <c r="B13" s="764"/>
      <c r="C13" s="595" t="s">
        <v>58</v>
      </c>
      <c r="D13" s="760"/>
      <c r="E13" s="765" t="s">
        <v>58</v>
      </c>
      <c r="F13" s="760"/>
      <c r="G13" s="1563" t="s">
        <v>3</v>
      </c>
    </row>
    <row r="14" spans="1:8" ht="15.5" x14ac:dyDescent="0.35">
      <c r="A14" s="182" t="s">
        <v>25</v>
      </c>
      <c r="B14" s="766" t="s">
        <v>23</v>
      </c>
      <c r="C14" s="767" t="s">
        <v>36</v>
      </c>
      <c r="D14" s="768" t="s">
        <v>9</v>
      </c>
      <c r="E14" s="878" t="s">
        <v>35</v>
      </c>
      <c r="F14" s="768" t="s">
        <v>9</v>
      </c>
      <c r="G14" s="1563" t="s">
        <v>25</v>
      </c>
    </row>
    <row r="15" spans="1:8" ht="15.5" x14ac:dyDescent="0.35">
      <c r="A15" s="182">
        <v>1</v>
      </c>
      <c r="B15" s="1747" t="str">
        <f>'AD-1'!B14</f>
        <v>Dec-20</v>
      </c>
      <c r="C15" s="151">
        <v>0</v>
      </c>
      <c r="D15" s="1596" t="s">
        <v>647</v>
      </c>
      <c r="E15" s="183">
        <v>0</v>
      </c>
      <c r="F15" s="801" t="s">
        <v>647</v>
      </c>
      <c r="G15" s="1563">
        <f>A15</f>
        <v>1</v>
      </c>
      <c r="H15" s="794"/>
    </row>
    <row r="16" spans="1:8" ht="15.5" x14ac:dyDescent="0.35">
      <c r="A16" s="182">
        <f>A15+1</f>
        <v>2</v>
      </c>
      <c r="B16" s="1747" t="str">
        <f>'AD-1'!B15</f>
        <v>Jan-21</v>
      </c>
      <c r="C16" s="152">
        <v>0</v>
      </c>
      <c r="D16" s="800"/>
      <c r="E16" s="184">
        <v>0</v>
      </c>
      <c r="F16" s="801"/>
      <c r="G16" s="1563">
        <f>G15+1</f>
        <v>2</v>
      </c>
      <c r="H16" s="794"/>
    </row>
    <row r="17" spans="1:26" ht="15.5" x14ac:dyDescent="0.35">
      <c r="A17" s="182">
        <f t="shared" ref="A17:A33" si="0">A16+1</f>
        <v>3</v>
      </c>
      <c r="B17" s="959" t="s">
        <v>37</v>
      </c>
      <c r="C17" s="152">
        <v>0</v>
      </c>
      <c r="D17" s="800"/>
      <c r="E17" s="184">
        <v>0</v>
      </c>
      <c r="F17" s="801"/>
      <c r="G17" s="1563">
        <f t="shared" ref="G17:G33" si="1">G16+1</f>
        <v>3</v>
      </c>
      <c r="H17" s="794"/>
    </row>
    <row r="18" spans="1:26" ht="15.5" x14ac:dyDescent="0.35">
      <c r="A18" s="182">
        <f t="shared" si="0"/>
        <v>4</v>
      </c>
      <c r="B18" s="959" t="s">
        <v>38</v>
      </c>
      <c r="C18" s="152">
        <v>0</v>
      </c>
      <c r="D18" s="800"/>
      <c r="E18" s="184">
        <v>0</v>
      </c>
      <c r="F18" s="801"/>
      <c r="G18" s="1563">
        <f t="shared" si="1"/>
        <v>4</v>
      </c>
      <c r="H18" s="794"/>
    </row>
    <row r="19" spans="1:26" ht="15.5" x14ac:dyDescent="0.35">
      <c r="A19" s="182">
        <f t="shared" si="0"/>
        <v>5</v>
      </c>
      <c r="B19" s="959" t="s">
        <v>39</v>
      </c>
      <c r="C19" s="152">
        <v>0</v>
      </c>
      <c r="D19" s="800"/>
      <c r="E19" s="184">
        <v>0</v>
      </c>
      <c r="F19" s="801"/>
      <c r="G19" s="1563">
        <f t="shared" si="1"/>
        <v>5</v>
      </c>
      <c r="H19" s="794"/>
    </row>
    <row r="20" spans="1:26" ht="15.5" x14ac:dyDescent="0.35">
      <c r="A20" s="182">
        <f t="shared" si="0"/>
        <v>6</v>
      </c>
      <c r="B20" s="959" t="s">
        <v>40</v>
      </c>
      <c r="C20" s="152">
        <v>0</v>
      </c>
      <c r="D20" s="800"/>
      <c r="E20" s="184">
        <v>0</v>
      </c>
      <c r="F20" s="801"/>
      <c r="G20" s="1563">
        <f t="shared" si="1"/>
        <v>6</v>
      </c>
      <c r="H20" s="794"/>
    </row>
    <row r="21" spans="1:26" ht="15.5" x14ac:dyDescent="0.35">
      <c r="A21" s="182">
        <f>A20+1</f>
        <v>7</v>
      </c>
      <c r="B21" s="959" t="s">
        <v>41</v>
      </c>
      <c r="C21" s="152">
        <v>0</v>
      </c>
      <c r="D21" s="800"/>
      <c r="E21" s="184">
        <v>0</v>
      </c>
      <c r="F21" s="801"/>
      <c r="G21" s="1563">
        <f>G20+1</f>
        <v>7</v>
      </c>
      <c r="H21" s="794"/>
    </row>
    <row r="22" spans="1:26" ht="15.5" x14ac:dyDescent="0.35">
      <c r="A22" s="182">
        <f t="shared" si="0"/>
        <v>8</v>
      </c>
      <c r="B22" s="959" t="s">
        <v>42</v>
      </c>
      <c r="C22" s="152">
        <v>0</v>
      </c>
      <c r="D22" s="800"/>
      <c r="E22" s="184">
        <v>0</v>
      </c>
      <c r="F22" s="801"/>
      <c r="G22" s="1563">
        <f t="shared" si="1"/>
        <v>8</v>
      </c>
      <c r="H22" s="794"/>
    </row>
    <row r="23" spans="1:26" ht="15.5" x14ac:dyDescent="0.35">
      <c r="A23" s="182">
        <f t="shared" si="0"/>
        <v>9</v>
      </c>
      <c r="B23" s="959" t="s">
        <v>43</v>
      </c>
      <c r="C23" s="152">
        <v>0</v>
      </c>
      <c r="D23" s="800"/>
      <c r="E23" s="184">
        <v>0</v>
      </c>
      <c r="F23" s="801"/>
      <c r="G23" s="1563">
        <f t="shared" si="1"/>
        <v>9</v>
      </c>
      <c r="H23" s="794"/>
      <c r="N23" s="109"/>
      <c r="O23" s="109"/>
      <c r="P23" s="109"/>
      <c r="Q23" s="109"/>
      <c r="R23" s="109"/>
      <c r="S23" s="109"/>
      <c r="T23" s="109"/>
      <c r="U23" s="109"/>
      <c r="V23" s="109"/>
      <c r="W23" s="109"/>
      <c r="X23" s="109"/>
      <c r="Y23" s="109"/>
      <c r="Z23" s="109"/>
    </row>
    <row r="24" spans="1:26" ht="15.5" x14ac:dyDescent="0.35">
      <c r="A24" s="182">
        <f t="shared" si="0"/>
        <v>10</v>
      </c>
      <c r="B24" s="959" t="s">
        <v>44</v>
      </c>
      <c r="C24" s="152">
        <v>0</v>
      </c>
      <c r="D24" s="800"/>
      <c r="E24" s="184">
        <v>0</v>
      </c>
      <c r="F24" s="801"/>
      <c r="G24" s="1563">
        <f t="shared" si="1"/>
        <v>10</v>
      </c>
      <c r="H24" s="794"/>
    </row>
    <row r="25" spans="1:26" ht="15.5" x14ac:dyDescent="0.35">
      <c r="A25" s="182">
        <f t="shared" si="0"/>
        <v>11</v>
      </c>
      <c r="B25" s="959" t="s">
        <v>45</v>
      </c>
      <c r="C25" s="152">
        <v>0</v>
      </c>
      <c r="D25" s="800"/>
      <c r="E25" s="184">
        <v>0</v>
      </c>
      <c r="F25" s="801"/>
      <c r="G25" s="1563">
        <f t="shared" si="1"/>
        <v>11</v>
      </c>
      <c r="H25" s="794"/>
    </row>
    <row r="26" spans="1:26" ht="15.5" x14ac:dyDescent="0.35">
      <c r="A26" s="182">
        <f t="shared" si="0"/>
        <v>12</v>
      </c>
      <c r="B26" s="959" t="s">
        <v>46</v>
      </c>
      <c r="C26" s="152">
        <v>0</v>
      </c>
      <c r="D26" s="800"/>
      <c r="E26" s="184">
        <v>0</v>
      </c>
      <c r="F26" s="801"/>
      <c r="G26" s="1563">
        <f t="shared" si="1"/>
        <v>12</v>
      </c>
      <c r="H26" s="794"/>
    </row>
    <row r="27" spans="1:26" ht="15.5" x14ac:dyDescent="0.35">
      <c r="A27" s="182">
        <f t="shared" si="0"/>
        <v>13</v>
      </c>
      <c r="B27" s="1748" t="str">
        <f>'AD-1'!B26</f>
        <v>Dec-21</v>
      </c>
      <c r="C27" s="154">
        <v>0</v>
      </c>
      <c r="D27" s="1597" t="s">
        <v>647</v>
      </c>
      <c r="E27" s="154">
        <v>0</v>
      </c>
      <c r="F27" s="1598" t="s">
        <v>647</v>
      </c>
      <c r="G27" s="1563">
        <f t="shared" si="1"/>
        <v>13</v>
      </c>
      <c r="H27" s="794"/>
    </row>
    <row r="28" spans="1:26" ht="15.5" x14ac:dyDescent="0.35">
      <c r="A28" s="182">
        <f t="shared" si="0"/>
        <v>14</v>
      </c>
      <c r="B28" s="776"/>
      <c r="C28" s="155"/>
      <c r="D28" s="804"/>
      <c r="E28" s="157"/>
      <c r="F28" s="805"/>
      <c r="G28" s="1563">
        <f t="shared" si="1"/>
        <v>14</v>
      </c>
      <c r="H28" s="794"/>
    </row>
    <row r="29" spans="1:26" ht="15.5" x14ac:dyDescent="0.35">
      <c r="A29" s="182">
        <f t="shared" si="0"/>
        <v>15</v>
      </c>
      <c r="B29" s="776" t="s">
        <v>47</v>
      </c>
      <c r="C29" s="156">
        <f>SUM(C15:C27)</f>
        <v>0</v>
      </c>
      <c r="D29" s="1596" t="s">
        <v>1146</v>
      </c>
      <c r="E29" s="156">
        <f>SUM(E15:E27)</f>
        <v>0</v>
      </c>
      <c r="F29" s="1599" t="s">
        <v>1146</v>
      </c>
      <c r="G29" s="1563">
        <f t="shared" si="1"/>
        <v>15</v>
      </c>
      <c r="H29" s="794"/>
    </row>
    <row r="30" spans="1:26" ht="15.5" x14ac:dyDescent="0.35">
      <c r="A30" s="182">
        <f t="shared" si="0"/>
        <v>16</v>
      </c>
      <c r="B30" s="781"/>
      <c r="C30" s="158"/>
      <c r="D30" s="265"/>
      <c r="E30" s="185"/>
      <c r="F30" s="879"/>
      <c r="G30" s="1563">
        <f t="shared" si="1"/>
        <v>16</v>
      </c>
      <c r="H30" s="794"/>
    </row>
    <row r="31" spans="1:26" ht="15.5" x14ac:dyDescent="0.35">
      <c r="A31" s="182">
        <f t="shared" si="0"/>
        <v>17</v>
      </c>
      <c r="B31" s="776"/>
      <c r="C31" s="157"/>
      <c r="D31" s="264"/>
      <c r="E31" s="157"/>
      <c r="F31" s="806"/>
      <c r="G31" s="1563">
        <f t="shared" si="1"/>
        <v>17</v>
      </c>
      <c r="H31" s="794"/>
    </row>
    <row r="32" spans="1:26" ht="15.5" x14ac:dyDescent="0.35">
      <c r="A32" s="182">
        <f t="shared" si="0"/>
        <v>18</v>
      </c>
      <c r="B32" s="776" t="s">
        <v>48</v>
      </c>
      <c r="C32" s="159">
        <f>C29/13</f>
        <v>0</v>
      </c>
      <c r="D32" s="1596" t="s">
        <v>1148</v>
      </c>
      <c r="E32" s="159">
        <f>E29/13</f>
        <v>0</v>
      </c>
      <c r="F32" s="1599" t="s">
        <v>1148</v>
      </c>
      <c r="G32" s="1563">
        <f t="shared" si="1"/>
        <v>18</v>
      </c>
      <c r="H32" s="794"/>
    </row>
    <row r="33" spans="1:8" ht="15.5" x14ac:dyDescent="0.35">
      <c r="A33" s="182">
        <f t="shared" si="0"/>
        <v>19</v>
      </c>
      <c r="B33" s="781"/>
      <c r="C33" s="158"/>
      <c r="D33" s="266"/>
      <c r="E33" s="185"/>
      <c r="F33" s="879"/>
      <c r="G33" s="1563">
        <f t="shared" si="1"/>
        <v>19</v>
      </c>
      <c r="H33" s="794"/>
    </row>
    <row r="34" spans="1:8" ht="15.5" x14ac:dyDescent="0.35">
      <c r="B34" s="79"/>
      <c r="C34" s="795"/>
      <c r="D34" s="795"/>
      <c r="E34" s="795"/>
      <c r="F34" s="796"/>
      <c r="G34" s="1581"/>
      <c r="H34" s="794"/>
    </row>
    <row r="35" spans="1:8" ht="15.5" x14ac:dyDescent="0.35">
      <c r="B35" s="837"/>
      <c r="C35" s="796"/>
      <c r="D35" s="796"/>
      <c r="E35" s="796"/>
      <c r="F35" s="796"/>
      <c r="G35" s="1579"/>
      <c r="H35" s="794"/>
    </row>
    <row r="36" spans="1:8" ht="15.5" x14ac:dyDescent="0.35">
      <c r="B36" s="79"/>
      <c r="C36" s="796"/>
      <c r="D36" s="796"/>
      <c r="E36" s="796"/>
      <c r="F36" s="796"/>
      <c r="G36" s="1579"/>
      <c r="H36" s="794"/>
    </row>
    <row r="37" spans="1:8" ht="15.5" x14ac:dyDescent="0.35">
      <c r="B37" s="79"/>
      <c r="C37" s="796"/>
      <c r="D37" s="796"/>
      <c r="E37" s="796"/>
      <c r="F37" s="796"/>
      <c r="G37" s="1579"/>
      <c r="H37" s="794"/>
    </row>
    <row r="38" spans="1:8" ht="15.5" x14ac:dyDescent="0.35">
      <c r="B38" s="79"/>
      <c r="C38" s="796"/>
      <c r="D38" s="796"/>
      <c r="E38" s="796"/>
      <c r="F38" s="796"/>
      <c r="G38" s="1579"/>
      <c r="H38" s="794"/>
    </row>
    <row r="39" spans="1:8" x14ac:dyDescent="0.35">
      <c r="C39" s="797"/>
      <c r="D39" s="797"/>
      <c r="E39" s="794"/>
      <c r="F39" s="794"/>
      <c r="G39" s="1579"/>
      <c r="H39" s="794"/>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41"/>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11" style="88" customWidth="1"/>
    <col min="7" max="7" width="7.08984375" style="88" customWidth="1"/>
    <col min="8" max="8" width="9.08984375" style="88" customWidth="1"/>
    <col min="9" max="9" width="14" style="88" customWidth="1"/>
    <col min="10" max="10" width="13.453125" style="88" customWidth="1"/>
    <col min="11" max="16384" width="9.08984375" style="88"/>
  </cols>
  <sheetData>
    <row r="2" spans="1:6" x14ac:dyDescent="0.35">
      <c r="B2" s="2289" t="s">
        <v>18</v>
      </c>
      <c r="C2" s="2289"/>
      <c r="D2" s="2289"/>
    </row>
    <row r="3" spans="1:6" x14ac:dyDescent="0.35">
      <c r="B3" s="2289" t="s">
        <v>19</v>
      </c>
      <c r="C3" s="2289"/>
      <c r="D3" s="2289"/>
    </row>
    <row r="4" spans="1:6" x14ac:dyDescent="0.35">
      <c r="B4" s="2289" t="s">
        <v>20</v>
      </c>
      <c r="C4" s="2289"/>
      <c r="D4" s="2289"/>
    </row>
    <row r="5" spans="1:6" x14ac:dyDescent="0.35">
      <c r="B5" s="2289" t="s">
        <v>1590</v>
      </c>
      <c r="C5" s="2289"/>
      <c r="D5" s="2289"/>
    </row>
    <row r="6" spans="1:6" x14ac:dyDescent="0.35">
      <c r="B6" s="2292" t="s">
        <v>2</v>
      </c>
      <c r="C6" s="2292"/>
      <c r="D6" s="2292"/>
    </row>
    <row r="7" spans="1:6" x14ac:dyDescent="0.35">
      <c r="B7" s="752"/>
      <c r="C7" s="752"/>
      <c r="D7" s="752"/>
    </row>
    <row r="8" spans="1:6" x14ac:dyDescent="0.35">
      <c r="B8" s="2289" t="s">
        <v>21</v>
      </c>
      <c r="C8" s="2289"/>
      <c r="D8" s="2289"/>
    </row>
    <row r="10" spans="1:6" ht="15.5" x14ac:dyDescent="0.35">
      <c r="B10" s="880"/>
      <c r="C10" s="881" t="s">
        <v>22</v>
      </c>
      <c r="D10" s="882"/>
      <c r="E10" s="1563"/>
    </row>
    <row r="11" spans="1:6" ht="15.5" x14ac:dyDescent="0.35">
      <c r="A11" s="182" t="s">
        <v>3</v>
      </c>
      <c r="B11" s="851"/>
      <c r="C11" s="799" t="s">
        <v>24</v>
      </c>
      <c r="D11" s="883"/>
      <c r="E11" s="1563" t="s">
        <v>3</v>
      </c>
    </row>
    <row r="12" spans="1:6" ht="15.5" x14ac:dyDescent="0.35">
      <c r="A12" s="182" t="s">
        <v>25</v>
      </c>
      <c r="B12" s="884" t="s">
        <v>23</v>
      </c>
      <c r="C12" s="766" t="s">
        <v>26</v>
      </c>
      <c r="D12" s="769" t="s">
        <v>9</v>
      </c>
      <c r="E12" s="1563" t="s">
        <v>25</v>
      </c>
    </row>
    <row r="13" spans="1:6" ht="15.5" x14ac:dyDescent="0.35">
      <c r="A13" s="345"/>
      <c r="B13" s="885"/>
      <c r="C13" s="886"/>
      <c r="D13" s="887"/>
      <c r="E13" s="345"/>
    </row>
    <row r="14" spans="1:6" ht="15.5" x14ac:dyDescent="0.35">
      <c r="A14" s="182">
        <v>1</v>
      </c>
      <c r="B14" s="1747" t="str">
        <f>'AD-5'!B15</f>
        <v>Dec-20</v>
      </c>
      <c r="C14" s="1742">
        <v>191341.26459999999</v>
      </c>
      <c r="D14" s="888" t="s">
        <v>1708</v>
      </c>
      <c r="E14" s="1563">
        <f>A14</f>
        <v>1</v>
      </c>
      <c r="F14" s="773"/>
    </row>
    <row r="15" spans="1:6" ht="15.5" x14ac:dyDescent="0.35">
      <c r="A15" s="182">
        <f>A14+1</f>
        <v>2</v>
      </c>
      <c r="B15" s="959"/>
      <c r="C15" s="186"/>
      <c r="D15" s="890"/>
      <c r="E15" s="1563">
        <f>E14+1</f>
        <v>2</v>
      </c>
    </row>
    <row r="16" spans="1:6" ht="15.5" x14ac:dyDescent="0.35">
      <c r="A16" s="182">
        <f t="shared" ref="A16:A20" si="0">A15+1</f>
        <v>3</v>
      </c>
      <c r="B16" s="1747" t="str">
        <f>'AD-5'!B17</f>
        <v>Dec-21</v>
      </c>
      <c r="C16" s="1740">
        <v>191893.59429000001</v>
      </c>
      <c r="D16" s="888" t="s">
        <v>1709</v>
      </c>
      <c r="E16" s="1563">
        <f t="shared" ref="E16:E20" si="1">E15+1</f>
        <v>3</v>
      </c>
      <c r="F16" s="773"/>
    </row>
    <row r="17" spans="1:12" ht="15.5" x14ac:dyDescent="0.35">
      <c r="A17" s="182">
        <f t="shared" si="0"/>
        <v>4</v>
      </c>
      <c r="B17" s="891"/>
      <c r="C17" s="187"/>
      <c r="D17" s="892"/>
      <c r="E17" s="1563">
        <f t="shared" si="1"/>
        <v>4</v>
      </c>
    </row>
    <row r="18" spans="1:12" ht="15.5" x14ac:dyDescent="0.35">
      <c r="A18" s="182">
        <f t="shared" si="0"/>
        <v>5</v>
      </c>
      <c r="B18" s="880"/>
      <c r="C18" s="188"/>
      <c r="D18" s="893"/>
      <c r="E18" s="1563">
        <f t="shared" si="1"/>
        <v>5</v>
      </c>
    </row>
    <row r="19" spans="1:12" ht="15.5" x14ac:dyDescent="0.35">
      <c r="A19" s="182">
        <f t="shared" si="0"/>
        <v>6</v>
      </c>
      <c r="B19" s="891" t="s">
        <v>27</v>
      </c>
      <c r="C19" s="189">
        <f>(C14+C16)/2</f>
        <v>191617.42944500002</v>
      </c>
      <c r="D19" s="1539" t="s">
        <v>1152</v>
      </c>
      <c r="E19" s="1563">
        <f t="shared" si="1"/>
        <v>6</v>
      </c>
    </row>
    <row r="20" spans="1:12" ht="15.5" x14ac:dyDescent="0.35">
      <c r="A20" s="182">
        <f t="shared" si="0"/>
        <v>7</v>
      </c>
      <c r="B20" s="894"/>
      <c r="C20" s="190"/>
      <c r="D20" s="158"/>
      <c r="E20" s="1563">
        <f t="shared" si="1"/>
        <v>7</v>
      </c>
    </row>
    <row r="21" spans="1:12" ht="15.5" x14ac:dyDescent="0.35">
      <c r="A21" s="182"/>
      <c r="B21" s="79"/>
      <c r="C21" s="895"/>
      <c r="D21" s="79"/>
      <c r="E21" s="1563"/>
    </row>
    <row r="22" spans="1:12" ht="15.5" x14ac:dyDescent="0.35">
      <c r="B22" s="79"/>
      <c r="C22" s="79"/>
      <c r="D22" s="79"/>
      <c r="E22" s="1563"/>
    </row>
    <row r="23" spans="1:12" ht="15.5" x14ac:dyDescent="0.35">
      <c r="B23" s="79"/>
      <c r="C23" s="79"/>
      <c r="D23" s="79"/>
      <c r="L23" s="90"/>
    </row>
    <row r="24" spans="1:12" ht="15.5" x14ac:dyDescent="0.35">
      <c r="B24" s="79"/>
      <c r="C24" s="79"/>
      <c r="D24" s="79"/>
    </row>
    <row r="25" spans="1:12" ht="15.5" x14ac:dyDescent="0.35">
      <c r="B25" s="79"/>
      <c r="C25" s="79"/>
      <c r="D25" s="79"/>
    </row>
    <row r="26" spans="1:12" ht="15.5" x14ac:dyDescent="0.35">
      <c r="B26" s="79"/>
      <c r="C26" s="79"/>
      <c r="D26" s="79"/>
    </row>
    <row r="27" spans="1:12" ht="15.5" x14ac:dyDescent="0.35">
      <c r="B27" s="79"/>
      <c r="C27" s="79"/>
      <c r="D27" s="79"/>
    </row>
    <row r="28" spans="1:12" ht="15.5" x14ac:dyDescent="0.35">
      <c r="B28" s="79"/>
      <c r="C28" s="79"/>
      <c r="D28" s="79"/>
    </row>
    <row r="29" spans="1:12" ht="15.5" x14ac:dyDescent="0.35">
      <c r="B29" s="79"/>
      <c r="C29" s="79"/>
      <c r="D29" s="79"/>
    </row>
    <row r="30" spans="1:12" ht="15.5" x14ac:dyDescent="0.35">
      <c r="B30" s="79"/>
      <c r="C30" s="79"/>
      <c r="D30" s="79"/>
    </row>
    <row r="31" spans="1:12" ht="15.5" x14ac:dyDescent="0.35">
      <c r="B31" s="79"/>
      <c r="C31" s="79"/>
      <c r="D31" s="79"/>
    </row>
    <row r="32" spans="1:12" ht="15.5" x14ac:dyDescent="0.35">
      <c r="B32" s="79"/>
      <c r="C32" s="79"/>
      <c r="D32" s="79"/>
    </row>
    <row r="33" spans="1:5" ht="15.5" x14ac:dyDescent="0.35">
      <c r="B33" s="79"/>
      <c r="C33" s="79"/>
      <c r="D33" s="79"/>
    </row>
    <row r="34" spans="1:5" ht="15.5" x14ac:dyDescent="0.35">
      <c r="B34" s="79"/>
      <c r="C34" s="79"/>
      <c r="D34" s="79"/>
    </row>
    <row r="35" spans="1:5" s="79" customFormat="1" ht="15.5" x14ac:dyDescent="0.35">
      <c r="A35" s="182"/>
      <c r="E35" s="1563"/>
    </row>
    <row r="36" spans="1:5" s="79" customFormat="1" ht="15.5" x14ac:dyDescent="0.35">
      <c r="A36" s="182"/>
      <c r="E36" s="1563"/>
    </row>
    <row r="37" spans="1:5" s="79" customFormat="1" ht="15.5" x14ac:dyDescent="0.35">
      <c r="A37" s="182"/>
      <c r="E37" s="1563"/>
    </row>
    <row r="38" spans="1:5" s="79" customFormat="1" ht="15.5" x14ac:dyDescent="0.35">
      <c r="A38" s="182"/>
      <c r="E38" s="1563"/>
    </row>
    <row r="39" spans="1:5" s="79" customFormat="1" ht="15.5" x14ac:dyDescent="0.35">
      <c r="A39" s="182"/>
      <c r="E39" s="1563"/>
    </row>
    <row r="40" spans="1:5" s="79" customFormat="1" ht="15.5" x14ac:dyDescent="0.35">
      <c r="A40" s="182"/>
      <c r="E40" s="1563"/>
    </row>
    <row r="41" spans="1:5" s="79" customFormat="1" ht="15.5" x14ac:dyDescent="0.35">
      <c r="A41" s="182"/>
      <c r="E41"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L41"/>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25.08984375" style="88" customWidth="1"/>
    <col min="7" max="7" width="7.08984375" style="88" customWidth="1"/>
    <col min="8" max="8" width="17.453125" style="88" customWidth="1"/>
    <col min="9" max="9" width="14" style="88" customWidth="1"/>
    <col min="10" max="10" width="13.453125" style="88" customWidth="1"/>
    <col min="11" max="16384" width="9.08984375" style="88"/>
  </cols>
  <sheetData>
    <row r="2" spans="1:6" x14ac:dyDescent="0.35">
      <c r="B2" s="2289" t="s">
        <v>18</v>
      </c>
      <c r="C2" s="2289"/>
      <c r="D2" s="2289"/>
    </row>
    <row r="3" spans="1:6" x14ac:dyDescent="0.35">
      <c r="B3" s="2289" t="s">
        <v>19</v>
      </c>
      <c r="C3" s="2289"/>
      <c r="D3" s="2289"/>
    </row>
    <row r="4" spans="1:6" x14ac:dyDescent="0.35">
      <c r="B4" s="2289" t="s">
        <v>20</v>
      </c>
      <c r="C4" s="2289"/>
      <c r="D4" s="2289"/>
    </row>
    <row r="5" spans="1:6" x14ac:dyDescent="0.35">
      <c r="B5" s="2289" t="s">
        <v>1590</v>
      </c>
      <c r="C5" s="2289"/>
      <c r="D5" s="2289"/>
    </row>
    <row r="6" spans="1:6" x14ac:dyDescent="0.35">
      <c r="B6" s="2292" t="s">
        <v>2</v>
      </c>
      <c r="C6" s="2292"/>
      <c r="D6" s="2292"/>
    </row>
    <row r="7" spans="1:6" x14ac:dyDescent="0.35">
      <c r="B7" s="752"/>
      <c r="C7" s="752"/>
      <c r="D7" s="752"/>
    </row>
    <row r="8" spans="1:6" ht="15.5" x14ac:dyDescent="0.35">
      <c r="B8" s="2289" t="s">
        <v>98</v>
      </c>
      <c r="C8" s="2289"/>
      <c r="D8" s="2289"/>
      <c r="E8" s="1563"/>
    </row>
    <row r="9" spans="1:6" ht="15.5" x14ac:dyDescent="0.35">
      <c r="A9" s="182"/>
      <c r="E9" s="1563"/>
    </row>
    <row r="10" spans="1:6" ht="15.5" x14ac:dyDescent="0.35">
      <c r="A10" s="182"/>
      <c r="B10" s="880"/>
      <c r="C10" s="881" t="s">
        <v>22</v>
      </c>
      <c r="D10" s="896"/>
      <c r="E10" s="1563"/>
    </row>
    <row r="11" spans="1:6" ht="15.5" x14ac:dyDescent="0.35">
      <c r="A11" s="182" t="s">
        <v>3</v>
      </c>
      <c r="B11" s="851"/>
      <c r="C11" s="799" t="s">
        <v>99</v>
      </c>
      <c r="D11" s="844"/>
      <c r="E11" s="1563" t="s">
        <v>3</v>
      </c>
    </row>
    <row r="12" spans="1:6" ht="15.5" x14ac:dyDescent="0.35">
      <c r="A12" s="182" t="s">
        <v>25</v>
      </c>
      <c r="B12" s="884" t="s">
        <v>23</v>
      </c>
      <c r="C12" s="766" t="s">
        <v>26</v>
      </c>
      <c r="D12" s="766" t="s">
        <v>9</v>
      </c>
      <c r="E12" s="1563" t="s">
        <v>25</v>
      </c>
    </row>
    <row r="13" spans="1:6" ht="15.5" x14ac:dyDescent="0.35">
      <c r="A13" s="345"/>
      <c r="B13" s="885"/>
      <c r="C13" s="886"/>
      <c r="D13" s="897"/>
      <c r="E13" s="345"/>
    </row>
    <row r="14" spans="1:6" ht="15.5" x14ac:dyDescent="0.35">
      <c r="A14" s="182">
        <v>1</v>
      </c>
      <c r="B14" s="1747" t="str">
        <f>'AD-8'!B14</f>
        <v>Dec-20</v>
      </c>
      <c r="C14" s="1742">
        <v>487232.91625999997</v>
      </c>
      <c r="D14" s="823" t="s">
        <v>1708</v>
      </c>
      <c r="E14" s="1563">
        <f>A14</f>
        <v>1</v>
      </c>
      <c r="F14" s="773"/>
    </row>
    <row r="15" spans="1:6" ht="15.5" x14ac:dyDescent="0.35">
      <c r="A15" s="182">
        <f>A14+1</f>
        <v>2</v>
      </c>
      <c r="B15" s="959"/>
      <c r="C15" s="186"/>
      <c r="D15" s="186"/>
      <c r="E15" s="1563">
        <f>E14+1</f>
        <v>2</v>
      </c>
    </row>
    <row r="16" spans="1:6" ht="15.5" x14ac:dyDescent="0.35">
      <c r="A16" s="182">
        <f t="shared" ref="A16:A20" si="0">A15+1</f>
        <v>3</v>
      </c>
      <c r="B16" s="1747" t="str">
        <f>'AD-8'!B16</f>
        <v>Dec-21</v>
      </c>
      <c r="C16" s="1740">
        <v>518902.72382000007</v>
      </c>
      <c r="D16" s="823" t="s">
        <v>1709</v>
      </c>
      <c r="E16" s="1563">
        <f t="shared" ref="E16:E20" si="1">E15+1</f>
        <v>3</v>
      </c>
      <c r="F16" s="773"/>
    </row>
    <row r="17" spans="1:12" ht="15.5" x14ac:dyDescent="0.35">
      <c r="A17" s="182">
        <f t="shared" si="0"/>
        <v>4</v>
      </c>
      <c r="B17" s="891"/>
      <c r="C17" s="187"/>
      <c r="D17" s="187"/>
      <c r="E17" s="1563">
        <f t="shared" si="1"/>
        <v>4</v>
      </c>
    </row>
    <row r="18" spans="1:12" ht="15.5" x14ac:dyDescent="0.35">
      <c r="A18" s="182">
        <f t="shared" si="0"/>
        <v>5</v>
      </c>
      <c r="B18" s="880"/>
      <c r="C18" s="188"/>
      <c r="D18" s="898"/>
      <c r="E18" s="1563">
        <f t="shared" si="1"/>
        <v>5</v>
      </c>
    </row>
    <row r="19" spans="1:12" ht="15.5" x14ac:dyDescent="0.35">
      <c r="A19" s="182">
        <f t="shared" si="0"/>
        <v>6</v>
      </c>
      <c r="B19" s="891" t="s">
        <v>27</v>
      </c>
      <c r="C19" s="191">
        <f>(C14+C16)/2</f>
        <v>503067.82004000002</v>
      </c>
      <c r="D19" s="1236" t="s">
        <v>1152</v>
      </c>
      <c r="E19" s="1563">
        <f t="shared" si="1"/>
        <v>6</v>
      </c>
    </row>
    <row r="20" spans="1:12" ht="15.5" x14ac:dyDescent="0.35">
      <c r="A20" s="182">
        <f t="shared" si="0"/>
        <v>7</v>
      </c>
      <c r="B20" s="894"/>
      <c r="C20" s="192"/>
      <c r="D20" s="809"/>
      <c r="E20" s="1563">
        <f t="shared" si="1"/>
        <v>7</v>
      </c>
    </row>
    <row r="21" spans="1:12" ht="15.5" x14ac:dyDescent="0.35">
      <c r="A21" s="182"/>
      <c r="B21" s="79"/>
      <c r="C21" s="895"/>
      <c r="D21" s="79"/>
      <c r="E21" s="1563"/>
    </row>
    <row r="22" spans="1:12" ht="15.5" x14ac:dyDescent="0.35">
      <c r="B22" s="79"/>
      <c r="C22" s="79"/>
      <c r="D22" s="79"/>
    </row>
    <row r="23" spans="1:12" ht="15.5" x14ac:dyDescent="0.35">
      <c r="B23" s="79"/>
      <c r="C23" s="79"/>
      <c r="D23" s="79"/>
      <c r="L23" s="90"/>
    </row>
    <row r="24" spans="1:12" ht="15.5" x14ac:dyDescent="0.35">
      <c r="B24" s="79"/>
      <c r="C24" s="79"/>
      <c r="D24" s="79"/>
    </row>
    <row r="25" spans="1:12" ht="15.5" x14ac:dyDescent="0.35">
      <c r="B25" s="79"/>
      <c r="C25" s="79"/>
      <c r="D25" s="79"/>
    </row>
    <row r="26" spans="1:12" ht="15.5" x14ac:dyDescent="0.35">
      <c r="B26" s="79"/>
      <c r="C26" s="79"/>
      <c r="D26" s="79"/>
    </row>
    <row r="27" spans="1:12" ht="15.5" x14ac:dyDescent="0.35">
      <c r="B27" s="79"/>
      <c r="D27" s="79"/>
    </row>
    <row r="28" spans="1:12" ht="15.5" x14ac:dyDescent="0.35">
      <c r="B28" s="79"/>
      <c r="C28" s="79"/>
      <c r="D28" s="79"/>
    </row>
    <row r="29" spans="1:12" ht="15.5" x14ac:dyDescent="0.35">
      <c r="B29" s="79"/>
      <c r="C29" s="79"/>
      <c r="D29" s="79"/>
    </row>
    <row r="30" spans="1:12" ht="15.5" x14ac:dyDescent="0.35">
      <c r="B30" s="79"/>
      <c r="C30" s="79"/>
      <c r="D30" s="79"/>
    </row>
    <row r="31" spans="1:12" ht="15.5" x14ac:dyDescent="0.35">
      <c r="B31" s="79"/>
      <c r="C31" s="79"/>
      <c r="D31" s="79"/>
    </row>
    <row r="32" spans="1:12" ht="15.5" x14ac:dyDescent="0.35">
      <c r="B32" s="79"/>
      <c r="C32" s="79"/>
      <c r="D32" s="79"/>
    </row>
    <row r="33" spans="1:5" ht="15.5" x14ac:dyDescent="0.35">
      <c r="B33" s="79"/>
      <c r="C33" s="79"/>
      <c r="D33" s="79"/>
    </row>
    <row r="34" spans="1:5" ht="15.5" x14ac:dyDescent="0.35">
      <c r="B34" s="79"/>
      <c r="C34" s="79"/>
      <c r="D34" s="79"/>
    </row>
    <row r="35" spans="1:5" s="79" customFormat="1" ht="15.5" x14ac:dyDescent="0.35">
      <c r="A35" s="182"/>
      <c r="E35" s="1563"/>
    </row>
    <row r="36" spans="1:5" s="79" customFormat="1" ht="15.5" x14ac:dyDescent="0.35">
      <c r="A36" s="182"/>
      <c r="E36" s="1563"/>
    </row>
    <row r="37" spans="1:5" s="79" customFormat="1" ht="15.5" x14ac:dyDescent="0.35">
      <c r="A37" s="182"/>
      <c r="E37" s="1563"/>
    </row>
    <row r="38" spans="1:5" s="79" customFormat="1" ht="15.5" x14ac:dyDescent="0.35">
      <c r="A38" s="182"/>
      <c r="E38" s="1563"/>
    </row>
    <row r="39" spans="1:5" s="79" customFormat="1" ht="15.5" x14ac:dyDescent="0.35">
      <c r="A39" s="182"/>
      <c r="E39" s="1563"/>
    </row>
    <row r="40" spans="1:5" s="79" customFormat="1" ht="15.5" x14ac:dyDescent="0.35">
      <c r="A40" s="182"/>
      <c r="E40" s="1563"/>
    </row>
    <row r="41" spans="1:5" s="79" customFormat="1" ht="15.5" x14ac:dyDescent="0.35">
      <c r="A41" s="182"/>
      <c r="E41"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F26"/>
  <sheetViews>
    <sheetView zoomScale="80" zoomScaleNormal="80" workbookViewId="0"/>
  </sheetViews>
  <sheetFormatPr defaultColWidth="9.08984375" defaultRowHeight="15" x14ac:dyDescent="0.35"/>
  <cols>
    <col min="1" max="1" width="5.08984375" style="728" customWidth="1"/>
    <col min="2" max="2" width="8.54296875" style="88" customWidth="1"/>
    <col min="3" max="3" width="41.08984375" style="88" customWidth="1"/>
    <col min="4" max="4" width="18.54296875" style="88" customWidth="1"/>
    <col min="5" max="5" width="62.54296875" style="88" customWidth="1"/>
    <col min="6" max="6" width="5.08984375" style="1561" customWidth="1"/>
    <col min="7" max="7" width="24" style="88" customWidth="1"/>
    <col min="8" max="8" width="11" style="88" customWidth="1"/>
    <col min="9" max="9" width="7.08984375" style="88" customWidth="1"/>
    <col min="10" max="10" width="9.08984375" style="88" customWidth="1"/>
    <col min="11" max="11" width="14" style="88" customWidth="1"/>
    <col min="12" max="12" width="13.453125" style="88" customWidth="1"/>
    <col min="13" max="16384" width="9.08984375" style="88"/>
  </cols>
  <sheetData>
    <row r="2" spans="1:6" x14ac:dyDescent="0.35">
      <c r="B2" s="2289" t="s">
        <v>18</v>
      </c>
      <c r="C2" s="2289"/>
      <c r="D2" s="2289"/>
      <c r="E2" s="2289"/>
    </row>
    <row r="3" spans="1:6" x14ac:dyDescent="0.35">
      <c r="B3" s="2289" t="s">
        <v>19</v>
      </c>
      <c r="C3" s="2289"/>
      <c r="D3" s="2289"/>
      <c r="E3" s="2289"/>
    </row>
    <row r="4" spans="1:6" x14ac:dyDescent="0.35">
      <c r="B4" s="2289" t="s">
        <v>20</v>
      </c>
      <c r="C4" s="2289"/>
      <c r="D4" s="2289"/>
      <c r="E4" s="2289"/>
    </row>
    <row r="5" spans="1:6" x14ac:dyDescent="0.35">
      <c r="B5" s="2289" t="s">
        <v>1590</v>
      </c>
      <c r="C5" s="2289"/>
      <c r="D5" s="2289"/>
      <c r="E5" s="2289"/>
    </row>
    <row r="6" spans="1:6" x14ac:dyDescent="0.35">
      <c r="B6" s="2292" t="s">
        <v>2</v>
      </c>
      <c r="C6" s="2292"/>
      <c r="D6" s="2292"/>
      <c r="E6" s="2292"/>
    </row>
    <row r="7" spans="1:6" x14ac:dyDescent="0.35">
      <c r="B7" s="752"/>
      <c r="C7" s="752"/>
      <c r="D7" s="752"/>
      <c r="E7" s="752"/>
    </row>
    <row r="8" spans="1:6" ht="15.5" x14ac:dyDescent="0.35">
      <c r="B8" s="2289" t="s">
        <v>100</v>
      </c>
      <c r="C8" s="2289"/>
      <c r="D8" s="2289"/>
      <c r="E8" s="2289"/>
      <c r="F8" s="1563"/>
    </row>
    <row r="9" spans="1:6" ht="15.5" x14ac:dyDescent="0.35">
      <c r="A9" s="182"/>
      <c r="F9" s="1563"/>
    </row>
    <row r="10" spans="1:6" ht="15.5" x14ac:dyDescent="0.35">
      <c r="A10" s="182" t="s">
        <v>3</v>
      </c>
      <c r="B10" s="899"/>
      <c r="C10" s="899"/>
      <c r="D10" s="900"/>
      <c r="E10" s="901"/>
      <c r="F10" s="1563" t="s">
        <v>3</v>
      </c>
    </row>
    <row r="11" spans="1:6" ht="15.5" x14ac:dyDescent="0.35">
      <c r="A11" s="182" t="s">
        <v>25</v>
      </c>
      <c r="B11" s="902" t="s">
        <v>23</v>
      </c>
      <c r="C11" s="902" t="s">
        <v>74</v>
      </c>
      <c r="D11" s="902" t="s">
        <v>135</v>
      </c>
      <c r="E11" s="1105" t="s">
        <v>9</v>
      </c>
      <c r="F11" s="1563" t="s">
        <v>25</v>
      </c>
    </row>
    <row r="12" spans="1:6" ht="15.5" x14ac:dyDescent="0.35">
      <c r="A12" s="345"/>
      <c r="B12" s="903"/>
      <c r="C12" s="903"/>
      <c r="D12" s="525"/>
      <c r="E12" s="904"/>
      <c r="F12" s="345"/>
    </row>
    <row r="13" spans="1:6" ht="15.5" x14ac:dyDescent="0.35">
      <c r="A13" s="182">
        <v>1</v>
      </c>
      <c r="B13" s="1745" t="str">
        <f>'AD-9'!B14</f>
        <v>Dec-20</v>
      </c>
      <c r="C13" s="905" t="s">
        <v>821</v>
      </c>
      <c r="D13" s="972">
        <v>1675570.683</v>
      </c>
      <c r="E13" s="656" t="s">
        <v>1674</v>
      </c>
      <c r="F13" s="1563">
        <f>A13</f>
        <v>1</v>
      </c>
    </row>
    <row r="14" spans="1:6" ht="15.5" x14ac:dyDescent="0.35">
      <c r="A14" s="182">
        <f>A13+1</f>
        <v>2</v>
      </c>
      <c r="B14" s="905"/>
      <c r="C14" s="905" t="s">
        <v>822</v>
      </c>
      <c r="D14" s="654">
        <v>0.73219999999999996</v>
      </c>
      <c r="E14" s="906" t="s">
        <v>1595</v>
      </c>
      <c r="F14" s="1563">
        <f>F13+1</f>
        <v>2</v>
      </c>
    </row>
    <row r="15" spans="1:6" ht="15.5" x14ac:dyDescent="0.35">
      <c r="A15" s="182">
        <f t="shared" ref="A15:A22" si="0">A14+1</f>
        <v>3</v>
      </c>
      <c r="B15" s="905"/>
      <c r="C15" s="905" t="s">
        <v>823</v>
      </c>
      <c r="D15" s="653">
        <f>D13*D14</f>
        <v>1226852.8540925998</v>
      </c>
      <c r="E15" s="823" t="s">
        <v>1149</v>
      </c>
      <c r="F15" s="1563">
        <f t="shared" ref="F15:F23" si="1">F14+1</f>
        <v>3</v>
      </c>
    </row>
    <row r="16" spans="1:6" ht="15.5" x14ac:dyDescent="0.35">
      <c r="A16" s="182">
        <f t="shared" si="0"/>
        <v>4</v>
      </c>
      <c r="B16" s="905"/>
      <c r="C16" s="905"/>
      <c r="D16" s="194"/>
      <c r="E16" s="823"/>
      <c r="F16" s="1563">
        <f t="shared" si="1"/>
        <v>4</v>
      </c>
    </row>
    <row r="17" spans="1:6" ht="15.5" x14ac:dyDescent="0.35">
      <c r="A17" s="182">
        <f t="shared" si="0"/>
        <v>5</v>
      </c>
      <c r="B17" s="1745" t="str">
        <f>'AD-9'!B16</f>
        <v>Dec-21</v>
      </c>
      <c r="C17" s="905" t="s">
        <v>821</v>
      </c>
      <c r="D17" s="656">
        <v>2014291.9280000001</v>
      </c>
      <c r="E17" s="656" t="s">
        <v>1596</v>
      </c>
      <c r="F17" s="1563">
        <f t="shared" si="1"/>
        <v>5</v>
      </c>
    </row>
    <row r="18" spans="1:6" ht="15.5" x14ac:dyDescent="0.35">
      <c r="A18" s="182">
        <f t="shared" si="0"/>
        <v>6</v>
      </c>
      <c r="B18" s="905"/>
      <c r="C18" s="905" t="s">
        <v>822</v>
      </c>
      <c r="D18" s="655">
        <v>0.74670000000000003</v>
      </c>
      <c r="E18" s="906" t="s">
        <v>1711</v>
      </c>
      <c r="F18" s="1563">
        <f t="shared" si="1"/>
        <v>6</v>
      </c>
    </row>
    <row r="19" spans="1:6" ht="15.5" x14ac:dyDescent="0.35">
      <c r="A19" s="182">
        <f t="shared" si="0"/>
        <v>7</v>
      </c>
      <c r="B19" s="905"/>
      <c r="C19" s="905" t="s">
        <v>823</v>
      </c>
      <c r="D19" s="656">
        <f>D17*D18</f>
        <v>1504071.7826376001</v>
      </c>
      <c r="E19" s="1234" t="s">
        <v>1150</v>
      </c>
      <c r="F19" s="1563">
        <f t="shared" si="1"/>
        <v>7</v>
      </c>
    </row>
    <row r="20" spans="1:6" ht="15.5" x14ac:dyDescent="0.35">
      <c r="A20" s="182">
        <f t="shared" si="0"/>
        <v>8</v>
      </c>
      <c r="B20" s="907"/>
      <c r="C20" s="902"/>
      <c r="D20" s="195"/>
      <c r="E20" s="833"/>
      <c r="F20" s="1563">
        <f t="shared" si="1"/>
        <v>8</v>
      </c>
    </row>
    <row r="21" spans="1:6" ht="15.5" x14ac:dyDescent="0.35">
      <c r="A21" s="182">
        <f t="shared" si="0"/>
        <v>9</v>
      </c>
      <c r="B21" s="1555"/>
      <c r="C21" s="1454"/>
      <c r="D21" s="196"/>
      <c r="E21" s="358"/>
      <c r="F21" s="1563">
        <f t="shared" si="1"/>
        <v>9</v>
      </c>
    </row>
    <row r="22" spans="1:6" ht="15.5" x14ac:dyDescent="0.35">
      <c r="A22" s="182">
        <f t="shared" si="0"/>
        <v>10</v>
      </c>
      <c r="B22" s="908" t="s">
        <v>27</v>
      </c>
      <c r="C22" s="1454"/>
      <c r="D22" s="189">
        <f>(D15+D19)/2</f>
        <v>1365462.3183650998</v>
      </c>
      <c r="E22" s="909" t="s">
        <v>1151</v>
      </c>
      <c r="F22" s="1563">
        <f t="shared" si="1"/>
        <v>10</v>
      </c>
    </row>
    <row r="23" spans="1:6" ht="15.5" x14ac:dyDescent="0.35">
      <c r="A23" s="182">
        <f t="shared" ref="A23" si="2">A22+1</f>
        <v>11</v>
      </c>
      <c r="B23" s="1556"/>
      <c r="C23" s="1554"/>
      <c r="D23" s="190"/>
      <c r="E23" s="187"/>
      <c r="F23" s="1563">
        <f t="shared" si="1"/>
        <v>11</v>
      </c>
    </row>
    <row r="24" spans="1:6" ht="15.5" x14ac:dyDescent="0.35">
      <c r="A24" s="182"/>
      <c r="B24" s="79"/>
      <c r="C24" s="79"/>
      <c r="D24" s="79"/>
      <c r="E24" s="85"/>
      <c r="F24" s="1563"/>
    </row>
    <row r="25" spans="1:6" ht="15.5" x14ac:dyDescent="0.35">
      <c r="A25" s="182"/>
      <c r="B25" s="79"/>
      <c r="C25" s="79"/>
      <c r="D25" s="79"/>
      <c r="E25" s="79"/>
    </row>
    <row r="26" spans="1:6" ht="15.5" x14ac:dyDescent="0.35">
      <c r="A26" s="182"/>
      <c r="B26" s="79"/>
      <c r="C26" s="79"/>
      <c r="D26" s="79"/>
      <c r="E26" s="79"/>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80" zoomScaleNormal="80" workbookViewId="0"/>
  </sheetViews>
  <sheetFormatPr defaultColWidth="8.90625" defaultRowHeight="15.5" x14ac:dyDescent="0.35"/>
  <cols>
    <col min="1" max="1" width="5.08984375" style="182" bestFit="1" customWidth="1"/>
    <col min="2" max="2" width="67.54296875" style="79" customWidth="1"/>
    <col min="3" max="3" width="25.54296875" style="182" bestFit="1" customWidth="1"/>
    <col min="4" max="4" width="1.54296875" style="79" customWidth="1"/>
    <col min="5" max="5" width="16.90625" style="79" customWidth="1"/>
    <col min="6" max="6" width="1.54296875" style="79" customWidth="1"/>
    <col min="7" max="7" width="16.90625" style="79" customWidth="1"/>
    <col min="8" max="8" width="1.54296875" style="79" customWidth="1"/>
    <col min="9" max="9" width="16.90625" style="79" customWidth="1"/>
    <col min="10" max="10" width="1.54296875" style="79" customWidth="1"/>
    <col min="11" max="11" width="34.54296875" style="79" customWidth="1"/>
    <col min="12" max="12" width="5.08984375" style="79" bestFit="1" customWidth="1"/>
    <col min="13" max="13" width="8.90625" style="79"/>
    <col min="14" max="14" width="33.453125" style="79" customWidth="1"/>
    <col min="15" max="16384" width="8.90625" style="79"/>
  </cols>
  <sheetData>
    <row r="1" spans="1:14" x14ac:dyDescent="0.35">
      <c r="A1" s="367"/>
      <c r="H1" s="182"/>
      <c r="I1" s="182"/>
      <c r="J1" s="182"/>
      <c r="K1" s="182"/>
      <c r="L1" s="367"/>
    </row>
    <row r="2" spans="1:14" x14ac:dyDescent="0.35">
      <c r="B2" s="2288" t="s">
        <v>18</v>
      </c>
      <c r="C2" s="2288"/>
      <c r="D2" s="2288"/>
      <c r="E2" s="2288"/>
      <c r="F2" s="2288"/>
      <c r="G2" s="2288"/>
      <c r="H2" s="2289"/>
      <c r="I2" s="2289"/>
      <c r="J2" s="2289"/>
      <c r="K2" s="2289"/>
      <c r="L2" s="182"/>
    </row>
    <row r="3" spans="1:14" x14ac:dyDescent="0.35">
      <c r="B3" s="2288" t="s">
        <v>1323</v>
      </c>
      <c r="C3" s="2288"/>
      <c r="D3" s="2288"/>
      <c r="E3" s="2288"/>
      <c r="F3" s="2288"/>
      <c r="G3" s="2288"/>
      <c r="H3" s="2289"/>
      <c r="I3" s="2289"/>
      <c r="J3" s="2289"/>
      <c r="K3" s="2289"/>
      <c r="L3" s="182"/>
    </row>
    <row r="4" spans="1:14" x14ac:dyDescent="0.35">
      <c r="B4" s="2288" t="s">
        <v>109</v>
      </c>
      <c r="C4" s="2288"/>
      <c r="D4" s="2288"/>
      <c r="E4" s="2288"/>
      <c r="F4" s="2288"/>
      <c r="G4" s="2288"/>
      <c r="H4" s="2289"/>
      <c r="I4" s="2289"/>
      <c r="J4" s="2289"/>
      <c r="K4" s="2289"/>
      <c r="L4" s="182"/>
    </row>
    <row r="5" spans="1:14" x14ac:dyDescent="0.35">
      <c r="B5" s="2293" t="str">
        <f>'Stmt AD'!B5</f>
        <v>Base Period &amp; True-Up Period 12 - Months Ending December 31, 2021</v>
      </c>
      <c r="C5" s="2293"/>
      <c r="D5" s="2293"/>
      <c r="E5" s="2293"/>
      <c r="F5" s="2293"/>
      <c r="G5" s="2293"/>
      <c r="H5" s="2283"/>
      <c r="I5" s="2283"/>
      <c r="J5" s="2283"/>
      <c r="K5" s="2283"/>
      <c r="L5" s="182"/>
      <c r="N5" s="88"/>
    </row>
    <row r="6" spans="1:14" x14ac:dyDescent="0.35">
      <c r="B6" s="2291" t="s">
        <v>2</v>
      </c>
      <c r="C6" s="2278"/>
      <c r="D6" s="2278"/>
      <c r="E6" s="2278"/>
      <c r="F6" s="2278"/>
      <c r="G6" s="2278"/>
      <c r="H6" s="2278"/>
      <c r="I6" s="2278"/>
      <c r="J6" s="2278"/>
      <c r="K6" s="2278"/>
      <c r="L6" s="182"/>
      <c r="N6" s="912"/>
    </row>
    <row r="7" spans="1:14" x14ac:dyDescent="0.35">
      <c r="B7" s="367"/>
      <c r="C7" s="367"/>
      <c r="D7" s="367"/>
      <c r="E7" s="367"/>
      <c r="F7" s="367"/>
      <c r="G7" s="367"/>
      <c r="H7" s="729"/>
      <c r="I7" s="729"/>
      <c r="J7" s="729"/>
      <c r="K7" s="182"/>
      <c r="L7" s="182"/>
    </row>
    <row r="8" spans="1:14" x14ac:dyDescent="0.35">
      <c r="A8" s="367" t="s">
        <v>3</v>
      </c>
      <c r="B8" s="729"/>
      <c r="C8" s="236" t="s">
        <v>648</v>
      </c>
      <c r="D8" s="729"/>
      <c r="E8" s="730" t="s">
        <v>4</v>
      </c>
      <c r="F8" s="367"/>
      <c r="G8" s="730" t="s">
        <v>5</v>
      </c>
      <c r="H8" s="367"/>
      <c r="I8" s="730" t="s">
        <v>6</v>
      </c>
      <c r="J8" s="729"/>
      <c r="K8" s="345"/>
      <c r="L8" s="367" t="s">
        <v>3</v>
      </c>
    </row>
    <row r="9" spans="1:14" x14ac:dyDescent="0.35">
      <c r="A9" s="731" t="s">
        <v>25</v>
      </c>
      <c r="B9" s="729"/>
      <c r="C9" s="732" t="s">
        <v>646</v>
      </c>
      <c r="D9" s="729"/>
      <c r="E9" s="913">
        <f>'Stmt AD'!E9</f>
        <v>44196</v>
      </c>
      <c r="F9" s="729"/>
      <c r="G9" s="913">
        <f>'Stmt AD'!G9</f>
        <v>44561</v>
      </c>
      <c r="H9" s="729"/>
      <c r="I9" s="735" t="s">
        <v>8</v>
      </c>
      <c r="J9" s="729"/>
      <c r="K9" s="89" t="s">
        <v>9</v>
      </c>
      <c r="L9" s="731" t="s">
        <v>25</v>
      </c>
    </row>
    <row r="10" spans="1:14" x14ac:dyDescent="0.35">
      <c r="A10" s="367"/>
      <c r="B10" s="367"/>
      <c r="C10" s="367"/>
      <c r="D10" s="367"/>
      <c r="E10" s="367"/>
      <c r="F10" s="367"/>
      <c r="G10" s="367"/>
      <c r="H10" s="367"/>
      <c r="I10" s="367"/>
      <c r="J10" s="367"/>
      <c r="K10" s="182"/>
      <c r="L10" s="367"/>
    </row>
    <row r="11" spans="1:14" ht="18" x14ac:dyDescent="0.35">
      <c r="A11" s="367">
        <v>1</v>
      </c>
      <c r="B11" s="81" t="s">
        <v>783</v>
      </c>
      <c r="C11" s="367" t="s">
        <v>1712</v>
      </c>
      <c r="D11" s="367"/>
      <c r="E11" s="197"/>
      <c r="F11" s="118"/>
      <c r="G11" s="197"/>
      <c r="H11" s="110"/>
      <c r="I11" s="198">
        <f>'AE-1'!E31</f>
        <v>1544320.792109231</v>
      </c>
      <c r="J11" s="201"/>
      <c r="K11" s="182" t="s">
        <v>1153</v>
      </c>
      <c r="L11" s="367">
        <f>A11</f>
        <v>1</v>
      </c>
    </row>
    <row r="12" spans="1:14" x14ac:dyDescent="0.35">
      <c r="A12" s="367">
        <f>A11+1</f>
        <v>2</v>
      </c>
      <c r="E12" s="199"/>
      <c r="G12" s="199"/>
      <c r="H12" s="106"/>
      <c r="I12" s="199"/>
      <c r="J12" s="106"/>
      <c r="K12" s="914"/>
      <c r="L12" s="367">
        <f>L11+1</f>
        <v>2</v>
      </c>
    </row>
    <row r="13" spans="1:14" ht="18" x14ac:dyDescent="0.35">
      <c r="A13" s="367">
        <f t="shared" ref="A13:A29" si="0">+A12+1</f>
        <v>3</v>
      </c>
      <c r="B13" s="79" t="s">
        <v>782</v>
      </c>
      <c r="C13" s="367"/>
      <c r="E13" s="113">
        <f>'AE-2'!C14</f>
        <v>158912.30098999999</v>
      </c>
      <c r="F13" s="200"/>
      <c r="G13" s="113">
        <f>'AE-2'!C16</f>
        <v>173963.95592000001</v>
      </c>
      <c r="H13" s="201"/>
      <c r="I13" s="108">
        <f>(E13+G13)/2</f>
        <v>166438.128455</v>
      </c>
      <c r="J13" s="201"/>
      <c r="K13" s="182" t="s">
        <v>1154</v>
      </c>
      <c r="L13" s="367">
        <f t="shared" ref="L13:L29" si="1">+L12+1</f>
        <v>3</v>
      </c>
    </row>
    <row r="14" spans="1:14" x14ac:dyDescent="0.35">
      <c r="A14" s="367">
        <f t="shared" si="0"/>
        <v>4</v>
      </c>
      <c r="E14" s="202"/>
      <c r="F14" s="81"/>
      <c r="G14" s="202"/>
      <c r="H14" s="106"/>
      <c r="I14" s="108"/>
      <c r="J14" s="106"/>
      <c r="K14" s="120"/>
      <c r="L14" s="367">
        <f t="shared" si="1"/>
        <v>4</v>
      </c>
    </row>
    <row r="15" spans="1:14" ht="18" x14ac:dyDescent="0.35">
      <c r="A15" s="367">
        <f t="shared" si="0"/>
        <v>5</v>
      </c>
      <c r="B15" s="79" t="s">
        <v>781</v>
      </c>
      <c r="C15" s="367"/>
      <c r="E15" s="111">
        <f>'AE-3'!C14</f>
        <v>197600.55781999999</v>
      </c>
      <c r="F15" s="81"/>
      <c r="G15" s="111">
        <f>'AE-3'!C16</f>
        <v>219537.53417000003</v>
      </c>
      <c r="H15" s="104"/>
      <c r="I15" s="108">
        <f>(E15+G15)/2</f>
        <v>208569.04599499999</v>
      </c>
      <c r="J15" s="106"/>
      <c r="K15" s="182" t="s">
        <v>1155</v>
      </c>
      <c r="L15" s="367">
        <f t="shared" si="1"/>
        <v>5</v>
      </c>
    </row>
    <row r="16" spans="1:14" x14ac:dyDescent="0.35">
      <c r="A16" s="367">
        <f t="shared" si="0"/>
        <v>6</v>
      </c>
      <c r="E16" s="108"/>
      <c r="F16" s="81"/>
      <c r="G16" s="108"/>
      <c r="H16" s="106"/>
      <c r="I16" s="103"/>
      <c r="J16" s="106"/>
      <c r="K16" s="120"/>
      <c r="L16" s="367">
        <f t="shared" si="1"/>
        <v>6</v>
      </c>
    </row>
    <row r="17" spans="1:14" ht="18" x14ac:dyDescent="0.35">
      <c r="A17" s="367">
        <f t="shared" si="0"/>
        <v>7</v>
      </c>
      <c r="B17" s="79" t="s">
        <v>780</v>
      </c>
      <c r="E17" s="111">
        <f>'AE-4'!D15</f>
        <v>613359.91948979988</v>
      </c>
      <c r="F17" s="81"/>
      <c r="G17" s="111">
        <f>'AE-4'!D19</f>
        <v>640617.78183810005</v>
      </c>
      <c r="H17" s="104"/>
      <c r="I17" s="108">
        <f>(E17+G17)/2</f>
        <v>626988.85066394997</v>
      </c>
      <c r="J17" s="106"/>
      <c r="K17" s="182" t="s">
        <v>1156</v>
      </c>
      <c r="L17" s="367">
        <f t="shared" si="1"/>
        <v>7</v>
      </c>
    </row>
    <row r="18" spans="1:14" x14ac:dyDescent="0.35">
      <c r="A18" s="367">
        <f t="shared" si="0"/>
        <v>8</v>
      </c>
      <c r="E18" s="199"/>
      <c r="G18" s="199"/>
      <c r="H18" s="106"/>
      <c r="I18" s="199"/>
      <c r="J18" s="106"/>
      <c r="K18" s="123"/>
      <c r="L18" s="367">
        <f t="shared" si="1"/>
        <v>8</v>
      </c>
    </row>
    <row r="19" spans="1:14" x14ac:dyDescent="0.35">
      <c r="A19" s="367">
        <f t="shared" si="0"/>
        <v>9</v>
      </c>
      <c r="B19" s="79" t="s">
        <v>12</v>
      </c>
      <c r="E19" s="203"/>
      <c r="F19" s="81"/>
      <c r="G19" s="203"/>
      <c r="H19" s="204"/>
      <c r="I19" s="205">
        <f>'Stmt AI'!E25</f>
        <v>0.20229837689326716</v>
      </c>
      <c r="J19" s="204"/>
      <c r="K19" s="120" t="s">
        <v>1110</v>
      </c>
      <c r="L19" s="367">
        <f t="shared" si="1"/>
        <v>9</v>
      </c>
    </row>
    <row r="20" spans="1:14" x14ac:dyDescent="0.35">
      <c r="A20" s="367">
        <f t="shared" si="0"/>
        <v>10</v>
      </c>
      <c r="E20" s="202"/>
      <c r="F20" s="81"/>
      <c r="G20" s="202"/>
      <c r="H20" s="106"/>
      <c r="I20" s="206"/>
      <c r="J20" s="106"/>
      <c r="K20" s="123"/>
      <c r="L20" s="367">
        <f t="shared" si="1"/>
        <v>10</v>
      </c>
    </row>
    <row r="21" spans="1:14" x14ac:dyDescent="0.35">
      <c r="A21" s="367">
        <f t="shared" si="0"/>
        <v>11</v>
      </c>
      <c r="B21" s="79" t="s">
        <v>108</v>
      </c>
      <c r="E21" s="202"/>
      <c r="F21" s="81"/>
      <c r="G21" s="202"/>
      <c r="H21" s="106"/>
      <c r="I21" s="207">
        <f>I13*I19</f>
        <v>33670.163239599606</v>
      </c>
      <c r="J21" s="201"/>
      <c r="K21" s="123" t="s">
        <v>1117</v>
      </c>
      <c r="L21" s="367">
        <f t="shared" si="1"/>
        <v>11</v>
      </c>
    </row>
    <row r="22" spans="1:14" x14ac:dyDescent="0.35">
      <c r="A22" s="367">
        <f t="shared" si="0"/>
        <v>12</v>
      </c>
      <c r="E22" s="202"/>
      <c r="F22" s="81"/>
      <c r="G22" s="202"/>
      <c r="H22" s="106"/>
      <c r="I22" s="208"/>
      <c r="J22" s="106"/>
      <c r="K22" s="123"/>
      <c r="L22" s="367">
        <f t="shared" si="1"/>
        <v>12</v>
      </c>
    </row>
    <row r="23" spans="1:14" x14ac:dyDescent="0.35">
      <c r="A23" s="367">
        <f t="shared" si="0"/>
        <v>13</v>
      </c>
      <c r="B23" s="79" t="s">
        <v>107</v>
      </c>
      <c r="E23" s="108"/>
      <c r="F23" s="126"/>
      <c r="G23" s="108"/>
      <c r="H23" s="209"/>
      <c r="I23" s="210">
        <f>I15*I19</f>
        <v>42193.179474965684</v>
      </c>
      <c r="J23" s="106"/>
      <c r="K23" s="123" t="s">
        <v>1118</v>
      </c>
      <c r="L23" s="367">
        <f t="shared" si="1"/>
        <v>13</v>
      </c>
    </row>
    <row r="24" spans="1:14" x14ac:dyDescent="0.35">
      <c r="A24" s="367">
        <f t="shared" si="0"/>
        <v>14</v>
      </c>
      <c r="E24" s="108"/>
      <c r="F24" s="126"/>
      <c r="G24" s="108"/>
      <c r="H24" s="104"/>
      <c r="I24" s="211"/>
      <c r="J24" s="106"/>
      <c r="K24" s="123"/>
      <c r="L24" s="367">
        <f t="shared" si="1"/>
        <v>14</v>
      </c>
    </row>
    <row r="25" spans="1:14" x14ac:dyDescent="0.35">
      <c r="A25" s="367">
        <f t="shared" si="0"/>
        <v>15</v>
      </c>
      <c r="B25" s="79" t="s">
        <v>106</v>
      </c>
      <c r="E25" s="210"/>
      <c r="F25" s="126"/>
      <c r="G25" s="210"/>
      <c r="H25" s="104"/>
      <c r="I25" s="212">
        <f>I17*I19</f>
        <v>126838.82681949215</v>
      </c>
      <c r="J25" s="106"/>
      <c r="K25" s="123" t="s">
        <v>1119</v>
      </c>
      <c r="L25" s="367">
        <f t="shared" si="1"/>
        <v>15</v>
      </c>
    </row>
    <row r="26" spans="1:14" x14ac:dyDescent="0.35">
      <c r="A26" s="367">
        <f t="shared" si="0"/>
        <v>16</v>
      </c>
      <c r="E26" s="210"/>
      <c r="F26" s="126"/>
      <c r="G26" s="210"/>
      <c r="H26" s="104"/>
      <c r="I26" s="211"/>
      <c r="J26" s="106"/>
      <c r="K26" s="123"/>
      <c r="L26" s="367">
        <f t="shared" si="1"/>
        <v>16</v>
      </c>
      <c r="N26" s="85"/>
    </row>
    <row r="27" spans="1:14" ht="16" thickBot="1" x14ac:dyDescent="0.4">
      <c r="A27" s="367">
        <f t="shared" si="0"/>
        <v>17</v>
      </c>
      <c r="B27" s="79" t="s">
        <v>105</v>
      </c>
      <c r="E27" s="213"/>
      <c r="F27" s="126"/>
      <c r="G27" s="213"/>
      <c r="H27" s="104"/>
      <c r="I27" s="214">
        <f>I11+I21+I23+I25</f>
        <v>1747022.9616432884</v>
      </c>
      <c r="J27" s="201"/>
      <c r="K27" s="123" t="s">
        <v>1120</v>
      </c>
      <c r="L27" s="367">
        <f t="shared" si="1"/>
        <v>17</v>
      </c>
    </row>
    <row r="28" spans="1:14" ht="16" thickTop="1" x14ac:dyDescent="0.35">
      <c r="A28" s="367">
        <f t="shared" si="0"/>
        <v>18</v>
      </c>
      <c r="E28" s="81"/>
      <c r="F28" s="81"/>
      <c r="G28" s="215"/>
      <c r="H28" s="106"/>
      <c r="I28" s="106"/>
      <c r="J28" s="106"/>
      <c r="K28" s="123"/>
      <c r="L28" s="367">
        <f t="shared" si="1"/>
        <v>18</v>
      </c>
    </row>
    <row r="29" spans="1:14" ht="18.5" thickBot="1" x14ac:dyDescent="0.4">
      <c r="A29" s="367">
        <f t="shared" si="0"/>
        <v>19</v>
      </c>
      <c r="B29" s="81" t="s">
        <v>934</v>
      </c>
      <c r="C29" s="367"/>
      <c r="D29" s="367"/>
      <c r="E29" s="110"/>
      <c r="F29" s="81"/>
      <c r="G29" s="110"/>
      <c r="H29" s="110"/>
      <c r="I29" s="216">
        <f>'AE-5'!E31</f>
        <v>0</v>
      </c>
      <c r="J29" s="367"/>
      <c r="K29" s="182" t="s">
        <v>1157</v>
      </c>
      <c r="L29" s="367">
        <f t="shared" si="1"/>
        <v>19</v>
      </c>
    </row>
    <row r="30" spans="1:14" ht="16" thickTop="1" x14ac:dyDescent="0.35">
      <c r="A30" s="367"/>
      <c r="E30" s="81"/>
      <c r="F30" s="81"/>
      <c r="G30" s="215"/>
      <c r="H30" s="106"/>
      <c r="I30" s="106"/>
      <c r="J30" s="106"/>
      <c r="K30" s="123"/>
      <c r="L30" s="367"/>
    </row>
    <row r="32" spans="1:14" ht="18" x14ac:dyDescent="0.35">
      <c r="A32" s="749">
        <v>1</v>
      </c>
      <c r="B32" s="79" t="s">
        <v>913</v>
      </c>
    </row>
    <row r="33" spans="1:2" ht="18" x14ac:dyDescent="0.35">
      <c r="A33" s="750">
        <v>2</v>
      </c>
      <c r="B33" s="79" t="s">
        <v>914</v>
      </c>
    </row>
    <row r="34" spans="1:2" ht="18" x14ac:dyDescent="0.35">
      <c r="A34" s="751">
        <v>3</v>
      </c>
      <c r="B34" s="79" t="s">
        <v>912</v>
      </c>
    </row>
    <row r="35" spans="1:2" ht="18" x14ac:dyDescent="0.35">
      <c r="A35" s="751">
        <v>4</v>
      </c>
      <c r="B35" s="85" t="s">
        <v>924</v>
      </c>
    </row>
    <row r="36" spans="1:2" x14ac:dyDescent="0.35">
      <c r="A36" s="367"/>
    </row>
    <row r="37" spans="1:2" ht="18" x14ac:dyDescent="0.35">
      <c r="A37" s="751"/>
    </row>
    <row r="39" spans="1:2" x14ac:dyDescent="0.35">
      <c r="A39" s="201"/>
      <c r="B39" s="88"/>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Z45"/>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3" customWidth="1"/>
    <col min="5" max="5" width="18.54296875" style="88" customWidth="1"/>
    <col min="6" max="6" width="65" style="88" bestFit="1"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8" x14ac:dyDescent="0.35">
      <c r="B2" s="2289" t="s">
        <v>18</v>
      </c>
      <c r="C2" s="2289"/>
      <c r="D2" s="2289"/>
      <c r="E2" s="2289"/>
      <c r="F2" s="2289"/>
    </row>
    <row r="3" spans="1:8" x14ac:dyDescent="0.35">
      <c r="B3" s="2289" t="s">
        <v>112</v>
      </c>
      <c r="C3" s="2289"/>
      <c r="D3" s="2289"/>
      <c r="E3" s="2289"/>
      <c r="F3" s="2289"/>
    </row>
    <row r="4" spans="1:8" x14ac:dyDescent="0.35">
      <c r="B4" s="2289" t="s">
        <v>111</v>
      </c>
      <c r="C4" s="2289"/>
      <c r="D4" s="2289"/>
      <c r="E4" s="2289"/>
      <c r="F4" s="2289"/>
    </row>
    <row r="5" spans="1:8" x14ac:dyDescent="0.35">
      <c r="B5" s="2289" t="s">
        <v>1590</v>
      </c>
      <c r="C5" s="2289"/>
      <c r="D5" s="2289"/>
      <c r="E5" s="2289"/>
      <c r="F5" s="2289"/>
    </row>
    <row r="6" spans="1:8" x14ac:dyDescent="0.35">
      <c r="B6" s="2292" t="s">
        <v>2</v>
      </c>
      <c r="C6" s="2292"/>
      <c r="D6" s="2292"/>
      <c r="E6" s="2292"/>
      <c r="F6" s="2292"/>
    </row>
    <row r="7" spans="1:8" x14ac:dyDescent="0.35">
      <c r="B7" s="752"/>
      <c r="C7" s="753"/>
      <c r="D7" s="753"/>
      <c r="E7" s="752"/>
      <c r="F7" s="752"/>
    </row>
    <row r="8" spans="1:8" x14ac:dyDescent="0.35">
      <c r="B8" s="2289" t="s">
        <v>59</v>
      </c>
      <c r="C8" s="2289"/>
      <c r="D8" s="2289"/>
      <c r="E8" s="2289"/>
      <c r="F8" s="2289"/>
    </row>
    <row r="10" spans="1:8" ht="15.5" x14ac:dyDescent="0.35">
      <c r="A10" s="182"/>
      <c r="B10" s="756"/>
      <c r="C10" s="757" t="s">
        <v>31</v>
      </c>
      <c r="D10" s="798"/>
      <c r="E10" s="757"/>
      <c r="F10" s="798"/>
    </row>
    <row r="11" spans="1:8" ht="15.5" x14ac:dyDescent="0.35">
      <c r="A11" s="182"/>
      <c r="B11" s="759"/>
      <c r="C11" s="595" t="s">
        <v>61</v>
      </c>
      <c r="D11" s="799"/>
      <c r="E11" s="765" t="s">
        <v>61</v>
      </c>
      <c r="F11" s="799"/>
    </row>
    <row r="12" spans="1:8" ht="15.5" x14ac:dyDescent="0.35">
      <c r="A12" s="182" t="s">
        <v>3</v>
      </c>
      <c r="B12" s="764"/>
      <c r="C12" s="595" t="s">
        <v>110</v>
      </c>
      <c r="D12" s="844"/>
      <c r="E12" s="765" t="s">
        <v>110</v>
      </c>
      <c r="F12" s="844"/>
      <c r="G12" s="1563" t="s">
        <v>3</v>
      </c>
    </row>
    <row r="13" spans="1:8" ht="18" x14ac:dyDescent="0.35">
      <c r="A13" s="182" t="s">
        <v>25</v>
      </c>
      <c r="B13" s="766" t="s">
        <v>23</v>
      </c>
      <c r="C13" s="767" t="s">
        <v>36</v>
      </c>
      <c r="D13" s="766" t="s">
        <v>9</v>
      </c>
      <c r="E13" s="769" t="s">
        <v>717</v>
      </c>
      <c r="F13" s="766" t="s">
        <v>9</v>
      </c>
      <c r="G13" s="1563" t="s">
        <v>25</v>
      </c>
    </row>
    <row r="14" spans="1:8" ht="15.5" x14ac:dyDescent="0.35">
      <c r="A14" s="182">
        <v>1</v>
      </c>
      <c r="B14" s="1747" t="str">
        <f>'AD-1'!B14</f>
        <v>Dec-20</v>
      </c>
      <c r="C14" s="1743">
        <v>1479329.03807</v>
      </c>
      <c r="D14" s="823" t="s">
        <v>647</v>
      </c>
      <c r="E14" s="1743">
        <v>1454485.75878</v>
      </c>
      <c r="F14" s="823" t="s">
        <v>1597</v>
      </c>
      <c r="G14" s="1563">
        <f>A14</f>
        <v>1</v>
      </c>
      <c r="H14" s="773"/>
    </row>
    <row r="15" spans="1:8" ht="15.5" x14ac:dyDescent="0.35">
      <c r="A15" s="182">
        <f>A14+1</f>
        <v>2</v>
      </c>
      <c r="B15" s="1747" t="str">
        <f>'AD-1'!B15</f>
        <v>Jan-21</v>
      </c>
      <c r="C15" s="162">
        <v>1495244.4464700001</v>
      </c>
      <c r="D15" s="831"/>
      <c r="E15" s="1744">
        <v>1470183.03587</v>
      </c>
      <c r="F15" s="831"/>
      <c r="G15" s="1563">
        <f>G14+1</f>
        <v>2</v>
      </c>
    </row>
    <row r="16" spans="1:8" ht="15.5" x14ac:dyDescent="0.35">
      <c r="A16" s="182">
        <f t="shared" ref="A16:A32" si="0">A15+1</f>
        <v>3</v>
      </c>
      <c r="B16" s="959" t="s">
        <v>37</v>
      </c>
      <c r="C16" s="162">
        <v>1510702.8340799999</v>
      </c>
      <c r="D16" s="831"/>
      <c r="E16" s="1744">
        <v>1485428.59433</v>
      </c>
      <c r="F16" s="831"/>
      <c r="G16" s="1563">
        <f t="shared" ref="G16:G32" si="1">G15+1</f>
        <v>3</v>
      </c>
    </row>
    <row r="17" spans="1:26" ht="15.5" x14ac:dyDescent="0.35">
      <c r="A17" s="182">
        <f t="shared" si="0"/>
        <v>4</v>
      </c>
      <c r="B17" s="959" t="s">
        <v>38</v>
      </c>
      <c r="C17" s="162">
        <v>1521340.1790799999</v>
      </c>
      <c r="D17" s="831"/>
      <c r="E17" s="1744">
        <v>1495872.54559</v>
      </c>
      <c r="F17" s="831"/>
      <c r="G17" s="1563">
        <f t="shared" si="1"/>
        <v>4</v>
      </c>
    </row>
    <row r="18" spans="1:26" ht="15.5" x14ac:dyDescent="0.35">
      <c r="A18" s="182">
        <f t="shared" si="0"/>
        <v>5</v>
      </c>
      <c r="B18" s="959" t="s">
        <v>39</v>
      </c>
      <c r="C18" s="162">
        <v>1538626.77892</v>
      </c>
      <c r="D18" s="831"/>
      <c r="E18" s="1744">
        <v>1513183.3799000001</v>
      </c>
      <c r="F18" s="831"/>
      <c r="G18" s="1563">
        <f t="shared" si="1"/>
        <v>5</v>
      </c>
      <c r="H18" s="915"/>
    </row>
    <row r="19" spans="1:26" ht="15.5" x14ac:dyDescent="0.35">
      <c r="A19" s="182">
        <f t="shared" si="0"/>
        <v>6</v>
      </c>
      <c r="B19" s="959" t="s">
        <v>40</v>
      </c>
      <c r="C19" s="162">
        <v>1554165.8135200001</v>
      </c>
      <c r="D19" s="831"/>
      <c r="E19" s="1744">
        <v>1528503.0434700001</v>
      </c>
      <c r="F19" s="831"/>
      <c r="G19" s="1563">
        <f t="shared" si="1"/>
        <v>6</v>
      </c>
    </row>
    <row r="20" spans="1:26" ht="15.5" x14ac:dyDescent="0.35">
      <c r="A20" s="182">
        <f>A19+1</f>
        <v>7</v>
      </c>
      <c r="B20" s="959" t="s">
        <v>41</v>
      </c>
      <c r="C20" s="162">
        <v>1570135.03895</v>
      </c>
      <c r="D20" s="831"/>
      <c r="E20" s="1744">
        <v>1544261.31458</v>
      </c>
      <c r="F20" s="831"/>
      <c r="G20" s="1563">
        <f>G19+1</f>
        <v>7</v>
      </c>
    </row>
    <row r="21" spans="1:26" ht="15.5" x14ac:dyDescent="0.35">
      <c r="A21" s="182">
        <f t="shared" si="0"/>
        <v>8</v>
      </c>
      <c r="B21" s="959" t="s">
        <v>42</v>
      </c>
      <c r="C21" s="162">
        <v>1585185.08956</v>
      </c>
      <c r="D21" s="831"/>
      <c r="E21" s="1744">
        <v>1558918.5186699999</v>
      </c>
      <c r="F21" s="831"/>
      <c r="G21" s="1563">
        <f t="shared" si="1"/>
        <v>8</v>
      </c>
    </row>
    <row r="22" spans="1:26" ht="15.5" x14ac:dyDescent="0.35">
      <c r="A22" s="182">
        <f t="shared" si="0"/>
        <v>9</v>
      </c>
      <c r="B22" s="959" t="s">
        <v>43</v>
      </c>
      <c r="C22" s="162">
        <v>1600653.5415399999</v>
      </c>
      <c r="D22" s="831"/>
      <c r="E22" s="1744">
        <v>1574157.9996399998</v>
      </c>
      <c r="F22" s="831"/>
      <c r="G22" s="1563">
        <f t="shared" si="1"/>
        <v>9</v>
      </c>
      <c r="N22" s="109"/>
      <c r="O22" s="109"/>
      <c r="P22" s="109"/>
      <c r="Q22" s="109"/>
      <c r="R22" s="109"/>
      <c r="S22" s="109"/>
      <c r="T22" s="109"/>
      <c r="U22" s="109"/>
      <c r="V22" s="109"/>
      <c r="W22" s="109"/>
      <c r="X22" s="109"/>
      <c r="Y22" s="109"/>
      <c r="Z22" s="109"/>
    </row>
    <row r="23" spans="1:26" ht="15.5" x14ac:dyDescent="0.35">
      <c r="A23" s="182">
        <f t="shared" si="0"/>
        <v>10</v>
      </c>
      <c r="B23" s="959" t="s">
        <v>44</v>
      </c>
      <c r="C23" s="162">
        <v>1616667.7472300001</v>
      </c>
      <c r="D23" s="831"/>
      <c r="E23" s="1744">
        <v>1589935.1117100001</v>
      </c>
      <c r="F23" s="831"/>
      <c r="G23" s="1563">
        <f t="shared" si="1"/>
        <v>10</v>
      </c>
    </row>
    <row r="24" spans="1:26" ht="15.5" x14ac:dyDescent="0.35">
      <c r="A24" s="182">
        <f t="shared" si="0"/>
        <v>11</v>
      </c>
      <c r="B24" s="959" t="s">
        <v>45</v>
      </c>
      <c r="C24" s="162">
        <v>1632779.40448</v>
      </c>
      <c r="D24" s="831"/>
      <c r="E24" s="1744">
        <v>1605897.53051</v>
      </c>
      <c r="F24" s="831"/>
      <c r="G24" s="1563">
        <f t="shared" si="1"/>
        <v>11</v>
      </c>
    </row>
    <row r="25" spans="1:26" ht="15.5" x14ac:dyDescent="0.35">
      <c r="A25" s="182">
        <f t="shared" si="0"/>
        <v>12</v>
      </c>
      <c r="B25" s="959" t="s">
        <v>46</v>
      </c>
      <c r="C25" s="162">
        <v>1647317.6879</v>
      </c>
      <c r="D25" s="831"/>
      <c r="E25" s="1744">
        <v>1620208.0965700001</v>
      </c>
      <c r="F25" s="831"/>
      <c r="G25" s="1563">
        <f t="shared" si="1"/>
        <v>12</v>
      </c>
    </row>
    <row r="26" spans="1:26" ht="15.5" x14ac:dyDescent="0.35">
      <c r="A26" s="182">
        <f t="shared" si="0"/>
        <v>13</v>
      </c>
      <c r="B26" s="1748" t="str">
        <f>'AD-1'!B26</f>
        <v>Dec-21</v>
      </c>
      <c r="C26" s="146">
        <v>1662868.65796</v>
      </c>
      <c r="D26" s="833" t="s">
        <v>647</v>
      </c>
      <c r="E26" s="146">
        <v>1635135.3677999999</v>
      </c>
      <c r="F26" s="823" t="s">
        <v>1713</v>
      </c>
      <c r="G26" s="1563">
        <f t="shared" si="1"/>
        <v>13</v>
      </c>
      <c r="H26" s="773"/>
    </row>
    <row r="27" spans="1:26" ht="15.5" x14ac:dyDescent="0.35">
      <c r="A27" s="182">
        <f t="shared" si="0"/>
        <v>14</v>
      </c>
      <c r="B27" s="776"/>
      <c r="C27" s="155"/>
      <c r="D27" s="916"/>
      <c r="E27" s="157"/>
      <c r="F27" s="756"/>
      <c r="G27" s="1563">
        <f t="shared" si="1"/>
        <v>14</v>
      </c>
    </row>
    <row r="28" spans="1:26" ht="15.5" x14ac:dyDescent="0.35">
      <c r="A28" s="182">
        <f t="shared" si="0"/>
        <v>15</v>
      </c>
      <c r="B28" s="776" t="s">
        <v>47</v>
      </c>
      <c r="C28" s="217">
        <f>SUM(C14:C26)</f>
        <v>20415016.257760003</v>
      </c>
      <c r="D28" s="1234" t="s">
        <v>1146</v>
      </c>
      <c r="E28" s="148">
        <f>SUM(E14:E26)</f>
        <v>20076170.297420003</v>
      </c>
      <c r="F28" s="1236" t="s">
        <v>1146</v>
      </c>
      <c r="G28" s="1563">
        <f t="shared" si="1"/>
        <v>15</v>
      </c>
    </row>
    <row r="29" spans="1:26" ht="15.5" x14ac:dyDescent="0.35">
      <c r="A29" s="182">
        <f t="shared" si="0"/>
        <v>16</v>
      </c>
      <c r="B29" s="781"/>
      <c r="C29" s="218"/>
      <c r="D29" s="230"/>
      <c r="E29" s="149"/>
      <c r="F29" s="835"/>
      <c r="G29" s="1563">
        <f t="shared" si="1"/>
        <v>16</v>
      </c>
    </row>
    <row r="30" spans="1:26" ht="15.5" x14ac:dyDescent="0.35">
      <c r="A30" s="182">
        <f t="shared" si="0"/>
        <v>17</v>
      </c>
      <c r="B30" s="776"/>
      <c r="C30" s="219"/>
      <c r="D30" s="917"/>
      <c r="E30" s="219"/>
      <c r="F30" s="918"/>
      <c r="G30" s="1563">
        <f t="shared" si="1"/>
        <v>17</v>
      </c>
    </row>
    <row r="31" spans="1:26" ht="15.5" x14ac:dyDescent="0.35">
      <c r="A31" s="182">
        <f t="shared" si="0"/>
        <v>18</v>
      </c>
      <c r="B31" s="776" t="s">
        <v>48</v>
      </c>
      <c r="C31" s="217">
        <f>C28/13</f>
        <v>1570385.8659815388</v>
      </c>
      <c r="D31" s="1234" t="s">
        <v>1148</v>
      </c>
      <c r="E31" s="148">
        <f>E28/13</f>
        <v>1544320.792109231</v>
      </c>
      <c r="F31" s="823" t="s">
        <v>1713</v>
      </c>
      <c r="G31" s="1563">
        <f t="shared" si="1"/>
        <v>18</v>
      </c>
      <c r="H31" s="773"/>
    </row>
    <row r="32" spans="1:26" ht="15.5" x14ac:dyDescent="0.35">
      <c r="A32" s="182">
        <f t="shared" si="0"/>
        <v>19</v>
      </c>
      <c r="B32" s="781"/>
      <c r="C32" s="786"/>
      <c r="D32" s="836"/>
      <c r="E32" s="786"/>
      <c r="F32" s="836"/>
      <c r="G32" s="1563">
        <f t="shared" si="1"/>
        <v>19</v>
      </c>
    </row>
    <row r="33" spans="1:6" ht="15.5" x14ac:dyDescent="0.35">
      <c r="A33" s="182"/>
      <c r="B33" s="79"/>
      <c r="C33" s="79"/>
      <c r="D33" s="81"/>
      <c r="E33" s="79"/>
      <c r="F33" s="79"/>
    </row>
    <row r="34" spans="1:6" ht="15.5" x14ac:dyDescent="0.35">
      <c r="C34" s="79"/>
      <c r="D34" s="79"/>
      <c r="E34" s="830"/>
      <c r="F34" s="79"/>
    </row>
    <row r="35" spans="1:6" ht="18" x14ac:dyDescent="0.35">
      <c r="A35" s="750">
        <v>1</v>
      </c>
      <c r="B35" s="79" t="s">
        <v>729</v>
      </c>
      <c r="C35" s="79"/>
      <c r="D35" s="79"/>
      <c r="E35" s="79"/>
      <c r="F35" s="79"/>
    </row>
    <row r="36" spans="1:6" ht="15.5" x14ac:dyDescent="0.35">
      <c r="B36" s="79" t="s">
        <v>920</v>
      </c>
      <c r="C36" s="79"/>
      <c r="D36" s="79"/>
      <c r="E36" s="79"/>
      <c r="F36" s="79"/>
    </row>
    <row r="37" spans="1:6" ht="15.5" x14ac:dyDescent="0.35">
      <c r="B37" s="79"/>
      <c r="C37" s="79"/>
      <c r="D37" s="79"/>
      <c r="E37" s="79"/>
      <c r="F37" s="79"/>
    </row>
    <row r="38" spans="1:6" ht="15.5" x14ac:dyDescent="0.35">
      <c r="C38" s="79"/>
      <c r="D38" s="79"/>
      <c r="E38" s="79"/>
      <c r="F38" s="79"/>
    </row>
    <row r="39" spans="1:6" x14ac:dyDescent="0.35">
      <c r="A39" s="838"/>
    </row>
    <row r="42" spans="1:6" x14ac:dyDescent="0.35">
      <c r="A42" s="838"/>
    </row>
    <row r="45" spans="1:6" x14ac:dyDescent="0.35">
      <c r="A45" s="838"/>
    </row>
  </sheetData>
  <mergeCells count="6">
    <mergeCell ref="B8:F8"/>
    <mergeCell ref="B2:F2"/>
    <mergeCell ref="B3:F3"/>
    <mergeCell ref="B4:F4"/>
    <mergeCell ref="B5:F5"/>
    <mergeCell ref="B6:F6"/>
  </mergeCells>
  <printOptions horizontalCentered="1"/>
  <pageMargins left="0.5" right="0.5" top="0.5" bottom="0.5" header="0.25" footer="0.25"/>
  <pageSetup scale="73" orientation="landscape" r:id="rId1"/>
  <headerFooter scaleWithDoc="0">
    <oddFooter>&amp;C&amp;"Times New Roman,Regular"&amp;10&amp;A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71"/>
  <sheetViews>
    <sheetView zoomScale="80" zoomScaleNormal="80" workbookViewId="0"/>
  </sheetViews>
  <sheetFormatPr defaultColWidth="9.08984375" defaultRowHeight="15.5" x14ac:dyDescent="0.35"/>
  <cols>
    <col min="1" max="1" width="5.08984375" style="1563" customWidth="1"/>
    <col min="2" max="2" width="11.08984375" style="79" customWidth="1"/>
    <col min="3" max="3" width="32.453125" style="79" customWidth="1"/>
    <col min="4" max="11" width="18.54296875" style="130" customWidth="1"/>
    <col min="12" max="12" width="24" style="130" customWidth="1"/>
    <col min="13" max="13" width="5.08984375" style="1563" customWidth="1"/>
    <col min="14" max="14" width="14.453125" style="79" bestFit="1" customWidth="1"/>
    <col min="15" max="16384" width="9.08984375" style="79"/>
  </cols>
  <sheetData>
    <row r="1" spans="1:13" x14ac:dyDescent="0.35">
      <c r="M1" s="1561"/>
    </row>
    <row r="2" spans="1:13" s="88" customFormat="1" ht="15.75" customHeight="1" x14ac:dyDescent="0.35">
      <c r="A2" s="1561"/>
      <c r="B2" s="2289" t="s">
        <v>18</v>
      </c>
      <c r="C2" s="2289"/>
      <c r="D2" s="2289"/>
      <c r="E2" s="2289"/>
      <c r="F2" s="2289"/>
      <c r="G2" s="2289"/>
      <c r="H2" s="2289"/>
      <c r="I2" s="2289"/>
      <c r="J2" s="2289"/>
      <c r="K2" s="2289"/>
      <c r="L2" s="2289"/>
      <c r="M2" s="1561"/>
    </row>
    <row r="3" spans="1:13" s="88" customFormat="1" ht="15" x14ac:dyDescent="0.35">
      <c r="A3" s="1561"/>
      <c r="B3" s="2289" t="s">
        <v>62</v>
      </c>
      <c r="C3" s="2289"/>
      <c r="D3" s="2289"/>
      <c r="E3" s="2289"/>
      <c r="F3" s="2289"/>
      <c r="G3" s="2289"/>
      <c r="H3" s="2289"/>
      <c r="I3" s="2289"/>
      <c r="J3" s="2289"/>
      <c r="K3" s="2289"/>
      <c r="L3" s="2289"/>
      <c r="M3" s="1561"/>
    </row>
    <row r="4" spans="1:13" x14ac:dyDescent="0.35">
      <c r="B4" s="2289" t="s">
        <v>118</v>
      </c>
      <c r="C4" s="2289"/>
      <c r="D4" s="2289"/>
      <c r="E4" s="2289"/>
      <c r="F4" s="2289"/>
      <c r="G4" s="2289"/>
      <c r="H4" s="2289"/>
      <c r="I4" s="2289"/>
      <c r="J4" s="2289"/>
      <c r="K4" s="2289"/>
      <c r="L4" s="2289"/>
    </row>
    <row r="5" spans="1:13" x14ac:dyDescent="0.35">
      <c r="B5" s="2289" t="s">
        <v>111</v>
      </c>
      <c r="C5" s="2289"/>
      <c r="D5" s="2289"/>
      <c r="E5" s="2289"/>
      <c r="F5" s="2289"/>
      <c r="G5" s="2289"/>
      <c r="H5" s="2289"/>
      <c r="I5" s="2289"/>
      <c r="J5" s="2289"/>
      <c r="K5" s="2289"/>
      <c r="L5" s="2289"/>
    </row>
    <row r="6" spans="1:13" x14ac:dyDescent="0.35">
      <c r="B6" s="2289" t="s">
        <v>1593</v>
      </c>
      <c r="C6" s="2289"/>
      <c r="D6" s="2289"/>
      <c r="E6" s="2289"/>
      <c r="F6" s="2289"/>
      <c r="G6" s="2289"/>
      <c r="H6" s="2289"/>
      <c r="I6" s="2289"/>
      <c r="J6" s="2289"/>
      <c r="K6" s="2289"/>
      <c r="L6" s="2289"/>
    </row>
    <row r="7" spans="1:13" x14ac:dyDescent="0.35">
      <c r="B7" s="2292" t="s">
        <v>2</v>
      </c>
      <c r="C7" s="2289"/>
      <c r="D7" s="2289"/>
      <c r="E7" s="2289"/>
      <c r="F7" s="2289"/>
      <c r="G7" s="2289"/>
      <c r="H7" s="2289"/>
      <c r="I7" s="2289"/>
      <c r="J7" s="2289"/>
      <c r="K7" s="2289"/>
      <c r="L7" s="2289"/>
    </row>
    <row r="8" spans="1:13" x14ac:dyDescent="0.35">
      <c r="C8" s="752"/>
      <c r="D8" s="753"/>
      <c r="E8" s="839"/>
      <c r="F8" s="839"/>
      <c r="G8" s="839"/>
      <c r="H8" s="839"/>
      <c r="I8" s="839"/>
      <c r="J8" s="839"/>
      <c r="K8" s="839"/>
      <c r="L8" s="839"/>
    </row>
    <row r="9" spans="1:13" s="728" customFormat="1" ht="15" x14ac:dyDescent="0.35">
      <c r="A9" s="1561"/>
      <c r="B9" s="896"/>
      <c r="C9" s="840"/>
      <c r="D9" s="841" t="s">
        <v>29</v>
      </c>
      <c r="E9" s="842" t="s">
        <v>30</v>
      </c>
      <c r="F9" s="842" t="s">
        <v>64</v>
      </c>
      <c r="G9" s="842" t="s">
        <v>65</v>
      </c>
      <c r="H9" s="842" t="s">
        <v>66</v>
      </c>
      <c r="I9" s="842" t="s">
        <v>67</v>
      </c>
      <c r="J9" s="842" t="s">
        <v>68</v>
      </c>
      <c r="K9" s="842" t="s">
        <v>69</v>
      </c>
      <c r="L9" s="798"/>
      <c r="M9" s="1561" t="s">
        <v>10</v>
      </c>
    </row>
    <row r="10" spans="1:13" x14ac:dyDescent="0.35">
      <c r="B10" s="919"/>
      <c r="C10" s="844"/>
      <c r="D10" s="845"/>
      <c r="E10" s="846"/>
      <c r="F10" s="920"/>
      <c r="G10" s="846"/>
      <c r="H10" s="846"/>
      <c r="I10" s="846"/>
      <c r="J10" s="848"/>
      <c r="K10" s="848" t="s">
        <v>31</v>
      </c>
      <c r="L10" s="843"/>
      <c r="M10" s="1563" t="s">
        <v>10</v>
      </c>
    </row>
    <row r="11" spans="1:13" x14ac:dyDescent="0.35">
      <c r="B11" s="919"/>
      <c r="C11" s="844"/>
      <c r="D11" s="845"/>
      <c r="E11" s="846" t="s">
        <v>70</v>
      </c>
      <c r="F11" s="920" t="s">
        <v>57</v>
      </c>
      <c r="G11" s="846" t="s">
        <v>61</v>
      </c>
      <c r="H11" s="846" t="s">
        <v>61</v>
      </c>
      <c r="I11" s="846" t="s">
        <v>61</v>
      </c>
      <c r="J11" s="848" t="s">
        <v>61</v>
      </c>
      <c r="K11" s="848" t="s">
        <v>61</v>
      </c>
      <c r="L11" s="525"/>
      <c r="M11" s="1563" t="s">
        <v>10</v>
      </c>
    </row>
    <row r="12" spans="1:13" x14ac:dyDescent="0.35">
      <c r="B12" s="921"/>
      <c r="C12" s="170"/>
      <c r="D12" s="852" t="s">
        <v>31</v>
      </c>
      <c r="E12" s="846" t="s">
        <v>116</v>
      </c>
      <c r="F12" s="846" t="s">
        <v>116</v>
      </c>
      <c r="G12" s="846" t="s">
        <v>116</v>
      </c>
      <c r="H12" s="846" t="s">
        <v>116</v>
      </c>
      <c r="I12" s="846" t="s">
        <v>116</v>
      </c>
      <c r="J12" s="848" t="s">
        <v>116</v>
      </c>
      <c r="K12" s="848" t="s">
        <v>110</v>
      </c>
      <c r="L12" s="799"/>
    </row>
    <row r="13" spans="1:13" x14ac:dyDescent="0.35">
      <c r="A13" s="1563" t="s">
        <v>3</v>
      </c>
      <c r="B13" s="891"/>
      <c r="C13" s="827"/>
      <c r="D13" s="852" t="s">
        <v>61</v>
      </c>
      <c r="E13" s="846" t="s">
        <v>117</v>
      </c>
      <c r="F13" s="846" t="s">
        <v>117</v>
      </c>
      <c r="G13" s="846" t="s">
        <v>117</v>
      </c>
      <c r="H13" s="846" t="s">
        <v>117</v>
      </c>
      <c r="I13" s="846" t="s">
        <v>117</v>
      </c>
      <c r="J13" s="848" t="s">
        <v>117</v>
      </c>
      <c r="K13" s="848" t="s">
        <v>35</v>
      </c>
      <c r="L13" s="799"/>
      <c r="M13" s="1563" t="s">
        <v>3</v>
      </c>
    </row>
    <row r="14" spans="1:13" x14ac:dyDescent="0.35">
      <c r="A14" s="1563" t="s">
        <v>25</v>
      </c>
      <c r="B14" s="872" t="s">
        <v>73</v>
      </c>
      <c r="C14" s="766" t="s">
        <v>74</v>
      </c>
      <c r="D14" s="873" t="s">
        <v>116</v>
      </c>
      <c r="E14" s="857" t="s">
        <v>75</v>
      </c>
      <c r="F14" s="857" t="s">
        <v>76</v>
      </c>
      <c r="G14" s="857" t="s">
        <v>115</v>
      </c>
      <c r="H14" s="857" t="s">
        <v>114</v>
      </c>
      <c r="I14" s="857" t="s">
        <v>113</v>
      </c>
      <c r="J14" s="857" t="s">
        <v>79</v>
      </c>
      <c r="K14" s="766" t="s">
        <v>80</v>
      </c>
      <c r="L14" s="766" t="s">
        <v>9</v>
      </c>
      <c r="M14" s="1563" t="s">
        <v>25</v>
      </c>
    </row>
    <row r="15" spans="1:13" x14ac:dyDescent="0.35">
      <c r="B15" s="170"/>
      <c r="C15" s="170" t="s">
        <v>81</v>
      </c>
      <c r="D15" s="169"/>
      <c r="E15" s="170"/>
      <c r="F15" s="170"/>
      <c r="G15" s="170"/>
      <c r="H15" s="170"/>
      <c r="I15" s="170"/>
      <c r="J15" s="627"/>
      <c r="K15" s="627"/>
      <c r="L15" s="525"/>
    </row>
    <row r="16" spans="1:13" x14ac:dyDescent="0.35">
      <c r="A16" s="1563">
        <v>1</v>
      </c>
      <c r="B16" s="860">
        <v>303</v>
      </c>
      <c r="C16" s="170" t="s">
        <v>82</v>
      </c>
      <c r="D16" s="625">
        <v>0</v>
      </c>
      <c r="E16" s="625">
        <v>0</v>
      </c>
      <c r="F16" s="625">
        <v>0</v>
      </c>
      <c r="G16" s="625">
        <v>0</v>
      </c>
      <c r="H16" s="625">
        <v>0</v>
      </c>
      <c r="I16" s="625">
        <v>0</v>
      </c>
      <c r="J16" s="625">
        <v>0</v>
      </c>
      <c r="K16" s="625">
        <f>SUM(D16:J16)</f>
        <v>0</v>
      </c>
      <c r="L16" s="525" t="s">
        <v>647</v>
      </c>
      <c r="M16" s="1563">
        <f>A16</f>
        <v>1</v>
      </c>
    </row>
    <row r="17" spans="1:16" x14ac:dyDescent="0.35">
      <c r="A17" s="1563">
        <f>A16+1</f>
        <v>2</v>
      </c>
      <c r="B17" s="525">
        <v>310.10000000000002</v>
      </c>
      <c r="C17" s="170" t="s">
        <v>83</v>
      </c>
      <c r="D17" s="1855">
        <v>0</v>
      </c>
      <c r="E17" s="626">
        <v>0</v>
      </c>
      <c r="F17" s="626">
        <v>0</v>
      </c>
      <c r="G17" s="626">
        <v>0</v>
      </c>
      <c r="H17" s="626">
        <v>0</v>
      </c>
      <c r="I17" s="626">
        <v>0</v>
      </c>
      <c r="J17" s="626">
        <v>0</v>
      </c>
      <c r="K17" s="626">
        <f>SUM(D17:J17)</f>
        <v>0</v>
      </c>
      <c r="L17" s="525" t="s">
        <v>647</v>
      </c>
      <c r="M17" s="1563">
        <f>M16+1</f>
        <v>2</v>
      </c>
    </row>
    <row r="18" spans="1:16" x14ac:dyDescent="0.35">
      <c r="A18" s="1563">
        <f t="shared" ref="A18:A36" si="0">A17+1</f>
        <v>3</v>
      </c>
      <c r="B18" s="860">
        <v>340</v>
      </c>
      <c r="C18" s="861" t="s">
        <v>84</v>
      </c>
      <c r="D18" s="1855">
        <v>0</v>
      </c>
      <c r="E18" s="630">
        <v>1.1088500000000001</v>
      </c>
      <c r="F18" s="626">
        <v>0</v>
      </c>
      <c r="G18" s="626">
        <v>0</v>
      </c>
      <c r="H18" s="626">
        <v>0</v>
      </c>
      <c r="I18" s="626">
        <v>0</v>
      </c>
      <c r="J18" s="626">
        <v>0</v>
      </c>
      <c r="K18" s="628">
        <f>SUM(D18:J18)</f>
        <v>1.1088500000000001</v>
      </c>
      <c r="L18" s="525" t="s">
        <v>647</v>
      </c>
      <c r="M18" s="1563">
        <f t="shared" ref="M18:M36" si="1">M17+1</f>
        <v>3</v>
      </c>
    </row>
    <row r="19" spans="1:16" x14ac:dyDescent="0.35">
      <c r="A19" s="1563">
        <f t="shared" si="0"/>
        <v>4</v>
      </c>
      <c r="B19" s="860">
        <v>360</v>
      </c>
      <c r="C19" s="861" t="s">
        <v>84</v>
      </c>
      <c r="D19" s="1855">
        <v>0</v>
      </c>
      <c r="E19" s="626">
        <v>0</v>
      </c>
      <c r="F19" s="630">
        <v>47.50412</v>
      </c>
      <c r="G19" s="626">
        <v>0</v>
      </c>
      <c r="H19" s="626">
        <v>0</v>
      </c>
      <c r="I19" s="626">
        <v>0</v>
      </c>
      <c r="J19" s="626">
        <v>0</v>
      </c>
      <c r="K19" s="628">
        <f>SUM(D19:J19)</f>
        <v>47.50412</v>
      </c>
      <c r="L19" s="525" t="s">
        <v>647</v>
      </c>
      <c r="M19" s="1563">
        <f t="shared" si="1"/>
        <v>4</v>
      </c>
    </row>
    <row r="20" spans="1:16" x14ac:dyDescent="0.35">
      <c r="A20" s="1563">
        <f t="shared" si="0"/>
        <v>5</v>
      </c>
      <c r="B20" s="860">
        <v>361</v>
      </c>
      <c r="C20" s="170" t="s">
        <v>85</v>
      </c>
      <c r="D20" s="1855">
        <v>0</v>
      </c>
      <c r="E20" s="626">
        <v>0</v>
      </c>
      <c r="F20" s="630">
        <v>510.44666000000001</v>
      </c>
      <c r="G20" s="626">
        <v>0</v>
      </c>
      <c r="H20" s="626">
        <v>0</v>
      </c>
      <c r="I20" s="626">
        <v>0</v>
      </c>
      <c r="J20" s="626">
        <v>0</v>
      </c>
      <c r="K20" s="628">
        <f>SUM(D20:J20)</f>
        <v>510.44666000000001</v>
      </c>
      <c r="L20" s="525" t="s">
        <v>647</v>
      </c>
      <c r="M20" s="1563">
        <f t="shared" si="1"/>
        <v>5</v>
      </c>
    </row>
    <row r="21" spans="1:16" x14ac:dyDescent="0.35">
      <c r="A21" s="1563">
        <f t="shared" si="0"/>
        <v>6</v>
      </c>
      <c r="B21" s="525"/>
      <c r="C21" s="170"/>
      <c r="D21" s="222"/>
      <c r="E21" s="223"/>
      <c r="F21" s="223"/>
      <c r="G21" s="223"/>
      <c r="H21" s="223"/>
      <c r="I21" s="223"/>
      <c r="J21" s="629"/>
      <c r="K21" s="628"/>
      <c r="L21" s="525"/>
      <c r="M21" s="1563">
        <f t="shared" si="1"/>
        <v>6</v>
      </c>
    </row>
    <row r="22" spans="1:16" s="88" customFormat="1" x14ac:dyDescent="0.35">
      <c r="A22" s="1563">
        <f t="shared" si="0"/>
        <v>7</v>
      </c>
      <c r="B22" s="862" t="s">
        <v>86</v>
      </c>
      <c r="C22" s="863" t="s">
        <v>87</v>
      </c>
      <c r="D22" s="632">
        <f>SUM(D16:D21)</f>
        <v>0</v>
      </c>
      <c r="E22" s="632">
        <f t="shared" ref="E22" si="2">SUM(E16:E21)</f>
        <v>1.1088500000000001</v>
      </c>
      <c r="F22" s="632">
        <f t="shared" ref="F22" si="3">SUM(F16:F21)</f>
        <v>557.95078000000001</v>
      </c>
      <c r="G22" s="632">
        <f t="shared" ref="G22" si="4">SUM(G16:G21)</f>
        <v>0</v>
      </c>
      <c r="H22" s="632">
        <f t="shared" ref="H22" si="5">SUM(H16:H21)</f>
        <v>0</v>
      </c>
      <c r="I22" s="632">
        <f t="shared" ref="I22" si="6">SUM(I16:I21)</f>
        <v>0</v>
      </c>
      <c r="J22" s="632">
        <f>SUM(J16:J21)</f>
        <v>0</v>
      </c>
      <c r="K22" s="632">
        <f>SUM(K16:K21)</f>
        <v>559.05962999999997</v>
      </c>
      <c r="L22" s="876" t="s">
        <v>1048</v>
      </c>
      <c r="M22" s="1563">
        <f t="shared" si="1"/>
        <v>7</v>
      </c>
    </row>
    <row r="23" spans="1:16" x14ac:dyDescent="0.35">
      <c r="A23" s="1563">
        <f t="shared" si="0"/>
        <v>8</v>
      </c>
      <c r="B23" s="525"/>
      <c r="C23" s="170"/>
      <c r="D23" s="224"/>
      <c r="E23" s="221"/>
      <c r="F23" s="221"/>
      <c r="G23" s="221"/>
      <c r="H23" s="221"/>
      <c r="I23" s="221"/>
      <c r="J23" s="630"/>
      <c r="K23" s="631"/>
      <c r="L23" s="525"/>
      <c r="M23" s="1563">
        <f t="shared" si="1"/>
        <v>8</v>
      </c>
    </row>
    <row r="24" spans="1:16" x14ac:dyDescent="0.35">
      <c r="A24" s="1563">
        <f t="shared" si="0"/>
        <v>9</v>
      </c>
      <c r="B24" s="860">
        <v>350</v>
      </c>
      <c r="C24" s="170" t="s">
        <v>84</v>
      </c>
      <c r="D24" s="1854">
        <v>28171.522429999997</v>
      </c>
      <c r="E24" s="625">
        <v>0</v>
      </c>
      <c r="F24" s="625">
        <v>0</v>
      </c>
      <c r="G24" s="625">
        <v>0</v>
      </c>
      <c r="H24" s="625">
        <v>0</v>
      </c>
      <c r="I24" s="625">
        <v>0</v>
      </c>
      <c r="J24" s="625">
        <v>-364.15133000000003</v>
      </c>
      <c r="K24" s="625">
        <f t="shared" ref="K24:K32" si="7">SUM(D24:J24)</f>
        <v>27807.371099999997</v>
      </c>
      <c r="L24" s="525" t="s">
        <v>647</v>
      </c>
      <c r="M24" s="1563">
        <f t="shared" si="1"/>
        <v>9</v>
      </c>
    </row>
    <row r="25" spans="1:16" x14ac:dyDescent="0.35">
      <c r="A25" s="1563">
        <f t="shared" si="0"/>
        <v>10</v>
      </c>
      <c r="B25" s="860">
        <v>352</v>
      </c>
      <c r="C25" s="170" t="s">
        <v>85</v>
      </c>
      <c r="D25" s="1867">
        <v>106929.59883</v>
      </c>
      <c r="E25" s="626">
        <v>0</v>
      </c>
      <c r="F25" s="626">
        <v>0</v>
      </c>
      <c r="G25" s="630">
        <v>-495.95487000000003</v>
      </c>
      <c r="H25" s="626">
        <v>0</v>
      </c>
      <c r="I25" s="626">
        <v>0</v>
      </c>
      <c r="J25" s="630">
        <v>-18883.008040000001</v>
      </c>
      <c r="K25" s="628">
        <f t="shared" si="7"/>
        <v>87550.635920000001</v>
      </c>
      <c r="L25" s="525" t="s">
        <v>647</v>
      </c>
      <c r="M25" s="1563">
        <f t="shared" si="1"/>
        <v>10</v>
      </c>
      <c r="N25" s="922"/>
      <c r="P25" s="795"/>
    </row>
    <row r="26" spans="1:16" x14ac:dyDescent="0.35">
      <c r="A26" s="1563">
        <f t="shared" si="0"/>
        <v>11</v>
      </c>
      <c r="B26" s="860">
        <v>353</v>
      </c>
      <c r="C26" s="170" t="s">
        <v>88</v>
      </c>
      <c r="D26" s="1867">
        <v>466319.17843999993</v>
      </c>
      <c r="E26" s="626">
        <v>0</v>
      </c>
      <c r="F26" s="626">
        <v>0</v>
      </c>
      <c r="G26" s="630">
        <v>-3131.0161899999998</v>
      </c>
      <c r="H26" s="626">
        <v>-493.49964999999997</v>
      </c>
      <c r="I26" s="626">
        <v>0</v>
      </c>
      <c r="J26" s="630">
        <v>-1479.2488800000001</v>
      </c>
      <c r="K26" s="628">
        <f t="shared" si="7"/>
        <v>461215.41371999989</v>
      </c>
      <c r="L26" s="525" t="s">
        <v>647</v>
      </c>
      <c r="M26" s="1563">
        <f t="shared" si="1"/>
        <v>11</v>
      </c>
    </row>
    <row r="27" spans="1:16" x14ac:dyDescent="0.35">
      <c r="A27" s="1563">
        <f t="shared" si="0"/>
        <v>12</v>
      </c>
      <c r="B27" s="860">
        <v>354</v>
      </c>
      <c r="C27" s="170" t="s">
        <v>89</v>
      </c>
      <c r="D27" s="1867">
        <v>230826.59258</v>
      </c>
      <c r="E27" s="626">
        <v>0</v>
      </c>
      <c r="F27" s="626">
        <v>0</v>
      </c>
      <c r="G27" s="626">
        <v>0</v>
      </c>
      <c r="H27" s="626">
        <v>0</v>
      </c>
      <c r="I27" s="626">
        <v>0</v>
      </c>
      <c r="J27" s="626">
        <v>0</v>
      </c>
      <c r="K27" s="628">
        <f t="shared" si="7"/>
        <v>230826.59258</v>
      </c>
      <c r="L27" s="525" t="s">
        <v>647</v>
      </c>
      <c r="M27" s="1563">
        <f t="shared" si="1"/>
        <v>12</v>
      </c>
    </row>
    <row r="28" spans="1:16" x14ac:dyDescent="0.35">
      <c r="A28" s="1563">
        <f t="shared" si="0"/>
        <v>13</v>
      </c>
      <c r="B28" s="860">
        <v>355</v>
      </c>
      <c r="C28" s="170" t="s">
        <v>90</v>
      </c>
      <c r="D28" s="1867">
        <v>147585.81202000001</v>
      </c>
      <c r="E28" s="626">
        <v>0</v>
      </c>
      <c r="F28" s="626">
        <v>0</v>
      </c>
      <c r="G28" s="626">
        <v>0</v>
      </c>
      <c r="H28" s="626">
        <v>0</v>
      </c>
      <c r="I28" s="626">
        <v>0</v>
      </c>
      <c r="J28" s="626">
        <v>0</v>
      </c>
      <c r="K28" s="628">
        <f t="shared" si="7"/>
        <v>147585.81202000001</v>
      </c>
      <c r="L28" s="525" t="s">
        <v>647</v>
      </c>
      <c r="M28" s="1563">
        <f t="shared" si="1"/>
        <v>13</v>
      </c>
    </row>
    <row r="29" spans="1:16" x14ac:dyDescent="0.35">
      <c r="A29" s="1563">
        <f t="shared" si="0"/>
        <v>14</v>
      </c>
      <c r="B29" s="860">
        <v>356</v>
      </c>
      <c r="C29" s="170" t="s">
        <v>91</v>
      </c>
      <c r="D29" s="1867">
        <v>268692.52309999999</v>
      </c>
      <c r="E29" s="626">
        <v>0</v>
      </c>
      <c r="F29" s="626">
        <v>0</v>
      </c>
      <c r="G29" s="626">
        <v>0</v>
      </c>
      <c r="H29" s="626">
        <v>0</v>
      </c>
      <c r="I29" s="626">
        <v>0</v>
      </c>
      <c r="J29" s="626">
        <v>0</v>
      </c>
      <c r="K29" s="628">
        <f t="shared" si="7"/>
        <v>268692.52309999999</v>
      </c>
      <c r="L29" s="525" t="s">
        <v>647</v>
      </c>
      <c r="M29" s="1563">
        <f t="shared" si="1"/>
        <v>14</v>
      </c>
    </row>
    <row r="30" spans="1:16" x14ac:dyDescent="0.35">
      <c r="A30" s="1563">
        <f t="shared" si="0"/>
        <v>15</v>
      </c>
      <c r="B30" s="860">
        <v>357</v>
      </c>
      <c r="C30" s="170" t="s">
        <v>92</v>
      </c>
      <c r="D30" s="1867">
        <v>90989.865680000003</v>
      </c>
      <c r="E30" s="626">
        <v>0</v>
      </c>
      <c r="F30" s="626">
        <v>0</v>
      </c>
      <c r="G30" s="626">
        <v>0</v>
      </c>
      <c r="H30" s="626">
        <v>0</v>
      </c>
      <c r="I30" s="626">
        <v>0</v>
      </c>
      <c r="J30" s="626">
        <v>0</v>
      </c>
      <c r="K30" s="628">
        <f t="shared" si="7"/>
        <v>90989.865680000003</v>
      </c>
      <c r="L30" s="525" t="s">
        <v>647</v>
      </c>
      <c r="M30" s="1563">
        <f t="shared" si="1"/>
        <v>15</v>
      </c>
    </row>
    <row r="31" spans="1:16" x14ac:dyDescent="0.35">
      <c r="A31" s="1563">
        <f t="shared" si="0"/>
        <v>16</v>
      </c>
      <c r="B31" s="860">
        <v>358</v>
      </c>
      <c r="C31" s="170" t="s">
        <v>93</v>
      </c>
      <c r="D31" s="1867">
        <v>90551.992460000009</v>
      </c>
      <c r="E31" s="626">
        <v>0</v>
      </c>
      <c r="F31" s="626">
        <v>0</v>
      </c>
      <c r="G31" s="630">
        <v>-555.49152000000004</v>
      </c>
      <c r="H31" s="626">
        <v>0</v>
      </c>
      <c r="I31" s="626">
        <v>0</v>
      </c>
      <c r="J31" s="626">
        <v>0</v>
      </c>
      <c r="K31" s="628">
        <f t="shared" si="7"/>
        <v>89996.500940000013</v>
      </c>
      <c r="L31" s="525" t="s">
        <v>647</v>
      </c>
      <c r="M31" s="1563">
        <f t="shared" si="1"/>
        <v>16</v>
      </c>
    </row>
    <row r="32" spans="1:16" x14ac:dyDescent="0.35">
      <c r="A32" s="1563">
        <f t="shared" si="0"/>
        <v>17</v>
      </c>
      <c r="B32" s="860">
        <v>359</v>
      </c>
      <c r="C32" s="170" t="s">
        <v>94</v>
      </c>
      <c r="D32" s="1867">
        <v>49261.952530000002</v>
      </c>
      <c r="E32" s="626">
        <v>0</v>
      </c>
      <c r="F32" s="626">
        <v>0</v>
      </c>
      <c r="G32" s="626">
        <v>0</v>
      </c>
      <c r="H32" s="626">
        <v>0</v>
      </c>
      <c r="I32" s="626">
        <v>0</v>
      </c>
      <c r="J32" s="626">
        <v>0</v>
      </c>
      <c r="K32" s="628">
        <f t="shared" si="7"/>
        <v>49261.952530000002</v>
      </c>
      <c r="L32" s="525" t="s">
        <v>647</v>
      </c>
      <c r="M32" s="1563">
        <f t="shared" si="1"/>
        <v>17</v>
      </c>
    </row>
    <row r="33" spans="1:13" x14ac:dyDescent="0.35">
      <c r="A33" s="1563">
        <f t="shared" si="0"/>
        <v>18</v>
      </c>
      <c r="B33" s="923"/>
      <c r="C33" s="170"/>
      <c r="D33" s="172"/>
      <c r="F33" s="176"/>
      <c r="G33" s="176"/>
      <c r="H33" s="176"/>
      <c r="I33" s="176"/>
      <c r="J33" s="628"/>
      <c r="K33" s="340"/>
      <c r="L33" s="860"/>
      <c r="M33" s="1563">
        <f t="shared" si="1"/>
        <v>18</v>
      </c>
    </row>
    <row r="34" spans="1:13" x14ac:dyDescent="0.35">
      <c r="A34" s="1563">
        <f t="shared" si="0"/>
        <v>19</v>
      </c>
      <c r="B34" s="864" t="s">
        <v>86</v>
      </c>
      <c r="C34" s="863" t="s">
        <v>59</v>
      </c>
      <c r="D34" s="632">
        <f t="shared" ref="D34:K34" si="8">SUM(D24:D33)</f>
        <v>1479329.0380699998</v>
      </c>
      <c r="E34" s="632">
        <f t="shared" si="8"/>
        <v>0</v>
      </c>
      <c r="F34" s="632">
        <f t="shared" si="8"/>
        <v>0</v>
      </c>
      <c r="G34" s="632">
        <f t="shared" si="8"/>
        <v>-4182.4625799999994</v>
      </c>
      <c r="H34" s="632">
        <f t="shared" si="8"/>
        <v>-493.49964999999997</v>
      </c>
      <c r="I34" s="632">
        <f t="shared" si="8"/>
        <v>0</v>
      </c>
      <c r="J34" s="632">
        <f t="shared" si="8"/>
        <v>-20726.40825</v>
      </c>
      <c r="K34" s="632">
        <f t="shared" si="8"/>
        <v>1453926.6675899997</v>
      </c>
      <c r="L34" s="924" t="s">
        <v>1158</v>
      </c>
      <c r="M34" s="1563">
        <f t="shared" si="1"/>
        <v>19</v>
      </c>
    </row>
    <row r="35" spans="1:13" x14ac:dyDescent="0.35">
      <c r="A35" s="1563">
        <f t="shared" si="0"/>
        <v>20</v>
      </c>
      <c r="B35" s="921"/>
      <c r="D35" s="85"/>
      <c r="J35" s="126"/>
      <c r="K35" s="126"/>
      <c r="L35" s="865"/>
      <c r="M35" s="1563">
        <f t="shared" si="1"/>
        <v>20</v>
      </c>
    </row>
    <row r="36" spans="1:13" x14ac:dyDescent="0.35">
      <c r="A36" s="1563">
        <f t="shared" si="0"/>
        <v>21</v>
      </c>
      <c r="B36" s="925" t="s">
        <v>95</v>
      </c>
      <c r="C36" s="867"/>
      <c r="D36" s="178">
        <f t="shared" ref="D36:K36" si="9">D34+D22</f>
        <v>1479329.0380699998</v>
      </c>
      <c r="E36" s="178">
        <f t="shared" si="9"/>
        <v>1.1088500000000001</v>
      </c>
      <c r="F36" s="178">
        <f t="shared" si="9"/>
        <v>557.95078000000001</v>
      </c>
      <c r="G36" s="178">
        <f t="shared" si="9"/>
        <v>-4182.4625799999994</v>
      </c>
      <c r="H36" s="178">
        <f t="shared" si="9"/>
        <v>-493.49964999999997</v>
      </c>
      <c r="I36" s="179">
        <f t="shared" si="9"/>
        <v>0</v>
      </c>
      <c r="J36" s="180">
        <f t="shared" si="9"/>
        <v>-20726.40825</v>
      </c>
      <c r="K36" s="1557">
        <f t="shared" si="9"/>
        <v>1454485.7272199998</v>
      </c>
      <c r="L36" s="876" t="s">
        <v>1159</v>
      </c>
      <c r="M36" s="1563">
        <f t="shared" si="1"/>
        <v>21</v>
      </c>
    </row>
    <row r="37" spans="1:13" x14ac:dyDescent="0.35">
      <c r="D37" s="79"/>
      <c r="K37" s="926"/>
      <c r="L37" s="926"/>
    </row>
    <row r="38" spans="1:13" x14ac:dyDescent="0.35">
      <c r="D38" s="79"/>
      <c r="K38" s="926"/>
      <c r="L38" s="926"/>
    </row>
    <row r="39" spans="1:13" x14ac:dyDescent="0.35">
      <c r="B39" s="79" t="s">
        <v>714</v>
      </c>
      <c r="D39" s="79"/>
    </row>
    <row r="40" spans="1:13" x14ac:dyDescent="0.35">
      <c r="D40" s="79"/>
    </row>
    <row r="41" spans="1:13" x14ac:dyDescent="0.35">
      <c r="D41" s="79"/>
    </row>
    <row r="42" spans="1:13" x14ac:dyDescent="0.35">
      <c r="D42" s="79"/>
    </row>
    <row r="43" spans="1:13" x14ac:dyDescent="0.35">
      <c r="D43" s="79"/>
    </row>
    <row r="44" spans="1:13" x14ac:dyDescent="0.35">
      <c r="D44" s="79"/>
    </row>
    <row r="45" spans="1:13" x14ac:dyDescent="0.35">
      <c r="D45" s="79"/>
    </row>
    <row r="46" spans="1:13" x14ac:dyDescent="0.35">
      <c r="D46" s="79"/>
    </row>
    <row r="47" spans="1:13" x14ac:dyDescent="0.35">
      <c r="D47" s="79"/>
    </row>
    <row r="48" spans="1:13" x14ac:dyDescent="0.35">
      <c r="D48" s="79"/>
    </row>
    <row r="49" spans="4:4" x14ac:dyDescent="0.35">
      <c r="D49" s="79"/>
    </row>
    <row r="50" spans="4:4" x14ac:dyDescent="0.35">
      <c r="D50" s="79"/>
    </row>
    <row r="51" spans="4:4" x14ac:dyDescent="0.35">
      <c r="D51" s="79"/>
    </row>
    <row r="52" spans="4:4" x14ac:dyDescent="0.35">
      <c r="D52" s="79"/>
    </row>
    <row r="53" spans="4:4" x14ac:dyDescent="0.35">
      <c r="D53" s="79"/>
    </row>
    <row r="54" spans="4:4" x14ac:dyDescent="0.35">
      <c r="D54" s="79"/>
    </row>
    <row r="55" spans="4:4" x14ac:dyDescent="0.35">
      <c r="D55" s="79"/>
    </row>
    <row r="56" spans="4:4" x14ac:dyDescent="0.35">
      <c r="D56" s="79"/>
    </row>
    <row r="57" spans="4:4" x14ac:dyDescent="0.35">
      <c r="D57" s="79"/>
    </row>
    <row r="58" spans="4:4" x14ac:dyDescent="0.35">
      <c r="D58" s="79"/>
    </row>
    <row r="59" spans="4:4" x14ac:dyDescent="0.35">
      <c r="D59" s="79"/>
    </row>
    <row r="60" spans="4:4" x14ac:dyDescent="0.35">
      <c r="D60" s="79"/>
    </row>
    <row r="61" spans="4:4" x14ac:dyDescent="0.35">
      <c r="D61" s="79"/>
    </row>
    <row r="62" spans="4:4" x14ac:dyDescent="0.35">
      <c r="D62" s="79"/>
    </row>
    <row r="63" spans="4:4" x14ac:dyDescent="0.35">
      <c r="D63" s="79"/>
    </row>
    <row r="64" spans="4:4" x14ac:dyDescent="0.35">
      <c r="D64" s="79"/>
    </row>
    <row r="65" spans="4:4" x14ac:dyDescent="0.35">
      <c r="D65" s="79"/>
    </row>
    <row r="66" spans="4:4" x14ac:dyDescent="0.35">
      <c r="D66" s="79"/>
    </row>
    <row r="67" spans="4:4" x14ac:dyDescent="0.35">
      <c r="D67" s="79"/>
    </row>
    <row r="68" spans="4:4" x14ac:dyDescent="0.35">
      <c r="D68" s="79"/>
    </row>
    <row r="69" spans="4:4" x14ac:dyDescent="0.35">
      <c r="D69" s="79"/>
    </row>
    <row r="70" spans="4:4" x14ac:dyDescent="0.35">
      <c r="D70" s="79"/>
    </row>
    <row r="71" spans="4:4" x14ac:dyDescent="0.35">
      <c r="D71" s="79"/>
    </row>
    <row r="72" spans="4:4" x14ac:dyDescent="0.35">
      <c r="D72" s="79"/>
    </row>
    <row r="73" spans="4:4" x14ac:dyDescent="0.35">
      <c r="D73" s="79"/>
    </row>
    <row r="74" spans="4:4" x14ac:dyDescent="0.35">
      <c r="D74" s="79"/>
    </row>
    <row r="75" spans="4:4" x14ac:dyDescent="0.35">
      <c r="D75" s="79"/>
    </row>
    <row r="76" spans="4:4" x14ac:dyDescent="0.35">
      <c r="D76" s="79"/>
    </row>
    <row r="77" spans="4:4" x14ac:dyDescent="0.35">
      <c r="D77" s="79"/>
    </row>
    <row r="78" spans="4:4" x14ac:dyDescent="0.35">
      <c r="D78" s="79"/>
    </row>
    <row r="79" spans="4:4" x14ac:dyDescent="0.35">
      <c r="D79" s="79"/>
    </row>
    <row r="80" spans="4:4" x14ac:dyDescent="0.35">
      <c r="D80" s="79"/>
    </row>
    <row r="81" spans="4:4" x14ac:dyDescent="0.35">
      <c r="D81" s="79"/>
    </row>
    <row r="82" spans="4:4" x14ac:dyDescent="0.35">
      <c r="D82" s="79"/>
    </row>
    <row r="83" spans="4:4" x14ac:dyDescent="0.35">
      <c r="D83" s="79"/>
    </row>
    <row r="84" spans="4:4" x14ac:dyDescent="0.35">
      <c r="D84" s="79"/>
    </row>
    <row r="85" spans="4:4" x14ac:dyDescent="0.35">
      <c r="D85" s="79"/>
    </row>
    <row r="86" spans="4:4" x14ac:dyDescent="0.35">
      <c r="D86" s="79"/>
    </row>
    <row r="87" spans="4:4" x14ac:dyDescent="0.35">
      <c r="D87" s="79"/>
    </row>
    <row r="88" spans="4:4" x14ac:dyDescent="0.35">
      <c r="D88" s="79"/>
    </row>
    <row r="89" spans="4:4" x14ac:dyDescent="0.35">
      <c r="D89" s="79"/>
    </row>
    <row r="90" spans="4:4" x14ac:dyDescent="0.35">
      <c r="D90" s="79"/>
    </row>
    <row r="91" spans="4:4" x14ac:dyDescent="0.35">
      <c r="D91" s="79"/>
    </row>
    <row r="92" spans="4:4" x14ac:dyDescent="0.35">
      <c r="D92" s="79"/>
    </row>
    <row r="93" spans="4:4" x14ac:dyDescent="0.35">
      <c r="D93" s="79"/>
    </row>
    <row r="94" spans="4:4" x14ac:dyDescent="0.35">
      <c r="D94" s="79"/>
    </row>
    <row r="95" spans="4:4" x14ac:dyDescent="0.35">
      <c r="D95" s="79"/>
    </row>
    <row r="96" spans="4:4" x14ac:dyDescent="0.35">
      <c r="D96" s="79"/>
    </row>
    <row r="97" spans="4:4" x14ac:dyDescent="0.35">
      <c r="D97" s="79"/>
    </row>
    <row r="98" spans="4:4" x14ac:dyDescent="0.35">
      <c r="D98" s="79"/>
    </row>
    <row r="99" spans="4:4" x14ac:dyDescent="0.35">
      <c r="D99" s="79"/>
    </row>
    <row r="100" spans="4:4" x14ac:dyDescent="0.35">
      <c r="D100" s="79"/>
    </row>
    <row r="101" spans="4:4" x14ac:dyDescent="0.35">
      <c r="D101" s="79"/>
    </row>
    <row r="102" spans="4:4" x14ac:dyDescent="0.35">
      <c r="D102" s="79"/>
    </row>
    <row r="103" spans="4:4" x14ac:dyDescent="0.35">
      <c r="D103" s="79"/>
    </row>
    <row r="104" spans="4:4" x14ac:dyDescent="0.35">
      <c r="D104" s="79"/>
    </row>
    <row r="105" spans="4:4" x14ac:dyDescent="0.35">
      <c r="D105" s="79"/>
    </row>
    <row r="106" spans="4:4" x14ac:dyDescent="0.35">
      <c r="D106" s="79"/>
    </row>
    <row r="107" spans="4:4" x14ac:dyDescent="0.35">
      <c r="D107" s="79"/>
    </row>
    <row r="108" spans="4:4" x14ac:dyDescent="0.35">
      <c r="D108" s="79"/>
    </row>
    <row r="109" spans="4:4" x14ac:dyDescent="0.35">
      <c r="D109" s="79"/>
    </row>
    <row r="110" spans="4:4" x14ac:dyDescent="0.35">
      <c r="D110" s="79"/>
    </row>
    <row r="111" spans="4:4" x14ac:dyDescent="0.35">
      <c r="D111" s="79"/>
    </row>
    <row r="112" spans="4:4" x14ac:dyDescent="0.35">
      <c r="D112" s="79"/>
    </row>
    <row r="113" spans="4:4" x14ac:dyDescent="0.35">
      <c r="D113" s="79"/>
    </row>
    <row r="114" spans="4:4" x14ac:dyDescent="0.35">
      <c r="D114" s="79"/>
    </row>
    <row r="115" spans="4:4" x14ac:dyDescent="0.35">
      <c r="D115" s="79"/>
    </row>
    <row r="116" spans="4:4" x14ac:dyDescent="0.35">
      <c r="D116" s="79"/>
    </row>
    <row r="117" spans="4:4" x14ac:dyDescent="0.35">
      <c r="D117" s="79"/>
    </row>
    <row r="118" spans="4:4" x14ac:dyDescent="0.35">
      <c r="D118" s="79"/>
    </row>
    <row r="119" spans="4:4" x14ac:dyDescent="0.35">
      <c r="D119" s="79"/>
    </row>
    <row r="120" spans="4:4" x14ac:dyDescent="0.35">
      <c r="D120" s="79"/>
    </row>
    <row r="121" spans="4:4" x14ac:dyDescent="0.35">
      <c r="D121" s="79"/>
    </row>
    <row r="122" spans="4:4" x14ac:dyDescent="0.35">
      <c r="D122" s="79"/>
    </row>
    <row r="123" spans="4:4" x14ac:dyDescent="0.35">
      <c r="D123" s="79"/>
    </row>
    <row r="124" spans="4:4" x14ac:dyDescent="0.35">
      <c r="D124" s="79"/>
    </row>
    <row r="125" spans="4:4" x14ac:dyDescent="0.35">
      <c r="D125" s="79"/>
    </row>
    <row r="126" spans="4:4" x14ac:dyDescent="0.35">
      <c r="D126" s="79"/>
    </row>
    <row r="127" spans="4:4" x14ac:dyDescent="0.35">
      <c r="D127" s="79"/>
    </row>
    <row r="128" spans="4:4" x14ac:dyDescent="0.35">
      <c r="D128" s="79"/>
    </row>
    <row r="129" spans="4:4" x14ac:dyDescent="0.35">
      <c r="D129" s="79"/>
    </row>
    <row r="130" spans="4:4" x14ac:dyDescent="0.35">
      <c r="D130" s="79"/>
    </row>
    <row r="131" spans="4:4" x14ac:dyDescent="0.35">
      <c r="D131" s="79"/>
    </row>
    <row r="132" spans="4:4" x14ac:dyDescent="0.35">
      <c r="D132" s="79"/>
    </row>
    <row r="133" spans="4:4" x14ac:dyDescent="0.35">
      <c r="D133" s="79"/>
    </row>
    <row r="134" spans="4:4" x14ac:dyDescent="0.35">
      <c r="D134" s="79"/>
    </row>
    <row r="135" spans="4:4" x14ac:dyDescent="0.35">
      <c r="D135" s="79"/>
    </row>
    <row r="136" spans="4:4" x14ac:dyDescent="0.35">
      <c r="D136" s="79"/>
    </row>
    <row r="137" spans="4:4" x14ac:dyDescent="0.35">
      <c r="D137" s="79"/>
    </row>
    <row r="138" spans="4:4" x14ac:dyDescent="0.35">
      <c r="D138" s="79"/>
    </row>
    <row r="139" spans="4:4" x14ac:dyDescent="0.35">
      <c r="D139" s="79"/>
    </row>
    <row r="140" spans="4:4" x14ac:dyDescent="0.35">
      <c r="D140" s="79"/>
    </row>
    <row r="141" spans="4:4" x14ac:dyDescent="0.35">
      <c r="D141" s="79"/>
    </row>
    <row r="142" spans="4:4" x14ac:dyDescent="0.35">
      <c r="D142" s="79"/>
    </row>
    <row r="143" spans="4:4" x14ac:dyDescent="0.35">
      <c r="D143" s="79"/>
    </row>
    <row r="144" spans="4:4" x14ac:dyDescent="0.35">
      <c r="D144" s="79"/>
    </row>
    <row r="145" spans="4:4" x14ac:dyDescent="0.35">
      <c r="D145" s="79"/>
    </row>
    <row r="146" spans="4:4" x14ac:dyDescent="0.35">
      <c r="D146" s="79"/>
    </row>
    <row r="147" spans="4:4" x14ac:dyDescent="0.35">
      <c r="D147" s="79"/>
    </row>
    <row r="148" spans="4:4" x14ac:dyDescent="0.35">
      <c r="D148" s="79"/>
    </row>
    <row r="149" spans="4:4" x14ac:dyDescent="0.35">
      <c r="D149" s="79"/>
    </row>
    <row r="150" spans="4:4" x14ac:dyDescent="0.35">
      <c r="D150" s="79"/>
    </row>
    <row r="151" spans="4:4" x14ac:dyDescent="0.35">
      <c r="D151" s="79"/>
    </row>
    <row r="152" spans="4:4" x14ac:dyDescent="0.35">
      <c r="D152" s="79"/>
    </row>
    <row r="153" spans="4:4" x14ac:dyDescent="0.35">
      <c r="D153" s="79"/>
    </row>
    <row r="154" spans="4:4" x14ac:dyDescent="0.35">
      <c r="D154" s="79"/>
    </row>
    <row r="155" spans="4:4" x14ac:dyDescent="0.35">
      <c r="D155" s="79"/>
    </row>
    <row r="156" spans="4:4" x14ac:dyDescent="0.35">
      <c r="D156" s="79"/>
    </row>
    <row r="157" spans="4:4" x14ac:dyDescent="0.35">
      <c r="D157" s="79"/>
    </row>
    <row r="158" spans="4:4" x14ac:dyDescent="0.35">
      <c r="D158" s="79"/>
    </row>
    <row r="159" spans="4:4" x14ac:dyDescent="0.35">
      <c r="D159" s="79"/>
    </row>
    <row r="160" spans="4:4" x14ac:dyDescent="0.35">
      <c r="D160" s="79"/>
    </row>
    <row r="161" spans="4:4" x14ac:dyDescent="0.35">
      <c r="D161" s="79"/>
    </row>
    <row r="162" spans="4:4" x14ac:dyDescent="0.35">
      <c r="D162" s="79"/>
    </row>
    <row r="163" spans="4:4" x14ac:dyDescent="0.35">
      <c r="D163" s="79"/>
    </row>
    <row r="164" spans="4:4" x14ac:dyDescent="0.35">
      <c r="D164" s="79"/>
    </row>
    <row r="165" spans="4:4" x14ac:dyDescent="0.35">
      <c r="D165" s="79"/>
    </row>
    <row r="166" spans="4:4" x14ac:dyDescent="0.35">
      <c r="D166" s="79"/>
    </row>
    <row r="167" spans="4:4" x14ac:dyDescent="0.35">
      <c r="D167" s="79"/>
    </row>
    <row r="168" spans="4:4" x14ac:dyDescent="0.35">
      <c r="D168" s="79"/>
    </row>
    <row r="169" spans="4:4" x14ac:dyDescent="0.35">
      <c r="D169" s="79"/>
    </row>
    <row r="170" spans="4:4" x14ac:dyDescent="0.35">
      <c r="D170" s="79"/>
    </row>
    <row r="171" spans="4:4" x14ac:dyDescent="0.35">
      <c r="D171" s="79"/>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O171"/>
  <sheetViews>
    <sheetView zoomScale="80" zoomScaleNormal="80" workbookViewId="0"/>
  </sheetViews>
  <sheetFormatPr defaultColWidth="9.08984375" defaultRowHeight="15.5" x14ac:dyDescent="0.35"/>
  <cols>
    <col min="1" max="1" width="5.08984375" style="1563" customWidth="1"/>
    <col min="2" max="2" width="11.08984375" style="79" customWidth="1"/>
    <col min="3" max="3" width="32.54296875" style="79" customWidth="1"/>
    <col min="4" max="11" width="18.54296875" style="130" customWidth="1"/>
    <col min="12" max="12" width="24" style="130" customWidth="1"/>
    <col min="13" max="13" width="5.08984375" style="1563" customWidth="1"/>
    <col min="14" max="16384" width="9.08984375" style="79"/>
  </cols>
  <sheetData>
    <row r="2" spans="1:13" s="88" customFormat="1" ht="15" x14ac:dyDescent="0.35">
      <c r="A2" s="1561"/>
      <c r="B2" s="2289" t="s">
        <v>18</v>
      </c>
      <c r="C2" s="2289"/>
      <c r="D2" s="2289"/>
      <c r="E2" s="2289"/>
      <c r="F2" s="2289"/>
      <c r="G2" s="2289"/>
      <c r="H2" s="2289"/>
      <c r="I2" s="2289"/>
      <c r="J2" s="2289"/>
      <c r="K2" s="2289"/>
      <c r="L2" s="2289"/>
      <c r="M2" s="1561"/>
    </row>
    <row r="3" spans="1:13" s="88" customFormat="1" ht="15" x14ac:dyDescent="0.35">
      <c r="A3" s="1561"/>
      <c r="B3" s="2289" t="s">
        <v>62</v>
      </c>
      <c r="C3" s="2289"/>
      <c r="D3" s="2289"/>
      <c r="E3" s="2289"/>
      <c r="F3" s="2289"/>
      <c r="G3" s="2289"/>
      <c r="H3" s="2289"/>
      <c r="I3" s="2289"/>
      <c r="J3" s="2289"/>
      <c r="K3" s="2289"/>
      <c r="L3" s="2289"/>
      <c r="M3" s="1561"/>
    </row>
    <row r="4" spans="1:13" x14ac:dyDescent="0.35">
      <c r="B4" s="2289" t="s">
        <v>118</v>
      </c>
      <c r="C4" s="2289"/>
      <c r="D4" s="2289"/>
      <c r="E4" s="2289"/>
      <c r="F4" s="2289"/>
      <c r="G4" s="2289"/>
      <c r="H4" s="2289"/>
      <c r="I4" s="2289"/>
      <c r="J4" s="2289"/>
      <c r="K4" s="2289"/>
      <c r="L4" s="2289"/>
    </row>
    <row r="5" spans="1:13" x14ac:dyDescent="0.35">
      <c r="B5" s="2289" t="s">
        <v>111</v>
      </c>
      <c r="C5" s="2289"/>
      <c r="D5" s="2289"/>
      <c r="E5" s="2289"/>
      <c r="F5" s="2289"/>
      <c r="G5" s="2289"/>
      <c r="H5" s="2289"/>
      <c r="I5" s="2289"/>
      <c r="J5" s="2289"/>
      <c r="K5" s="2289"/>
      <c r="L5" s="2289"/>
    </row>
    <row r="6" spans="1:13" x14ac:dyDescent="0.35">
      <c r="B6" s="2289" t="s">
        <v>1594</v>
      </c>
      <c r="C6" s="2289"/>
      <c r="D6" s="2289"/>
      <c r="E6" s="2289"/>
      <c r="F6" s="2289"/>
      <c r="G6" s="2289"/>
      <c r="H6" s="2289"/>
      <c r="I6" s="2289"/>
      <c r="J6" s="2289"/>
      <c r="K6" s="2289"/>
      <c r="L6" s="2289"/>
    </row>
    <row r="7" spans="1:13" x14ac:dyDescent="0.35">
      <c r="B7" s="2292" t="s">
        <v>2</v>
      </c>
      <c r="C7" s="2289"/>
      <c r="D7" s="2289"/>
      <c r="E7" s="2289"/>
      <c r="F7" s="2289"/>
      <c r="G7" s="2289"/>
      <c r="H7" s="2289"/>
      <c r="I7" s="2289"/>
      <c r="J7" s="2289"/>
      <c r="K7" s="2289"/>
      <c r="L7" s="2289"/>
    </row>
    <row r="8" spans="1:13" x14ac:dyDescent="0.35">
      <c r="C8" s="752"/>
      <c r="D8" s="753"/>
      <c r="E8" s="839"/>
      <c r="F8" s="839"/>
      <c r="G8" s="839"/>
      <c r="H8" s="839"/>
      <c r="I8" s="839"/>
      <c r="J8" s="839"/>
      <c r="K8" s="839"/>
      <c r="L8" s="839"/>
    </row>
    <row r="9" spans="1:13" s="728" customFormat="1" ht="15" x14ac:dyDescent="0.35">
      <c r="A9" s="1561"/>
      <c r="B9" s="896"/>
      <c r="C9" s="840"/>
      <c r="D9" s="841" t="s">
        <v>29</v>
      </c>
      <c r="E9" s="842" t="s">
        <v>30</v>
      </c>
      <c r="F9" s="842" t="s">
        <v>64</v>
      </c>
      <c r="G9" s="842" t="s">
        <v>65</v>
      </c>
      <c r="H9" s="842" t="s">
        <v>66</v>
      </c>
      <c r="I9" s="842" t="s">
        <v>67</v>
      </c>
      <c r="J9" s="842" t="s">
        <v>68</v>
      </c>
      <c r="K9" s="927" t="s">
        <v>69</v>
      </c>
      <c r="L9" s="798"/>
      <c r="M9" s="1561"/>
    </row>
    <row r="10" spans="1:13" x14ac:dyDescent="0.35">
      <c r="B10" s="919"/>
      <c r="C10" s="844"/>
      <c r="D10" s="845"/>
      <c r="E10" s="846"/>
      <c r="F10" s="920"/>
      <c r="G10" s="846"/>
      <c r="H10" s="846"/>
      <c r="I10" s="846"/>
      <c r="J10" s="846"/>
      <c r="K10" s="928" t="s">
        <v>31</v>
      </c>
      <c r="L10" s="843"/>
    </row>
    <row r="11" spans="1:13" x14ac:dyDescent="0.35">
      <c r="B11" s="919"/>
      <c r="C11" s="844"/>
      <c r="D11" s="845"/>
      <c r="E11" s="846" t="s">
        <v>70</v>
      </c>
      <c r="F11" s="920" t="s">
        <v>57</v>
      </c>
      <c r="G11" s="846" t="s">
        <v>61</v>
      </c>
      <c r="H11" s="846" t="s">
        <v>61</v>
      </c>
      <c r="I11" s="846" t="s">
        <v>61</v>
      </c>
      <c r="J11" s="846" t="s">
        <v>61</v>
      </c>
      <c r="K11" s="920" t="s">
        <v>61</v>
      </c>
      <c r="L11" s="525"/>
    </row>
    <row r="12" spans="1:13" x14ac:dyDescent="0.35">
      <c r="B12" s="921"/>
      <c r="C12" s="170"/>
      <c r="D12" s="852" t="s">
        <v>31</v>
      </c>
      <c r="E12" s="846" t="s">
        <v>116</v>
      </c>
      <c r="F12" s="846" t="s">
        <v>116</v>
      </c>
      <c r="G12" s="846" t="s">
        <v>116</v>
      </c>
      <c r="H12" s="846" t="s">
        <v>116</v>
      </c>
      <c r="I12" s="846" t="s">
        <v>116</v>
      </c>
      <c r="J12" s="846" t="s">
        <v>116</v>
      </c>
      <c r="K12" s="920" t="s">
        <v>110</v>
      </c>
      <c r="L12" s="799"/>
    </row>
    <row r="13" spans="1:13" x14ac:dyDescent="0.35">
      <c r="A13" s="1563" t="s">
        <v>3</v>
      </c>
      <c r="B13" s="891"/>
      <c r="C13" s="827"/>
      <c r="D13" s="852" t="s">
        <v>61</v>
      </c>
      <c r="E13" s="846" t="s">
        <v>117</v>
      </c>
      <c r="F13" s="846" t="s">
        <v>117</v>
      </c>
      <c r="G13" s="846" t="s">
        <v>117</v>
      </c>
      <c r="H13" s="846" t="s">
        <v>117</v>
      </c>
      <c r="I13" s="846" t="s">
        <v>117</v>
      </c>
      <c r="J13" s="846" t="s">
        <v>117</v>
      </c>
      <c r="K13" s="920" t="s">
        <v>35</v>
      </c>
      <c r="L13" s="799"/>
      <c r="M13" s="1563" t="s">
        <v>3</v>
      </c>
    </row>
    <row r="14" spans="1:13" x14ac:dyDescent="0.35">
      <c r="A14" s="1563" t="s">
        <v>25</v>
      </c>
      <c r="B14" s="872" t="s">
        <v>73</v>
      </c>
      <c r="C14" s="766" t="s">
        <v>74</v>
      </c>
      <c r="D14" s="873" t="s">
        <v>116</v>
      </c>
      <c r="E14" s="857" t="s">
        <v>75</v>
      </c>
      <c r="F14" s="857" t="s">
        <v>76</v>
      </c>
      <c r="G14" s="857" t="s">
        <v>115</v>
      </c>
      <c r="H14" s="857" t="s">
        <v>114</v>
      </c>
      <c r="I14" s="857" t="s">
        <v>113</v>
      </c>
      <c r="J14" s="857" t="s">
        <v>79</v>
      </c>
      <c r="K14" s="878" t="s">
        <v>80</v>
      </c>
      <c r="L14" s="766" t="s">
        <v>9</v>
      </c>
      <c r="M14" s="1563" t="s">
        <v>25</v>
      </c>
    </row>
    <row r="15" spans="1:13" x14ac:dyDescent="0.35">
      <c r="B15" s="170"/>
      <c r="C15" s="170" t="s">
        <v>81</v>
      </c>
      <c r="D15" s="169"/>
      <c r="E15" s="170"/>
      <c r="F15" s="170"/>
      <c r="G15" s="170"/>
      <c r="H15" s="170"/>
      <c r="I15" s="170"/>
      <c r="J15" s="170"/>
      <c r="K15" s="171"/>
      <c r="L15" s="525"/>
    </row>
    <row r="16" spans="1:13" x14ac:dyDescent="0.35">
      <c r="A16" s="1563">
        <v>1</v>
      </c>
      <c r="B16" s="860">
        <v>303</v>
      </c>
      <c r="C16" s="170" t="s">
        <v>82</v>
      </c>
      <c r="D16" s="1854">
        <v>0</v>
      </c>
      <c r="E16" s="1854">
        <v>0</v>
      </c>
      <c r="F16" s="1854">
        <v>0</v>
      </c>
      <c r="G16" s="1854">
        <v>0</v>
      </c>
      <c r="H16" s="1854">
        <v>0</v>
      </c>
      <c r="I16" s="1854">
        <v>0</v>
      </c>
      <c r="J16" s="1854">
        <v>0</v>
      </c>
      <c r="K16" s="151">
        <f>SUM(D16:J16)</f>
        <v>0</v>
      </c>
      <c r="L16" s="525" t="s">
        <v>647</v>
      </c>
      <c r="M16" s="1563">
        <f>A16</f>
        <v>1</v>
      </c>
    </row>
    <row r="17" spans="1:15" x14ac:dyDescent="0.35">
      <c r="A17" s="1563">
        <f>A16+1</f>
        <v>2</v>
      </c>
      <c r="B17" s="525">
        <v>310.10000000000002</v>
      </c>
      <c r="C17" s="170" t="s">
        <v>83</v>
      </c>
      <c r="D17" s="1855">
        <v>0</v>
      </c>
      <c r="E17" s="626">
        <v>0</v>
      </c>
      <c r="F17" s="626">
        <v>0</v>
      </c>
      <c r="G17" s="626">
        <v>0</v>
      </c>
      <c r="H17" s="626">
        <v>0</v>
      </c>
      <c r="I17" s="626">
        <v>0</v>
      </c>
      <c r="J17" s="626">
        <v>0</v>
      </c>
      <c r="K17" s="152">
        <f>SUM(D17:J17)</f>
        <v>0</v>
      </c>
      <c r="L17" s="525" t="s">
        <v>647</v>
      </c>
      <c r="M17" s="1563">
        <f>M16+1</f>
        <v>2</v>
      </c>
    </row>
    <row r="18" spans="1:15" x14ac:dyDescent="0.35">
      <c r="A18" s="1563">
        <f t="shared" ref="A18:A36" si="0">A17+1</f>
        <v>3</v>
      </c>
      <c r="B18" s="860">
        <v>340</v>
      </c>
      <c r="C18" s="861" t="s">
        <v>84</v>
      </c>
      <c r="D18" s="1855">
        <v>0</v>
      </c>
      <c r="E18" s="626">
        <v>1.1260899999999998</v>
      </c>
      <c r="F18" s="626">
        <v>0</v>
      </c>
      <c r="G18" s="626">
        <v>0</v>
      </c>
      <c r="H18" s="626">
        <v>0</v>
      </c>
      <c r="I18" s="626">
        <v>0</v>
      </c>
      <c r="J18" s="626">
        <v>0</v>
      </c>
      <c r="K18" s="168">
        <f>SUM(D18:J18)</f>
        <v>1.1260899999999998</v>
      </c>
      <c r="L18" s="525" t="s">
        <v>647</v>
      </c>
      <c r="M18" s="1563">
        <f t="shared" ref="M18:M36" si="1">M17+1</f>
        <v>3</v>
      </c>
    </row>
    <row r="19" spans="1:15" x14ac:dyDescent="0.35">
      <c r="A19" s="1563">
        <f t="shared" si="0"/>
        <v>4</v>
      </c>
      <c r="B19" s="860">
        <v>360</v>
      </c>
      <c r="C19" s="861" t="s">
        <v>84</v>
      </c>
      <c r="D19" s="1855">
        <v>0</v>
      </c>
      <c r="E19" s="626">
        <v>0</v>
      </c>
      <c r="F19" s="1866">
        <v>48.117260000000002</v>
      </c>
      <c r="G19" s="626">
        <v>0</v>
      </c>
      <c r="H19" s="626">
        <v>0</v>
      </c>
      <c r="I19" s="626">
        <v>0</v>
      </c>
      <c r="J19" s="626">
        <v>0</v>
      </c>
      <c r="K19" s="168">
        <f>SUM(D19:J19)</f>
        <v>48.117260000000002</v>
      </c>
      <c r="L19" s="525" t="s">
        <v>647</v>
      </c>
      <c r="M19" s="1563">
        <f t="shared" si="1"/>
        <v>4</v>
      </c>
    </row>
    <row r="20" spans="1:15" x14ac:dyDescent="0.35">
      <c r="A20" s="1563">
        <f t="shared" si="0"/>
        <v>5</v>
      </c>
      <c r="B20" s="860">
        <v>361</v>
      </c>
      <c r="C20" s="170" t="s">
        <v>85</v>
      </c>
      <c r="D20" s="1855">
        <v>0</v>
      </c>
      <c r="E20" s="626">
        <v>0</v>
      </c>
      <c r="F20" s="1866">
        <v>591.56626000000006</v>
      </c>
      <c r="G20" s="626">
        <v>0</v>
      </c>
      <c r="H20" s="626">
        <v>0</v>
      </c>
      <c r="I20" s="626">
        <v>0</v>
      </c>
      <c r="J20" s="626">
        <v>0</v>
      </c>
      <c r="K20" s="168">
        <f>SUM(D20:J20)</f>
        <v>591.56626000000006</v>
      </c>
      <c r="L20" s="525" t="s">
        <v>647</v>
      </c>
      <c r="M20" s="1563">
        <f t="shared" si="1"/>
        <v>5</v>
      </c>
    </row>
    <row r="21" spans="1:15" x14ac:dyDescent="0.35">
      <c r="A21" s="1563">
        <f t="shared" si="0"/>
        <v>6</v>
      </c>
      <c r="B21" s="525"/>
      <c r="C21" s="170"/>
      <c r="D21" s="169"/>
      <c r="E21" s="170"/>
      <c r="F21" s="170"/>
      <c r="G21" s="170"/>
      <c r="H21" s="170"/>
      <c r="I21" s="170"/>
      <c r="J21" s="170"/>
      <c r="K21" s="168"/>
      <c r="L21" s="525"/>
      <c r="M21" s="1563">
        <f t="shared" si="1"/>
        <v>6</v>
      </c>
    </row>
    <row r="22" spans="1:15" s="88" customFormat="1" x14ac:dyDescent="0.35">
      <c r="A22" s="1563">
        <f t="shared" si="0"/>
        <v>7</v>
      </c>
      <c r="B22" s="862" t="s">
        <v>86</v>
      </c>
      <c r="C22" s="863" t="s">
        <v>87</v>
      </c>
      <c r="D22" s="632">
        <f t="shared" ref="D22:I22" si="2">SUM(D16:D21)</f>
        <v>0</v>
      </c>
      <c r="E22" s="632">
        <f t="shared" si="2"/>
        <v>1.1260899999999998</v>
      </c>
      <c r="F22" s="632">
        <f t="shared" si="2"/>
        <v>639.68352000000004</v>
      </c>
      <c r="G22" s="632">
        <f t="shared" si="2"/>
        <v>0</v>
      </c>
      <c r="H22" s="632">
        <f t="shared" si="2"/>
        <v>0</v>
      </c>
      <c r="I22" s="632">
        <f t="shared" si="2"/>
        <v>0</v>
      </c>
      <c r="J22" s="632">
        <f>SUM(J16:J21)</f>
        <v>0</v>
      </c>
      <c r="K22" s="633">
        <f>SUM(K16:K21)</f>
        <v>640.80961000000002</v>
      </c>
      <c r="L22" s="876" t="s">
        <v>1048</v>
      </c>
      <c r="M22" s="1563">
        <f t="shared" si="1"/>
        <v>7</v>
      </c>
    </row>
    <row r="23" spans="1:15" x14ac:dyDescent="0.35">
      <c r="A23" s="1563">
        <f t="shared" si="0"/>
        <v>8</v>
      </c>
      <c r="B23" s="525"/>
      <c r="C23" s="170"/>
      <c r="D23" s="172"/>
      <c r="E23" s="173"/>
      <c r="F23" s="173"/>
      <c r="G23" s="173"/>
      <c r="H23" s="173"/>
      <c r="I23" s="173"/>
      <c r="J23" s="173"/>
      <c r="K23" s="226"/>
      <c r="L23" s="525"/>
      <c r="M23" s="1563">
        <f t="shared" si="1"/>
        <v>8</v>
      </c>
    </row>
    <row r="24" spans="1:15" x14ac:dyDescent="0.35">
      <c r="A24" s="1563">
        <f t="shared" si="0"/>
        <v>9</v>
      </c>
      <c r="B24" s="860">
        <v>350</v>
      </c>
      <c r="C24" s="170" t="s">
        <v>84</v>
      </c>
      <c r="D24" s="1854">
        <v>30121.029480000001</v>
      </c>
      <c r="E24" s="625">
        <v>0</v>
      </c>
      <c r="F24" s="625">
        <v>0</v>
      </c>
      <c r="G24" s="1854">
        <v>0</v>
      </c>
      <c r="H24" s="1854">
        <v>0</v>
      </c>
      <c r="I24" s="625">
        <v>0</v>
      </c>
      <c r="J24" s="625">
        <v>-375.76431999999994</v>
      </c>
      <c r="K24" s="151">
        <f t="shared" ref="K24:K32" si="3">SUM(D24:J24)</f>
        <v>29745.265160000003</v>
      </c>
      <c r="L24" s="525" t="s">
        <v>647</v>
      </c>
      <c r="M24" s="1563">
        <f t="shared" si="1"/>
        <v>9</v>
      </c>
    </row>
    <row r="25" spans="1:15" x14ac:dyDescent="0.35">
      <c r="A25" s="1563">
        <f t="shared" si="0"/>
        <v>10</v>
      </c>
      <c r="B25" s="860">
        <v>352</v>
      </c>
      <c r="C25" s="170" t="s">
        <v>85</v>
      </c>
      <c r="D25" s="1865">
        <v>122728.35791000001</v>
      </c>
      <c r="E25" s="626">
        <v>0</v>
      </c>
      <c r="F25" s="626">
        <v>0</v>
      </c>
      <c r="G25" s="1865">
        <v>-541.53980999999999</v>
      </c>
      <c r="H25" s="1855">
        <v>0</v>
      </c>
      <c r="I25" s="626">
        <v>0</v>
      </c>
      <c r="J25" s="1866">
        <v>-21174.891939999998</v>
      </c>
      <c r="K25" s="168">
        <f t="shared" si="3"/>
        <v>101011.92616</v>
      </c>
      <c r="L25" s="525" t="s">
        <v>647</v>
      </c>
      <c r="M25" s="1563">
        <f t="shared" si="1"/>
        <v>10</v>
      </c>
      <c r="O25" s="795"/>
    </row>
    <row r="26" spans="1:15" x14ac:dyDescent="0.35">
      <c r="A26" s="1563">
        <f t="shared" si="0"/>
        <v>11</v>
      </c>
      <c r="B26" s="860">
        <v>353</v>
      </c>
      <c r="C26" s="170" t="s">
        <v>88</v>
      </c>
      <c r="D26" s="1865">
        <v>532734.98178000003</v>
      </c>
      <c r="E26" s="626">
        <v>0</v>
      </c>
      <c r="F26" s="626">
        <v>0</v>
      </c>
      <c r="G26" s="1865">
        <v>-3527.4251399999998</v>
      </c>
      <c r="H26" s="1855">
        <v>-545.20190000000002</v>
      </c>
      <c r="I26" s="626">
        <v>0</v>
      </c>
      <c r="J26" s="1866">
        <v>-1598.00729</v>
      </c>
      <c r="K26" s="168">
        <f t="shared" si="3"/>
        <v>527064.34745000012</v>
      </c>
      <c r="L26" s="525" t="s">
        <v>647</v>
      </c>
      <c r="M26" s="1563">
        <f t="shared" si="1"/>
        <v>11</v>
      </c>
    </row>
    <row r="27" spans="1:15" x14ac:dyDescent="0.35">
      <c r="A27" s="1563">
        <f t="shared" si="0"/>
        <v>12</v>
      </c>
      <c r="B27" s="860">
        <v>354</v>
      </c>
      <c r="C27" s="170" t="s">
        <v>89</v>
      </c>
      <c r="D27" s="1865">
        <v>254068.40857999999</v>
      </c>
      <c r="E27" s="626">
        <v>0</v>
      </c>
      <c r="F27" s="626">
        <v>0</v>
      </c>
      <c r="G27" s="1855">
        <v>0</v>
      </c>
      <c r="H27" s="1855">
        <v>0</v>
      </c>
      <c r="I27" s="626">
        <v>0</v>
      </c>
      <c r="J27" s="626">
        <v>0</v>
      </c>
      <c r="K27" s="168">
        <f t="shared" si="3"/>
        <v>254068.40857999999</v>
      </c>
      <c r="L27" s="525" t="s">
        <v>647</v>
      </c>
      <c r="M27" s="1563">
        <f t="shared" si="1"/>
        <v>12</v>
      </c>
    </row>
    <row r="28" spans="1:15" x14ac:dyDescent="0.35">
      <c r="A28" s="1563">
        <f t="shared" si="0"/>
        <v>13</v>
      </c>
      <c r="B28" s="860">
        <v>355</v>
      </c>
      <c r="C28" s="170" t="s">
        <v>90</v>
      </c>
      <c r="D28" s="1865">
        <v>174687.89191999999</v>
      </c>
      <c r="E28" s="626">
        <v>0</v>
      </c>
      <c r="F28" s="626">
        <v>0</v>
      </c>
      <c r="G28" s="1855">
        <v>0</v>
      </c>
      <c r="H28" s="1855">
        <v>0</v>
      </c>
      <c r="I28" s="626">
        <v>0</v>
      </c>
      <c r="J28" s="626">
        <v>0</v>
      </c>
      <c r="K28" s="168">
        <f t="shared" si="3"/>
        <v>174687.89191999999</v>
      </c>
      <c r="L28" s="525" t="s">
        <v>647</v>
      </c>
      <c r="M28" s="1563">
        <f t="shared" si="1"/>
        <v>13</v>
      </c>
    </row>
    <row r="29" spans="1:15" x14ac:dyDescent="0.35">
      <c r="A29" s="1563">
        <f t="shared" si="0"/>
        <v>14</v>
      </c>
      <c r="B29" s="860">
        <v>356</v>
      </c>
      <c r="C29" s="170" t="s">
        <v>91</v>
      </c>
      <c r="D29" s="1865">
        <v>287529.21023999999</v>
      </c>
      <c r="E29" s="626">
        <v>0</v>
      </c>
      <c r="F29" s="626">
        <v>0</v>
      </c>
      <c r="G29" s="1855">
        <v>0</v>
      </c>
      <c r="H29" s="1855">
        <v>0</v>
      </c>
      <c r="I29" s="626">
        <v>0</v>
      </c>
      <c r="J29" s="626">
        <v>0</v>
      </c>
      <c r="K29" s="168">
        <f t="shared" si="3"/>
        <v>287529.21023999999</v>
      </c>
      <c r="L29" s="525" t="s">
        <v>647</v>
      </c>
      <c r="M29" s="1563">
        <f t="shared" si="1"/>
        <v>14</v>
      </c>
    </row>
    <row r="30" spans="1:15" x14ac:dyDescent="0.35">
      <c r="A30" s="1563">
        <f t="shared" si="0"/>
        <v>15</v>
      </c>
      <c r="B30" s="860">
        <v>357</v>
      </c>
      <c r="C30" s="170" t="s">
        <v>92</v>
      </c>
      <c r="D30" s="1865">
        <v>102870.26463000001</v>
      </c>
      <c r="E30" s="626">
        <v>0</v>
      </c>
      <c r="F30" s="626">
        <v>0</v>
      </c>
      <c r="G30" s="1855">
        <v>0</v>
      </c>
      <c r="H30" s="1855">
        <v>0</v>
      </c>
      <c r="I30" s="626">
        <v>0</v>
      </c>
      <c r="J30" s="626">
        <v>0</v>
      </c>
      <c r="K30" s="168">
        <f t="shared" si="3"/>
        <v>102870.26463000001</v>
      </c>
      <c r="L30" s="525" t="s">
        <v>647</v>
      </c>
      <c r="M30" s="1563">
        <f t="shared" si="1"/>
        <v>15</v>
      </c>
    </row>
    <row r="31" spans="1:15" x14ac:dyDescent="0.35">
      <c r="A31" s="1563">
        <f t="shared" si="0"/>
        <v>16</v>
      </c>
      <c r="B31" s="860">
        <v>358</v>
      </c>
      <c r="C31" s="170" t="s">
        <v>93</v>
      </c>
      <c r="D31" s="1865">
        <v>102689.34135</v>
      </c>
      <c r="E31" s="626">
        <v>0</v>
      </c>
      <c r="F31" s="626">
        <v>0</v>
      </c>
      <c r="G31" s="1865">
        <v>-611.28782000000001</v>
      </c>
      <c r="H31" s="1855">
        <v>0</v>
      </c>
      <c r="I31" s="626">
        <v>0</v>
      </c>
      <c r="J31" s="626">
        <v>0</v>
      </c>
      <c r="K31" s="168">
        <f t="shared" si="3"/>
        <v>102078.05353</v>
      </c>
      <c r="L31" s="525" t="s">
        <v>647</v>
      </c>
      <c r="M31" s="1563">
        <f t="shared" si="1"/>
        <v>16</v>
      </c>
    </row>
    <row r="32" spans="1:15" x14ac:dyDescent="0.35">
      <c r="A32" s="1563">
        <f t="shared" si="0"/>
        <v>17</v>
      </c>
      <c r="B32" s="860">
        <v>359</v>
      </c>
      <c r="C32" s="170" t="s">
        <v>94</v>
      </c>
      <c r="D32" s="1865">
        <v>55439.172070000001</v>
      </c>
      <c r="E32" s="626">
        <v>0</v>
      </c>
      <c r="F32" s="626">
        <v>0</v>
      </c>
      <c r="G32" s="1855">
        <v>0</v>
      </c>
      <c r="H32" s="1855">
        <v>0</v>
      </c>
      <c r="I32" s="626">
        <v>0</v>
      </c>
      <c r="J32" s="626">
        <v>0</v>
      </c>
      <c r="K32" s="168">
        <f t="shared" si="3"/>
        <v>55439.172070000001</v>
      </c>
      <c r="L32" s="525" t="s">
        <v>647</v>
      </c>
      <c r="M32" s="1563">
        <f t="shared" si="1"/>
        <v>17</v>
      </c>
    </row>
    <row r="33" spans="1:13" x14ac:dyDescent="0.35">
      <c r="A33" s="1563">
        <f t="shared" si="0"/>
        <v>18</v>
      </c>
      <c r="B33" s="923"/>
      <c r="C33" s="170"/>
      <c r="D33" s="172"/>
      <c r="F33" s="176"/>
      <c r="G33" s="176"/>
      <c r="H33" s="176"/>
      <c r="I33" s="176"/>
      <c r="J33" s="173"/>
      <c r="K33" s="181"/>
      <c r="L33" s="860"/>
      <c r="M33" s="1563">
        <f t="shared" si="1"/>
        <v>18</v>
      </c>
    </row>
    <row r="34" spans="1:13" x14ac:dyDescent="0.35">
      <c r="A34" s="1563">
        <f t="shared" si="0"/>
        <v>19</v>
      </c>
      <c r="B34" s="864" t="s">
        <v>86</v>
      </c>
      <c r="C34" s="863" t="s">
        <v>59</v>
      </c>
      <c r="D34" s="632">
        <f>SUM(D24:D33)</f>
        <v>1662868.6579600002</v>
      </c>
      <c r="E34" s="632">
        <f>SUM(E24:E33)</f>
        <v>0</v>
      </c>
      <c r="F34" s="632">
        <f>SUM(F24:F33)</f>
        <v>0</v>
      </c>
      <c r="G34" s="632">
        <f>SUM(G24:G33)</f>
        <v>-4680.2527699999991</v>
      </c>
      <c r="H34" s="632">
        <f>SUM(H24:H33)</f>
        <v>-545.20190000000002</v>
      </c>
      <c r="I34" s="632">
        <f t="shared" ref="I34" si="4">SUM(I24:I33)</f>
        <v>0</v>
      </c>
      <c r="J34" s="632">
        <f>SUM(J24:J33)</f>
        <v>-23148.663549999997</v>
      </c>
      <c r="K34" s="633">
        <f>SUM(K24:K33)</f>
        <v>1634494.5397400002</v>
      </c>
      <c r="L34" s="924" t="s">
        <v>1158</v>
      </c>
      <c r="M34" s="1563">
        <f t="shared" si="1"/>
        <v>19</v>
      </c>
    </row>
    <row r="35" spans="1:13" x14ac:dyDescent="0.35">
      <c r="A35" s="1563">
        <f t="shared" si="0"/>
        <v>20</v>
      </c>
      <c r="B35" s="921"/>
      <c r="D35" s="85"/>
      <c r="J35" s="126"/>
      <c r="K35" s="126"/>
      <c r="L35" s="865"/>
      <c r="M35" s="1563">
        <f t="shared" si="1"/>
        <v>20</v>
      </c>
    </row>
    <row r="36" spans="1:13" x14ac:dyDescent="0.35">
      <c r="A36" s="1563">
        <f t="shared" si="0"/>
        <v>21</v>
      </c>
      <c r="B36" s="925" t="s">
        <v>95</v>
      </c>
      <c r="C36" s="867"/>
      <c r="D36" s="178">
        <f>D34+D22</f>
        <v>1662868.6579600002</v>
      </c>
      <c r="E36" s="178">
        <f>E34+E22</f>
        <v>1.1260899999999998</v>
      </c>
      <c r="F36" s="178">
        <f>F34+F22</f>
        <v>639.68352000000004</v>
      </c>
      <c r="G36" s="178">
        <f>G34+G22</f>
        <v>-4680.2527699999991</v>
      </c>
      <c r="H36" s="178">
        <f>H34+H22</f>
        <v>-545.20190000000002</v>
      </c>
      <c r="I36" s="179">
        <f t="shared" ref="I36" si="5">I34+I22</f>
        <v>0</v>
      </c>
      <c r="J36" s="178">
        <f>J34+J22</f>
        <v>-23148.663549999997</v>
      </c>
      <c r="K36" s="178">
        <f>K34+K22</f>
        <v>1635135.3493500003</v>
      </c>
      <c r="L36" s="876" t="s">
        <v>1159</v>
      </c>
      <c r="M36" s="1563">
        <f t="shared" si="1"/>
        <v>21</v>
      </c>
    </row>
    <row r="37" spans="1:13" x14ac:dyDescent="0.35">
      <c r="D37" s="79"/>
      <c r="K37" s="926"/>
      <c r="L37" s="926"/>
    </row>
    <row r="38" spans="1:13" x14ac:dyDescent="0.35">
      <c r="D38" s="79"/>
      <c r="K38" s="926"/>
      <c r="L38" s="926"/>
    </row>
    <row r="39" spans="1:13" x14ac:dyDescent="0.35">
      <c r="B39" s="79" t="s">
        <v>714</v>
      </c>
      <c r="D39" s="79"/>
    </row>
    <row r="40" spans="1:13" x14ac:dyDescent="0.35">
      <c r="D40" s="79"/>
    </row>
    <row r="41" spans="1:13" x14ac:dyDescent="0.35">
      <c r="D41" s="79"/>
    </row>
    <row r="42" spans="1:13" x14ac:dyDescent="0.35">
      <c r="D42" s="79"/>
    </row>
    <row r="43" spans="1:13" x14ac:dyDescent="0.35">
      <c r="D43" s="79"/>
    </row>
    <row r="44" spans="1:13" x14ac:dyDescent="0.35">
      <c r="D44" s="79"/>
    </row>
    <row r="45" spans="1:13" x14ac:dyDescent="0.35">
      <c r="D45" s="79"/>
    </row>
    <row r="46" spans="1:13" x14ac:dyDescent="0.35">
      <c r="D46" s="79"/>
    </row>
    <row r="47" spans="1:13" x14ac:dyDescent="0.35">
      <c r="D47" s="79"/>
    </row>
    <row r="48" spans="1:13" x14ac:dyDescent="0.35">
      <c r="D48" s="79"/>
    </row>
    <row r="49" spans="4:4" x14ac:dyDescent="0.35">
      <c r="D49" s="79"/>
    </row>
    <row r="50" spans="4:4" x14ac:dyDescent="0.35">
      <c r="D50" s="79"/>
    </row>
    <row r="51" spans="4:4" x14ac:dyDescent="0.35">
      <c r="D51" s="79"/>
    </row>
    <row r="52" spans="4:4" x14ac:dyDescent="0.35">
      <c r="D52" s="79"/>
    </row>
    <row r="53" spans="4:4" x14ac:dyDescent="0.35">
      <c r="D53" s="79"/>
    </row>
    <row r="54" spans="4:4" x14ac:dyDescent="0.35">
      <c r="D54" s="79"/>
    </row>
    <row r="55" spans="4:4" x14ac:dyDescent="0.35">
      <c r="D55" s="79"/>
    </row>
    <row r="56" spans="4:4" x14ac:dyDescent="0.35">
      <c r="D56" s="79"/>
    </row>
    <row r="57" spans="4:4" x14ac:dyDescent="0.35">
      <c r="D57" s="79"/>
    </row>
    <row r="58" spans="4:4" x14ac:dyDescent="0.35">
      <c r="D58" s="79"/>
    </row>
    <row r="59" spans="4:4" x14ac:dyDescent="0.35">
      <c r="D59" s="79"/>
    </row>
    <row r="60" spans="4:4" x14ac:dyDescent="0.35">
      <c r="D60" s="79"/>
    </row>
    <row r="61" spans="4:4" x14ac:dyDescent="0.35">
      <c r="D61" s="79"/>
    </row>
    <row r="62" spans="4:4" x14ac:dyDescent="0.35">
      <c r="D62" s="79"/>
    </row>
    <row r="63" spans="4:4" x14ac:dyDescent="0.35">
      <c r="D63" s="79"/>
    </row>
    <row r="64" spans="4:4" x14ac:dyDescent="0.35">
      <c r="D64" s="79"/>
    </row>
    <row r="65" spans="4:4" x14ac:dyDescent="0.35">
      <c r="D65" s="79"/>
    </row>
    <row r="66" spans="4:4" x14ac:dyDescent="0.35">
      <c r="D66" s="79"/>
    </row>
    <row r="67" spans="4:4" x14ac:dyDescent="0.35">
      <c r="D67" s="79"/>
    </row>
    <row r="68" spans="4:4" x14ac:dyDescent="0.35">
      <c r="D68" s="79"/>
    </row>
    <row r="69" spans="4:4" x14ac:dyDescent="0.35">
      <c r="D69" s="79"/>
    </row>
    <row r="70" spans="4:4" x14ac:dyDescent="0.35">
      <c r="D70" s="79"/>
    </row>
    <row r="71" spans="4:4" x14ac:dyDescent="0.35">
      <c r="D71" s="79"/>
    </row>
    <row r="72" spans="4:4" x14ac:dyDescent="0.35">
      <c r="D72" s="79"/>
    </row>
    <row r="73" spans="4:4" x14ac:dyDescent="0.35">
      <c r="D73" s="79"/>
    </row>
    <row r="74" spans="4:4" x14ac:dyDescent="0.35">
      <c r="D74" s="79"/>
    </row>
    <row r="75" spans="4:4" x14ac:dyDescent="0.35">
      <c r="D75" s="79"/>
    </row>
    <row r="76" spans="4:4" x14ac:dyDescent="0.35">
      <c r="D76" s="79"/>
    </row>
    <row r="77" spans="4:4" x14ac:dyDescent="0.35">
      <c r="D77" s="79"/>
    </row>
    <row r="78" spans="4:4" x14ac:dyDescent="0.35">
      <c r="D78" s="79"/>
    </row>
    <row r="79" spans="4:4" x14ac:dyDescent="0.35">
      <c r="D79" s="79"/>
    </row>
    <row r="80" spans="4:4" x14ac:dyDescent="0.35">
      <c r="D80" s="79"/>
    </row>
    <row r="81" spans="4:4" x14ac:dyDescent="0.35">
      <c r="D81" s="79"/>
    </row>
    <row r="82" spans="4:4" x14ac:dyDescent="0.35">
      <c r="D82" s="79"/>
    </row>
    <row r="83" spans="4:4" x14ac:dyDescent="0.35">
      <c r="D83" s="79"/>
    </row>
    <row r="84" spans="4:4" x14ac:dyDescent="0.35">
      <c r="D84" s="79"/>
    </row>
    <row r="85" spans="4:4" x14ac:dyDescent="0.35">
      <c r="D85" s="79"/>
    </row>
    <row r="86" spans="4:4" x14ac:dyDescent="0.35">
      <c r="D86" s="79"/>
    </row>
    <row r="87" spans="4:4" x14ac:dyDescent="0.35">
      <c r="D87" s="79"/>
    </row>
    <row r="88" spans="4:4" x14ac:dyDescent="0.35">
      <c r="D88" s="79"/>
    </row>
    <row r="89" spans="4:4" x14ac:dyDescent="0.35">
      <c r="D89" s="79"/>
    </row>
    <row r="90" spans="4:4" x14ac:dyDescent="0.35">
      <c r="D90" s="79"/>
    </row>
    <row r="91" spans="4:4" x14ac:dyDescent="0.35">
      <c r="D91" s="79"/>
    </row>
    <row r="92" spans="4:4" x14ac:dyDescent="0.35">
      <c r="D92" s="79"/>
    </row>
    <row r="93" spans="4:4" x14ac:dyDescent="0.35">
      <c r="D93" s="79"/>
    </row>
    <row r="94" spans="4:4" x14ac:dyDescent="0.35">
      <c r="D94" s="79"/>
    </row>
    <row r="95" spans="4:4" x14ac:dyDescent="0.35">
      <c r="D95" s="79"/>
    </row>
    <row r="96" spans="4:4" x14ac:dyDescent="0.35">
      <c r="D96" s="79"/>
    </row>
    <row r="97" spans="4:4" x14ac:dyDescent="0.35">
      <c r="D97" s="79"/>
    </row>
    <row r="98" spans="4:4" x14ac:dyDescent="0.35">
      <c r="D98" s="79"/>
    </row>
    <row r="99" spans="4:4" x14ac:dyDescent="0.35">
      <c r="D99" s="79"/>
    </row>
    <row r="100" spans="4:4" x14ac:dyDescent="0.35">
      <c r="D100" s="79"/>
    </row>
    <row r="101" spans="4:4" x14ac:dyDescent="0.35">
      <c r="D101" s="79"/>
    </row>
    <row r="102" spans="4:4" x14ac:dyDescent="0.35">
      <c r="D102" s="79"/>
    </row>
    <row r="103" spans="4:4" x14ac:dyDescent="0.35">
      <c r="D103" s="79"/>
    </row>
    <row r="104" spans="4:4" x14ac:dyDescent="0.35">
      <c r="D104" s="79"/>
    </row>
    <row r="105" spans="4:4" x14ac:dyDescent="0.35">
      <c r="D105" s="79"/>
    </row>
    <row r="106" spans="4:4" x14ac:dyDescent="0.35">
      <c r="D106" s="79"/>
    </row>
    <row r="107" spans="4:4" x14ac:dyDescent="0.35">
      <c r="D107" s="79"/>
    </row>
    <row r="108" spans="4:4" x14ac:dyDescent="0.35">
      <c r="D108" s="79"/>
    </row>
    <row r="109" spans="4:4" x14ac:dyDescent="0.35">
      <c r="D109" s="79"/>
    </row>
    <row r="110" spans="4:4" x14ac:dyDescent="0.35">
      <c r="D110" s="79"/>
    </row>
    <row r="111" spans="4:4" x14ac:dyDescent="0.35">
      <c r="D111" s="79"/>
    </row>
    <row r="112" spans="4:4" x14ac:dyDescent="0.35">
      <c r="D112" s="79"/>
    </row>
    <row r="113" spans="4:4" x14ac:dyDescent="0.35">
      <c r="D113" s="79"/>
    </row>
    <row r="114" spans="4:4" x14ac:dyDescent="0.35">
      <c r="D114" s="79"/>
    </row>
    <row r="115" spans="4:4" x14ac:dyDescent="0.35">
      <c r="D115" s="79"/>
    </row>
    <row r="116" spans="4:4" x14ac:dyDescent="0.35">
      <c r="D116" s="79"/>
    </row>
    <row r="117" spans="4:4" x14ac:dyDescent="0.35">
      <c r="D117" s="79"/>
    </row>
    <row r="118" spans="4:4" x14ac:dyDescent="0.35">
      <c r="D118" s="79"/>
    </row>
    <row r="119" spans="4:4" x14ac:dyDescent="0.35">
      <c r="D119" s="79"/>
    </row>
    <row r="120" spans="4:4" x14ac:dyDescent="0.35">
      <c r="D120" s="79"/>
    </row>
    <row r="121" spans="4:4" x14ac:dyDescent="0.35">
      <c r="D121" s="79"/>
    </row>
    <row r="122" spans="4:4" x14ac:dyDescent="0.35">
      <c r="D122" s="79"/>
    </row>
    <row r="123" spans="4:4" x14ac:dyDescent="0.35">
      <c r="D123" s="79"/>
    </row>
    <row r="124" spans="4:4" x14ac:dyDescent="0.35">
      <c r="D124" s="79"/>
    </row>
    <row r="125" spans="4:4" x14ac:dyDescent="0.35">
      <c r="D125" s="79"/>
    </row>
    <row r="126" spans="4:4" x14ac:dyDescent="0.35">
      <c r="D126" s="79"/>
    </row>
    <row r="127" spans="4:4" x14ac:dyDescent="0.35">
      <c r="D127" s="79"/>
    </row>
    <row r="128" spans="4:4" x14ac:dyDescent="0.35">
      <c r="D128" s="79"/>
    </row>
    <row r="129" spans="4:4" x14ac:dyDescent="0.35">
      <c r="D129" s="79"/>
    </row>
    <row r="130" spans="4:4" x14ac:dyDescent="0.35">
      <c r="D130" s="79"/>
    </row>
    <row r="131" spans="4:4" x14ac:dyDescent="0.35">
      <c r="D131" s="79"/>
    </row>
    <row r="132" spans="4:4" x14ac:dyDescent="0.35">
      <c r="D132" s="79"/>
    </row>
    <row r="133" spans="4:4" x14ac:dyDescent="0.35">
      <c r="D133" s="79"/>
    </row>
    <row r="134" spans="4:4" x14ac:dyDescent="0.35">
      <c r="D134" s="79"/>
    </row>
    <row r="135" spans="4:4" x14ac:dyDescent="0.35">
      <c r="D135" s="79"/>
    </row>
    <row r="136" spans="4:4" x14ac:dyDescent="0.35">
      <c r="D136" s="79"/>
    </row>
    <row r="137" spans="4:4" x14ac:dyDescent="0.35">
      <c r="D137" s="79"/>
    </row>
    <row r="138" spans="4:4" x14ac:dyDescent="0.35">
      <c r="D138" s="79"/>
    </row>
    <row r="139" spans="4:4" x14ac:dyDescent="0.35">
      <c r="D139" s="79"/>
    </row>
    <row r="140" spans="4:4" x14ac:dyDescent="0.35">
      <c r="D140" s="79"/>
    </row>
    <row r="141" spans="4:4" x14ac:dyDescent="0.35">
      <c r="D141" s="79"/>
    </row>
    <row r="142" spans="4:4" x14ac:dyDescent="0.35">
      <c r="D142" s="79"/>
    </row>
    <row r="143" spans="4:4" x14ac:dyDescent="0.35">
      <c r="D143" s="79"/>
    </row>
    <row r="144" spans="4:4" x14ac:dyDescent="0.35">
      <c r="D144" s="79"/>
    </row>
    <row r="145" spans="4:4" x14ac:dyDescent="0.35">
      <c r="D145" s="79"/>
    </row>
    <row r="146" spans="4:4" x14ac:dyDescent="0.35">
      <c r="D146" s="79"/>
    </row>
    <row r="147" spans="4:4" x14ac:dyDescent="0.35">
      <c r="D147" s="79"/>
    </row>
    <row r="148" spans="4:4" x14ac:dyDescent="0.35">
      <c r="D148" s="79"/>
    </row>
    <row r="149" spans="4:4" x14ac:dyDescent="0.35">
      <c r="D149" s="79"/>
    </row>
    <row r="150" spans="4:4" x14ac:dyDescent="0.35">
      <c r="D150" s="79"/>
    </row>
    <row r="151" spans="4:4" x14ac:dyDescent="0.35">
      <c r="D151" s="79"/>
    </row>
    <row r="152" spans="4:4" x14ac:dyDescent="0.35">
      <c r="D152" s="79"/>
    </row>
    <row r="153" spans="4:4" x14ac:dyDescent="0.35">
      <c r="D153" s="79"/>
    </row>
    <row r="154" spans="4:4" x14ac:dyDescent="0.35">
      <c r="D154" s="79"/>
    </row>
    <row r="155" spans="4:4" x14ac:dyDescent="0.35">
      <c r="D155" s="79"/>
    </row>
    <row r="156" spans="4:4" x14ac:dyDescent="0.35">
      <c r="D156" s="79"/>
    </row>
    <row r="157" spans="4:4" x14ac:dyDescent="0.35">
      <c r="D157" s="79"/>
    </row>
    <row r="158" spans="4:4" x14ac:dyDescent="0.35">
      <c r="D158" s="79"/>
    </row>
    <row r="159" spans="4:4" x14ac:dyDescent="0.35">
      <c r="D159" s="79"/>
    </row>
    <row r="160" spans="4:4" x14ac:dyDescent="0.35">
      <c r="D160" s="79"/>
    </row>
    <row r="161" spans="4:4" x14ac:dyDescent="0.35">
      <c r="D161" s="79"/>
    </row>
    <row r="162" spans="4:4" x14ac:dyDescent="0.35">
      <c r="D162" s="79"/>
    </row>
    <row r="163" spans="4:4" x14ac:dyDescent="0.35">
      <c r="D163" s="79"/>
    </row>
    <row r="164" spans="4:4" x14ac:dyDescent="0.35">
      <c r="D164" s="79"/>
    </row>
    <row r="165" spans="4:4" x14ac:dyDescent="0.35">
      <c r="D165" s="79"/>
    </row>
    <row r="166" spans="4:4" x14ac:dyDescent="0.35">
      <c r="D166" s="79"/>
    </row>
    <row r="167" spans="4:4" x14ac:dyDescent="0.35">
      <c r="D167" s="79"/>
    </row>
    <row r="168" spans="4:4" x14ac:dyDescent="0.35">
      <c r="D168" s="79"/>
    </row>
    <row r="169" spans="4:4" x14ac:dyDescent="0.35">
      <c r="D169" s="79"/>
    </row>
    <row r="170" spans="4:4" x14ac:dyDescent="0.35">
      <c r="D170" s="79"/>
    </row>
    <row r="171" spans="4:4" x14ac:dyDescent="0.35">
      <c r="D171" s="79"/>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L41"/>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11" style="88" customWidth="1"/>
    <col min="7" max="7" width="7.08984375" style="88" customWidth="1"/>
    <col min="8" max="8" width="9.08984375" style="88" customWidth="1"/>
    <col min="9" max="9" width="14" style="88" customWidth="1"/>
    <col min="10" max="10" width="13.453125" style="88" customWidth="1"/>
    <col min="11" max="16384" width="9.08984375" style="88"/>
  </cols>
  <sheetData>
    <row r="2" spans="1:6" x14ac:dyDescent="0.35">
      <c r="B2" s="2289" t="s">
        <v>18</v>
      </c>
      <c r="C2" s="2289"/>
      <c r="D2" s="2289"/>
    </row>
    <row r="3" spans="1:6" x14ac:dyDescent="0.35">
      <c r="B3" s="2289" t="s">
        <v>112</v>
      </c>
      <c r="C3" s="2289"/>
      <c r="D3" s="2289"/>
    </row>
    <row r="4" spans="1:6" x14ac:dyDescent="0.35">
      <c r="B4" s="2289" t="s">
        <v>111</v>
      </c>
      <c r="C4" s="2289"/>
      <c r="D4" s="2289"/>
    </row>
    <row r="5" spans="1:6" x14ac:dyDescent="0.35">
      <c r="B5" s="2289" t="s">
        <v>1590</v>
      </c>
      <c r="C5" s="2289"/>
      <c r="D5" s="2289"/>
    </row>
    <row r="6" spans="1:6" x14ac:dyDescent="0.35">
      <c r="B6" s="2292" t="s">
        <v>2</v>
      </c>
      <c r="C6" s="2292"/>
      <c r="D6" s="2292"/>
    </row>
    <row r="7" spans="1:6" x14ac:dyDescent="0.35">
      <c r="B7" s="752"/>
      <c r="C7" s="752"/>
      <c r="D7" s="752"/>
    </row>
    <row r="8" spans="1:6" x14ac:dyDescent="0.35">
      <c r="B8" s="2289" t="s">
        <v>21</v>
      </c>
      <c r="C8" s="2289"/>
      <c r="D8" s="2289"/>
    </row>
    <row r="9" spans="1:6" ht="15.5" x14ac:dyDescent="0.35">
      <c r="A9" s="182"/>
    </row>
    <row r="10" spans="1:6" ht="15.5" x14ac:dyDescent="0.35">
      <c r="A10" s="182"/>
      <c r="B10" s="880"/>
      <c r="C10" s="881" t="s">
        <v>22</v>
      </c>
      <c r="D10" s="896"/>
      <c r="E10" s="1563"/>
    </row>
    <row r="11" spans="1:6" ht="15.5" x14ac:dyDescent="0.35">
      <c r="A11" s="182" t="s">
        <v>3</v>
      </c>
      <c r="B11" s="851"/>
      <c r="C11" s="799" t="s">
        <v>119</v>
      </c>
      <c r="D11" s="844"/>
      <c r="E11" s="1563" t="s">
        <v>3</v>
      </c>
    </row>
    <row r="12" spans="1:6" ht="15.5" x14ac:dyDescent="0.35">
      <c r="A12" s="182" t="s">
        <v>25</v>
      </c>
      <c r="B12" s="884" t="s">
        <v>23</v>
      </c>
      <c r="C12" s="766" t="s">
        <v>26</v>
      </c>
      <c r="D12" s="766" t="s">
        <v>9</v>
      </c>
      <c r="E12" s="1563" t="s">
        <v>25</v>
      </c>
    </row>
    <row r="13" spans="1:6" ht="15.5" x14ac:dyDescent="0.35">
      <c r="A13" s="345"/>
      <c r="B13" s="885"/>
      <c r="C13" s="886"/>
      <c r="D13" s="897"/>
      <c r="E13" s="345"/>
    </row>
    <row r="14" spans="1:6" ht="18" x14ac:dyDescent="0.35">
      <c r="A14" s="182">
        <v>1</v>
      </c>
      <c r="B14" s="1746" t="str">
        <f>'AE-1'!B14</f>
        <v>Dec-20</v>
      </c>
      <c r="C14" s="1742">
        <v>158912.30098999999</v>
      </c>
      <c r="D14" s="2202" t="s">
        <v>1653</v>
      </c>
      <c r="E14" s="1563">
        <f>A14</f>
        <v>1</v>
      </c>
      <c r="F14" s="773"/>
    </row>
    <row r="15" spans="1:6" ht="15.5" x14ac:dyDescent="0.35">
      <c r="A15" s="182">
        <f>A14+1</f>
        <v>2</v>
      </c>
      <c r="B15" s="889"/>
      <c r="C15" s="186"/>
      <c r="D15" s="186"/>
      <c r="E15" s="1563">
        <f>E14+1</f>
        <v>2</v>
      </c>
    </row>
    <row r="16" spans="1:6" ht="15.5" x14ac:dyDescent="0.35">
      <c r="A16" s="182">
        <f t="shared" ref="A16:A20" si="0">A15+1</f>
        <v>3</v>
      </c>
      <c r="B16" s="1746" t="str">
        <f>'AE-1'!B26</f>
        <v>Dec-21</v>
      </c>
      <c r="C16" s="1740">
        <v>173963.95592000001</v>
      </c>
      <c r="D16" s="823" t="s">
        <v>1713</v>
      </c>
      <c r="E16" s="1563">
        <f t="shared" ref="E16:E20" si="1">E15+1</f>
        <v>3</v>
      </c>
      <c r="F16" s="773"/>
    </row>
    <row r="17" spans="1:12" ht="15.5" x14ac:dyDescent="0.35">
      <c r="A17" s="182">
        <f t="shared" si="0"/>
        <v>4</v>
      </c>
      <c r="B17" s="921"/>
      <c r="C17" s="230"/>
      <c r="D17" s="230"/>
      <c r="E17" s="1563">
        <f t="shared" si="1"/>
        <v>4</v>
      </c>
    </row>
    <row r="18" spans="1:12" ht="15.5" x14ac:dyDescent="0.35">
      <c r="A18" s="182">
        <f t="shared" si="0"/>
        <v>5</v>
      </c>
      <c r="B18" s="880"/>
      <c r="C18" s="188"/>
      <c r="D18" s="898"/>
      <c r="E18" s="1563">
        <f t="shared" si="1"/>
        <v>5</v>
      </c>
    </row>
    <row r="19" spans="1:12" ht="15.5" x14ac:dyDescent="0.35">
      <c r="A19" s="182">
        <f t="shared" si="0"/>
        <v>6</v>
      </c>
      <c r="B19" s="891" t="s">
        <v>27</v>
      </c>
      <c r="C19" s="189">
        <f>(C14+C16)/2</f>
        <v>166438.128455</v>
      </c>
      <c r="D19" s="1236" t="s">
        <v>1152</v>
      </c>
      <c r="E19" s="1563">
        <f t="shared" si="1"/>
        <v>6</v>
      </c>
    </row>
    <row r="20" spans="1:12" ht="15.5" x14ac:dyDescent="0.35">
      <c r="A20" s="182">
        <f t="shared" si="0"/>
        <v>7</v>
      </c>
      <c r="B20" s="894"/>
      <c r="C20" s="190"/>
      <c r="D20" s="809"/>
      <c r="E20" s="1563">
        <f t="shared" si="1"/>
        <v>7</v>
      </c>
    </row>
    <row r="21" spans="1:12" ht="15.5" x14ac:dyDescent="0.35">
      <c r="A21" s="182"/>
      <c r="B21" s="79"/>
      <c r="C21" s="895"/>
      <c r="D21" s="79"/>
      <c r="E21" s="1563"/>
    </row>
    <row r="22" spans="1:12" ht="15.5" x14ac:dyDescent="0.35">
      <c r="A22" s="182"/>
      <c r="B22" s="79"/>
      <c r="C22" s="79"/>
      <c r="D22" s="79"/>
    </row>
    <row r="23" spans="1:12" ht="18" x14ac:dyDescent="0.35">
      <c r="A23" s="2203">
        <v>1</v>
      </c>
      <c r="B23" s="2123" t="s">
        <v>1655</v>
      </c>
      <c r="C23" s="79"/>
      <c r="D23" s="79"/>
      <c r="L23" s="90"/>
    </row>
    <row r="24" spans="1:12" ht="15.5" x14ac:dyDescent="0.35">
      <c r="A24" s="2204"/>
      <c r="B24" s="2123" t="s">
        <v>1714</v>
      </c>
      <c r="C24" s="79"/>
      <c r="D24" s="79"/>
    </row>
    <row r="25" spans="1:12" ht="15.5" x14ac:dyDescent="0.35">
      <c r="A25" s="2204"/>
      <c r="B25" s="2123" t="s">
        <v>1654</v>
      </c>
      <c r="C25" s="79"/>
      <c r="D25" s="79"/>
    </row>
    <row r="26" spans="1:12" ht="15.5" x14ac:dyDescent="0.35">
      <c r="B26" s="79"/>
      <c r="C26" s="79"/>
      <c r="D26" s="79"/>
    </row>
    <row r="27" spans="1:12" ht="15.5" x14ac:dyDescent="0.35">
      <c r="B27" s="79"/>
      <c r="C27" s="79"/>
      <c r="D27" s="79"/>
    </row>
    <row r="28" spans="1:12" ht="15.5" x14ac:dyDescent="0.35">
      <c r="B28" s="79"/>
      <c r="C28" s="79"/>
      <c r="D28" s="79"/>
    </row>
    <row r="29" spans="1:12" ht="15.5" x14ac:dyDescent="0.35">
      <c r="B29" s="79"/>
      <c r="C29" s="79"/>
      <c r="D29" s="79"/>
    </row>
    <row r="30" spans="1:12" ht="15.5" x14ac:dyDescent="0.35">
      <c r="B30" s="79"/>
      <c r="C30" s="79"/>
      <c r="D30" s="79"/>
    </row>
    <row r="31" spans="1:12" ht="15.5" x14ac:dyDescent="0.35">
      <c r="B31" s="79"/>
      <c r="C31" s="79"/>
      <c r="D31" s="79"/>
    </row>
    <row r="32" spans="1:12" ht="15.5" x14ac:dyDescent="0.35">
      <c r="B32" s="79"/>
      <c r="C32" s="79"/>
      <c r="D32" s="79"/>
    </row>
    <row r="33" spans="1:5" ht="15.5" x14ac:dyDescent="0.35">
      <c r="B33" s="79"/>
      <c r="C33" s="79"/>
      <c r="D33" s="79"/>
    </row>
    <row r="34" spans="1:5" ht="15.5" x14ac:dyDescent="0.35">
      <c r="B34" s="79"/>
      <c r="C34" s="79"/>
      <c r="D34" s="79"/>
    </row>
    <row r="35" spans="1:5" s="79" customFormat="1" ht="15.5" x14ac:dyDescent="0.35">
      <c r="A35" s="182"/>
      <c r="E35" s="1563"/>
    </row>
    <row r="36" spans="1:5" s="79" customFormat="1" ht="15.5" x14ac:dyDescent="0.35">
      <c r="A36" s="182"/>
      <c r="E36" s="1563"/>
    </row>
    <row r="37" spans="1:5" s="79" customFormat="1" ht="15.5" x14ac:dyDescent="0.35">
      <c r="A37" s="182"/>
      <c r="E37" s="1563"/>
    </row>
    <row r="38" spans="1:5" s="79" customFormat="1" ht="15.5" x14ac:dyDescent="0.35">
      <c r="A38" s="182"/>
      <c r="E38" s="1563"/>
    </row>
    <row r="39" spans="1:5" s="79" customFormat="1" ht="15.5" x14ac:dyDescent="0.35">
      <c r="A39" s="182"/>
      <c r="E39" s="1563"/>
    </row>
    <row r="40" spans="1:5" s="79" customFormat="1" ht="15.5" x14ac:dyDescent="0.35">
      <c r="A40" s="182"/>
      <c r="E40" s="1563"/>
    </row>
    <row r="41" spans="1:5" s="79" customFormat="1" ht="15.5" x14ac:dyDescent="0.35">
      <c r="A41" s="182"/>
      <c r="E41"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L41"/>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11" style="88" customWidth="1"/>
    <col min="7" max="7" width="7.08984375" style="88" customWidth="1"/>
    <col min="8" max="8" width="9.08984375" style="88" customWidth="1"/>
    <col min="9" max="9" width="14" style="88" customWidth="1"/>
    <col min="10" max="10" width="13.453125" style="88" customWidth="1"/>
    <col min="11" max="16384" width="9.08984375" style="88"/>
  </cols>
  <sheetData>
    <row r="2" spans="1:6" x14ac:dyDescent="0.35">
      <c r="B2" s="2289" t="s">
        <v>18</v>
      </c>
      <c r="C2" s="2289"/>
      <c r="D2" s="2289"/>
    </row>
    <row r="3" spans="1:6" x14ac:dyDescent="0.35">
      <c r="B3" s="2289" t="s">
        <v>112</v>
      </c>
      <c r="C3" s="2289"/>
      <c r="D3" s="2289"/>
    </row>
    <row r="4" spans="1:6" x14ac:dyDescent="0.35">
      <c r="B4" s="2289" t="s">
        <v>111</v>
      </c>
      <c r="C4" s="2289"/>
      <c r="D4" s="2289"/>
    </row>
    <row r="5" spans="1:6" x14ac:dyDescent="0.35">
      <c r="B5" s="2289" t="s">
        <v>1590</v>
      </c>
      <c r="C5" s="2289"/>
      <c r="D5" s="2289"/>
    </row>
    <row r="6" spans="1:6" x14ac:dyDescent="0.35">
      <c r="B6" s="2292" t="s">
        <v>2</v>
      </c>
      <c r="C6" s="2292"/>
      <c r="D6" s="2292"/>
    </row>
    <row r="7" spans="1:6" x14ac:dyDescent="0.35">
      <c r="B7" s="752"/>
      <c r="C7" s="752"/>
      <c r="D7" s="752"/>
    </row>
    <row r="8" spans="1:6" ht="15.5" x14ac:dyDescent="0.35">
      <c r="A8" s="182"/>
      <c r="B8" s="2289" t="s">
        <v>98</v>
      </c>
      <c r="C8" s="2289"/>
      <c r="D8" s="2289"/>
    </row>
    <row r="9" spans="1:6" ht="15.5" x14ac:dyDescent="0.35">
      <c r="A9" s="182"/>
      <c r="E9" s="1563"/>
    </row>
    <row r="10" spans="1:6" ht="15.5" x14ac:dyDescent="0.35">
      <c r="A10" s="182"/>
      <c r="B10" s="880"/>
      <c r="C10" s="929" t="s">
        <v>22</v>
      </c>
      <c r="D10" s="896"/>
      <c r="E10" s="1563"/>
    </row>
    <row r="11" spans="1:6" ht="15.5" x14ac:dyDescent="0.35">
      <c r="A11" s="182" t="s">
        <v>3</v>
      </c>
      <c r="B11" s="851"/>
      <c r="C11" s="799" t="s">
        <v>120</v>
      </c>
      <c r="D11" s="844"/>
      <c r="E11" s="1563" t="s">
        <v>3</v>
      </c>
    </row>
    <row r="12" spans="1:6" ht="15.5" x14ac:dyDescent="0.35">
      <c r="A12" s="182" t="s">
        <v>25</v>
      </c>
      <c r="B12" s="884" t="s">
        <v>23</v>
      </c>
      <c r="C12" s="766" t="s">
        <v>26</v>
      </c>
      <c r="D12" s="766" t="s">
        <v>9</v>
      </c>
      <c r="E12" s="1563" t="s">
        <v>25</v>
      </c>
    </row>
    <row r="13" spans="1:6" ht="15.5" x14ac:dyDescent="0.35">
      <c r="A13" s="345"/>
      <c r="B13" s="885"/>
      <c r="C13" s="886"/>
      <c r="D13" s="897"/>
      <c r="E13" s="345"/>
    </row>
    <row r="14" spans="1:6" ht="15.5" x14ac:dyDescent="0.35">
      <c r="A14" s="182">
        <v>1</v>
      </c>
      <c r="B14" s="1746" t="str">
        <f>'AE-2'!B14</f>
        <v>Dec-20</v>
      </c>
      <c r="C14" s="1742">
        <v>197600.55781999999</v>
      </c>
      <c r="D14" s="823" t="s">
        <v>1597</v>
      </c>
      <c r="E14" s="1563">
        <f>A14</f>
        <v>1</v>
      </c>
      <c r="F14" s="773"/>
    </row>
    <row r="15" spans="1:6" ht="15.5" x14ac:dyDescent="0.35">
      <c r="A15" s="182">
        <f>A14+1</f>
        <v>2</v>
      </c>
      <c r="B15" s="889"/>
      <c r="C15" s="186"/>
      <c r="D15" s="186"/>
      <c r="E15" s="1563">
        <f>E14+1</f>
        <v>2</v>
      </c>
    </row>
    <row r="16" spans="1:6" ht="15.5" x14ac:dyDescent="0.35">
      <c r="A16" s="182">
        <f t="shared" ref="A16:A20" si="0">A15+1</f>
        <v>3</v>
      </c>
      <c r="B16" s="1746" t="str">
        <f>'AE-2'!B16</f>
        <v>Dec-21</v>
      </c>
      <c r="C16" s="1740">
        <v>219537.53417000003</v>
      </c>
      <c r="D16" s="823" t="s">
        <v>1713</v>
      </c>
      <c r="E16" s="1563">
        <f t="shared" ref="E16:E20" si="1">E15+1</f>
        <v>3</v>
      </c>
      <c r="F16" s="773"/>
    </row>
    <row r="17" spans="1:12" ht="15.5" x14ac:dyDescent="0.35">
      <c r="A17" s="182">
        <f t="shared" si="0"/>
        <v>4</v>
      </c>
      <c r="B17" s="894"/>
      <c r="C17" s="231"/>
      <c r="D17" s="187"/>
      <c r="E17" s="1563">
        <f t="shared" si="1"/>
        <v>4</v>
      </c>
    </row>
    <row r="18" spans="1:12" ht="15.5" x14ac:dyDescent="0.35">
      <c r="A18" s="182">
        <f t="shared" si="0"/>
        <v>5</v>
      </c>
      <c r="B18" s="891"/>
      <c r="C18" s="188"/>
      <c r="D18" s="897"/>
      <c r="E18" s="1563">
        <f t="shared" si="1"/>
        <v>5</v>
      </c>
    </row>
    <row r="19" spans="1:12" ht="15.5" x14ac:dyDescent="0.35">
      <c r="A19" s="182">
        <f t="shared" si="0"/>
        <v>6</v>
      </c>
      <c r="B19" s="891" t="s">
        <v>27</v>
      </c>
      <c r="C19" s="189">
        <f>(C14+C16)/2</f>
        <v>208569.04599499999</v>
      </c>
      <c r="D19" s="1236" t="s">
        <v>1152</v>
      </c>
      <c r="E19" s="1563">
        <f t="shared" si="1"/>
        <v>6</v>
      </c>
    </row>
    <row r="20" spans="1:12" ht="15.5" x14ac:dyDescent="0.35">
      <c r="A20" s="182">
        <f t="shared" si="0"/>
        <v>7</v>
      </c>
      <c r="B20" s="894"/>
      <c r="C20" s="190"/>
      <c r="D20" s="809"/>
      <c r="E20" s="1563">
        <f t="shared" si="1"/>
        <v>7</v>
      </c>
    </row>
    <row r="21" spans="1:12" ht="15.5" x14ac:dyDescent="0.35">
      <c r="A21" s="182"/>
      <c r="B21" s="79"/>
      <c r="C21" s="895"/>
      <c r="D21" s="79"/>
      <c r="E21" s="1563"/>
    </row>
    <row r="22" spans="1:12" ht="15.5" x14ac:dyDescent="0.35">
      <c r="A22" s="182"/>
      <c r="B22" s="79"/>
      <c r="C22" s="79"/>
      <c r="D22" s="79"/>
    </row>
    <row r="23" spans="1:12" ht="15.5" x14ac:dyDescent="0.35">
      <c r="B23" s="79"/>
      <c r="C23" s="79"/>
      <c r="D23" s="79"/>
      <c r="L23" s="90"/>
    </row>
    <row r="24" spans="1:12" ht="15.5" x14ac:dyDescent="0.35">
      <c r="B24" s="79"/>
      <c r="C24" s="79"/>
      <c r="D24" s="79"/>
    </row>
    <row r="25" spans="1:12" ht="15.5" x14ac:dyDescent="0.35">
      <c r="B25" s="79"/>
      <c r="C25" s="79"/>
      <c r="D25" s="79"/>
    </row>
    <row r="26" spans="1:12" ht="15.5" x14ac:dyDescent="0.35">
      <c r="B26" s="79"/>
      <c r="C26" s="79"/>
      <c r="D26" s="79"/>
    </row>
    <row r="27" spans="1:12" ht="15.5" x14ac:dyDescent="0.35">
      <c r="B27" s="79"/>
      <c r="C27" s="79"/>
      <c r="D27" s="79"/>
    </row>
    <row r="28" spans="1:12" ht="15.5" x14ac:dyDescent="0.35">
      <c r="B28" s="79"/>
      <c r="C28" s="79"/>
      <c r="D28" s="79"/>
    </row>
    <row r="29" spans="1:12" ht="15.5" x14ac:dyDescent="0.35">
      <c r="B29" s="79"/>
      <c r="C29" s="79"/>
      <c r="D29" s="79"/>
    </row>
    <row r="30" spans="1:12" ht="15.5" x14ac:dyDescent="0.35">
      <c r="B30" s="79"/>
      <c r="C30" s="79"/>
      <c r="D30" s="79"/>
    </row>
    <row r="31" spans="1:12" ht="15.5" x14ac:dyDescent="0.35">
      <c r="B31" s="79"/>
      <c r="C31" s="79"/>
      <c r="D31" s="79"/>
    </row>
    <row r="32" spans="1:12" ht="15.5" x14ac:dyDescent="0.35">
      <c r="B32" s="79"/>
      <c r="C32" s="79"/>
      <c r="D32" s="79"/>
    </row>
    <row r="33" spans="1:5" ht="15.5" x14ac:dyDescent="0.35">
      <c r="B33" s="79"/>
      <c r="C33" s="79"/>
      <c r="D33" s="79"/>
    </row>
    <row r="34" spans="1:5" ht="15.5" x14ac:dyDescent="0.35">
      <c r="B34" s="79"/>
      <c r="C34" s="79"/>
      <c r="D34" s="79"/>
    </row>
    <row r="35" spans="1:5" s="79" customFormat="1" ht="15.5" x14ac:dyDescent="0.35">
      <c r="A35" s="182"/>
      <c r="E35" s="1563"/>
    </row>
    <row r="36" spans="1:5" s="79" customFormat="1" ht="15.5" x14ac:dyDescent="0.35">
      <c r="A36" s="182"/>
      <c r="E36" s="1563"/>
    </row>
    <row r="37" spans="1:5" s="79" customFormat="1" ht="15.5" x14ac:dyDescent="0.35">
      <c r="A37" s="182"/>
      <c r="E37" s="1563"/>
    </row>
    <row r="38" spans="1:5" s="79" customFormat="1" ht="15.5" x14ac:dyDescent="0.35">
      <c r="A38" s="182"/>
      <c r="E38" s="1563"/>
    </row>
    <row r="39" spans="1:5" s="79" customFormat="1" ht="15.5" x14ac:dyDescent="0.35">
      <c r="A39" s="182"/>
      <c r="E39" s="1563"/>
    </row>
    <row r="40" spans="1:5" s="79" customFormat="1" ht="15.5" x14ac:dyDescent="0.35">
      <c r="A40" s="182"/>
      <c r="E40" s="1563"/>
    </row>
    <row r="41" spans="1:5" s="79" customFormat="1" ht="15.5" x14ac:dyDescent="0.35">
      <c r="A41" s="182"/>
      <c r="E41"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7"/>
  <sheetViews>
    <sheetView zoomScale="80" zoomScaleNormal="80" workbookViewId="0"/>
  </sheetViews>
  <sheetFormatPr defaultColWidth="9.08984375" defaultRowHeight="15" x14ac:dyDescent="0.35"/>
  <cols>
    <col min="1" max="1" width="5.08984375" style="728" customWidth="1"/>
    <col min="2" max="2" width="8.54296875" style="88" customWidth="1"/>
    <col min="3" max="3" width="41.08984375" style="88" customWidth="1"/>
    <col min="4" max="4" width="18.54296875" style="88" customWidth="1"/>
    <col min="5" max="5" width="62.54296875" style="88" customWidth="1"/>
    <col min="6" max="6" width="5.08984375" style="1561" customWidth="1"/>
    <col min="7" max="7" width="24" style="88" customWidth="1"/>
    <col min="8" max="8" width="11" style="88" customWidth="1"/>
    <col min="9" max="9" width="7.08984375" style="88" customWidth="1"/>
    <col min="10" max="10" width="9.08984375" style="88" customWidth="1"/>
    <col min="11" max="11" width="14" style="88" customWidth="1"/>
    <col min="12" max="12" width="13.453125" style="88" customWidth="1"/>
    <col min="13" max="16384" width="9.08984375" style="88"/>
  </cols>
  <sheetData>
    <row r="2" spans="1:6" x14ac:dyDescent="0.35">
      <c r="B2" s="2289" t="s">
        <v>18</v>
      </c>
      <c r="C2" s="2289"/>
      <c r="D2" s="2289"/>
      <c r="E2" s="2289"/>
    </row>
    <row r="3" spans="1:6" x14ac:dyDescent="0.35">
      <c r="B3" s="2289" t="s">
        <v>112</v>
      </c>
      <c r="C3" s="2289"/>
      <c r="D3" s="2289"/>
      <c r="E3" s="2289"/>
    </row>
    <row r="4" spans="1:6" x14ac:dyDescent="0.35">
      <c r="B4" s="2289" t="s">
        <v>111</v>
      </c>
      <c r="C4" s="2289"/>
      <c r="D4" s="2289"/>
      <c r="E4" s="2289"/>
    </row>
    <row r="5" spans="1:6" x14ac:dyDescent="0.35">
      <c r="B5" s="2289" t="s">
        <v>1590</v>
      </c>
      <c r="C5" s="2289"/>
      <c r="D5" s="2289"/>
      <c r="E5" s="2289"/>
    </row>
    <row r="6" spans="1:6" x14ac:dyDescent="0.35">
      <c r="B6" s="2292" t="s">
        <v>2</v>
      </c>
      <c r="C6" s="2292"/>
      <c r="D6" s="2292"/>
      <c r="E6" s="2292"/>
    </row>
    <row r="7" spans="1:6" x14ac:dyDescent="0.35">
      <c r="B7" s="752"/>
      <c r="C7" s="752"/>
      <c r="D7" s="752"/>
      <c r="E7" s="752"/>
    </row>
    <row r="8" spans="1:6" x14ac:dyDescent="0.35">
      <c r="B8" s="2289" t="s">
        <v>100</v>
      </c>
      <c r="C8" s="2289"/>
      <c r="D8" s="2289"/>
      <c r="E8" s="2289"/>
    </row>
    <row r="9" spans="1:6" ht="15.5" x14ac:dyDescent="0.35">
      <c r="A9" s="182"/>
      <c r="F9" s="1563"/>
    </row>
    <row r="10" spans="1:6" ht="15.5" x14ac:dyDescent="0.35">
      <c r="A10" s="182" t="s">
        <v>3</v>
      </c>
      <c r="B10" s="899"/>
      <c r="C10" s="899"/>
      <c r="D10" s="900"/>
      <c r="E10" s="901"/>
      <c r="F10" s="1563" t="s">
        <v>3</v>
      </c>
    </row>
    <row r="11" spans="1:6" ht="15.5" x14ac:dyDescent="0.35">
      <c r="A11" s="182" t="s">
        <v>25</v>
      </c>
      <c r="B11" s="902" t="s">
        <v>23</v>
      </c>
      <c r="C11" s="902" t="s">
        <v>74</v>
      </c>
      <c r="D11" s="902" t="s">
        <v>135</v>
      </c>
      <c r="E11" s="1105" t="s">
        <v>9</v>
      </c>
      <c r="F11" s="1563" t="s">
        <v>25</v>
      </c>
    </row>
    <row r="12" spans="1:6" ht="15.5" x14ac:dyDescent="0.35">
      <c r="A12" s="345"/>
      <c r="B12" s="903"/>
      <c r="C12" s="903"/>
      <c r="D12" s="903"/>
      <c r="E12" s="904"/>
      <c r="F12" s="345"/>
    </row>
    <row r="13" spans="1:6" ht="15.5" x14ac:dyDescent="0.35">
      <c r="A13" s="182">
        <v>1</v>
      </c>
      <c r="B13" s="1745" t="str">
        <f>'AE-3'!B14</f>
        <v>Dec-20</v>
      </c>
      <c r="C13" s="905" t="s">
        <v>821</v>
      </c>
      <c r="D13" s="930">
        <v>837694.50899999996</v>
      </c>
      <c r="E13" s="656" t="s">
        <v>1598</v>
      </c>
      <c r="F13" s="1563">
        <f>A13</f>
        <v>1</v>
      </c>
    </row>
    <row r="14" spans="1:6" ht="15.5" x14ac:dyDescent="0.35">
      <c r="A14" s="182">
        <f>A13+1</f>
        <v>2</v>
      </c>
      <c r="B14" s="905"/>
      <c r="C14" s="905" t="s">
        <v>822</v>
      </c>
      <c r="D14" s="655">
        <v>0.73219999999999996</v>
      </c>
      <c r="E14" s="906" t="s">
        <v>1595</v>
      </c>
      <c r="F14" s="1563">
        <f>F13+1</f>
        <v>2</v>
      </c>
    </row>
    <row r="15" spans="1:6" ht="15.5" x14ac:dyDescent="0.35">
      <c r="A15" s="182">
        <f t="shared" ref="A15:A23" si="0">A14+1</f>
        <v>3</v>
      </c>
      <c r="B15" s="905"/>
      <c r="C15" s="905" t="s">
        <v>511</v>
      </c>
      <c r="D15" s="657">
        <f>D13*D14</f>
        <v>613359.91948979988</v>
      </c>
      <c r="E15" s="823" t="s">
        <v>1149</v>
      </c>
      <c r="F15" s="1563">
        <f t="shared" ref="F15:F22" si="1">F14+1</f>
        <v>3</v>
      </c>
    </row>
    <row r="16" spans="1:6" ht="15.5" x14ac:dyDescent="0.35">
      <c r="A16" s="182">
        <f t="shared" si="0"/>
        <v>4</v>
      </c>
      <c r="B16" s="905"/>
      <c r="C16" s="905"/>
      <c r="D16" s="657"/>
      <c r="E16" s="823"/>
      <c r="F16" s="1563">
        <f t="shared" si="1"/>
        <v>4</v>
      </c>
    </row>
    <row r="17" spans="1:6" ht="15.5" x14ac:dyDescent="0.35">
      <c r="A17" s="182">
        <f t="shared" si="0"/>
        <v>5</v>
      </c>
      <c r="B17" s="1745" t="str">
        <f>'AE-3'!B16</f>
        <v>Dec-21</v>
      </c>
      <c r="C17" s="905" t="s">
        <v>821</v>
      </c>
      <c r="D17" s="930">
        <v>857931.94299999997</v>
      </c>
      <c r="E17" s="656" t="s">
        <v>1715</v>
      </c>
      <c r="F17" s="1563">
        <f t="shared" si="1"/>
        <v>5</v>
      </c>
    </row>
    <row r="18" spans="1:6" ht="15.5" x14ac:dyDescent="0.35">
      <c r="A18" s="182">
        <f t="shared" si="0"/>
        <v>6</v>
      </c>
      <c r="B18" s="905"/>
      <c r="C18" s="905" t="s">
        <v>822</v>
      </c>
      <c r="D18" s="655">
        <v>0.74670000000000003</v>
      </c>
      <c r="E18" s="906" t="s">
        <v>1711</v>
      </c>
      <c r="F18" s="1563">
        <f t="shared" si="1"/>
        <v>6</v>
      </c>
    </row>
    <row r="19" spans="1:6" ht="15.5" x14ac:dyDescent="0.35">
      <c r="A19" s="182">
        <f t="shared" si="0"/>
        <v>7</v>
      </c>
      <c r="B19" s="905"/>
      <c r="C19" s="905" t="s">
        <v>511</v>
      </c>
      <c r="D19" s="657">
        <f>D17*D18</f>
        <v>640617.78183810005</v>
      </c>
      <c r="E19" s="823" t="s">
        <v>1150</v>
      </c>
      <c r="F19" s="1563">
        <f t="shared" si="1"/>
        <v>7</v>
      </c>
    </row>
    <row r="20" spans="1:6" ht="15.5" x14ac:dyDescent="0.35">
      <c r="A20" s="182">
        <f t="shared" si="0"/>
        <v>8</v>
      </c>
      <c r="B20" s="907"/>
      <c r="C20" s="902"/>
      <c r="D20" s="907"/>
      <c r="E20" s="833"/>
      <c r="F20" s="1563">
        <f t="shared" si="1"/>
        <v>8</v>
      </c>
    </row>
    <row r="21" spans="1:6" ht="15.5" x14ac:dyDescent="0.35">
      <c r="A21" s="182">
        <f t="shared" si="0"/>
        <v>9</v>
      </c>
      <c r="B21" s="1555"/>
      <c r="C21" s="1454"/>
      <c r="D21" s="908"/>
      <c r="E21" s="358"/>
      <c r="F21" s="1563">
        <f t="shared" si="1"/>
        <v>9</v>
      </c>
    </row>
    <row r="22" spans="1:6" ht="15.5" x14ac:dyDescent="0.35">
      <c r="A22" s="182">
        <f t="shared" si="0"/>
        <v>10</v>
      </c>
      <c r="B22" s="908" t="s">
        <v>27</v>
      </c>
      <c r="C22" s="1454"/>
      <c r="D22" s="658">
        <f>(D15+D19)/2</f>
        <v>626988.85066394997</v>
      </c>
      <c r="E22" s="909" t="s">
        <v>1151</v>
      </c>
      <c r="F22" s="1563">
        <f t="shared" si="1"/>
        <v>10</v>
      </c>
    </row>
    <row r="23" spans="1:6" ht="15.5" x14ac:dyDescent="0.35">
      <c r="A23" s="182">
        <f t="shared" si="0"/>
        <v>11</v>
      </c>
      <c r="B23" s="1556"/>
      <c r="C23" s="1554"/>
      <c r="D23" s="910"/>
      <c r="E23" s="187"/>
      <c r="F23" s="1563">
        <f t="shared" ref="F23" si="2">F22+1</f>
        <v>11</v>
      </c>
    </row>
    <row r="24" spans="1:6" ht="15.5" x14ac:dyDescent="0.35">
      <c r="A24" s="182"/>
      <c r="B24" s="837"/>
      <c r="C24" s="837"/>
      <c r="D24" s="79"/>
      <c r="E24" s="79"/>
    </row>
    <row r="25" spans="1:6" ht="15.5" x14ac:dyDescent="0.35">
      <c r="B25" s="79"/>
      <c r="C25" s="79"/>
      <c r="D25" s="79"/>
      <c r="E25" s="79"/>
    </row>
    <row r="26" spans="1:6" ht="15.5" x14ac:dyDescent="0.35">
      <c r="B26" s="79"/>
      <c r="C26" s="79"/>
      <c r="D26" s="79"/>
      <c r="E26" s="79"/>
    </row>
    <row r="27" spans="1:6" ht="15.5" x14ac:dyDescent="0.35">
      <c r="B27" s="79"/>
      <c r="C27" s="79"/>
      <c r="D27" s="79"/>
      <c r="E27" s="79"/>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Z38"/>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793" customWidth="1"/>
    <col min="4" max="4" width="25.08984375" style="793" customWidth="1"/>
    <col min="5" max="5" width="18.54296875" style="88" customWidth="1"/>
    <col min="6" max="6" width="62.54296875" style="88"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7" x14ac:dyDescent="0.35">
      <c r="B2" s="2289" t="s">
        <v>18</v>
      </c>
      <c r="C2" s="2289"/>
      <c r="D2" s="2289"/>
      <c r="E2" s="2289"/>
      <c r="F2" s="2289"/>
    </row>
    <row r="3" spans="1:7" x14ac:dyDescent="0.35">
      <c r="B3" s="2289" t="s">
        <v>112</v>
      </c>
      <c r="C3" s="2289"/>
      <c r="D3" s="2289"/>
      <c r="E3" s="2289"/>
      <c r="F3" s="2289"/>
    </row>
    <row r="4" spans="1:7" x14ac:dyDescent="0.35">
      <c r="B4" s="2289" t="s">
        <v>122</v>
      </c>
      <c r="C4" s="2289"/>
      <c r="D4" s="2289"/>
      <c r="E4" s="2289"/>
      <c r="F4" s="2289"/>
    </row>
    <row r="5" spans="1:7" ht="15.5" x14ac:dyDescent="0.35">
      <c r="B5" s="2289" t="s">
        <v>1590</v>
      </c>
      <c r="C5" s="2289"/>
      <c r="D5" s="2289"/>
      <c r="E5" s="2289"/>
      <c r="F5" s="2289"/>
      <c r="G5" s="1563"/>
    </row>
    <row r="6" spans="1:7" ht="15.5" x14ac:dyDescent="0.35">
      <c r="B6" s="2292" t="s">
        <v>2</v>
      </c>
      <c r="C6" s="2292"/>
      <c r="D6" s="2292"/>
      <c r="E6" s="2292"/>
      <c r="F6" s="2292"/>
      <c r="G6" s="1563"/>
    </row>
    <row r="7" spans="1:7" ht="15.5" x14ac:dyDescent="0.35">
      <c r="B7" s="931"/>
      <c r="C7" s="753"/>
      <c r="D7" s="753"/>
      <c r="E7" s="752"/>
      <c r="F7" s="752"/>
      <c r="G7" s="1563"/>
    </row>
    <row r="8" spans="1:7" ht="15.5" x14ac:dyDescent="0.35">
      <c r="B8" s="2294" t="s">
        <v>96</v>
      </c>
      <c r="C8" s="2295"/>
      <c r="D8" s="2295"/>
      <c r="E8" s="2295"/>
      <c r="F8" s="2295"/>
      <c r="G8" s="1563"/>
    </row>
    <row r="9" spans="1:7" ht="15.5" x14ac:dyDescent="0.35">
      <c r="G9" s="1563"/>
    </row>
    <row r="10" spans="1:7" ht="15.5" x14ac:dyDescent="0.35">
      <c r="A10" s="182"/>
      <c r="B10" s="756"/>
      <c r="C10" s="757" t="s">
        <v>121</v>
      </c>
      <c r="D10" s="798"/>
      <c r="E10" s="757" t="s">
        <v>97</v>
      </c>
      <c r="F10" s="798"/>
      <c r="G10" s="1563"/>
    </row>
    <row r="11" spans="1:7" ht="15.5" x14ac:dyDescent="0.35">
      <c r="A11" s="182"/>
      <c r="B11" s="759"/>
      <c r="C11" s="595" t="s">
        <v>61</v>
      </c>
      <c r="D11" s="799"/>
      <c r="E11" s="765" t="s">
        <v>60</v>
      </c>
      <c r="F11" s="799"/>
      <c r="G11" s="1563"/>
    </row>
    <row r="12" spans="1:7" ht="15.5" x14ac:dyDescent="0.35">
      <c r="A12" s="182" t="s">
        <v>3</v>
      </c>
      <c r="B12" s="764"/>
      <c r="C12" s="595" t="s">
        <v>110</v>
      </c>
      <c r="D12" s="799"/>
      <c r="E12" s="765" t="s">
        <v>110</v>
      </c>
      <c r="F12" s="799"/>
      <c r="G12" s="1563" t="s">
        <v>3</v>
      </c>
    </row>
    <row r="13" spans="1:7" ht="15.5" x14ac:dyDescent="0.35">
      <c r="A13" s="182" t="s">
        <v>25</v>
      </c>
      <c r="B13" s="766" t="s">
        <v>23</v>
      </c>
      <c r="C13" s="767" t="s">
        <v>36</v>
      </c>
      <c r="D13" s="766" t="s">
        <v>9</v>
      </c>
      <c r="E13" s="769" t="s">
        <v>35</v>
      </c>
      <c r="F13" s="766" t="s">
        <v>9</v>
      </c>
      <c r="G13" s="1563" t="s">
        <v>25</v>
      </c>
    </row>
    <row r="14" spans="1:7" ht="15.5" x14ac:dyDescent="0.35">
      <c r="A14" s="182">
        <v>1</v>
      </c>
      <c r="B14" s="1747" t="str">
        <f>'AE-1'!B14</f>
        <v>Dec-20</v>
      </c>
      <c r="C14" s="151">
        <v>0</v>
      </c>
      <c r="D14" s="1234" t="s">
        <v>647</v>
      </c>
      <c r="E14" s="151">
        <v>0</v>
      </c>
      <c r="F14" s="1234" t="s">
        <v>647</v>
      </c>
      <c r="G14" s="1563">
        <f>A14</f>
        <v>1</v>
      </c>
    </row>
    <row r="15" spans="1:7" ht="15.5" x14ac:dyDescent="0.35">
      <c r="A15" s="182">
        <f>A14+1</f>
        <v>2</v>
      </c>
      <c r="B15" s="1747" t="str">
        <f>'AE-1'!B15</f>
        <v>Jan-21</v>
      </c>
      <c r="C15" s="152">
        <v>0</v>
      </c>
      <c r="D15" s="823"/>
      <c r="E15" s="152">
        <v>0</v>
      </c>
      <c r="F15" s="823"/>
      <c r="G15" s="1563">
        <f>G14+1</f>
        <v>2</v>
      </c>
    </row>
    <row r="16" spans="1:7" ht="15.5" x14ac:dyDescent="0.35">
      <c r="A16" s="182">
        <f t="shared" ref="A16:A32" si="0">A15+1</f>
        <v>3</v>
      </c>
      <c r="B16" s="959" t="s">
        <v>37</v>
      </c>
      <c r="C16" s="152">
        <v>0</v>
      </c>
      <c r="D16" s="823"/>
      <c r="E16" s="152">
        <v>0</v>
      </c>
      <c r="F16" s="823"/>
      <c r="G16" s="1563">
        <f t="shared" ref="G16:G32" si="1">G15+1</f>
        <v>3</v>
      </c>
    </row>
    <row r="17" spans="1:26" ht="15.5" x14ac:dyDescent="0.35">
      <c r="A17" s="182">
        <f t="shared" si="0"/>
        <v>4</v>
      </c>
      <c r="B17" s="959" t="s">
        <v>38</v>
      </c>
      <c r="C17" s="152">
        <v>0</v>
      </c>
      <c r="D17" s="823"/>
      <c r="E17" s="184">
        <v>0</v>
      </c>
      <c r="F17" s="823"/>
      <c r="G17" s="1563">
        <f t="shared" si="1"/>
        <v>4</v>
      </c>
    </row>
    <row r="18" spans="1:26" ht="15.5" x14ac:dyDescent="0.35">
      <c r="A18" s="182">
        <f t="shared" si="0"/>
        <v>5</v>
      </c>
      <c r="B18" s="959" t="s">
        <v>39</v>
      </c>
      <c r="C18" s="152">
        <v>0</v>
      </c>
      <c r="D18" s="823"/>
      <c r="E18" s="184">
        <v>0</v>
      </c>
      <c r="F18" s="823"/>
      <c r="G18" s="1563">
        <f t="shared" si="1"/>
        <v>5</v>
      </c>
    </row>
    <row r="19" spans="1:26" ht="15.5" x14ac:dyDescent="0.35">
      <c r="A19" s="182">
        <f t="shared" si="0"/>
        <v>6</v>
      </c>
      <c r="B19" s="959" t="s">
        <v>40</v>
      </c>
      <c r="C19" s="152">
        <v>0</v>
      </c>
      <c r="D19" s="823"/>
      <c r="E19" s="184">
        <v>0</v>
      </c>
      <c r="F19" s="823"/>
      <c r="G19" s="1563">
        <f t="shared" si="1"/>
        <v>6</v>
      </c>
    </row>
    <row r="20" spans="1:26" ht="15.5" x14ac:dyDescent="0.35">
      <c r="A20" s="182">
        <f>A19+1</f>
        <v>7</v>
      </c>
      <c r="B20" s="959" t="s">
        <v>41</v>
      </c>
      <c r="C20" s="152">
        <v>0</v>
      </c>
      <c r="D20" s="823"/>
      <c r="E20" s="184">
        <v>0</v>
      </c>
      <c r="F20" s="823"/>
      <c r="G20" s="1563">
        <f>G19+1</f>
        <v>7</v>
      </c>
    </row>
    <row r="21" spans="1:26" ht="15.5" x14ac:dyDescent="0.35">
      <c r="A21" s="182">
        <f t="shared" si="0"/>
        <v>8</v>
      </c>
      <c r="B21" s="959" t="s">
        <v>42</v>
      </c>
      <c r="C21" s="152">
        <v>0</v>
      </c>
      <c r="D21" s="823"/>
      <c r="E21" s="184">
        <v>0</v>
      </c>
      <c r="F21" s="823"/>
      <c r="G21" s="1563">
        <f t="shared" si="1"/>
        <v>8</v>
      </c>
    </row>
    <row r="22" spans="1:26" ht="15.5" x14ac:dyDescent="0.35">
      <c r="A22" s="182">
        <f t="shared" si="0"/>
        <v>9</v>
      </c>
      <c r="B22" s="959" t="s">
        <v>43</v>
      </c>
      <c r="C22" s="152">
        <v>0</v>
      </c>
      <c r="D22" s="823"/>
      <c r="E22" s="184">
        <v>0</v>
      </c>
      <c r="F22" s="823"/>
      <c r="G22" s="1563">
        <f t="shared" si="1"/>
        <v>9</v>
      </c>
      <c r="N22" s="109"/>
      <c r="O22" s="109"/>
      <c r="P22" s="109"/>
      <c r="Q22" s="109"/>
      <c r="R22" s="109"/>
      <c r="S22" s="109"/>
      <c r="T22" s="109"/>
      <c r="U22" s="109"/>
      <c r="V22" s="109"/>
      <c r="W22" s="109"/>
      <c r="X22" s="109"/>
      <c r="Y22" s="109"/>
      <c r="Z22" s="109"/>
    </row>
    <row r="23" spans="1:26" ht="15.5" x14ac:dyDescent="0.35">
      <c r="A23" s="182">
        <f t="shared" si="0"/>
        <v>10</v>
      </c>
      <c r="B23" s="959" t="s">
        <v>44</v>
      </c>
      <c r="C23" s="152">
        <v>0</v>
      </c>
      <c r="D23" s="823"/>
      <c r="E23" s="184">
        <v>0</v>
      </c>
      <c r="F23" s="823"/>
      <c r="G23" s="1563">
        <f t="shared" si="1"/>
        <v>10</v>
      </c>
    </row>
    <row r="24" spans="1:26" ht="15.5" x14ac:dyDescent="0.35">
      <c r="A24" s="182">
        <f t="shared" si="0"/>
        <v>11</v>
      </c>
      <c r="B24" s="959" t="s">
        <v>45</v>
      </c>
      <c r="C24" s="152">
        <v>0</v>
      </c>
      <c r="D24" s="823"/>
      <c r="E24" s="184">
        <v>0</v>
      </c>
      <c r="F24" s="823"/>
      <c r="G24" s="1563">
        <f t="shared" si="1"/>
        <v>11</v>
      </c>
    </row>
    <row r="25" spans="1:26" ht="15.5" x14ac:dyDescent="0.35">
      <c r="A25" s="182">
        <f t="shared" si="0"/>
        <v>12</v>
      </c>
      <c r="B25" s="959" t="s">
        <v>46</v>
      </c>
      <c r="C25" s="152">
        <v>0</v>
      </c>
      <c r="D25" s="823"/>
      <c r="E25" s="184">
        <v>0</v>
      </c>
      <c r="F25" s="823"/>
      <c r="G25" s="1563">
        <f t="shared" si="1"/>
        <v>12</v>
      </c>
    </row>
    <row r="26" spans="1:26" ht="15.5" x14ac:dyDescent="0.35">
      <c r="A26" s="182">
        <f t="shared" si="0"/>
        <v>13</v>
      </c>
      <c r="B26" s="1748" t="str">
        <f>'AE-1'!B26</f>
        <v>Dec-21</v>
      </c>
      <c r="C26" s="154">
        <v>0</v>
      </c>
      <c r="D26" s="1600" t="s">
        <v>647</v>
      </c>
      <c r="E26" s="154">
        <v>0</v>
      </c>
      <c r="F26" s="1234" t="s">
        <v>647</v>
      </c>
      <c r="G26" s="1563">
        <f t="shared" si="1"/>
        <v>13</v>
      </c>
    </row>
    <row r="27" spans="1:26" ht="15.5" x14ac:dyDescent="0.35">
      <c r="A27" s="182">
        <f t="shared" si="0"/>
        <v>14</v>
      </c>
      <c r="B27" s="776"/>
      <c r="C27" s="155"/>
      <c r="D27" s="916"/>
      <c r="E27" s="157"/>
      <c r="F27" s="1182"/>
      <c r="G27" s="1563">
        <f t="shared" si="1"/>
        <v>14</v>
      </c>
    </row>
    <row r="28" spans="1:26" ht="15.5" x14ac:dyDescent="0.35">
      <c r="A28" s="182">
        <f t="shared" si="0"/>
        <v>15</v>
      </c>
      <c r="B28" s="776" t="s">
        <v>47</v>
      </c>
      <c r="C28" s="156">
        <f>SUM(C14:C26)</f>
        <v>0</v>
      </c>
      <c r="D28" s="1234" t="s">
        <v>1146</v>
      </c>
      <c r="E28" s="156">
        <f>SUM(E14:E26)</f>
        <v>0</v>
      </c>
      <c r="F28" s="1234" t="s">
        <v>1146</v>
      </c>
      <c r="G28" s="1563">
        <f t="shared" si="1"/>
        <v>15</v>
      </c>
    </row>
    <row r="29" spans="1:26" ht="15.5" x14ac:dyDescent="0.35">
      <c r="A29" s="182">
        <f t="shared" si="0"/>
        <v>16</v>
      </c>
      <c r="B29" s="781"/>
      <c r="C29" s="158"/>
      <c r="D29" s="230"/>
      <c r="E29" s="158"/>
      <c r="F29" s="230"/>
      <c r="G29" s="1563">
        <f t="shared" si="1"/>
        <v>16</v>
      </c>
    </row>
    <row r="30" spans="1:26" ht="15.5" x14ac:dyDescent="0.35">
      <c r="A30" s="182">
        <f t="shared" si="0"/>
        <v>17</v>
      </c>
      <c r="B30" s="776"/>
      <c r="C30" s="219"/>
      <c r="D30" s="918"/>
      <c r="E30" s="219"/>
      <c r="F30" s="917"/>
      <c r="G30" s="1563">
        <f t="shared" si="1"/>
        <v>17</v>
      </c>
    </row>
    <row r="31" spans="1:26" ht="15.5" x14ac:dyDescent="0.35">
      <c r="A31" s="182">
        <f t="shared" si="0"/>
        <v>18</v>
      </c>
      <c r="B31" s="776" t="s">
        <v>48</v>
      </c>
      <c r="C31" s="156">
        <f>C28/13</f>
        <v>0</v>
      </c>
      <c r="D31" s="1601" t="s">
        <v>1148</v>
      </c>
      <c r="E31" s="156">
        <f>E28/13</f>
        <v>0</v>
      </c>
      <c r="F31" s="1601" t="s">
        <v>1148</v>
      </c>
      <c r="G31" s="1563">
        <f t="shared" si="1"/>
        <v>18</v>
      </c>
    </row>
    <row r="32" spans="1:26" ht="15.5" x14ac:dyDescent="0.35">
      <c r="A32" s="182">
        <f t="shared" si="0"/>
        <v>19</v>
      </c>
      <c r="B32" s="781"/>
      <c r="C32" s="786"/>
      <c r="D32" s="836"/>
      <c r="E32" s="786"/>
      <c r="F32" s="836"/>
      <c r="G32" s="1563">
        <f t="shared" si="1"/>
        <v>19</v>
      </c>
    </row>
    <row r="33" spans="1:7" ht="15.5" x14ac:dyDescent="0.35">
      <c r="A33" s="182"/>
      <c r="B33" s="79"/>
      <c r="C33" s="79"/>
      <c r="D33" s="81"/>
      <c r="E33" s="79"/>
      <c r="F33" s="79"/>
      <c r="G33" s="1563"/>
    </row>
    <row r="34" spans="1:7" ht="15.5" x14ac:dyDescent="0.35">
      <c r="A34" s="182"/>
      <c r="B34" s="837"/>
      <c r="C34" s="79"/>
      <c r="D34" s="79"/>
      <c r="E34" s="830"/>
      <c r="F34" s="79"/>
      <c r="G34" s="1563"/>
    </row>
    <row r="35" spans="1:7" ht="15.5" x14ac:dyDescent="0.35">
      <c r="A35" s="182"/>
      <c r="B35" s="837"/>
      <c r="C35" s="79"/>
      <c r="D35" s="79"/>
      <c r="E35" s="79"/>
      <c r="F35" s="79"/>
      <c r="G35" s="1563"/>
    </row>
    <row r="36" spans="1:7" ht="15.5" x14ac:dyDescent="0.35">
      <c r="A36" s="182"/>
      <c r="B36" s="79"/>
      <c r="C36" s="79"/>
      <c r="D36" s="79"/>
      <c r="E36" s="79"/>
      <c r="F36" s="79"/>
      <c r="G36" s="1563"/>
    </row>
    <row r="37" spans="1:7" ht="15.5" x14ac:dyDescent="0.35">
      <c r="B37" s="79"/>
      <c r="C37" s="79"/>
      <c r="D37" s="79"/>
      <c r="E37" s="79"/>
      <c r="F37" s="79"/>
      <c r="G37" s="1563"/>
    </row>
    <row r="38" spans="1:7" ht="15.5" x14ac:dyDescent="0.35">
      <c r="B38" s="79"/>
      <c r="C38" s="79"/>
      <c r="D38" s="79"/>
      <c r="E38" s="79"/>
      <c r="F38" s="79"/>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7"/>
  <sheetViews>
    <sheetView zoomScale="80" zoomScaleNormal="80" workbookViewId="0"/>
  </sheetViews>
  <sheetFormatPr defaultColWidth="9.08984375" defaultRowHeight="15.5" x14ac:dyDescent="0.35"/>
  <cols>
    <col min="1" max="1" width="5.08984375" style="234" customWidth="1"/>
    <col min="2" max="2" width="56" style="220" customWidth="1"/>
    <col min="3" max="3" width="33" style="220" bestFit="1" customWidth="1"/>
    <col min="4" max="4" width="1.54296875" style="220" customWidth="1"/>
    <col min="5" max="5" width="16.90625" style="220" customWidth="1"/>
    <col min="6" max="6" width="1.54296875" style="220" customWidth="1"/>
    <col min="7" max="7" width="16.90625" style="220" customWidth="1"/>
    <col min="8" max="8" width="1.54296875" style="220" customWidth="1"/>
    <col min="9" max="9" width="16.90625" style="220" customWidth="1"/>
    <col min="10" max="10" width="1.54296875" style="220" customWidth="1"/>
    <col min="11" max="11" width="40.08984375" style="220" customWidth="1"/>
    <col min="12" max="12" width="5.08984375" style="220" customWidth="1"/>
    <col min="13" max="13" width="9.08984375" style="220"/>
    <col min="14" max="14" width="20.453125" style="220" bestFit="1" customWidth="1"/>
    <col min="15" max="16384" width="9.08984375" style="220"/>
  </cols>
  <sheetData>
    <row r="1" spans="1:14" x14ac:dyDescent="0.35">
      <c r="A1" s="236"/>
      <c r="H1" s="234"/>
      <c r="I1" s="234"/>
      <c r="J1" s="234"/>
      <c r="K1" s="234"/>
      <c r="L1" s="236"/>
    </row>
    <row r="2" spans="1:14" x14ac:dyDescent="0.35">
      <c r="A2" s="236"/>
      <c r="B2" s="2288" t="s">
        <v>18</v>
      </c>
      <c r="C2" s="2288"/>
      <c r="D2" s="2288"/>
      <c r="E2" s="2288"/>
      <c r="F2" s="2288"/>
      <c r="G2" s="2288"/>
      <c r="H2" s="2289"/>
      <c r="I2" s="2289"/>
      <c r="J2" s="2289"/>
      <c r="K2" s="2289"/>
      <c r="L2" s="236"/>
    </row>
    <row r="3" spans="1:14" x14ac:dyDescent="0.35">
      <c r="A3" s="236"/>
      <c r="B3" s="2288" t="s">
        <v>1324</v>
      </c>
      <c r="C3" s="2288"/>
      <c r="D3" s="2288"/>
      <c r="E3" s="2288"/>
      <c r="F3" s="2288"/>
      <c r="G3" s="2288"/>
      <c r="H3" s="2289"/>
      <c r="I3" s="2289"/>
      <c r="J3" s="2289"/>
      <c r="K3" s="2289"/>
      <c r="L3" s="236"/>
    </row>
    <row r="4" spans="1:14" x14ac:dyDescent="0.35">
      <c r="A4" s="236"/>
      <c r="B4" s="2288" t="s">
        <v>123</v>
      </c>
      <c r="C4" s="2288"/>
      <c r="D4" s="2288"/>
      <c r="E4" s="2288"/>
      <c r="F4" s="2288"/>
      <c r="G4" s="2288"/>
      <c r="H4" s="2289"/>
      <c r="I4" s="2289"/>
      <c r="J4" s="2289"/>
      <c r="K4" s="2289"/>
      <c r="L4" s="236"/>
    </row>
    <row r="5" spans="1:14" x14ac:dyDescent="0.35">
      <c r="A5" s="236"/>
      <c r="B5" s="2293" t="str">
        <f>'Stmt AD'!B5</f>
        <v>Base Period &amp; True-Up Period 12 - Months Ending December 31, 2021</v>
      </c>
      <c r="C5" s="2293"/>
      <c r="D5" s="2293"/>
      <c r="E5" s="2293"/>
      <c r="F5" s="2293"/>
      <c r="G5" s="2293"/>
      <c r="H5" s="2293"/>
      <c r="I5" s="2293"/>
      <c r="J5" s="2293"/>
      <c r="K5" s="2293"/>
      <c r="L5" s="236"/>
    </row>
    <row r="6" spans="1:14" x14ac:dyDescent="0.35">
      <c r="A6" s="236"/>
      <c r="B6" s="2291" t="s">
        <v>2</v>
      </c>
      <c r="C6" s="2278"/>
      <c r="D6" s="2278"/>
      <c r="E6" s="2278"/>
      <c r="F6" s="2278"/>
      <c r="G6" s="2278"/>
      <c r="H6" s="2278"/>
      <c r="I6" s="2278"/>
      <c r="J6" s="2278"/>
      <c r="K6" s="2278"/>
      <c r="L6" s="236"/>
    </row>
    <row r="7" spans="1:14" x14ac:dyDescent="0.35">
      <c r="A7" s="236"/>
      <c r="B7" s="236"/>
      <c r="C7" s="236"/>
      <c r="D7" s="236"/>
      <c r="E7" s="236"/>
      <c r="F7" s="236"/>
      <c r="G7" s="236"/>
      <c r="H7" s="234"/>
      <c r="I7" s="234"/>
      <c r="J7" s="234"/>
      <c r="K7" s="234"/>
      <c r="L7" s="236"/>
    </row>
    <row r="8" spans="1:14" x14ac:dyDescent="0.35">
      <c r="A8" s="236" t="s">
        <v>3</v>
      </c>
      <c r="B8" s="932"/>
      <c r="C8" s="236" t="s">
        <v>648</v>
      </c>
      <c r="D8" s="932"/>
      <c r="E8" s="933" t="s">
        <v>4</v>
      </c>
      <c r="F8" s="236"/>
      <c r="G8" s="933" t="s">
        <v>5</v>
      </c>
      <c r="H8" s="234"/>
      <c r="I8" s="933" t="s">
        <v>6</v>
      </c>
      <c r="J8" s="234"/>
      <c r="K8" s="234"/>
      <c r="L8" s="236" t="s">
        <v>3</v>
      </c>
    </row>
    <row r="9" spans="1:14" x14ac:dyDescent="0.35">
      <c r="A9" s="934" t="s">
        <v>25</v>
      </c>
      <c r="C9" s="732" t="s">
        <v>646</v>
      </c>
      <c r="E9" s="913">
        <f>'Stmt AD'!E9</f>
        <v>44196</v>
      </c>
      <c r="F9" s="729"/>
      <c r="G9" s="913">
        <f>'Stmt AD'!G9</f>
        <v>44561</v>
      </c>
      <c r="H9" s="932"/>
      <c r="I9" s="935" t="s">
        <v>8</v>
      </c>
      <c r="J9" s="932"/>
      <c r="K9" s="415" t="s">
        <v>9</v>
      </c>
      <c r="L9" s="934" t="s">
        <v>25</v>
      </c>
    </row>
    <row r="10" spans="1:14" x14ac:dyDescent="0.35">
      <c r="A10" s="934"/>
      <c r="H10" s="234"/>
      <c r="I10" s="236"/>
      <c r="J10" s="234"/>
      <c r="K10" s="234"/>
      <c r="L10" s="934"/>
    </row>
    <row r="11" spans="1:14" s="936" customFormat="1" x14ac:dyDescent="0.35">
      <c r="A11" s="236">
        <v>1</v>
      </c>
      <c r="B11" s="220" t="s">
        <v>743</v>
      </c>
      <c r="C11" s="234" t="s">
        <v>1716</v>
      </c>
      <c r="D11" s="220"/>
      <c r="E11" s="232">
        <f>'AF-1'!I18</f>
        <v>166268.59046568832</v>
      </c>
      <c r="F11" s="220"/>
      <c r="G11" s="233">
        <f>'AF-2'!I18</f>
        <v>145223.09522932916</v>
      </c>
      <c r="H11" s="234"/>
      <c r="I11" s="709">
        <f>(E11+G11)/2</f>
        <v>155745.84284750873</v>
      </c>
      <c r="J11" s="234"/>
      <c r="K11" s="234" t="s">
        <v>1218</v>
      </c>
      <c r="L11" s="236">
        <f>A11</f>
        <v>1</v>
      </c>
      <c r="M11" s="220"/>
    </row>
    <row r="12" spans="1:14" s="936" customFormat="1" x14ac:dyDescent="0.35">
      <c r="A12" s="236">
        <f>A11+1</f>
        <v>2</v>
      </c>
      <c r="B12" s="220"/>
      <c r="C12" s="220"/>
      <c r="D12" s="220"/>
      <c r="E12" s="220"/>
      <c r="F12" s="220"/>
      <c r="G12" s="220"/>
      <c r="H12" s="234"/>
      <c r="I12" s="236"/>
      <c r="J12" s="234"/>
      <c r="K12" s="234"/>
      <c r="L12" s="236">
        <f>L11+1</f>
        <v>2</v>
      </c>
    </row>
    <row r="13" spans="1:14" s="936" customFormat="1" x14ac:dyDescent="0.35">
      <c r="A13" s="236">
        <f>A12+1</f>
        <v>3</v>
      </c>
      <c r="B13" s="220" t="s">
        <v>925</v>
      </c>
      <c r="C13" s="234" t="s">
        <v>1717</v>
      </c>
      <c r="D13" s="220"/>
      <c r="E13" s="237">
        <f>'AF-1'!I25</f>
        <v>-1130041.0265579722</v>
      </c>
      <c r="F13" s="220"/>
      <c r="G13" s="237">
        <f>'AF-2'!I25</f>
        <v>-1154578.0718086569</v>
      </c>
      <c r="H13" s="234"/>
      <c r="I13" s="238">
        <f>(E13+G13)/2</f>
        <v>-1142309.5491833147</v>
      </c>
      <c r="J13" s="234"/>
      <c r="K13" s="234" t="s">
        <v>1219</v>
      </c>
      <c r="L13" s="236">
        <f>L12+1</f>
        <v>3</v>
      </c>
      <c r="M13" s="220"/>
    </row>
    <row r="14" spans="1:14" s="936" customFormat="1" x14ac:dyDescent="0.35">
      <c r="A14" s="236">
        <f t="shared" ref="A14:A15" si="0">A13+1</f>
        <v>4</v>
      </c>
      <c r="B14" s="220"/>
      <c r="C14" s="220"/>
      <c r="D14" s="220"/>
      <c r="E14" s="220"/>
      <c r="F14" s="220"/>
      <c r="G14" s="220"/>
      <c r="H14" s="234"/>
      <c r="I14" s="236"/>
      <c r="J14" s="234"/>
      <c r="K14" s="234"/>
      <c r="L14" s="236">
        <f t="shared" ref="L14:L20" si="1">L13+1</f>
        <v>4</v>
      </c>
      <c r="M14" s="220"/>
    </row>
    <row r="15" spans="1:14" s="936" customFormat="1" x14ac:dyDescent="0.35">
      <c r="A15" s="236">
        <f t="shared" si="0"/>
        <v>5</v>
      </c>
      <c r="B15" s="220" t="s">
        <v>652</v>
      </c>
      <c r="C15" s="234" t="s">
        <v>1718</v>
      </c>
      <c r="D15" s="220"/>
      <c r="E15" s="239">
        <f>'AF-1'!I33</f>
        <v>-7906.4293200000075</v>
      </c>
      <c r="F15" s="220"/>
      <c r="G15" s="240">
        <f>'AF-2'!I33</f>
        <v>-7891.472320000008</v>
      </c>
      <c r="H15" s="234"/>
      <c r="I15" s="241">
        <f>(E15+G15)/2</f>
        <v>-7898.9508200000073</v>
      </c>
      <c r="J15" s="234"/>
      <c r="K15" s="234" t="s">
        <v>1220</v>
      </c>
      <c r="L15" s="236">
        <f t="shared" si="1"/>
        <v>5</v>
      </c>
      <c r="M15" s="220"/>
      <c r="N15" s="220"/>
    </row>
    <row r="16" spans="1:14" x14ac:dyDescent="0.35">
      <c r="A16" s="236">
        <f>A15+1</f>
        <v>6</v>
      </c>
      <c r="B16" s="227"/>
      <c r="E16" s="242"/>
      <c r="F16" s="242"/>
      <c r="G16" s="242"/>
      <c r="I16" s="242"/>
      <c r="J16" s="234"/>
      <c r="K16" s="234"/>
      <c r="L16" s="236">
        <f>L15+1</f>
        <v>6</v>
      </c>
    </row>
    <row r="17" spans="1:12" ht="18.5" thickBot="1" x14ac:dyDescent="0.4">
      <c r="A17" s="236">
        <f t="shared" ref="A17:A19" si="2">A16+1</f>
        <v>7</v>
      </c>
      <c r="B17" s="227" t="s">
        <v>1502</v>
      </c>
      <c r="C17" s="234"/>
      <c r="E17" s="99">
        <f>SUM(E11:E15)</f>
        <v>-971678.86541228381</v>
      </c>
      <c r="F17" s="243"/>
      <c r="G17" s="99">
        <f>SUM(G11:G15)</f>
        <v>-1017246.4488993278</v>
      </c>
      <c r="H17" s="243"/>
      <c r="I17" s="99">
        <f>SUM(I11:I15)</f>
        <v>-994462.65715580597</v>
      </c>
      <c r="J17" s="234"/>
      <c r="K17" s="937" t="s">
        <v>1048</v>
      </c>
      <c r="L17" s="236">
        <f t="shared" si="1"/>
        <v>7</v>
      </c>
    </row>
    <row r="18" spans="1:12" ht="16" thickTop="1" x14ac:dyDescent="0.35">
      <c r="A18" s="236">
        <f t="shared" si="2"/>
        <v>8</v>
      </c>
      <c r="J18" s="234"/>
      <c r="K18" s="938"/>
      <c r="L18" s="236">
        <f t="shared" si="1"/>
        <v>8</v>
      </c>
    </row>
    <row r="19" spans="1:12" ht="16" thickBot="1" x14ac:dyDescent="0.4">
      <c r="A19" s="236">
        <f t="shared" si="2"/>
        <v>9</v>
      </c>
      <c r="B19" s="227" t="s">
        <v>124</v>
      </c>
      <c r="E19" s="244">
        <f>'AF-3'!C11</f>
        <v>0</v>
      </c>
      <c r="F19" s="235"/>
      <c r="G19" s="244">
        <f>'AF-3'!E11</f>
        <v>0</v>
      </c>
      <c r="H19" s="242"/>
      <c r="I19" s="245">
        <f>(E19+G19)/2</f>
        <v>0</v>
      </c>
      <c r="K19" s="234" t="s">
        <v>1221</v>
      </c>
      <c r="L19" s="236">
        <f t="shared" si="1"/>
        <v>9</v>
      </c>
    </row>
    <row r="20" spans="1:12" ht="16" thickTop="1" x14ac:dyDescent="0.35">
      <c r="A20" s="236">
        <f t="shared" ref="A20:A23" si="3">A19+1</f>
        <v>10</v>
      </c>
      <c r="E20" s="246"/>
      <c r="F20" s="246"/>
      <c r="G20" s="246"/>
      <c r="H20" s="1"/>
      <c r="I20" s="1"/>
      <c r="K20" s="234"/>
      <c r="L20" s="236">
        <f t="shared" si="1"/>
        <v>10</v>
      </c>
    </row>
    <row r="21" spans="1:12" ht="16" thickBot="1" x14ac:dyDescent="0.4">
      <c r="A21" s="236">
        <f t="shared" si="3"/>
        <v>11</v>
      </c>
      <c r="B21" s="227" t="s">
        <v>125</v>
      </c>
      <c r="E21" s="244">
        <f>'AF-3'!C13</f>
        <v>0</v>
      </c>
      <c r="F21" s="247"/>
      <c r="G21" s="244">
        <f>'AF-3'!E13</f>
        <v>0</v>
      </c>
      <c r="H21" s="248"/>
      <c r="I21" s="245">
        <f>(E21+G21)/2</f>
        <v>0</v>
      </c>
      <c r="K21" s="234" t="s">
        <v>1222</v>
      </c>
      <c r="L21" s="236">
        <f t="shared" ref="L21:L23" si="4">L20+1</f>
        <v>11</v>
      </c>
    </row>
    <row r="22" spans="1:12" ht="16" thickTop="1" x14ac:dyDescent="0.35">
      <c r="A22" s="236">
        <f t="shared" si="3"/>
        <v>12</v>
      </c>
      <c r="E22" s="246"/>
      <c r="F22" s="246"/>
      <c r="G22" s="246"/>
      <c r="H22" s="1"/>
      <c r="I22" s="1"/>
      <c r="L22" s="236">
        <f t="shared" si="4"/>
        <v>12</v>
      </c>
    </row>
    <row r="23" spans="1:12" ht="16" thickBot="1" x14ac:dyDescent="0.4">
      <c r="A23" s="236">
        <f t="shared" si="3"/>
        <v>13</v>
      </c>
      <c r="B23" s="227" t="s">
        <v>126</v>
      </c>
      <c r="E23" s="244">
        <f>'AF-3'!C15</f>
        <v>0</v>
      </c>
      <c r="F23" s="235"/>
      <c r="G23" s="244">
        <f>'AF-3'!E15</f>
        <v>0</v>
      </c>
      <c r="H23" s="242"/>
      <c r="I23" s="245">
        <f>(E23+G23)/2</f>
        <v>0</v>
      </c>
      <c r="K23" s="234" t="s">
        <v>1223</v>
      </c>
      <c r="L23" s="236">
        <f t="shared" si="4"/>
        <v>13</v>
      </c>
    </row>
    <row r="24" spans="1:12" ht="16" thickTop="1" x14ac:dyDescent="0.35"/>
    <row r="26" spans="1:12" ht="18" x14ac:dyDescent="0.35">
      <c r="A26" s="749">
        <v>1</v>
      </c>
      <c r="B26" s="220" t="s">
        <v>1719</v>
      </c>
    </row>
    <row r="27" spans="1:12" ht="18" x14ac:dyDescent="0.35">
      <c r="A27" s="749">
        <v>2</v>
      </c>
      <c r="B27" s="668" t="s">
        <v>1493</v>
      </c>
    </row>
  </sheetData>
  <mergeCells count="5">
    <mergeCell ref="B2:K2"/>
    <mergeCell ref="B3:K3"/>
    <mergeCell ref="B4:K4"/>
    <mergeCell ref="B5:K5"/>
    <mergeCell ref="B6:K6"/>
  </mergeCells>
  <printOptions horizontalCentered="1"/>
  <pageMargins left="0.5" right="0.5" top="0.5" bottom="0.5" header="0.25" footer="0.25"/>
  <pageSetup scale="48" orientation="portrait" r:id="rId1"/>
  <headerFooter scaleWithDoc="0">
    <oddFooter>&amp;C&amp;"Times New Roman,Regular"&amp;10AF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M42"/>
  <sheetViews>
    <sheetView topLeftCell="A21" zoomScale="80" zoomScaleNormal="80" workbookViewId="0"/>
  </sheetViews>
  <sheetFormatPr defaultColWidth="8.54296875" defaultRowHeight="15.5" x14ac:dyDescent="0.35"/>
  <cols>
    <col min="1" max="1" width="5.54296875" style="1950" customWidth="1"/>
    <col min="2" max="2" width="52.08984375" style="1951" customWidth="1"/>
    <col min="3" max="3" width="16.90625" style="1951" customWidth="1"/>
    <col min="4" max="4" width="1.54296875" style="1951" customWidth="1"/>
    <col min="5" max="5" width="20.453125" style="227" customWidth="1"/>
    <col min="6" max="6" width="1.54296875" style="227" customWidth="1"/>
    <col min="7" max="7" width="20.453125" style="227" customWidth="1"/>
    <col min="8" max="8" width="1.54296875" style="1951" customWidth="1"/>
    <col min="9" max="9" width="23.453125" style="1951" bestFit="1" customWidth="1"/>
    <col min="10" max="10" width="62.54296875" style="1951" customWidth="1"/>
    <col min="11" max="11" width="5.453125" style="1950" customWidth="1"/>
    <col min="12" max="12" width="18.453125" style="1951" bestFit="1" customWidth="1"/>
    <col min="13" max="16384" width="8.54296875" style="1951"/>
  </cols>
  <sheetData>
    <row r="2" spans="1:13" x14ac:dyDescent="0.35">
      <c r="B2" s="2289" t="s">
        <v>18</v>
      </c>
      <c r="C2" s="2289"/>
      <c r="D2" s="2289"/>
      <c r="E2" s="2289"/>
      <c r="F2" s="2289"/>
      <c r="G2" s="2289"/>
      <c r="H2" s="2289"/>
      <c r="I2" s="2289"/>
      <c r="J2" s="2289"/>
    </row>
    <row r="3" spans="1:13" x14ac:dyDescent="0.35">
      <c r="B3" s="2289" t="s">
        <v>653</v>
      </c>
      <c r="C3" s="2289"/>
      <c r="D3" s="2289"/>
      <c r="E3" s="2289"/>
      <c r="F3" s="2289"/>
      <c r="G3" s="2289"/>
      <c r="H3" s="2289"/>
      <c r="I3" s="2289"/>
      <c r="J3" s="2289"/>
    </row>
    <row r="4" spans="1:13" x14ac:dyDescent="0.35">
      <c r="B4" s="2289" t="s">
        <v>657</v>
      </c>
      <c r="C4" s="2289"/>
      <c r="D4" s="2289"/>
      <c r="E4" s="2289"/>
      <c r="F4" s="2289"/>
      <c r="G4" s="2289"/>
      <c r="H4" s="2289"/>
      <c r="I4" s="2289"/>
      <c r="J4" s="2289"/>
    </row>
    <row r="5" spans="1:13" x14ac:dyDescent="0.35">
      <c r="B5" s="2289" t="s">
        <v>1599</v>
      </c>
      <c r="C5" s="2289"/>
      <c r="D5" s="2289"/>
      <c r="E5" s="2289"/>
      <c r="F5" s="2289"/>
      <c r="G5" s="2289"/>
      <c r="H5" s="2289"/>
      <c r="I5" s="2289"/>
      <c r="J5" s="2289"/>
    </row>
    <row r="6" spans="1:13" ht="15.75" customHeight="1" x14ac:dyDescent="0.35">
      <c r="B6" s="2291" t="s">
        <v>2</v>
      </c>
      <c r="C6" s="2291"/>
      <c r="D6" s="2291"/>
      <c r="E6" s="2291"/>
      <c r="F6" s="2291"/>
      <c r="G6" s="2291"/>
      <c r="H6" s="2291"/>
      <c r="I6" s="2291"/>
      <c r="J6" s="2291"/>
    </row>
    <row r="8" spans="1:13" x14ac:dyDescent="0.35">
      <c r="B8" s="1949"/>
      <c r="C8" s="1948" t="s">
        <v>4</v>
      </c>
      <c r="D8" s="1948"/>
      <c r="E8" s="1624" t="s">
        <v>5</v>
      </c>
      <c r="F8" s="1624"/>
      <c r="G8" s="1624" t="s">
        <v>390</v>
      </c>
      <c r="H8" s="1948"/>
      <c r="I8" s="1624" t="s">
        <v>1213</v>
      </c>
      <c r="J8" s="1948"/>
    </row>
    <row r="9" spans="1:13" ht="18" x14ac:dyDescent="0.35">
      <c r="A9" s="1950" t="s">
        <v>3</v>
      </c>
      <c r="B9" s="1949"/>
      <c r="C9" s="1948" t="s">
        <v>1214</v>
      </c>
      <c r="D9" s="1948"/>
      <c r="E9" s="1624" t="s">
        <v>1823</v>
      </c>
      <c r="F9" s="1624"/>
      <c r="G9" s="1624" t="s">
        <v>1824</v>
      </c>
      <c r="H9" s="1948"/>
      <c r="I9" s="1948"/>
      <c r="J9" s="1948"/>
      <c r="K9" s="1950" t="s">
        <v>3</v>
      </c>
    </row>
    <row r="10" spans="1:13" x14ac:dyDescent="0.35">
      <c r="A10" s="6" t="s">
        <v>25</v>
      </c>
      <c r="B10" s="1020" t="s">
        <v>74</v>
      </c>
      <c r="C10" s="1625" t="s">
        <v>1215</v>
      </c>
      <c r="D10" s="1625"/>
      <c r="E10" s="1955" t="s">
        <v>1487</v>
      </c>
      <c r="F10" s="1956"/>
      <c r="G10" s="1955" t="s">
        <v>1488</v>
      </c>
      <c r="H10" s="1625"/>
      <c r="I10" s="1020" t="s">
        <v>31</v>
      </c>
      <c r="J10" s="1020" t="s">
        <v>9</v>
      </c>
      <c r="K10" s="6" t="s">
        <v>25</v>
      </c>
    </row>
    <row r="11" spans="1:13" x14ac:dyDescent="0.35">
      <c r="A11" s="6"/>
      <c r="B11" s="246"/>
      <c r="C11" s="942"/>
      <c r="D11" s="942"/>
      <c r="E11" s="1957"/>
      <c r="F11" s="1957"/>
      <c r="G11" s="1957"/>
      <c r="H11" s="942"/>
      <c r="I11" s="1879"/>
      <c r="J11" s="1879"/>
      <c r="K11" s="6"/>
    </row>
    <row r="12" spans="1:13" x14ac:dyDescent="0.35">
      <c r="A12" s="1950">
        <v>1</v>
      </c>
      <c r="B12" s="939" t="s">
        <v>654</v>
      </c>
      <c r="C12" s="254"/>
      <c r="D12" s="254"/>
      <c r="E12" s="1958"/>
      <c r="F12" s="1958"/>
      <c r="G12" s="1958"/>
      <c r="H12" s="254"/>
      <c r="I12" s="1878"/>
      <c r="J12" s="1878"/>
      <c r="K12" s="1950">
        <f>A12</f>
        <v>1</v>
      </c>
    </row>
    <row r="13" spans="1:13" x14ac:dyDescent="0.35">
      <c r="A13" s="1950">
        <f>A12+1</f>
        <v>2</v>
      </c>
      <c r="B13" s="2098" t="s">
        <v>1582</v>
      </c>
      <c r="C13" s="1425">
        <f>1631.004148+228.7071838</f>
        <v>1859.7113317999999</v>
      </c>
      <c r="D13" s="1297"/>
      <c r="E13" s="1297">
        <f>SUM('Order 864-1'!M15:M17,'Order 864-1'!M19)</f>
        <v>395.64043388843305</v>
      </c>
      <c r="F13" s="1297"/>
      <c r="G13" s="1297">
        <f>SUM('Order 864-1'!N15:N17,'Order 864-1'!N19)</f>
        <v>0</v>
      </c>
      <c r="H13" s="250"/>
      <c r="I13" s="1297">
        <f>SUM(C13:G13)</f>
        <v>2255.3517656884328</v>
      </c>
      <c r="J13" s="1880" t="s">
        <v>1720</v>
      </c>
      <c r="K13" s="1950">
        <f>K12+1</f>
        <v>2</v>
      </c>
    </row>
    <row r="14" spans="1:13" x14ac:dyDescent="0.35">
      <c r="A14" s="2089">
        <f>A13+1</f>
        <v>3</v>
      </c>
      <c r="B14" s="2098" t="s">
        <v>1581</v>
      </c>
      <c r="C14" s="1130">
        <v>57303.285475490105</v>
      </c>
      <c r="D14" s="1130"/>
      <c r="E14" s="1130">
        <f>'Order 864-1'!M27</f>
        <v>106709.95322450979</v>
      </c>
      <c r="F14" s="1130"/>
      <c r="G14" s="1130">
        <f>'Order 864-1'!N27</f>
        <v>0</v>
      </c>
      <c r="H14" s="1130"/>
      <c r="I14" s="1130">
        <f>SUM(C14:G14)</f>
        <v>164013.2386999999</v>
      </c>
      <c r="J14" s="1880" t="s">
        <v>1720</v>
      </c>
      <c r="K14" s="2089">
        <f>K13+1</f>
        <v>3</v>
      </c>
      <c r="L14" s="2234"/>
      <c r="M14" s="2092"/>
    </row>
    <row r="15" spans="1:13" s="2087" customFormat="1" x14ac:dyDescent="0.35">
      <c r="A15" s="2089">
        <f>A14+1</f>
        <v>4</v>
      </c>
      <c r="B15" s="2100"/>
      <c r="C15" s="1130">
        <v>0</v>
      </c>
      <c r="D15" s="1297"/>
      <c r="E15" s="1130">
        <v>0</v>
      </c>
      <c r="F15" s="1297"/>
      <c r="G15" s="1130">
        <v>0</v>
      </c>
      <c r="H15" s="250"/>
      <c r="I15" s="1130">
        <f>SUM(C15:G15)</f>
        <v>0</v>
      </c>
      <c r="J15" s="2094"/>
      <c r="K15" s="2089">
        <f t="shared" ref="K15:K17" si="0">K14+1</f>
        <v>4</v>
      </c>
      <c r="L15" s="2235"/>
      <c r="M15" s="2092"/>
    </row>
    <row r="16" spans="1:13" x14ac:dyDescent="0.35">
      <c r="A16" s="2089">
        <f>A15+1</f>
        <v>5</v>
      </c>
      <c r="B16" s="2098"/>
      <c r="C16" s="1130">
        <v>0</v>
      </c>
      <c r="D16" s="1130"/>
      <c r="E16" s="1130">
        <v>0</v>
      </c>
      <c r="F16" s="1130"/>
      <c r="G16" s="1130">
        <v>0</v>
      </c>
      <c r="H16" s="1130"/>
      <c r="I16" s="1130">
        <f>SUM(C16:G16)</f>
        <v>0</v>
      </c>
      <c r="J16" s="1875"/>
      <c r="K16" s="2089">
        <f t="shared" si="0"/>
        <v>5</v>
      </c>
      <c r="L16" s="1092"/>
    </row>
    <row r="17" spans="1:12" x14ac:dyDescent="0.35">
      <c r="A17" s="2089">
        <f t="shared" ref="A17:A35" si="1">A16+1</f>
        <v>6</v>
      </c>
      <c r="B17" s="2097"/>
      <c r="C17" s="1130">
        <v>0</v>
      </c>
      <c r="D17" s="1130"/>
      <c r="E17" s="1130">
        <v>0</v>
      </c>
      <c r="F17" s="1130"/>
      <c r="G17" s="1130">
        <v>0</v>
      </c>
      <c r="H17" s="1130"/>
      <c r="I17" s="1130">
        <f>SUM(C17:G17)</f>
        <v>0</v>
      </c>
      <c r="J17" s="1875"/>
      <c r="K17" s="2089">
        <f t="shared" si="0"/>
        <v>6</v>
      </c>
      <c r="L17" s="2235"/>
    </row>
    <row r="18" spans="1:12" ht="16" thickBot="1" x14ac:dyDescent="0.4">
      <c r="A18" s="2089">
        <f t="shared" si="1"/>
        <v>7</v>
      </c>
      <c r="B18" s="944" t="s">
        <v>846</v>
      </c>
      <c r="C18" s="1959">
        <f>SUM(C13:C17)</f>
        <v>59162.996807290103</v>
      </c>
      <c r="D18" s="1130"/>
      <c r="E18" s="1959">
        <f>SUM(E13:E17)</f>
        <v>107105.59365839823</v>
      </c>
      <c r="F18" s="1960"/>
      <c r="G18" s="1959">
        <f>SUM(G13:G17)</f>
        <v>0</v>
      </c>
      <c r="H18" s="1130"/>
      <c r="I18" s="1959">
        <f>SUM(I13:I17)</f>
        <v>166268.59046568832</v>
      </c>
      <c r="J18" s="1881" t="s">
        <v>1031</v>
      </c>
      <c r="K18" s="2089">
        <f t="shared" ref="K18:K35" si="2">K17+1</f>
        <v>7</v>
      </c>
    </row>
    <row r="19" spans="1:12" ht="16" thickTop="1" x14ac:dyDescent="0.35">
      <c r="A19" s="2089">
        <f t="shared" si="1"/>
        <v>8</v>
      </c>
      <c r="B19" s="2097"/>
      <c r="C19" s="1961"/>
      <c r="D19" s="1961"/>
      <c r="E19" s="1961"/>
      <c r="F19" s="1961"/>
      <c r="G19" s="1961"/>
      <c r="H19" s="1961"/>
      <c r="I19" s="1961"/>
      <c r="J19" s="1877"/>
      <c r="K19" s="2089">
        <f t="shared" si="2"/>
        <v>8</v>
      </c>
    </row>
    <row r="20" spans="1:12" x14ac:dyDescent="0.35">
      <c r="A20" s="2089">
        <f t="shared" si="1"/>
        <v>9</v>
      </c>
      <c r="B20" s="2098" t="s">
        <v>655</v>
      </c>
      <c r="C20" s="1958"/>
      <c r="D20" s="1958"/>
      <c r="E20" s="1958"/>
      <c r="F20" s="1958"/>
      <c r="G20" s="1958"/>
      <c r="H20" s="1958"/>
      <c r="I20" s="1709"/>
      <c r="J20" s="1878"/>
      <c r="K20" s="2089">
        <f t="shared" si="2"/>
        <v>9</v>
      </c>
    </row>
    <row r="21" spans="1:12" x14ac:dyDescent="0.35">
      <c r="A21" s="1304">
        <f t="shared" si="1"/>
        <v>10</v>
      </c>
      <c r="B21" s="1936" t="s">
        <v>1581</v>
      </c>
      <c r="C21" s="1297">
        <v>-748685.48836096679</v>
      </c>
      <c r="D21" s="1297"/>
      <c r="E21" s="1297">
        <f>SUM('Order 864-1'!M29:M31,'Order 864-1'!M38,'Order 864-1'!M41)</f>
        <v>39832.419042326706</v>
      </c>
      <c r="F21" s="1297"/>
      <c r="G21" s="1297">
        <f>SUM('Order 864-1'!N29:N31,'Order 864-1'!N38,'Order 864-1'!N41)</f>
        <v>-421187.95723933214</v>
      </c>
      <c r="H21" s="1297"/>
      <c r="I21" s="1297">
        <f t="shared" ref="I21:I24" si="3">SUM(C21:G21)</f>
        <v>-1130041.0265579722</v>
      </c>
      <c r="J21" s="431" t="s">
        <v>647</v>
      </c>
      <c r="K21" s="2089">
        <f t="shared" si="2"/>
        <v>10</v>
      </c>
    </row>
    <row r="22" spans="1:12" x14ac:dyDescent="0.35">
      <c r="A22" s="1304">
        <f t="shared" si="1"/>
        <v>11</v>
      </c>
      <c r="B22" s="2097"/>
      <c r="C22" s="1130">
        <v>0</v>
      </c>
      <c r="D22" s="1130"/>
      <c r="E22" s="1130">
        <v>0</v>
      </c>
      <c r="F22" s="1130"/>
      <c r="G22" s="1130">
        <v>0</v>
      </c>
      <c r="H22" s="1130"/>
      <c r="I22" s="1130">
        <f t="shared" si="3"/>
        <v>0</v>
      </c>
      <c r="J22" s="2091"/>
      <c r="K22" s="1304">
        <f t="shared" si="2"/>
        <v>11</v>
      </c>
    </row>
    <row r="23" spans="1:12" x14ac:dyDescent="0.35">
      <c r="A23" s="2089">
        <f t="shared" si="1"/>
        <v>12</v>
      </c>
      <c r="B23" s="1936"/>
      <c r="C23" s="1130">
        <v>0</v>
      </c>
      <c r="D23" s="1130"/>
      <c r="E23" s="1130">
        <v>0</v>
      </c>
      <c r="F23" s="1130"/>
      <c r="G23" s="1130">
        <v>0</v>
      </c>
      <c r="H23" s="1130"/>
      <c r="I23" s="1130">
        <f t="shared" si="3"/>
        <v>0</v>
      </c>
      <c r="J23" s="2091"/>
      <c r="K23" s="2089">
        <f t="shared" si="2"/>
        <v>12</v>
      </c>
    </row>
    <row r="24" spans="1:12" x14ac:dyDescent="0.35">
      <c r="A24" s="2089">
        <f t="shared" si="1"/>
        <v>13</v>
      </c>
      <c r="B24" s="1936"/>
      <c r="C24" s="1130">
        <v>0</v>
      </c>
      <c r="D24" s="1130"/>
      <c r="E24" s="1130">
        <v>0</v>
      </c>
      <c r="F24" s="1130"/>
      <c r="G24" s="1130">
        <v>0</v>
      </c>
      <c r="H24" s="1130"/>
      <c r="I24" s="1130">
        <f t="shared" si="3"/>
        <v>0</v>
      </c>
      <c r="J24" s="2091"/>
      <c r="K24" s="2089">
        <f t="shared" si="2"/>
        <v>13</v>
      </c>
    </row>
    <row r="25" spans="1:12" ht="16" thickBot="1" x14ac:dyDescent="0.4">
      <c r="A25" s="2089">
        <f t="shared" si="1"/>
        <v>14</v>
      </c>
      <c r="B25" s="944" t="s">
        <v>847</v>
      </c>
      <c r="C25" s="1959">
        <f>SUM(C21:C24)</f>
        <v>-748685.48836096679</v>
      </c>
      <c r="D25" s="1130"/>
      <c r="E25" s="1959">
        <f>SUM(E21:E24)</f>
        <v>39832.419042326706</v>
      </c>
      <c r="F25" s="1960"/>
      <c r="G25" s="1959">
        <f>SUM(G21:G24)</f>
        <v>-421187.95723933214</v>
      </c>
      <c r="H25" s="1130"/>
      <c r="I25" s="1959">
        <f>SUM(I21:I24)</f>
        <v>-1130041.0265579722</v>
      </c>
      <c r="J25" s="1881" t="s">
        <v>1216</v>
      </c>
      <c r="K25" s="2089">
        <f t="shared" si="2"/>
        <v>14</v>
      </c>
    </row>
    <row r="26" spans="1:12" ht="16" thickTop="1" x14ac:dyDescent="0.35">
      <c r="A26" s="2089">
        <f t="shared" si="1"/>
        <v>15</v>
      </c>
      <c r="B26" s="2097"/>
      <c r="C26" s="1399"/>
      <c r="D26" s="1399"/>
      <c r="E26" s="1399"/>
      <c r="F26" s="1399"/>
      <c r="G26" s="1399"/>
      <c r="H26" s="1399"/>
      <c r="I26" s="1399"/>
      <c r="K26" s="2089">
        <f t="shared" si="2"/>
        <v>15</v>
      </c>
    </row>
    <row r="27" spans="1:12" x14ac:dyDescent="0.35">
      <c r="A27" s="2089">
        <f t="shared" si="1"/>
        <v>16</v>
      </c>
      <c r="B27" s="2098" t="s">
        <v>656</v>
      </c>
      <c r="C27" s="1958"/>
      <c r="D27" s="1958"/>
      <c r="E27" s="1958"/>
      <c r="F27" s="1958"/>
      <c r="G27" s="1958"/>
      <c r="H27" s="1958"/>
      <c r="I27" s="1709"/>
      <c r="J27" s="1950"/>
      <c r="K27" s="2089">
        <f t="shared" si="2"/>
        <v>16</v>
      </c>
    </row>
    <row r="28" spans="1:12" x14ac:dyDescent="0.35">
      <c r="A28" s="2089">
        <f t="shared" si="1"/>
        <v>17</v>
      </c>
      <c r="B28" s="2098" t="s">
        <v>1582</v>
      </c>
      <c r="C28" s="1297">
        <v>-7906.4293200000075</v>
      </c>
      <c r="D28" s="1297"/>
      <c r="E28" s="1297">
        <f>SUM('Order 864-1'!M21:M22)</f>
        <v>0</v>
      </c>
      <c r="F28" s="1297"/>
      <c r="G28" s="1297">
        <f>SUM('Order 864-1'!N21:N22)</f>
        <v>0</v>
      </c>
      <c r="H28" s="250"/>
      <c r="I28" s="1297">
        <f>SUM(C28:G28)</f>
        <v>-7906.4293200000075</v>
      </c>
      <c r="J28" s="1880" t="s">
        <v>1721</v>
      </c>
      <c r="K28" s="2089">
        <f t="shared" si="2"/>
        <v>17</v>
      </c>
    </row>
    <row r="29" spans="1:12" x14ac:dyDescent="0.35">
      <c r="A29" s="2089">
        <f t="shared" si="1"/>
        <v>18</v>
      </c>
      <c r="B29" s="939"/>
      <c r="C29" s="1130">
        <v>0</v>
      </c>
      <c r="D29" s="1130"/>
      <c r="E29" s="1130">
        <v>0</v>
      </c>
      <c r="F29" s="1130"/>
      <c r="G29" s="1130">
        <v>0</v>
      </c>
      <c r="H29" s="1130"/>
      <c r="I29" s="1130">
        <f>SUM(C29:G29)</f>
        <v>0</v>
      </c>
      <c r="J29" s="1950"/>
      <c r="K29" s="2089">
        <f t="shared" si="2"/>
        <v>18</v>
      </c>
    </row>
    <row r="30" spans="1:12" x14ac:dyDescent="0.35">
      <c r="A30" s="2089">
        <f t="shared" si="1"/>
        <v>19</v>
      </c>
      <c r="B30" s="939"/>
      <c r="C30" s="1875">
        <v>0</v>
      </c>
      <c r="D30" s="1875"/>
      <c r="E30" s="251">
        <v>0</v>
      </c>
      <c r="F30" s="251"/>
      <c r="G30" s="251">
        <v>0</v>
      </c>
      <c r="H30" s="1875"/>
      <c r="I30" s="1875">
        <f>SUM(C30:G30)</f>
        <v>0</v>
      </c>
      <c r="J30" s="1875"/>
      <c r="K30" s="2089">
        <f t="shared" si="2"/>
        <v>19</v>
      </c>
    </row>
    <row r="31" spans="1:12" x14ac:dyDescent="0.35">
      <c r="A31" s="2089">
        <f t="shared" si="1"/>
        <v>20</v>
      </c>
      <c r="B31" s="939"/>
      <c r="C31" s="1875">
        <v>0</v>
      </c>
      <c r="D31" s="1875"/>
      <c r="E31" s="251">
        <v>0</v>
      </c>
      <c r="F31" s="251"/>
      <c r="G31" s="251">
        <v>0</v>
      </c>
      <c r="H31" s="1875"/>
      <c r="I31" s="1875">
        <f>SUM(C31:G31)</f>
        <v>0</v>
      </c>
      <c r="J31" s="1875"/>
      <c r="K31" s="2089">
        <f t="shared" si="2"/>
        <v>20</v>
      </c>
    </row>
    <row r="32" spans="1:12" x14ac:dyDescent="0.35">
      <c r="A32" s="2089">
        <f t="shared" si="1"/>
        <v>21</v>
      </c>
      <c r="B32" s="939"/>
      <c r="C32" s="1875">
        <v>0</v>
      </c>
      <c r="D32" s="1875"/>
      <c r="E32" s="251">
        <v>0</v>
      </c>
      <c r="F32" s="251"/>
      <c r="G32" s="251">
        <v>0</v>
      </c>
      <c r="H32" s="1875"/>
      <c r="I32" s="1875">
        <f>SUM(C32:G32)</f>
        <v>0</v>
      </c>
      <c r="J32" s="1875"/>
      <c r="K32" s="2089">
        <f t="shared" si="2"/>
        <v>21</v>
      </c>
    </row>
    <row r="33" spans="1:11" ht="16" thickBot="1" x14ac:dyDescent="0.4">
      <c r="A33" s="2089">
        <f t="shared" si="1"/>
        <v>22</v>
      </c>
      <c r="B33" s="944" t="s">
        <v>848</v>
      </c>
      <c r="C33" s="252">
        <f>SUM(C28:C32)</f>
        <v>-7906.4293200000075</v>
      </c>
      <c r="D33" s="1875"/>
      <c r="E33" s="1959">
        <f>SUM(E28:E32)</f>
        <v>0</v>
      </c>
      <c r="F33" s="1960"/>
      <c r="G33" s="1959">
        <f>SUM(G28:G32)</f>
        <v>0</v>
      </c>
      <c r="H33" s="1875"/>
      <c r="I33" s="252">
        <f>SUM(I28:I32)</f>
        <v>-7906.4293200000075</v>
      </c>
      <c r="J33" s="1881" t="s">
        <v>1217</v>
      </c>
      <c r="K33" s="2089">
        <f t="shared" si="2"/>
        <v>22</v>
      </c>
    </row>
    <row r="34" spans="1:11" ht="16" thickTop="1" x14ac:dyDescent="0.35">
      <c r="A34" s="2089">
        <f t="shared" si="1"/>
        <v>23</v>
      </c>
      <c r="K34" s="2089">
        <f t="shared" si="2"/>
        <v>23</v>
      </c>
    </row>
    <row r="35" spans="1:11" ht="18.5" thickBot="1" x14ac:dyDescent="0.4">
      <c r="A35" s="2089">
        <f t="shared" si="1"/>
        <v>24</v>
      </c>
      <c r="B35" s="2096" t="s">
        <v>1601</v>
      </c>
      <c r="C35" s="252">
        <f>+C18+C25+C33</f>
        <v>-697428.92087367666</v>
      </c>
      <c r="D35" s="997"/>
      <c r="E35" s="1959">
        <f>+E18+E25+E33</f>
        <v>146938.01270072494</v>
      </c>
      <c r="F35" s="1960"/>
      <c r="G35" s="1959">
        <f>+G18+G25+G33</f>
        <v>-421187.95723933214</v>
      </c>
      <c r="H35" s="997"/>
      <c r="I35" s="252">
        <f>+I18+I25+I33</f>
        <v>-971678.86541228381</v>
      </c>
      <c r="J35" s="1881" t="s">
        <v>1479</v>
      </c>
      <c r="K35" s="2089">
        <f t="shared" si="2"/>
        <v>24</v>
      </c>
    </row>
    <row r="36" spans="1:11" s="2270" customFormat="1" ht="16" thickTop="1" x14ac:dyDescent="0.35">
      <c r="A36" s="2271"/>
      <c r="B36" s="2269"/>
      <c r="C36" s="1876"/>
      <c r="D36" s="1425"/>
      <c r="E36" s="1960"/>
      <c r="F36" s="1960"/>
      <c r="G36" s="1960"/>
      <c r="H36" s="1425"/>
      <c r="I36" s="1876"/>
      <c r="J36" s="1881"/>
      <c r="K36" s="2271"/>
    </row>
    <row r="37" spans="1:11" x14ac:dyDescent="0.35">
      <c r="E37" s="1297"/>
      <c r="I37" s="997"/>
    </row>
    <row r="38" spans="1:11" ht="18" x14ac:dyDescent="0.35">
      <c r="A38" s="749">
        <v>1</v>
      </c>
      <c r="B38" s="1951" t="s">
        <v>1492</v>
      </c>
    </row>
    <row r="39" spans="1:11" ht="18" x14ac:dyDescent="0.35">
      <c r="A39" s="749">
        <v>2</v>
      </c>
      <c r="B39" s="2097" t="s">
        <v>1579</v>
      </c>
      <c r="C39" s="2097"/>
      <c r="D39" s="2097"/>
      <c r="E39" s="1399"/>
      <c r="F39" s="1399"/>
      <c r="G39" s="1399"/>
      <c r="H39" s="2097"/>
      <c r="I39" s="2097"/>
      <c r="J39" s="2097"/>
    </row>
    <row r="40" spans="1:11" ht="18" x14ac:dyDescent="0.35">
      <c r="A40" s="749">
        <v>3</v>
      </c>
      <c r="B40" s="2097" t="s">
        <v>1580</v>
      </c>
      <c r="C40" s="2097"/>
      <c r="D40" s="2097"/>
      <c r="E40" s="1399"/>
      <c r="F40" s="1399"/>
      <c r="G40" s="1399"/>
      <c r="H40" s="2097"/>
      <c r="I40" s="2097"/>
      <c r="J40" s="2097"/>
    </row>
    <row r="41" spans="1:11" ht="18" x14ac:dyDescent="0.35">
      <c r="A41" s="749">
        <v>4</v>
      </c>
      <c r="B41" s="1399" t="s">
        <v>1830</v>
      </c>
      <c r="C41" s="2097"/>
      <c r="D41" s="2097"/>
      <c r="E41" s="1399"/>
      <c r="F41" s="1399"/>
      <c r="G41" s="1399"/>
      <c r="H41" s="2097"/>
      <c r="I41" s="2097"/>
      <c r="J41" s="2097"/>
    </row>
    <row r="42" spans="1:11" x14ac:dyDescent="0.35">
      <c r="B42" s="1418"/>
    </row>
  </sheetData>
  <mergeCells count="5">
    <mergeCell ref="B2:J2"/>
    <mergeCell ref="B3:J3"/>
    <mergeCell ref="B4:J4"/>
    <mergeCell ref="B5:J5"/>
    <mergeCell ref="B6:J6"/>
  </mergeCells>
  <phoneticPr fontId="56" type="noConversion"/>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2"/>
  <sheetViews>
    <sheetView zoomScale="80" zoomScaleNormal="80" workbookViewId="0">
      <selection activeCell="B43" sqref="B43"/>
    </sheetView>
  </sheetViews>
  <sheetFormatPr defaultColWidth="8.54296875" defaultRowHeight="15.5" x14ac:dyDescent="0.35"/>
  <cols>
    <col min="1" max="1" width="5.453125" style="1950" customWidth="1"/>
    <col min="2" max="2" width="52.08984375" style="1951" customWidth="1"/>
    <col min="3" max="3" width="16.90625" style="1951" customWidth="1"/>
    <col min="4" max="4" width="1.54296875" style="1951" customWidth="1"/>
    <col min="5" max="5" width="20.453125" style="227" customWidth="1"/>
    <col min="6" max="6" width="1.54296875" style="227" customWidth="1"/>
    <col min="7" max="7" width="20.453125" style="227" customWidth="1"/>
    <col min="8" max="8" width="1.54296875" style="1951" customWidth="1"/>
    <col min="9" max="9" width="23.453125" style="1951" bestFit="1" customWidth="1"/>
    <col min="10" max="10" width="62.54296875" style="1951" customWidth="1"/>
    <col min="11" max="11" width="5.453125" style="1950" customWidth="1"/>
    <col min="12" max="16384" width="8.54296875" style="1951"/>
  </cols>
  <sheetData>
    <row r="2" spans="1:11" x14ac:dyDescent="0.35">
      <c r="B2" s="2289" t="s">
        <v>18</v>
      </c>
      <c r="C2" s="2289"/>
      <c r="D2" s="2289"/>
      <c r="E2" s="2289"/>
      <c r="F2" s="2289"/>
      <c r="G2" s="2289"/>
      <c r="H2" s="2289"/>
      <c r="I2" s="2289"/>
      <c r="J2" s="2289"/>
    </row>
    <row r="3" spans="1:11" x14ac:dyDescent="0.35">
      <c r="B3" s="2289" t="s">
        <v>653</v>
      </c>
      <c r="C3" s="2289"/>
      <c r="D3" s="2289"/>
      <c r="E3" s="2289"/>
      <c r="F3" s="2289"/>
      <c r="G3" s="2289"/>
      <c r="H3" s="2289"/>
      <c r="I3" s="2289"/>
      <c r="J3" s="2289"/>
    </row>
    <row r="4" spans="1:11" x14ac:dyDescent="0.35">
      <c r="B4" s="2289" t="s">
        <v>657</v>
      </c>
      <c r="C4" s="2289"/>
      <c r="D4" s="2289"/>
      <c r="E4" s="2289"/>
      <c r="F4" s="2289"/>
      <c r="G4" s="2289"/>
      <c r="H4" s="2289"/>
      <c r="I4" s="2289"/>
      <c r="J4" s="2289"/>
    </row>
    <row r="5" spans="1:11" x14ac:dyDescent="0.35">
      <c r="B5" s="2289" t="s">
        <v>1600</v>
      </c>
      <c r="C5" s="2289"/>
      <c r="D5" s="2289"/>
      <c r="E5" s="2289"/>
      <c r="F5" s="2289"/>
      <c r="G5" s="2289"/>
      <c r="H5" s="2289"/>
      <c r="I5" s="2289"/>
      <c r="J5" s="2289"/>
    </row>
    <row r="6" spans="1:11" ht="15.75" customHeight="1" x14ac:dyDescent="0.35">
      <c r="B6" s="2291" t="s">
        <v>2</v>
      </c>
      <c r="C6" s="2291"/>
      <c r="D6" s="2291"/>
      <c r="E6" s="2291"/>
      <c r="F6" s="2291"/>
      <c r="G6" s="2291"/>
      <c r="H6" s="2291"/>
      <c r="I6" s="2291"/>
      <c r="J6" s="2291"/>
    </row>
    <row r="8" spans="1:11" x14ac:dyDescent="0.35">
      <c r="B8" s="1949"/>
      <c r="C8" s="1948" t="s">
        <v>4</v>
      </c>
      <c r="D8" s="1948"/>
      <c r="E8" s="1624" t="s">
        <v>5</v>
      </c>
      <c r="F8" s="1624"/>
      <c r="G8" s="1624" t="s">
        <v>390</v>
      </c>
      <c r="H8" s="1948"/>
      <c r="I8" s="1624" t="s">
        <v>1213</v>
      </c>
      <c r="J8" s="1948"/>
    </row>
    <row r="9" spans="1:11" ht="18" x14ac:dyDescent="0.35">
      <c r="A9" s="1950" t="s">
        <v>3</v>
      </c>
      <c r="B9" s="1949"/>
      <c r="C9" s="1948" t="s">
        <v>1214</v>
      </c>
      <c r="D9" s="1948"/>
      <c r="E9" s="1624" t="s">
        <v>1823</v>
      </c>
      <c r="F9" s="1624"/>
      <c r="G9" s="1624" t="s">
        <v>1824</v>
      </c>
      <c r="H9" s="1948"/>
      <c r="I9" s="1948"/>
      <c r="J9" s="1948"/>
      <c r="K9" s="1950" t="s">
        <v>3</v>
      </c>
    </row>
    <row r="10" spans="1:11" x14ac:dyDescent="0.35">
      <c r="A10" s="6" t="s">
        <v>25</v>
      </c>
      <c r="B10" s="1020" t="s">
        <v>74</v>
      </c>
      <c r="C10" s="1625" t="s">
        <v>1215</v>
      </c>
      <c r="D10" s="1625"/>
      <c r="E10" s="1955" t="s">
        <v>1487</v>
      </c>
      <c r="F10" s="1956"/>
      <c r="G10" s="1955" t="s">
        <v>1488</v>
      </c>
      <c r="H10" s="1625"/>
      <c r="I10" s="1020" t="s">
        <v>31</v>
      </c>
      <c r="J10" s="1020" t="s">
        <v>9</v>
      </c>
      <c r="K10" s="6" t="s">
        <v>25</v>
      </c>
    </row>
    <row r="11" spans="1:11" x14ac:dyDescent="0.35">
      <c r="A11" s="6"/>
      <c r="B11" s="246"/>
      <c r="C11" s="942"/>
      <c r="D11" s="942"/>
      <c r="E11" s="1957"/>
      <c r="F11" s="1957"/>
      <c r="G11" s="1957"/>
      <c r="H11" s="942"/>
      <c r="I11" s="1879"/>
      <c r="J11" s="1879"/>
      <c r="K11" s="6"/>
    </row>
    <row r="12" spans="1:11" x14ac:dyDescent="0.35">
      <c r="A12" s="1950">
        <v>1</v>
      </c>
      <c r="B12" s="939" t="s">
        <v>654</v>
      </c>
      <c r="C12" s="254"/>
      <c r="D12" s="254"/>
      <c r="E12" s="1958"/>
      <c r="F12" s="1958"/>
      <c r="G12" s="1958"/>
      <c r="H12" s="254"/>
      <c r="I12" s="1878"/>
      <c r="J12" s="1878"/>
      <c r="K12" s="1950">
        <f>A12</f>
        <v>1</v>
      </c>
    </row>
    <row r="13" spans="1:11" x14ac:dyDescent="0.35">
      <c r="A13" s="1950">
        <f>A12+1</f>
        <v>2</v>
      </c>
      <c r="B13" s="2098" t="s">
        <v>1582</v>
      </c>
      <c r="C13" s="1297">
        <v>1937.05221139073</v>
      </c>
      <c r="D13" s="1297"/>
      <c r="E13" s="1297">
        <f>SUM('Order 864-3'!M15:M17,'Order 864-3'!M19)</f>
        <v>0.24043388843304569</v>
      </c>
      <c r="F13" s="1297"/>
      <c r="G13" s="1297">
        <f>SUM('Order 864-3'!N15:N17,'Order 864-3'!N19)</f>
        <v>0</v>
      </c>
      <c r="H13" s="250"/>
      <c r="I13" s="1425">
        <f>SUM(C13:G13)</f>
        <v>1937.292645279163</v>
      </c>
      <c r="J13" s="1880" t="s">
        <v>1722</v>
      </c>
      <c r="K13" s="1950">
        <f>K12+1</f>
        <v>2</v>
      </c>
    </row>
    <row r="14" spans="1:11" x14ac:dyDescent="0.35">
      <c r="A14" s="2089">
        <f>A13+1</f>
        <v>3</v>
      </c>
      <c r="B14" s="2098" t="s">
        <v>1581</v>
      </c>
      <c r="C14" s="1130">
        <v>37949.429790416951</v>
      </c>
      <c r="D14" s="1130"/>
      <c r="E14" s="1130">
        <f>'Order 864-3'!M27</f>
        <v>105336.37279363305</v>
      </c>
      <c r="F14" s="1130"/>
      <c r="G14" s="1130">
        <f>'Order 864-3'!N27</f>
        <v>0</v>
      </c>
      <c r="H14" s="1130"/>
      <c r="I14" s="1875">
        <f>SUM(C14:G14)</f>
        <v>143285.80258404999</v>
      </c>
      <c r="J14" s="1880" t="s">
        <v>1722</v>
      </c>
      <c r="K14" s="2089">
        <f>K13+1</f>
        <v>3</v>
      </c>
    </row>
    <row r="15" spans="1:11" x14ac:dyDescent="0.35">
      <c r="A15" s="2089">
        <f>A14+1</f>
        <v>4</v>
      </c>
      <c r="B15" s="2100"/>
      <c r="C15" s="1130">
        <v>0</v>
      </c>
      <c r="D15" s="1297"/>
      <c r="E15" s="1130">
        <v>0</v>
      </c>
      <c r="F15" s="1297"/>
      <c r="G15" s="1130">
        <v>0</v>
      </c>
      <c r="H15" s="250"/>
      <c r="I15" s="1130">
        <f>SUM(C15:G15)</f>
        <v>0</v>
      </c>
      <c r="J15" s="2094"/>
      <c r="K15" s="2089">
        <f>K14+1</f>
        <v>4</v>
      </c>
    </row>
    <row r="16" spans="1:11" s="2087" customFormat="1" x14ac:dyDescent="0.35">
      <c r="A16" s="2089">
        <f>A15+1</f>
        <v>5</v>
      </c>
      <c r="B16" s="2088"/>
      <c r="C16" s="1130">
        <v>0</v>
      </c>
      <c r="D16" s="1875"/>
      <c r="E16" s="1130">
        <v>0</v>
      </c>
      <c r="F16" s="1130"/>
      <c r="G16" s="1130">
        <v>0</v>
      </c>
      <c r="H16" s="1875"/>
      <c r="I16" s="1130">
        <f>SUM(C16:G16)</f>
        <v>0</v>
      </c>
      <c r="J16" s="1875"/>
      <c r="K16" s="2089">
        <f>K15+1</f>
        <v>5</v>
      </c>
    </row>
    <row r="17" spans="1:11" x14ac:dyDescent="0.35">
      <c r="A17" s="2089">
        <f>A16+1</f>
        <v>6</v>
      </c>
      <c r="C17" s="1875">
        <v>0</v>
      </c>
      <c r="D17" s="1875"/>
      <c r="E17" s="1130">
        <v>0</v>
      </c>
      <c r="F17" s="1130"/>
      <c r="G17" s="1130">
        <v>0</v>
      </c>
      <c r="H17" s="1875"/>
      <c r="I17" s="1875">
        <f>SUM(C17:G17)</f>
        <v>0</v>
      </c>
      <c r="J17" s="1875"/>
      <c r="K17" s="2089">
        <f>K16+1</f>
        <v>6</v>
      </c>
    </row>
    <row r="18" spans="1:11" ht="16" thickBot="1" x14ac:dyDescent="0.4">
      <c r="A18" s="2089">
        <f t="shared" ref="A18" si="0">A17+1</f>
        <v>7</v>
      </c>
      <c r="B18" s="944" t="s">
        <v>846</v>
      </c>
      <c r="C18" s="252">
        <f>SUM(C13:C17)</f>
        <v>39886.482001807679</v>
      </c>
      <c r="D18" s="1875"/>
      <c r="E18" s="1959">
        <f>SUM(E13:E17)</f>
        <v>105336.61322752149</v>
      </c>
      <c r="F18" s="1960"/>
      <c r="G18" s="1959">
        <f>SUM(G13:G17)</f>
        <v>0</v>
      </c>
      <c r="H18" s="1875"/>
      <c r="I18" s="252">
        <f>SUM(I13:I17)</f>
        <v>145223.09522932916</v>
      </c>
      <c r="J18" s="1881" t="s">
        <v>1031</v>
      </c>
      <c r="K18" s="2089">
        <f t="shared" ref="K18" si="1">K17+1</f>
        <v>7</v>
      </c>
    </row>
    <row r="19" spans="1:11" ht="16" thickTop="1" x14ac:dyDescent="0.35">
      <c r="A19" s="2089">
        <f t="shared" ref="A19:A35" si="2">A18+1</f>
        <v>8</v>
      </c>
      <c r="C19" s="1877"/>
      <c r="D19" s="1877"/>
      <c r="E19" s="1961"/>
      <c r="F19" s="1961"/>
      <c r="G19" s="1961"/>
      <c r="H19" s="1877"/>
      <c r="I19" s="1877"/>
      <c r="J19" s="1877"/>
      <c r="K19" s="2089">
        <f t="shared" ref="K19:K35" si="3">K18+1</f>
        <v>8</v>
      </c>
    </row>
    <row r="20" spans="1:11" x14ac:dyDescent="0.35">
      <c r="A20" s="2089">
        <f t="shared" si="2"/>
        <v>9</v>
      </c>
      <c r="B20" s="939" t="s">
        <v>655</v>
      </c>
      <c r="C20" s="254"/>
      <c r="D20" s="254"/>
      <c r="E20" s="1958"/>
      <c r="F20" s="1958"/>
      <c r="G20" s="1958"/>
      <c r="H20" s="254"/>
      <c r="I20" s="1878"/>
      <c r="J20" s="1878"/>
      <c r="K20" s="2089">
        <f t="shared" si="3"/>
        <v>9</v>
      </c>
    </row>
    <row r="21" spans="1:11" s="227" customFormat="1" x14ac:dyDescent="0.35">
      <c r="A21" s="1304">
        <f t="shared" si="2"/>
        <v>10</v>
      </c>
      <c r="B21" s="1936" t="s">
        <v>1581</v>
      </c>
      <c r="C21" s="249">
        <v>-791983.35212894727</v>
      </c>
      <c r="D21" s="249"/>
      <c r="E21" s="1297">
        <f>SUM('Order 864-3'!M29:M31,'Order 864-3'!M38,'Order 864-3'!M41)</f>
        <v>51975.74636110678</v>
      </c>
      <c r="F21" s="1297"/>
      <c r="G21" s="1297">
        <f>SUM('Order 864-3'!N29:N31,'Order 864-3'!N38,'Order 864-3'!N41)</f>
        <v>-414570.46604081639</v>
      </c>
      <c r="H21" s="249"/>
      <c r="I21" s="249">
        <f>SUM(C21:G21)</f>
        <v>-1154578.0718086569</v>
      </c>
      <c r="J21" s="431" t="s">
        <v>647</v>
      </c>
      <c r="K21" s="1304">
        <f t="shared" si="3"/>
        <v>10</v>
      </c>
    </row>
    <row r="22" spans="1:11" s="227" customFormat="1" x14ac:dyDescent="0.35">
      <c r="A22" s="1304">
        <f t="shared" si="2"/>
        <v>11</v>
      </c>
      <c r="B22" s="1936"/>
      <c r="C22" s="251">
        <v>0</v>
      </c>
      <c r="D22" s="251"/>
      <c r="E22" s="1130">
        <v>0</v>
      </c>
      <c r="F22" s="1130"/>
      <c r="G22" s="1130">
        <v>0</v>
      </c>
      <c r="H22" s="251"/>
      <c r="I22" s="251">
        <f>SUM(C22:G22)</f>
        <v>0</v>
      </c>
      <c r="J22" s="251"/>
      <c r="K22" s="1304">
        <f t="shared" si="3"/>
        <v>11</v>
      </c>
    </row>
    <row r="23" spans="1:11" x14ac:dyDescent="0.35">
      <c r="A23" s="2089">
        <f t="shared" si="2"/>
        <v>12</v>
      </c>
      <c r="C23" s="1875">
        <v>0</v>
      </c>
      <c r="D23" s="1875"/>
      <c r="E23" s="1130">
        <v>0</v>
      </c>
      <c r="F23" s="1130"/>
      <c r="G23" s="1130">
        <v>0</v>
      </c>
      <c r="H23" s="1875"/>
      <c r="I23" s="1875">
        <f>SUM(C23:G23)</f>
        <v>0</v>
      </c>
      <c r="J23" s="1875"/>
      <c r="K23" s="2089">
        <f t="shared" si="3"/>
        <v>12</v>
      </c>
    </row>
    <row r="24" spans="1:11" x14ac:dyDescent="0.35">
      <c r="A24" s="2089">
        <f t="shared" si="2"/>
        <v>13</v>
      </c>
      <c r="C24" s="1875">
        <v>0</v>
      </c>
      <c r="D24" s="1875"/>
      <c r="E24" s="1130">
        <v>0</v>
      </c>
      <c r="F24" s="1130"/>
      <c r="G24" s="1130">
        <v>0</v>
      </c>
      <c r="H24" s="1875"/>
      <c r="I24" s="1875">
        <f>SUM(C24:G24)</f>
        <v>0</v>
      </c>
      <c r="J24" s="1875"/>
      <c r="K24" s="2089">
        <f t="shared" si="3"/>
        <v>13</v>
      </c>
    </row>
    <row r="25" spans="1:11" ht="16" thickBot="1" x14ac:dyDescent="0.4">
      <c r="A25" s="2089">
        <f t="shared" si="2"/>
        <v>14</v>
      </c>
      <c r="B25" s="944" t="s">
        <v>847</v>
      </c>
      <c r="C25" s="252">
        <f>SUM(C21:C24)</f>
        <v>-791983.35212894727</v>
      </c>
      <c r="D25" s="1875"/>
      <c r="E25" s="1959">
        <f>SUM(E21:E24)</f>
        <v>51975.74636110678</v>
      </c>
      <c r="F25" s="1960"/>
      <c r="G25" s="1959">
        <f>SUM(G21:G24)</f>
        <v>-414570.46604081639</v>
      </c>
      <c r="H25" s="1875"/>
      <c r="I25" s="252">
        <f>SUM(I21:I24)</f>
        <v>-1154578.0718086569</v>
      </c>
      <c r="J25" s="1881" t="s">
        <v>1216</v>
      </c>
      <c r="K25" s="2089">
        <f t="shared" si="3"/>
        <v>14</v>
      </c>
    </row>
    <row r="26" spans="1:11" ht="16" thickTop="1" x14ac:dyDescent="0.35">
      <c r="A26" s="2089">
        <f t="shared" si="2"/>
        <v>15</v>
      </c>
      <c r="E26" s="1399"/>
      <c r="F26" s="1399"/>
      <c r="G26" s="1399"/>
      <c r="K26" s="2089">
        <f t="shared" si="3"/>
        <v>15</v>
      </c>
    </row>
    <row r="27" spans="1:11" x14ac:dyDescent="0.35">
      <c r="A27" s="2089">
        <f t="shared" si="2"/>
        <v>16</v>
      </c>
      <c r="B27" s="939" t="s">
        <v>656</v>
      </c>
      <c r="C27" s="254"/>
      <c r="D27" s="254"/>
      <c r="E27" s="1958"/>
      <c r="F27" s="1958"/>
      <c r="G27" s="1958"/>
      <c r="H27" s="254"/>
      <c r="I27" s="1878"/>
      <c r="J27" s="1950"/>
      <c r="K27" s="2089">
        <f t="shared" si="3"/>
        <v>16</v>
      </c>
    </row>
    <row r="28" spans="1:11" x14ac:dyDescent="0.35">
      <c r="A28" s="2089">
        <f t="shared" si="2"/>
        <v>17</v>
      </c>
      <c r="B28" s="2098" t="s">
        <v>1582</v>
      </c>
      <c r="C28" s="249">
        <v>-7891.472320000008</v>
      </c>
      <c r="D28" s="249"/>
      <c r="E28" s="1297">
        <f>SUM('Order 864-3'!M21:M22)</f>
        <v>0</v>
      </c>
      <c r="F28" s="1297"/>
      <c r="G28" s="1297">
        <f>SUM('Order 864-3'!N21:N22)</f>
        <v>0</v>
      </c>
      <c r="H28" s="242"/>
      <c r="I28" s="242">
        <f>SUM(C28:G28)</f>
        <v>-7891.472320000008</v>
      </c>
      <c r="J28" s="1880" t="s">
        <v>1723</v>
      </c>
      <c r="K28" s="2089">
        <f t="shared" si="3"/>
        <v>17</v>
      </c>
    </row>
    <row r="29" spans="1:11" x14ac:dyDescent="0.35">
      <c r="A29" s="2089">
        <f t="shared" si="2"/>
        <v>18</v>
      </c>
      <c r="B29" s="939"/>
      <c r="C29" s="251">
        <v>0</v>
      </c>
      <c r="D29" s="1875"/>
      <c r="E29" s="1130">
        <v>0</v>
      </c>
      <c r="F29" s="1130"/>
      <c r="G29" s="1130">
        <v>0</v>
      </c>
      <c r="H29" s="1875"/>
      <c r="I29" s="1875">
        <f>SUM(C29:G29)</f>
        <v>0</v>
      </c>
      <c r="J29" s="1950"/>
      <c r="K29" s="2089">
        <f t="shared" si="3"/>
        <v>18</v>
      </c>
    </row>
    <row r="30" spans="1:11" x14ac:dyDescent="0.35">
      <c r="A30" s="2089">
        <f t="shared" si="2"/>
        <v>19</v>
      </c>
      <c r="B30" s="939"/>
      <c r="C30" s="1875">
        <v>0</v>
      </c>
      <c r="D30" s="1875"/>
      <c r="E30" s="1130">
        <v>0</v>
      </c>
      <c r="F30" s="1130"/>
      <c r="G30" s="1130">
        <v>0</v>
      </c>
      <c r="H30" s="1875"/>
      <c r="I30" s="1875">
        <f>SUM(C30:G30)</f>
        <v>0</v>
      </c>
      <c r="J30" s="1875"/>
      <c r="K30" s="2089">
        <f t="shared" si="3"/>
        <v>19</v>
      </c>
    </row>
    <row r="31" spans="1:11" x14ac:dyDescent="0.35">
      <c r="A31" s="2089">
        <f t="shared" si="2"/>
        <v>20</v>
      </c>
      <c r="B31" s="939"/>
      <c r="C31" s="1875">
        <v>0</v>
      </c>
      <c r="D31" s="1875"/>
      <c r="E31" s="1130">
        <v>0</v>
      </c>
      <c r="F31" s="1130"/>
      <c r="G31" s="1130">
        <v>0</v>
      </c>
      <c r="H31" s="1875"/>
      <c r="I31" s="1875">
        <f>SUM(C31:G31)</f>
        <v>0</v>
      </c>
      <c r="J31" s="1875"/>
      <c r="K31" s="2089">
        <f t="shared" si="3"/>
        <v>20</v>
      </c>
    </row>
    <row r="32" spans="1:11" x14ac:dyDescent="0.35">
      <c r="A32" s="2089">
        <f t="shared" si="2"/>
        <v>21</v>
      </c>
      <c r="B32" s="939"/>
      <c r="C32" s="1875">
        <v>0</v>
      </c>
      <c r="D32" s="1875"/>
      <c r="E32" s="251">
        <v>0</v>
      </c>
      <c r="F32" s="251"/>
      <c r="G32" s="251">
        <v>0</v>
      </c>
      <c r="H32" s="1875"/>
      <c r="I32" s="1875">
        <f>SUM(C32:G32)</f>
        <v>0</v>
      </c>
      <c r="J32" s="1875"/>
      <c r="K32" s="2089">
        <f t="shared" si="3"/>
        <v>21</v>
      </c>
    </row>
    <row r="33" spans="1:11" ht="16" thickBot="1" x14ac:dyDescent="0.4">
      <c r="A33" s="2089">
        <f t="shared" si="2"/>
        <v>22</v>
      </c>
      <c r="B33" s="944" t="s">
        <v>848</v>
      </c>
      <c r="C33" s="252">
        <f>SUM(C28:C32)</f>
        <v>-7891.472320000008</v>
      </c>
      <c r="D33" s="1875"/>
      <c r="E33" s="1959">
        <f>SUM(E28:E32)</f>
        <v>0</v>
      </c>
      <c r="F33" s="1960"/>
      <c r="G33" s="1959">
        <f>SUM(G28:G32)</f>
        <v>0</v>
      </c>
      <c r="H33" s="1875"/>
      <c r="I33" s="252">
        <f>SUM(I28:I32)</f>
        <v>-7891.472320000008</v>
      </c>
      <c r="J33" s="1881" t="s">
        <v>1217</v>
      </c>
      <c r="K33" s="2089">
        <f t="shared" si="3"/>
        <v>22</v>
      </c>
    </row>
    <row r="34" spans="1:11" ht="16" thickTop="1" x14ac:dyDescent="0.35">
      <c r="A34" s="2089">
        <f t="shared" si="2"/>
        <v>23</v>
      </c>
      <c r="K34" s="2089">
        <f t="shared" si="3"/>
        <v>23</v>
      </c>
    </row>
    <row r="35" spans="1:11" ht="18.5" thickBot="1" x14ac:dyDescent="0.4">
      <c r="A35" s="2089">
        <f t="shared" si="2"/>
        <v>24</v>
      </c>
      <c r="B35" s="2119" t="s">
        <v>1601</v>
      </c>
      <c r="C35" s="252">
        <f>+C18+C25+C33</f>
        <v>-759988.34244713967</v>
      </c>
      <c r="E35" s="1959">
        <f>+E18+E25+E33</f>
        <v>157312.35958862829</v>
      </c>
      <c r="F35" s="1960"/>
      <c r="G35" s="1959">
        <f>+G18+G25+G33</f>
        <v>-414570.46604081639</v>
      </c>
      <c r="I35" s="252">
        <f>+I18+I25+I33</f>
        <v>-1017246.4488993278</v>
      </c>
      <c r="J35" s="1881" t="s">
        <v>1479</v>
      </c>
      <c r="K35" s="2089">
        <f t="shared" si="3"/>
        <v>24</v>
      </c>
    </row>
    <row r="36" spans="1:11" s="2270" customFormat="1" ht="16" thickTop="1" x14ac:dyDescent="0.35">
      <c r="A36" s="2271"/>
      <c r="B36" s="2269"/>
      <c r="C36" s="1876"/>
      <c r="E36" s="1960"/>
      <c r="F36" s="1960"/>
      <c r="G36" s="1960"/>
      <c r="I36" s="1876"/>
      <c r="J36" s="1881"/>
      <c r="K36" s="2271"/>
    </row>
    <row r="38" spans="1:11" ht="18" x14ac:dyDescent="0.35">
      <c r="A38" s="749">
        <v>1</v>
      </c>
      <c r="B38" s="1951" t="s">
        <v>1492</v>
      </c>
    </row>
    <row r="39" spans="1:11" ht="18" x14ac:dyDescent="0.35">
      <c r="A39" s="749">
        <v>2</v>
      </c>
      <c r="B39" s="2097" t="s">
        <v>1583</v>
      </c>
      <c r="C39" s="2097"/>
      <c r="D39" s="2097"/>
      <c r="E39" s="1399"/>
      <c r="F39" s="1399"/>
      <c r="G39" s="1399"/>
      <c r="H39" s="2097"/>
      <c r="I39" s="2097"/>
      <c r="J39" s="2097"/>
    </row>
    <row r="40" spans="1:11" ht="18" x14ac:dyDescent="0.35">
      <c r="A40" s="749">
        <v>3</v>
      </c>
      <c r="B40" s="2097" t="s">
        <v>1584</v>
      </c>
      <c r="C40" s="2097"/>
      <c r="D40" s="2097"/>
      <c r="E40" s="1399"/>
      <c r="F40" s="1399"/>
      <c r="G40" s="1399"/>
      <c r="H40" s="2097"/>
      <c r="I40" s="2097"/>
      <c r="J40" s="2097"/>
    </row>
    <row r="41" spans="1:11" ht="19.5" customHeight="1" x14ac:dyDescent="0.35">
      <c r="A41" s="749">
        <v>4</v>
      </c>
      <c r="B41" s="1345" t="s">
        <v>1831</v>
      </c>
      <c r="C41" s="2224"/>
      <c r="D41" s="2224"/>
      <c r="E41" s="2224"/>
      <c r="F41" s="2224"/>
      <c r="G41" s="2224"/>
      <c r="H41" s="2224"/>
      <c r="I41" s="2224"/>
      <c r="J41" s="2224"/>
    </row>
    <row r="42" spans="1:11" x14ac:dyDescent="0.35">
      <c r="B42" s="2276" t="s">
        <v>1832</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zoomScale="80" zoomScaleNormal="80" workbookViewId="0"/>
  </sheetViews>
  <sheetFormatPr defaultColWidth="8.90625" defaultRowHeight="15.5" x14ac:dyDescent="0.35"/>
  <cols>
    <col min="1" max="1" width="5.08984375" style="945" customWidth="1"/>
    <col min="2" max="2" width="56.08984375" style="7" customWidth="1"/>
    <col min="3" max="3" width="16.90625" style="7" customWidth="1"/>
    <col min="4" max="4" width="1.54296875" style="331" customWidth="1"/>
    <col min="5" max="5" width="16.90625" style="7" customWidth="1"/>
    <col min="6" max="6" width="1.54296875" style="7" customWidth="1"/>
    <col min="7" max="7" width="15.90625" style="7" customWidth="1"/>
    <col min="8" max="8" width="62.453125" style="7" customWidth="1"/>
    <col min="9" max="9" width="5.08984375" style="945" customWidth="1"/>
    <col min="10" max="16384" width="8.90625" style="7"/>
  </cols>
  <sheetData>
    <row r="2" spans="1:9" x14ac:dyDescent="0.35">
      <c r="B2" s="2289" t="s">
        <v>18</v>
      </c>
      <c r="C2" s="2289"/>
      <c r="D2" s="2289"/>
      <c r="E2" s="2289"/>
      <c r="F2" s="2289"/>
      <c r="G2" s="2289"/>
      <c r="H2" s="2289"/>
    </row>
    <row r="3" spans="1:9" x14ac:dyDescent="0.35">
      <c r="B3" s="2289" t="s">
        <v>653</v>
      </c>
      <c r="C3" s="2289"/>
      <c r="D3" s="2289"/>
      <c r="E3" s="2289"/>
      <c r="F3" s="2289"/>
      <c r="G3" s="2289"/>
      <c r="H3" s="2289"/>
    </row>
    <row r="4" spans="1:9" x14ac:dyDescent="0.35">
      <c r="B4" s="2289" t="s">
        <v>665</v>
      </c>
      <c r="C4" s="2289"/>
      <c r="D4" s="2289"/>
      <c r="E4" s="2289"/>
      <c r="F4" s="2289"/>
      <c r="G4" s="2289"/>
      <c r="H4" s="2289"/>
    </row>
    <row r="5" spans="1:9" x14ac:dyDescent="0.35">
      <c r="B5" s="2289" t="s">
        <v>1600</v>
      </c>
      <c r="C5" s="2289"/>
      <c r="D5" s="2289"/>
      <c r="E5" s="2289"/>
      <c r="F5" s="2289"/>
      <c r="G5" s="2289"/>
      <c r="H5" s="2289"/>
    </row>
    <row r="6" spans="1:9" ht="15.75" customHeight="1" x14ac:dyDescent="0.35">
      <c r="B6" s="2291" t="s">
        <v>2</v>
      </c>
      <c r="C6" s="2291"/>
      <c r="D6" s="2291"/>
      <c r="E6" s="2291"/>
      <c r="F6" s="2291"/>
      <c r="G6" s="2291"/>
      <c r="H6" s="2291"/>
    </row>
    <row r="8" spans="1:9" x14ac:dyDescent="0.35">
      <c r="A8" s="945" t="s">
        <v>3</v>
      </c>
      <c r="B8" s="220"/>
      <c r="C8" s="1552" t="s">
        <v>4</v>
      </c>
      <c r="D8" s="1552"/>
      <c r="E8" s="1552" t="s">
        <v>5</v>
      </c>
      <c r="F8" s="1553"/>
      <c r="G8" s="1552" t="s">
        <v>6</v>
      </c>
      <c r="H8" s="1552"/>
      <c r="I8" s="945" t="s">
        <v>3</v>
      </c>
    </row>
    <row r="9" spans="1:9" x14ac:dyDescent="0.35">
      <c r="A9" s="946" t="s">
        <v>25</v>
      </c>
      <c r="B9" s="940" t="s">
        <v>74</v>
      </c>
      <c r="C9" s="941">
        <f>'Stmt AD'!E9</f>
        <v>44196</v>
      </c>
      <c r="D9" s="947"/>
      <c r="E9" s="941">
        <f>'Stmt AD'!G9</f>
        <v>44561</v>
      </c>
      <c r="F9" s="948"/>
      <c r="G9" s="940" t="s">
        <v>8</v>
      </c>
      <c r="H9" s="940" t="s">
        <v>9</v>
      </c>
      <c r="I9" s="946" t="s">
        <v>25</v>
      </c>
    </row>
    <row r="10" spans="1:9" x14ac:dyDescent="0.35">
      <c r="B10" s="220"/>
      <c r="C10" s="220"/>
      <c r="D10" s="297"/>
      <c r="E10" s="220"/>
      <c r="F10" s="1553"/>
      <c r="G10" s="1553"/>
      <c r="H10" s="1553"/>
      <c r="I10" s="1569"/>
    </row>
    <row r="11" spans="1:9" ht="16" thickBot="1" x14ac:dyDescent="0.4">
      <c r="A11" s="945">
        <v>1</v>
      </c>
      <c r="B11" s="220" t="s">
        <v>124</v>
      </c>
      <c r="C11" s="348">
        <v>0</v>
      </c>
      <c r="D11" s="256"/>
      <c r="E11" s="348">
        <v>0</v>
      </c>
      <c r="F11" s="235"/>
      <c r="G11" s="245">
        <f>(C11+E11)/2</f>
        <v>0</v>
      </c>
      <c r="H11" s="1538" t="s">
        <v>1602</v>
      </c>
      <c r="I11" s="1569">
        <f>A11</f>
        <v>1</v>
      </c>
    </row>
    <row r="12" spans="1:9" ht="16" thickTop="1" x14ac:dyDescent="0.35">
      <c r="A12" s="945">
        <f>A11+1</f>
        <v>2</v>
      </c>
      <c r="B12" s="220"/>
      <c r="C12" s="242"/>
      <c r="D12" s="256"/>
      <c r="E12" s="242"/>
      <c r="F12" s="242"/>
      <c r="G12" s="242"/>
      <c r="H12" s="242"/>
      <c r="I12" s="1569">
        <f>I11+1</f>
        <v>2</v>
      </c>
    </row>
    <row r="13" spans="1:9" ht="16" thickBot="1" x14ac:dyDescent="0.4">
      <c r="A13" s="945">
        <f t="shared" ref="A13:A15" si="0">A12+1</f>
        <v>3</v>
      </c>
      <c r="B13" s="220" t="s">
        <v>125</v>
      </c>
      <c r="C13" s="348">
        <v>0</v>
      </c>
      <c r="D13" s="256"/>
      <c r="E13" s="348">
        <v>0</v>
      </c>
      <c r="F13" s="235"/>
      <c r="G13" s="245">
        <f>(C13+E13)/2</f>
        <v>0</v>
      </c>
      <c r="H13" s="1538" t="s">
        <v>1602</v>
      </c>
      <c r="I13" s="1569">
        <f t="shared" ref="I13:I15" si="1">I12+1</f>
        <v>3</v>
      </c>
    </row>
    <row r="14" spans="1:9" ht="16" thickTop="1" x14ac:dyDescent="0.35">
      <c r="A14" s="945">
        <f t="shared" si="0"/>
        <v>4</v>
      </c>
      <c r="B14" s="220"/>
      <c r="C14" s="235"/>
      <c r="D14" s="256"/>
      <c r="E14" s="235"/>
      <c r="F14" s="235"/>
      <c r="G14" s="235"/>
      <c r="H14" s="1538"/>
      <c r="I14" s="1569">
        <f t="shared" si="1"/>
        <v>4</v>
      </c>
    </row>
    <row r="15" spans="1:9" ht="16" thickBot="1" x14ac:dyDescent="0.4">
      <c r="A15" s="945">
        <f t="shared" si="0"/>
        <v>5</v>
      </c>
      <c r="B15" s="220" t="s">
        <v>126</v>
      </c>
      <c r="C15" s="348">
        <v>0</v>
      </c>
      <c r="D15" s="256"/>
      <c r="E15" s="348">
        <v>0</v>
      </c>
      <c r="F15" s="235"/>
      <c r="G15" s="245">
        <f>(C15+E15)/2</f>
        <v>0</v>
      </c>
      <c r="H15" s="1538" t="s">
        <v>1602</v>
      </c>
      <c r="I15" s="1569">
        <f t="shared" si="1"/>
        <v>5</v>
      </c>
    </row>
    <row r="16" spans="1:9" ht="16" thickTop="1" x14ac:dyDescent="0.35">
      <c r="B16" s="220"/>
      <c r="C16" s="950"/>
      <c r="D16" s="951"/>
      <c r="E16" s="950"/>
      <c r="F16" s="950"/>
      <c r="G16" s="950"/>
      <c r="H16" s="950"/>
      <c r="I16" s="1569"/>
    </row>
    <row r="17" spans="2:9" x14ac:dyDescent="0.35">
      <c r="B17" s="220"/>
      <c r="C17" s="952"/>
      <c r="D17" s="256"/>
      <c r="E17" s="952"/>
      <c r="F17" s="952"/>
      <c r="G17" s="952"/>
      <c r="H17" s="952"/>
      <c r="I17" s="1569"/>
    </row>
    <row r="18" spans="2:9" x14ac:dyDescent="0.35">
      <c r="B18" s="953"/>
      <c r="C18" s="220"/>
      <c r="D18" s="297"/>
      <c r="E18" s="952"/>
      <c r="F18" s="952"/>
      <c r="G18" s="952"/>
      <c r="H18" s="952"/>
      <c r="I18" s="1569"/>
    </row>
    <row r="19" spans="2:9" x14ac:dyDescent="0.35">
      <c r="B19" s="220"/>
      <c r="C19" s="220"/>
      <c r="D19" s="297"/>
      <c r="E19" s="220"/>
      <c r="F19" s="1553"/>
      <c r="G19" s="1553"/>
      <c r="H19" s="1553"/>
      <c r="I19" s="1569"/>
    </row>
    <row r="28" spans="2:9" x14ac:dyDescent="0.35">
      <c r="B28" s="954"/>
      <c r="D28" s="7"/>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zoomScale="80" zoomScaleNormal="80" workbookViewId="0"/>
  </sheetViews>
  <sheetFormatPr defaultColWidth="9.08984375" defaultRowHeight="15.5" x14ac:dyDescent="0.35"/>
  <cols>
    <col min="1" max="1" width="5.08984375" style="182" bestFit="1" customWidth="1"/>
    <col min="2" max="2" width="50.90625" style="79" customWidth="1"/>
    <col min="3" max="3" width="24" style="79" customWidth="1"/>
    <col min="4" max="4" width="1.54296875" style="79" customWidth="1"/>
    <col min="5" max="5" width="16.90625" style="79" customWidth="1"/>
    <col min="6" max="6" width="1.54296875" style="79" customWidth="1"/>
    <col min="7" max="7" width="34.54296875" style="79" customWidth="1"/>
    <col min="8" max="8" width="5.08984375" style="79" bestFit="1" customWidth="1"/>
    <col min="9" max="9" width="9.08984375" style="79"/>
    <col min="10" max="10" width="20.453125" style="79" bestFit="1" customWidth="1"/>
    <col min="11" max="16384" width="9.08984375" style="79"/>
  </cols>
  <sheetData>
    <row r="1" spans="1:8" x14ac:dyDescent="0.35">
      <c r="A1" s="367"/>
      <c r="E1" s="182"/>
      <c r="F1" s="182"/>
      <c r="G1" s="182"/>
      <c r="H1" s="367"/>
    </row>
    <row r="2" spans="1:8" x14ac:dyDescent="0.35">
      <c r="A2" s="367"/>
      <c r="B2" s="2288" t="s">
        <v>18</v>
      </c>
      <c r="C2" s="2288"/>
      <c r="D2" s="2288"/>
      <c r="E2" s="2289"/>
      <c r="F2" s="2289"/>
      <c r="G2" s="2289"/>
      <c r="H2" s="367"/>
    </row>
    <row r="3" spans="1:8" x14ac:dyDescent="0.35">
      <c r="A3" s="367"/>
      <c r="B3" s="2288" t="s">
        <v>1325</v>
      </c>
      <c r="C3" s="2288"/>
      <c r="D3" s="2288"/>
      <c r="E3" s="2289"/>
      <c r="F3" s="2289"/>
      <c r="G3" s="2289"/>
      <c r="H3" s="367"/>
    </row>
    <row r="4" spans="1:8" x14ac:dyDescent="0.35">
      <c r="A4" s="367"/>
      <c r="B4" s="2288" t="s">
        <v>127</v>
      </c>
      <c r="C4" s="2288"/>
      <c r="D4" s="2288"/>
      <c r="E4" s="2289"/>
      <c r="F4" s="2289"/>
      <c r="G4" s="2289"/>
      <c r="H4" s="367"/>
    </row>
    <row r="5" spans="1:8" x14ac:dyDescent="0.35">
      <c r="A5" s="367"/>
      <c r="B5" s="2293" t="str">
        <f>'Stmt AD'!B5</f>
        <v>Base Period &amp; True-Up Period 12 - Months Ending December 31, 2021</v>
      </c>
      <c r="C5" s="2293"/>
      <c r="D5" s="2293"/>
      <c r="E5" s="2293"/>
      <c r="F5" s="2293"/>
      <c r="G5" s="2293"/>
      <c r="H5" s="367"/>
    </row>
    <row r="6" spans="1:8" x14ac:dyDescent="0.35">
      <c r="A6" s="367"/>
      <c r="B6" s="2291" t="s">
        <v>2</v>
      </c>
      <c r="C6" s="2278"/>
      <c r="D6" s="2278"/>
      <c r="E6" s="2278"/>
      <c r="F6" s="2278"/>
      <c r="G6" s="2278"/>
      <c r="H6" s="367"/>
    </row>
    <row r="7" spans="1:8" x14ac:dyDescent="0.35">
      <c r="A7" s="367"/>
      <c r="B7" s="367"/>
      <c r="C7" s="367"/>
      <c r="D7" s="367"/>
      <c r="E7" s="182"/>
      <c r="F7" s="182"/>
      <c r="G7" s="182"/>
      <c r="H7" s="367"/>
    </row>
    <row r="8" spans="1:8" x14ac:dyDescent="0.35">
      <c r="A8" s="367" t="s">
        <v>3</v>
      </c>
      <c r="B8" s="729"/>
      <c r="C8" s="236" t="s">
        <v>648</v>
      </c>
      <c r="D8" s="729"/>
      <c r="E8" s="955"/>
      <c r="F8" s="182"/>
      <c r="G8" s="182"/>
      <c r="H8" s="367" t="s">
        <v>3</v>
      </c>
    </row>
    <row r="9" spans="1:8" x14ac:dyDescent="0.35">
      <c r="A9" s="731" t="s">
        <v>25</v>
      </c>
      <c r="C9" s="732" t="s">
        <v>646</v>
      </c>
      <c r="E9" s="735" t="s">
        <v>8</v>
      </c>
      <c r="F9" s="729"/>
      <c r="G9" s="89" t="s">
        <v>9</v>
      </c>
      <c r="H9" s="731" t="s">
        <v>25</v>
      </c>
    </row>
    <row r="10" spans="1:8" x14ac:dyDescent="0.35">
      <c r="A10" s="731"/>
      <c r="E10" s="367"/>
      <c r="F10" s="182"/>
      <c r="G10" s="182"/>
      <c r="H10" s="731"/>
    </row>
    <row r="11" spans="1:8" ht="18.5" thickBot="1" x14ac:dyDescent="0.4">
      <c r="A11" s="367">
        <f>A10+1</f>
        <v>1</v>
      </c>
      <c r="B11" s="690" t="s">
        <v>718</v>
      </c>
      <c r="C11" s="234">
        <v>214</v>
      </c>
      <c r="E11" s="257">
        <f>'AG-1'!C31</f>
        <v>0</v>
      </c>
      <c r="F11" s="201"/>
      <c r="G11" s="182" t="s">
        <v>1147</v>
      </c>
      <c r="H11" s="367">
        <f>A11</f>
        <v>1</v>
      </c>
    </row>
    <row r="12" spans="1:8" ht="16" thickTop="1" x14ac:dyDescent="0.35">
      <c r="A12" s="367"/>
      <c r="D12" s="81"/>
      <c r="E12" s="118"/>
      <c r="F12" s="81"/>
      <c r="H12" s="367"/>
    </row>
    <row r="13" spans="1:8" x14ac:dyDescent="0.35">
      <c r="D13" s="81"/>
      <c r="E13" s="81"/>
      <c r="F13" s="81"/>
      <c r="H13" s="182"/>
    </row>
    <row r="14" spans="1:8" ht="18" x14ac:dyDescent="0.35">
      <c r="A14" s="749" t="s">
        <v>128</v>
      </c>
      <c r="B14" s="79" t="s">
        <v>1725</v>
      </c>
      <c r="H14" s="182"/>
    </row>
    <row r="15" spans="1:8" x14ac:dyDescent="0.35">
      <c r="B15" s="79" t="s">
        <v>1724</v>
      </c>
      <c r="H15" s="182"/>
    </row>
    <row r="18" spans="1:2" x14ac:dyDescent="0.35">
      <c r="A18" s="201"/>
      <c r="B18" s="88"/>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N35"/>
  <sheetViews>
    <sheetView zoomScale="80" zoomScaleNormal="80" workbookViewId="0"/>
  </sheetViews>
  <sheetFormatPr defaultColWidth="8.90625" defaultRowHeight="15.5" x14ac:dyDescent="0.35"/>
  <cols>
    <col min="1" max="1" width="5.08984375" style="182" customWidth="1"/>
    <col min="2" max="2" width="35.08984375" style="79" customWidth="1"/>
    <col min="3" max="3" width="18.54296875" style="79" customWidth="1"/>
    <col min="4" max="4" width="62.54296875" style="79" customWidth="1"/>
    <col min="5" max="5" width="5.08984375" style="79" customWidth="1"/>
    <col min="6" max="9" width="8.90625" style="79"/>
    <col min="10" max="10" width="12.90625" style="79" bestFit="1" customWidth="1"/>
    <col min="11" max="11" width="8.90625" style="79"/>
    <col min="12" max="12" width="14" style="79" bestFit="1" customWidth="1"/>
    <col min="13" max="16384" width="8.90625" style="79"/>
  </cols>
  <sheetData>
    <row r="2" spans="1:14" s="88" customFormat="1" ht="15" x14ac:dyDescent="0.35">
      <c r="A2" s="728"/>
      <c r="B2" s="2289" t="s">
        <v>18</v>
      </c>
      <c r="C2" s="2289"/>
      <c r="D2" s="2289"/>
    </row>
    <row r="3" spans="1:14" s="88" customFormat="1" ht="15" x14ac:dyDescent="0.35">
      <c r="A3" s="728"/>
      <c r="B3" s="2289" t="s">
        <v>129</v>
      </c>
      <c r="C3" s="2289"/>
      <c r="D3" s="2289"/>
    </row>
    <row r="4" spans="1:14" s="88" customFormat="1" ht="15" x14ac:dyDescent="0.35">
      <c r="A4" s="728"/>
      <c r="B4" s="2289" t="s">
        <v>130</v>
      </c>
      <c r="C4" s="2289"/>
      <c r="D4" s="2289"/>
    </row>
    <row r="5" spans="1:14" s="88" customFormat="1" ht="15" x14ac:dyDescent="0.35">
      <c r="A5" s="728"/>
      <c r="B5" s="2289" t="s">
        <v>131</v>
      </c>
      <c r="C5" s="2289"/>
      <c r="D5" s="2289"/>
    </row>
    <row r="6" spans="1:14" s="88" customFormat="1" ht="15" x14ac:dyDescent="0.35">
      <c r="A6" s="728"/>
      <c r="B6" s="2289" t="s">
        <v>1603</v>
      </c>
      <c r="C6" s="2289"/>
      <c r="D6" s="2289"/>
    </row>
    <row r="7" spans="1:14" s="88" customFormat="1" ht="15" x14ac:dyDescent="0.35">
      <c r="A7" s="728"/>
      <c r="B7" s="2292" t="s">
        <v>2</v>
      </c>
      <c r="C7" s="2292"/>
      <c r="D7" s="2292"/>
    </row>
    <row r="8" spans="1:14" s="88" customFormat="1" ht="15" x14ac:dyDescent="0.35">
      <c r="A8" s="728"/>
      <c r="B8" s="752"/>
      <c r="C8" s="752"/>
      <c r="D8" s="752"/>
    </row>
    <row r="9" spans="1:14" s="88" customFormat="1" ht="15" x14ac:dyDescent="0.35">
      <c r="A9" s="728"/>
      <c r="B9" s="2289" t="s">
        <v>59</v>
      </c>
      <c r="C9" s="2289"/>
      <c r="D9" s="2289"/>
    </row>
    <row r="10" spans="1:14" x14ac:dyDescent="0.35">
      <c r="B10" s="956"/>
      <c r="C10" s="957"/>
      <c r="D10" s="957"/>
      <c r="E10" s="182"/>
      <c r="H10" s="81"/>
      <c r="I10" s="81"/>
      <c r="J10" s="81"/>
      <c r="K10" s="81"/>
      <c r="L10" s="81"/>
      <c r="M10" s="81"/>
      <c r="N10" s="81"/>
    </row>
    <row r="11" spans="1:14" x14ac:dyDescent="0.35">
      <c r="B11" s="756"/>
      <c r="C11" s="840" t="s">
        <v>61</v>
      </c>
      <c r="D11" s="798"/>
      <c r="E11" s="182"/>
      <c r="H11" s="81"/>
      <c r="I11" s="81"/>
      <c r="J11" s="81"/>
      <c r="K11" s="81"/>
      <c r="L11" s="81"/>
      <c r="M11" s="81"/>
      <c r="N11" s="81"/>
    </row>
    <row r="12" spans="1:14" x14ac:dyDescent="0.35">
      <c r="A12" s="182" t="s">
        <v>3</v>
      </c>
      <c r="B12" s="827"/>
      <c r="C12" s="799" t="s">
        <v>815</v>
      </c>
      <c r="D12" s="843"/>
      <c r="E12" s="763" t="s">
        <v>3</v>
      </c>
      <c r="H12" s="958"/>
      <c r="I12" s="958"/>
      <c r="J12" s="958"/>
      <c r="K12" s="958"/>
      <c r="L12" s="958"/>
      <c r="M12" s="958"/>
      <c r="N12" s="81"/>
    </row>
    <row r="13" spans="1:14" x14ac:dyDescent="0.35">
      <c r="A13" s="182" t="s">
        <v>25</v>
      </c>
      <c r="B13" s="766" t="s">
        <v>23</v>
      </c>
      <c r="C13" s="875" t="s">
        <v>816</v>
      </c>
      <c r="D13" s="766" t="s">
        <v>9</v>
      </c>
      <c r="E13" s="763" t="s">
        <v>25</v>
      </c>
      <c r="H13" s="958"/>
      <c r="I13" s="109"/>
      <c r="J13" s="109"/>
      <c r="K13" s="595"/>
      <c r="L13" s="109"/>
      <c r="M13" s="958"/>
      <c r="N13" s="81"/>
    </row>
    <row r="14" spans="1:14" x14ac:dyDescent="0.35">
      <c r="A14" s="182">
        <v>1</v>
      </c>
      <c r="B14" s="1747" t="str">
        <f>'AE-1'!B14</f>
        <v>Dec-20</v>
      </c>
      <c r="C14" s="258">
        <v>0</v>
      </c>
      <c r="D14" s="972" t="s">
        <v>647</v>
      </c>
      <c r="E14" s="763">
        <f>A14</f>
        <v>1</v>
      </c>
      <c r="G14" s="95"/>
      <c r="H14" s="958"/>
      <c r="I14" s="595"/>
      <c r="J14" s="595"/>
      <c r="K14" s="595"/>
      <c r="L14" s="958"/>
      <c r="M14" s="958"/>
      <c r="N14" s="81"/>
    </row>
    <row r="15" spans="1:14" x14ac:dyDescent="0.35">
      <c r="A15" s="182">
        <f>A14+1</f>
        <v>2</v>
      </c>
      <c r="B15" s="1747" t="str">
        <f>'AE-1'!B15</f>
        <v>Jan-21</v>
      </c>
      <c r="C15" s="167">
        <v>0</v>
      </c>
      <c r="D15" s="167"/>
      <c r="E15" s="763">
        <f>E14+1</f>
        <v>2</v>
      </c>
      <c r="G15" s="95"/>
      <c r="H15" s="958"/>
      <c r="I15" s="595"/>
      <c r="J15" s="595"/>
      <c r="K15" s="595"/>
      <c r="L15" s="958"/>
      <c r="M15" s="958"/>
      <c r="N15" s="81"/>
    </row>
    <row r="16" spans="1:14" x14ac:dyDescent="0.35">
      <c r="A16" s="182">
        <f t="shared" ref="A16:A32" si="0">A15+1</f>
        <v>3</v>
      </c>
      <c r="B16" s="959" t="s">
        <v>37</v>
      </c>
      <c r="C16" s="167">
        <v>0</v>
      </c>
      <c r="D16" s="167"/>
      <c r="E16" s="763">
        <f t="shared" ref="E16:E32" si="1">E15+1</f>
        <v>3</v>
      </c>
      <c r="G16" s="95"/>
      <c r="H16" s="958"/>
      <c r="I16" s="595"/>
      <c r="J16" s="595"/>
      <c r="K16" s="595"/>
      <c r="L16" s="958"/>
      <c r="M16" s="958"/>
      <c r="N16" s="81"/>
    </row>
    <row r="17" spans="1:14" x14ac:dyDescent="0.35">
      <c r="A17" s="182">
        <f t="shared" si="0"/>
        <v>4</v>
      </c>
      <c r="B17" s="959" t="s">
        <v>38</v>
      </c>
      <c r="C17" s="167">
        <v>0</v>
      </c>
      <c r="D17" s="167"/>
      <c r="E17" s="763">
        <f t="shared" si="1"/>
        <v>4</v>
      </c>
      <c r="H17" s="958"/>
      <c r="I17" s="595"/>
      <c r="J17" s="960"/>
      <c r="K17" s="595"/>
      <c r="L17" s="958"/>
      <c r="M17" s="958"/>
      <c r="N17" s="81"/>
    </row>
    <row r="18" spans="1:14" x14ac:dyDescent="0.35">
      <c r="A18" s="182">
        <f t="shared" si="0"/>
        <v>5</v>
      </c>
      <c r="B18" s="959" t="s">
        <v>39</v>
      </c>
      <c r="C18" s="167">
        <v>0</v>
      </c>
      <c r="D18" s="167"/>
      <c r="E18" s="763">
        <f t="shared" si="1"/>
        <v>5</v>
      </c>
      <c r="H18" s="958"/>
      <c r="I18" s="595"/>
      <c r="J18" s="960"/>
      <c r="K18" s="595"/>
      <c r="L18" s="958"/>
      <c r="M18" s="958"/>
      <c r="N18" s="81"/>
    </row>
    <row r="19" spans="1:14" x14ac:dyDescent="0.35">
      <c r="A19" s="182">
        <f t="shared" si="0"/>
        <v>6</v>
      </c>
      <c r="B19" s="959" t="s">
        <v>40</v>
      </c>
      <c r="C19" s="167">
        <v>0</v>
      </c>
      <c r="D19" s="167"/>
      <c r="E19" s="763">
        <f t="shared" si="1"/>
        <v>6</v>
      </c>
      <c r="H19" s="958"/>
      <c r="I19" s="960"/>
      <c r="J19" s="960"/>
      <c r="K19" s="961"/>
      <c r="L19" s="962"/>
      <c r="M19" s="958"/>
      <c r="N19" s="81"/>
    </row>
    <row r="20" spans="1:14" x14ac:dyDescent="0.35">
      <c r="A20" s="182">
        <f>A19+1</f>
        <v>7</v>
      </c>
      <c r="B20" s="959" t="s">
        <v>41</v>
      </c>
      <c r="C20" s="167">
        <v>0</v>
      </c>
      <c r="D20" s="167"/>
      <c r="E20" s="763">
        <f>E19+1</f>
        <v>7</v>
      </c>
      <c r="H20" s="958"/>
      <c r="I20" s="963"/>
      <c r="J20" s="964"/>
      <c r="K20" s="965"/>
      <c r="L20" s="966"/>
      <c r="M20" s="958"/>
      <c r="N20" s="81"/>
    </row>
    <row r="21" spans="1:14" x14ac:dyDescent="0.35">
      <c r="A21" s="182">
        <f t="shared" si="0"/>
        <v>8</v>
      </c>
      <c r="B21" s="959" t="s">
        <v>42</v>
      </c>
      <c r="C21" s="167">
        <v>0</v>
      </c>
      <c r="D21" s="167"/>
      <c r="E21" s="763">
        <f t="shared" si="1"/>
        <v>8</v>
      </c>
      <c r="H21" s="958"/>
      <c r="I21" s="967"/>
      <c r="J21" s="967"/>
      <c r="K21" s="962"/>
      <c r="L21" s="962"/>
      <c r="M21" s="958"/>
      <c r="N21" s="81"/>
    </row>
    <row r="22" spans="1:14" x14ac:dyDescent="0.35">
      <c r="A22" s="182">
        <f t="shared" si="0"/>
        <v>9</v>
      </c>
      <c r="B22" s="959" t="s">
        <v>43</v>
      </c>
      <c r="C22" s="167">
        <v>0</v>
      </c>
      <c r="D22" s="167"/>
      <c r="E22" s="763">
        <f t="shared" si="1"/>
        <v>9</v>
      </c>
      <c r="H22" s="958"/>
      <c r="I22" s="963"/>
      <c r="J22" s="964"/>
      <c r="K22" s="968"/>
      <c r="L22" s="966"/>
      <c r="M22" s="958"/>
      <c r="N22" s="81"/>
    </row>
    <row r="23" spans="1:14" x14ac:dyDescent="0.35">
      <c r="A23" s="182">
        <f t="shared" si="0"/>
        <v>10</v>
      </c>
      <c r="B23" s="959" t="s">
        <v>44</v>
      </c>
      <c r="C23" s="167">
        <v>0</v>
      </c>
      <c r="D23" s="167"/>
      <c r="E23" s="763">
        <f t="shared" si="1"/>
        <v>10</v>
      </c>
      <c r="H23" s="958"/>
      <c r="I23" s="109"/>
      <c r="J23" s="109"/>
      <c r="K23" s="962"/>
      <c r="L23" s="962"/>
      <c r="M23" s="958"/>
      <c r="N23" s="81"/>
    </row>
    <row r="24" spans="1:14" x14ac:dyDescent="0.35">
      <c r="A24" s="182">
        <f t="shared" si="0"/>
        <v>11</v>
      </c>
      <c r="B24" s="959" t="s">
        <v>45</v>
      </c>
      <c r="C24" s="167">
        <v>0</v>
      </c>
      <c r="D24" s="167"/>
      <c r="E24" s="763">
        <f t="shared" si="1"/>
        <v>11</v>
      </c>
      <c r="H24" s="958"/>
      <c r="I24" s="109"/>
      <c r="J24" s="109"/>
      <c r="K24" s="969"/>
      <c r="L24" s="970"/>
      <c r="M24" s="958"/>
      <c r="N24" s="81"/>
    </row>
    <row r="25" spans="1:14" x14ac:dyDescent="0.35">
      <c r="A25" s="182">
        <f t="shared" si="0"/>
        <v>12</v>
      </c>
      <c r="B25" s="959" t="s">
        <v>46</v>
      </c>
      <c r="C25" s="167">
        <v>0</v>
      </c>
      <c r="D25" s="167"/>
      <c r="E25" s="763">
        <f t="shared" si="1"/>
        <v>12</v>
      </c>
      <c r="H25" s="958"/>
      <c r="I25" s="109"/>
      <c r="J25" s="109"/>
      <c r="K25" s="969"/>
      <c r="L25" s="970"/>
      <c r="M25" s="958"/>
      <c r="N25" s="81"/>
    </row>
    <row r="26" spans="1:14" x14ac:dyDescent="0.35">
      <c r="A26" s="182">
        <f t="shared" si="0"/>
        <v>13</v>
      </c>
      <c r="B26" s="1748" t="str">
        <f>'AE-1'!B26</f>
        <v>Dec-21</v>
      </c>
      <c r="C26" s="167">
        <v>0</v>
      </c>
      <c r="D26" s="1577" t="s">
        <v>647</v>
      </c>
      <c r="E26" s="763">
        <f t="shared" si="1"/>
        <v>13</v>
      </c>
      <c r="H26" s="958"/>
      <c r="I26" s="109"/>
      <c r="J26" s="109"/>
      <c r="K26" s="707"/>
      <c r="L26" s="820"/>
      <c r="M26" s="958"/>
      <c r="N26" s="81"/>
    </row>
    <row r="27" spans="1:14" x14ac:dyDescent="0.35">
      <c r="A27" s="182">
        <f t="shared" si="0"/>
        <v>14</v>
      </c>
      <c r="B27" s="827"/>
      <c r="C27" s="259"/>
      <c r="D27" s="259"/>
      <c r="E27" s="763">
        <f t="shared" si="1"/>
        <v>14</v>
      </c>
      <c r="H27" s="81"/>
      <c r="I27" s="81"/>
      <c r="J27" s="81"/>
      <c r="K27" s="81"/>
      <c r="L27" s="81"/>
      <c r="M27" s="81"/>
      <c r="N27" s="81"/>
    </row>
    <row r="28" spans="1:14" x14ac:dyDescent="0.35">
      <c r="A28" s="182">
        <f t="shared" si="0"/>
        <v>15</v>
      </c>
      <c r="B28" s="827" t="s">
        <v>47</v>
      </c>
      <c r="C28" s="260">
        <f>SUM(C14:C26)</f>
        <v>0</v>
      </c>
      <c r="D28" s="1602" t="s">
        <v>1146</v>
      </c>
      <c r="E28" s="763">
        <f t="shared" si="1"/>
        <v>15</v>
      </c>
      <c r="H28" s="81"/>
      <c r="I28" s="81"/>
      <c r="J28" s="81"/>
      <c r="K28" s="81"/>
      <c r="L28" s="81"/>
      <c r="M28" s="81"/>
      <c r="N28" s="81"/>
    </row>
    <row r="29" spans="1:14" x14ac:dyDescent="0.35">
      <c r="A29" s="182">
        <f t="shared" si="0"/>
        <v>16</v>
      </c>
      <c r="B29" s="781"/>
      <c r="C29" s="261"/>
      <c r="D29" s="355"/>
      <c r="E29" s="763">
        <f t="shared" si="1"/>
        <v>16</v>
      </c>
    </row>
    <row r="30" spans="1:14" x14ac:dyDescent="0.35">
      <c r="A30" s="182">
        <f t="shared" si="0"/>
        <v>17</v>
      </c>
      <c r="B30" s="827"/>
      <c r="C30" s="262"/>
      <c r="D30" s="971"/>
      <c r="E30" s="763">
        <f t="shared" si="1"/>
        <v>17</v>
      </c>
    </row>
    <row r="31" spans="1:14" x14ac:dyDescent="0.35">
      <c r="A31" s="182">
        <f t="shared" si="0"/>
        <v>18</v>
      </c>
      <c r="B31" s="827" t="s">
        <v>133</v>
      </c>
      <c r="C31" s="263">
        <f>C28/13</f>
        <v>0</v>
      </c>
      <c r="D31" s="972"/>
      <c r="E31" s="763">
        <f t="shared" si="1"/>
        <v>18</v>
      </c>
    </row>
    <row r="32" spans="1:14" x14ac:dyDescent="0.35">
      <c r="A32" s="182">
        <f t="shared" si="0"/>
        <v>19</v>
      </c>
      <c r="B32" s="781"/>
      <c r="C32" s="973"/>
      <c r="D32" s="973"/>
      <c r="E32" s="763">
        <f t="shared" si="1"/>
        <v>19</v>
      </c>
    </row>
    <row r="34" spans="2:2" x14ac:dyDescent="0.35">
      <c r="B34" s="84"/>
    </row>
    <row r="35" spans="2:2" x14ac:dyDescent="0.35">
      <c r="B35" s="84"/>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zoomScale="80" zoomScaleNormal="80" workbookViewId="0"/>
  </sheetViews>
  <sheetFormatPr defaultColWidth="9.08984375" defaultRowHeight="15" x14ac:dyDescent="0.35"/>
  <cols>
    <col min="1" max="1" width="5.08984375" style="1561" customWidth="1"/>
    <col min="2" max="2" width="35.08984375" style="88" customWidth="1"/>
    <col min="3" max="4" width="18.54296875" style="793" customWidth="1"/>
    <col min="5" max="5" width="18.54296875" style="88" customWidth="1"/>
    <col min="6" max="6" width="62.54296875" style="88" customWidth="1"/>
    <col min="7" max="7" width="5.08984375" style="1561" customWidth="1"/>
    <col min="8" max="8" width="24" style="88" customWidth="1"/>
    <col min="9" max="9" width="11" style="88" customWidth="1"/>
    <col min="10" max="10" width="7.08984375" style="88" customWidth="1"/>
    <col min="11" max="11" width="9.08984375" style="88" customWidth="1"/>
    <col min="12" max="12" width="14" style="88" customWidth="1"/>
    <col min="13" max="13" width="13.453125" style="88" customWidth="1"/>
    <col min="14" max="16384" width="9.08984375" style="88"/>
  </cols>
  <sheetData>
    <row r="2" spans="1:8" x14ac:dyDescent="0.35">
      <c r="B2" s="2289" t="s">
        <v>18</v>
      </c>
      <c r="C2" s="2289"/>
      <c r="D2" s="2289"/>
      <c r="E2" s="2289"/>
      <c r="F2" s="2289"/>
    </row>
    <row r="3" spans="1:8" x14ac:dyDescent="0.35">
      <c r="B3" s="2289" t="s">
        <v>129</v>
      </c>
      <c r="C3" s="2289"/>
      <c r="D3" s="2289"/>
      <c r="E3" s="2289"/>
      <c r="F3" s="2289"/>
    </row>
    <row r="4" spans="1:8" x14ac:dyDescent="0.35">
      <c r="B4" s="2289" t="s">
        <v>130</v>
      </c>
      <c r="C4" s="2289"/>
      <c r="D4" s="2289"/>
      <c r="E4" s="2289"/>
      <c r="F4" s="2289"/>
    </row>
    <row r="5" spans="1:8" x14ac:dyDescent="0.35">
      <c r="B5" s="2281" t="s">
        <v>1603</v>
      </c>
      <c r="C5" s="2281"/>
      <c r="D5" s="2281"/>
      <c r="E5" s="2281"/>
      <c r="F5" s="2281"/>
    </row>
    <row r="6" spans="1:8" x14ac:dyDescent="0.35">
      <c r="B6" s="2277" t="s">
        <v>2</v>
      </c>
      <c r="C6" s="2277"/>
      <c r="D6" s="2277"/>
      <c r="E6" s="2277"/>
      <c r="F6" s="2277"/>
    </row>
    <row r="8" spans="1:8" x14ac:dyDescent="0.35">
      <c r="B8" s="756"/>
      <c r="C8" s="974" t="s">
        <v>4</v>
      </c>
      <c r="D8" s="975" t="s">
        <v>5</v>
      </c>
      <c r="E8" s="975" t="s">
        <v>992</v>
      </c>
      <c r="F8" s="798"/>
    </row>
    <row r="9" spans="1:8" ht="15.5" x14ac:dyDescent="0.35">
      <c r="A9" s="1563"/>
      <c r="B9" s="759"/>
      <c r="C9" s="765" t="s">
        <v>164</v>
      </c>
      <c r="D9" s="765" t="s">
        <v>643</v>
      </c>
      <c r="E9" s="765" t="s">
        <v>644</v>
      </c>
      <c r="F9" s="909"/>
      <c r="G9" s="1563"/>
    </row>
    <row r="10" spans="1:8" ht="15.5" x14ac:dyDescent="0.35">
      <c r="A10" s="1563" t="s">
        <v>3</v>
      </c>
      <c r="B10" s="759" t="s">
        <v>641</v>
      </c>
      <c r="C10" s="765" t="s">
        <v>135</v>
      </c>
      <c r="D10" s="765" t="s">
        <v>135</v>
      </c>
      <c r="E10" s="765" t="s">
        <v>135</v>
      </c>
      <c r="F10" s="976"/>
      <c r="G10" s="1563" t="s">
        <v>3</v>
      </c>
    </row>
    <row r="11" spans="1:8" ht="15.5" x14ac:dyDescent="0.35">
      <c r="A11" s="345" t="s">
        <v>25</v>
      </c>
      <c r="B11" s="766" t="s">
        <v>74</v>
      </c>
      <c r="C11" s="769" t="s">
        <v>642</v>
      </c>
      <c r="D11" s="766" t="s">
        <v>642</v>
      </c>
      <c r="E11" s="878" t="s">
        <v>642</v>
      </c>
      <c r="F11" s="854" t="s">
        <v>9</v>
      </c>
      <c r="G11" s="345" t="s">
        <v>25</v>
      </c>
    </row>
    <row r="12" spans="1:8" ht="15.5" x14ac:dyDescent="0.35">
      <c r="A12" s="1563">
        <v>1</v>
      </c>
      <c r="B12" s="1749"/>
      <c r="C12" s="1750">
        <v>0</v>
      </c>
      <c r="D12" s="1750">
        <v>0</v>
      </c>
      <c r="E12" s="1576">
        <f>(C12+D12)</f>
        <v>0</v>
      </c>
      <c r="F12" s="1575"/>
      <c r="G12" s="1563">
        <f>A12</f>
        <v>1</v>
      </c>
    </row>
    <row r="13" spans="1:8" ht="15.5" x14ac:dyDescent="0.35">
      <c r="A13" s="1563">
        <f>A12+1</f>
        <v>2</v>
      </c>
      <c r="B13" s="959"/>
      <c r="C13" s="166">
        <v>0</v>
      </c>
      <c r="D13" s="166">
        <v>0</v>
      </c>
      <c r="E13" s="626">
        <v>0</v>
      </c>
      <c r="F13" s="1574"/>
      <c r="G13" s="1563">
        <f>G12+1</f>
        <v>2</v>
      </c>
      <c r="H13" s="794"/>
    </row>
    <row r="14" spans="1:8" ht="15.5" x14ac:dyDescent="0.35">
      <c r="A14" s="1563">
        <f t="shared" ref="A14:A17" si="0">A13+1</f>
        <v>3</v>
      </c>
      <c r="B14" s="1108"/>
      <c r="C14" s="355">
        <v>0</v>
      </c>
      <c r="D14" s="355">
        <v>0</v>
      </c>
      <c r="E14" s="355">
        <v>0</v>
      </c>
      <c r="F14" s="1108"/>
      <c r="G14" s="1563">
        <f t="shared" ref="G14:G17" si="1">G13+1</f>
        <v>3</v>
      </c>
    </row>
    <row r="15" spans="1:8" ht="15.5" x14ac:dyDescent="0.35">
      <c r="A15" s="1563">
        <f t="shared" si="0"/>
        <v>4</v>
      </c>
      <c r="B15" s="776"/>
      <c r="C15" s="157"/>
      <c r="D15" s="157"/>
      <c r="E15" s="157"/>
      <c r="F15" s="977"/>
      <c r="G15" s="1563">
        <f t="shared" si="1"/>
        <v>4</v>
      </c>
    </row>
    <row r="16" spans="1:8" ht="15.5" x14ac:dyDescent="0.35">
      <c r="A16" s="1563">
        <f t="shared" si="0"/>
        <v>5</v>
      </c>
      <c r="B16" s="776" t="s">
        <v>31</v>
      </c>
      <c r="C16" s="148">
        <f>SUM(C12:C14)</f>
        <v>0</v>
      </c>
      <c r="D16" s="148">
        <f>SUM(D12:D14)</f>
        <v>0</v>
      </c>
      <c r="E16" s="148">
        <f>SUM(E12:E14)</f>
        <v>0</v>
      </c>
      <c r="F16" s="1540" t="s">
        <v>1203</v>
      </c>
      <c r="G16" s="1563">
        <f t="shared" si="1"/>
        <v>5</v>
      </c>
    </row>
    <row r="17" spans="1:7" ht="15.5" x14ac:dyDescent="0.35">
      <c r="A17" s="1563">
        <f t="shared" si="0"/>
        <v>6</v>
      </c>
      <c r="B17" s="781"/>
      <c r="C17" s="149"/>
      <c r="D17" s="978"/>
      <c r="E17" s="978"/>
      <c r="F17" s="979"/>
      <c r="G17" s="1563">
        <f t="shared" si="1"/>
        <v>6</v>
      </c>
    </row>
    <row r="18" spans="1:7" ht="15.5" x14ac:dyDescent="0.35">
      <c r="A18" s="1563"/>
      <c r="B18" s="109"/>
      <c r="C18" s="119"/>
      <c r="D18" s="119"/>
      <c r="E18" s="119"/>
      <c r="F18" s="119"/>
      <c r="G18" s="1563"/>
    </row>
    <row r="19" spans="1:7" ht="15.5" x14ac:dyDescent="0.35">
      <c r="A19" s="1563"/>
      <c r="B19" s="109"/>
      <c r="C19" s="119"/>
      <c r="D19" s="119"/>
      <c r="E19" s="119"/>
      <c r="F19" s="119"/>
    </row>
    <row r="20" spans="1:7" ht="18" x14ac:dyDescent="0.35">
      <c r="A20" s="750"/>
      <c r="B20" s="980"/>
      <c r="C20" s="119"/>
      <c r="D20" s="119"/>
      <c r="E20" s="119"/>
      <c r="F20" s="119"/>
    </row>
    <row r="21" spans="1:7" x14ac:dyDescent="0.35">
      <c r="B21" s="109"/>
      <c r="C21" s="119"/>
      <c r="D21" s="119"/>
      <c r="E21" s="119"/>
      <c r="F21" s="119"/>
    </row>
    <row r="22" spans="1:7" ht="15.5" x14ac:dyDescent="0.35">
      <c r="B22" s="837"/>
      <c r="C22" s="981"/>
      <c r="D22" s="981"/>
      <c r="E22" s="981"/>
      <c r="F22" s="796"/>
      <c r="G22" s="1579"/>
    </row>
    <row r="23" spans="1:7" ht="15.5" x14ac:dyDescent="0.35">
      <c r="B23" s="79"/>
      <c r="C23" s="796"/>
      <c r="D23" s="88"/>
      <c r="F23" s="796"/>
      <c r="G23" s="1579"/>
    </row>
    <row r="24" spans="1:7" ht="15.5" x14ac:dyDescent="0.35">
      <c r="C24" s="796"/>
      <c r="D24" s="796"/>
      <c r="E24" s="796"/>
      <c r="F24" s="796"/>
      <c r="G24" s="1579"/>
    </row>
    <row r="25" spans="1:7" x14ac:dyDescent="0.35">
      <c r="C25" s="797"/>
      <c r="D25" s="797"/>
      <c r="E25" s="794"/>
      <c r="F25" s="794"/>
      <c r="G25" s="1579"/>
    </row>
  </sheetData>
  <mergeCells count="5">
    <mergeCell ref="B2:F2"/>
    <mergeCell ref="B3:F3"/>
    <mergeCell ref="B4:F4"/>
    <mergeCell ref="B5:F5"/>
    <mergeCell ref="B6:F6"/>
  </mergeCells>
  <printOptions horizontalCentered="1"/>
  <pageMargins left="0.5" right="0.5" top="0.5" bottom="0.5" header="0.25" footer="0.25"/>
  <pageSetup scale="78" orientation="landscape" r:id="rId1"/>
  <headerFooter scaleWithDoc="0">
    <oddFooter>&amp;C&amp;"Times New Roman,Regular"&amp;10&amp;A</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4"/>
  <sheetViews>
    <sheetView zoomScale="80" zoomScaleNormal="80" workbookViewId="0"/>
  </sheetViews>
  <sheetFormatPr defaultColWidth="8.90625" defaultRowHeight="15.5" x14ac:dyDescent="0.35"/>
  <cols>
    <col min="1" max="1" width="5.08984375" style="234" bestFit="1" customWidth="1"/>
    <col min="2" max="2" width="78.453125" style="220" customWidth="1"/>
    <col min="3" max="3" width="21.08984375" style="220" customWidth="1"/>
    <col min="4" max="4" width="1.54296875" style="220" customWidth="1"/>
    <col min="5" max="5" width="16.90625" style="220" customWidth="1"/>
    <col min="6" max="6" width="1.54296875" style="220" customWidth="1"/>
    <col min="7" max="7" width="44.90625" style="993" customWidth="1"/>
    <col min="8" max="8" width="5.08984375" style="220" customWidth="1"/>
    <col min="9" max="9" width="8.90625" style="220"/>
    <col min="10" max="10" width="20.453125" style="220" bestFit="1" customWidth="1"/>
    <col min="11" max="16384" width="8.90625" style="220"/>
  </cols>
  <sheetData>
    <row r="1" spans="1:8" x14ac:dyDescent="0.35">
      <c r="A1" s="236"/>
      <c r="G1" s="982"/>
      <c r="H1" s="236"/>
    </row>
    <row r="2" spans="1:8" x14ac:dyDescent="0.35">
      <c r="B2" s="2288" t="s">
        <v>18</v>
      </c>
      <c r="C2" s="2288"/>
      <c r="D2" s="2288"/>
      <c r="E2" s="2288"/>
      <c r="F2" s="2288"/>
      <c r="G2" s="2289"/>
      <c r="H2" s="234"/>
    </row>
    <row r="3" spans="1:8" x14ac:dyDescent="0.35">
      <c r="B3" s="2288" t="s">
        <v>1326</v>
      </c>
      <c r="C3" s="2288"/>
      <c r="D3" s="2288"/>
      <c r="E3" s="2288"/>
      <c r="F3" s="2288"/>
      <c r="G3" s="2289"/>
      <c r="H3" s="234"/>
    </row>
    <row r="4" spans="1:8" x14ac:dyDescent="0.35">
      <c r="B4" s="2288" t="s">
        <v>134</v>
      </c>
      <c r="C4" s="2288"/>
      <c r="D4" s="2288"/>
      <c r="E4" s="2288"/>
      <c r="F4" s="2288"/>
      <c r="G4" s="2289"/>
      <c r="H4" s="234"/>
    </row>
    <row r="5" spans="1:8" x14ac:dyDescent="0.35">
      <c r="B5" s="2293" t="str">
        <f>'Stmt AD'!B5</f>
        <v>Base Period &amp; True-Up Period 12 - Months Ending December 31, 2021</v>
      </c>
      <c r="C5" s="2293"/>
      <c r="D5" s="2293"/>
      <c r="E5" s="2293"/>
      <c r="F5" s="2293"/>
      <c r="G5" s="2293"/>
      <c r="H5" s="234"/>
    </row>
    <row r="6" spans="1:8" x14ac:dyDescent="0.35">
      <c r="B6" s="2291" t="s">
        <v>2</v>
      </c>
      <c r="C6" s="2278"/>
      <c r="D6" s="2278"/>
      <c r="E6" s="2278"/>
      <c r="F6" s="2278"/>
      <c r="G6" s="2278"/>
      <c r="H6" s="234"/>
    </row>
    <row r="7" spans="1:8" x14ac:dyDescent="0.35">
      <c r="B7" s="236"/>
      <c r="C7" s="236"/>
      <c r="D7" s="236"/>
      <c r="E7" s="983"/>
      <c r="F7" s="983"/>
      <c r="G7" s="982"/>
      <c r="H7" s="234"/>
    </row>
    <row r="8" spans="1:8" x14ac:dyDescent="0.35">
      <c r="A8" s="234" t="s">
        <v>3</v>
      </c>
      <c r="B8" s="932"/>
      <c r="C8" s="236" t="s">
        <v>648</v>
      </c>
      <c r="D8" s="932"/>
      <c r="E8" s="984"/>
      <c r="F8" s="984"/>
      <c r="G8" s="982"/>
      <c r="H8" s="234" t="s">
        <v>3</v>
      </c>
    </row>
    <row r="9" spans="1:8" x14ac:dyDescent="0.35">
      <c r="A9" s="934" t="s">
        <v>25</v>
      </c>
      <c r="C9" s="732" t="s">
        <v>646</v>
      </c>
      <c r="D9" s="932"/>
      <c r="E9" s="935" t="s">
        <v>135</v>
      </c>
      <c r="F9" s="984"/>
      <c r="G9" s="985" t="s">
        <v>9</v>
      </c>
      <c r="H9" s="934" t="s">
        <v>25</v>
      </c>
    </row>
    <row r="10" spans="1:8" x14ac:dyDescent="0.35">
      <c r="A10" s="934"/>
      <c r="C10" s="932"/>
      <c r="D10" s="932"/>
      <c r="E10" s="986"/>
      <c r="F10" s="986"/>
      <c r="G10" s="987"/>
      <c r="H10" s="934"/>
    </row>
    <row r="11" spans="1:8" x14ac:dyDescent="0.35">
      <c r="A11" s="236">
        <v>1</v>
      </c>
      <c r="B11" s="988" t="s">
        <v>136</v>
      </c>
      <c r="G11" s="982"/>
      <c r="H11" s="236">
        <f>A11</f>
        <v>1</v>
      </c>
    </row>
    <row r="12" spans="1:8" x14ac:dyDescent="0.35">
      <c r="A12" s="236">
        <f>+A11+1</f>
        <v>2</v>
      </c>
      <c r="B12" s="989" t="s">
        <v>137</v>
      </c>
      <c r="C12" s="234" t="s">
        <v>1726</v>
      </c>
      <c r="E12" s="113">
        <f>'AH-1'!D43</f>
        <v>109756.33199999999</v>
      </c>
      <c r="F12" s="1697"/>
      <c r="G12" s="982" t="s">
        <v>1125</v>
      </c>
      <c r="H12" s="236">
        <f>+H11+1</f>
        <v>2</v>
      </c>
    </row>
    <row r="13" spans="1:8" x14ac:dyDescent="0.35">
      <c r="A13" s="236">
        <f t="shared" ref="A13:A60" si="0">+A12+1</f>
        <v>3</v>
      </c>
      <c r="B13" s="990" t="s">
        <v>931</v>
      </c>
      <c r="E13" s="267"/>
      <c r="F13" s="1697"/>
      <c r="G13" s="982"/>
      <c r="H13" s="236">
        <f t="shared" ref="H13:H60" si="1">+H12+1</f>
        <v>3</v>
      </c>
    </row>
    <row r="14" spans="1:8" x14ac:dyDescent="0.35">
      <c r="A14" s="236">
        <f t="shared" si="0"/>
        <v>4</v>
      </c>
      <c r="B14" s="989" t="s">
        <v>658</v>
      </c>
      <c r="C14" s="991"/>
      <c r="D14" s="989"/>
      <c r="E14" s="116">
        <f>-'AH-1'!E48</f>
        <v>-3844.3684500000004</v>
      </c>
      <c r="F14" s="1697"/>
      <c r="G14" s="982" t="s">
        <v>1127</v>
      </c>
      <c r="H14" s="236">
        <f t="shared" si="1"/>
        <v>4</v>
      </c>
    </row>
    <row r="15" spans="1:8" x14ac:dyDescent="0.35">
      <c r="A15" s="236">
        <f t="shared" si="0"/>
        <v>5</v>
      </c>
      <c r="B15" s="989" t="s">
        <v>659</v>
      </c>
      <c r="C15" s="989"/>
      <c r="E15" s="116">
        <f>-'AH-1'!E49</f>
        <v>-1815.5599299999999</v>
      </c>
      <c r="F15" s="1697"/>
      <c r="G15" s="982" t="s">
        <v>1128</v>
      </c>
      <c r="H15" s="236">
        <f t="shared" si="1"/>
        <v>5</v>
      </c>
    </row>
    <row r="16" spans="1:8" x14ac:dyDescent="0.35">
      <c r="A16" s="236">
        <f t="shared" si="0"/>
        <v>6</v>
      </c>
      <c r="B16" s="989" t="s">
        <v>660</v>
      </c>
      <c r="E16" s="116">
        <f>-'AH-1'!E50</f>
        <v>0</v>
      </c>
      <c r="F16" s="1697"/>
      <c r="G16" s="982" t="s">
        <v>1383</v>
      </c>
      <c r="H16" s="236">
        <f t="shared" si="1"/>
        <v>6</v>
      </c>
    </row>
    <row r="17" spans="1:10" x14ac:dyDescent="0.35">
      <c r="A17" s="236">
        <f t="shared" si="0"/>
        <v>7</v>
      </c>
      <c r="B17" s="989" t="s">
        <v>661</v>
      </c>
      <c r="E17" s="116">
        <f>-'AH-1'!E55</f>
        <v>-3708.41851</v>
      </c>
      <c r="F17" s="1697"/>
      <c r="G17" s="982" t="s">
        <v>1384</v>
      </c>
      <c r="H17" s="236">
        <f t="shared" si="1"/>
        <v>7</v>
      </c>
    </row>
    <row r="18" spans="1:10" x14ac:dyDescent="0.35">
      <c r="A18" s="236">
        <f t="shared" si="0"/>
        <v>8</v>
      </c>
      <c r="B18" s="989" t="s">
        <v>138</v>
      </c>
      <c r="E18" s="1705">
        <f>-'AH-1'!E47</f>
        <v>-105.63984000000001</v>
      </c>
      <c r="F18" s="1697"/>
      <c r="G18" s="982" t="s">
        <v>1126</v>
      </c>
      <c r="H18" s="236">
        <f t="shared" si="1"/>
        <v>8</v>
      </c>
    </row>
    <row r="19" spans="1:10" x14ac:dyDescent="0.35">
      <c r="A19" s="236">
        <f t="shared" si="0"/>
        <v>9</v>
      </c>
      <c r="B19" s="220" t="s">
        <v>883</v>
      </c>
      <c r="E19" s="268">
        <f>SUM(E12:E18)</f>
        <v>100282.34526999999</v>
      </c>
      <c r="F19" s="1697"/>
      <c r="G19" s="715" t="s">
        <v>1129</v>
      </c>
      <c r="H19" s="236">
        <f t="shared" si="1"/>
        <v>9</v>
      </c>
    </row>
    <row r="20" spans="1:10" x14ac:dyDescent="0.35">
      <c r="A20" s="236">
        <f t="shared" si="0"/>
        <v>10</v>
      </c>
      <c r="E20" s="9"/>
      <c r="F20" s="1697"/>
      <c r="H20" s="236">
        <f t="shared" si="1"/>
        <v>10</v>
      </c>
    </row>
    <row r="21" spans="1:10" x14ac:dyDescent="0.35">
      <c r="A21" s="236">
        <f t="shared" si="0"/>
        <v>11</v>
      </c>
      <c r="B21" s="994" t="s">
        <v>139</v>
      </c>
      <c r="C21" s="989"/>
      <c r="D21" s="989"/>
      <c r="E21" s="269"/>
      <c r="F21" s="1697"/>
      <c r="G21" s="982"/>
      <c r="H21" s="236">
        <f t="shared" si="1"/>
        <v>11</v>
      </c>
    </row>
    <row r="22" spans="1:10" x14ac:dyDescent="0.35">
      <c r="A22" s="236">
        <f t="shared" si="0"/>
        <v>12</v>
      </c>
      <c r="B22" s="990" t="s">
        <v>140</v>
      </c>
      <c r="C22" s="234" t="s">
        <v>1727</v>
      </c>
      <c r="D22" s="989"/>
      <c r="E22" s="113">
        <f>'AH-2'!D26</f>
        <v>656792.06599999999</v>
      </c>
      <c r="F22" s="1697"/>
      <c r="G22" s="982" t="s">
        <v>1130</v>
      </c>
      <c r="H22" s="236">
        <f t="shared" si="1"/>
        <v>12</v>
      </c>
      <c r="I22" s="227"/>
    </row>
    <row r="23" spans="1:10" x14ac:dyDescent="0.35">
      <c r="A23" s="236">
        <f t="shared" si="0"/>
        <v>13</v>
      </c>
      <c r="B23" s="990" t="s">
        <v>932</v>
      </c>
      <c r="C23" s="989"/>
      <c r="D23" s="989"/>
      <c r="E23" s="269" t="s">
        <v>10</v>
      </c>
      <c r="F23" s="1697"/>
      <c r="G23" s="982"/>
      <c r="H23" s="236">
        <f t="shared" si="1"/>
        <v>13</v>
      </c>
      <c r="I23" s="227"/>
    </row>
    <row r="24" spans="1:10" x14ac:dyDescent="0.35">
      <c r="A24" s="236">
        <f t="shared" si="0"/>
        <v>14</v>
      </c>
      <c r="B24" s="990" t="s">
        <v>645</v>
      </c>
      <c r="C24" s="989"/>
      <c r="D24" s="989"/>
      <c r="E24" s="116">
        <f>-'AH-2'!D50</f>
        <v>-5025.3662400000003</v>
      </c>
      <c r="F24" s="1697"/>
      <c r="G24" s="982" t="s">
        <v>1676</v>
      </c>
      <c r="H24" s="236">
        <f t="shared" si="1"/>
        <v>14</v>
      </c>
      <c r="I24" s="227"/>
    </row>
    <row r="25" spans="1:10" ht="31" x14ac:dyDescent="0.35">
      <c r="A25" s="236">
        <f t="shared" si="0"/>
        <v>15</v>
      </c>
      <c r="B25" s="990" t="s">
        <v>144</v>
      </c>
      <c r="E25" s="116">
        <f>-SUM('AH-2'!E30+'AH-2'!E31+'AH-2'!D32+'AH-2'!D34+'AH-2'!D39+'AH-2'!D46+'AH-2'!D51+'AH-2'!E52)</f>
        <v>-13176.468442261001</v>
      </c>
      <c r="F25" s="1697"/>
      <c r="G25" s="1878" t="s">
        <v>1819</v>
      </c>
      <c r="H25" s="236">
        <f t="shared" si="1"/>
        <v>15</v>
      </c>
      <c r="I25" s="996"/>
      <c r="J25" s="952"/>
    </row>
    <row r="26" spans="1:10" ht="18" x14ac:dyDescent="0.35">
      <c r="A26" s="236">
        <f t="shared" si="0"/>
        <v>16</v>
      </c>
      <c r="B26" s="990" t="s">
        <v>760</v>
      </c>
      <c r="C26" s="989"/>
      <c r="D26" s="989"/>
      <c r="E26" s="116">
        <f>-'AH-2'!D47</f>
        <v>0</v>
      </c>
      <c r="F26" s="1697"/>
      <c r="G26" s="982" t="s">
        <v>1677</v>
      </c>
      <c r="H26" s="236">
        <f t="shared" si="1"/>
        <v>16</v>
      </c>
      <c r="I26" s="996"/>
      <c r="J26" s="997"/>
    </row>
    <row r="27" spans="1:10" x14ac:dyDescent="0.35">
      <c r="A27" s="236">
        <f t="shared" si="0"/>
        <v>17</v>
      </c>
      <c r="B27" s="990" t="s">
        <v>141</v>
      </c>
      <c r="C27" s="989"/>
      <c r="D27" s="989"/>
      <c r="E27" s="116">
        <f>-'AH-2'!D48</f>
        <v>-617.17561999999998</v>
      </c>
      <c r="F27" s="1697"/>
      <c r="G27" s="982" t="s">
        <v>1678</v>
      </c>
      <c r="H27" s="236">
        <f t="shared" si="1"/>
        <v>17</v>
      </c>
      <c r="I27" s="227"/>
    </row>
    <row r="28" spans="1:10" x14ac:dyDescent="0.35">
      <c r="A28" s="236">
        <f t="shared" si="0"/>
        <v>18</v>
      </c>
      <c r="B28" s="990" t="s">
        <v>142</v>
      </c>
      <c r="C28" s="989"/>
      <c r="E28" s="116">
        <f>-'AH-2'!D44</f>
        <v>-22235.548999999999</v>
      </c>
      <c r="F28" s="1697"/>
      <c r="G28" s="982" t="s">
        <v>1679</v>
      </c>
      <c r="H28" s="236">
        <f t="shared" si="1"/>
        <v>18</v>
      </c>
      <c r="I28" s="227"/>
      <c r="J28" s="952"/>
    </row>
    <row r="29" spans="1:10" x14ac:dyDescent="0.35">
      <c r="A29" s="236">
        <f t="shared" ref="A29:A35" si="2">+A28+1</f>
        <v>19</v>
      </c>
      <c r="B29" s="998" t="s">
        <v>744</v>
      </c>
      <c r="C29" s="989"/>
      <c r="D29" s="989"/>
      <c r="E29" s="116">
        <v>0</v>
      </c>
      <c r="F29" s="1697"/>
      <c r="G29" s="995" t="s">
        <v>1602</v>
      </c>
      <c r="H29" s="236">
        <f>+H28+1</f>
        <v>19</v>
      </c>
      <c r="I29" s="996"/>
      <c r="J29" s="952"/>
    </row>
    <row r="30" spans="1:10" x14ac:dyDescent="0.35">
      <c r="A30" s="236">
        <f t="shared" si="2"/>
        <v>20</v>
      </c>
      <c r="B30" s="990" t="s">
        <v>662</v>
      </c>
      <c r="C30" s="989"/>
      <c r="D30" s="989"/>
      <c r="E30" s="116">
        <f>-'AH-2'!E49</f>
        <v>-66.134640000000005</v>
      </c>
      <c r="F30" s="1697"/>
      <c r="G30" s="999" t="s">
        <v>1700</v>
      </c>
      <c r="H30" s="236">
        <f>+H29+1</f>
        <v>20</v>
      </c>
      <c r="I30" s="996"/>
    </row>
    <row r="31" spans="1:10" x14ac:dyDescent="0.35">
      <c r="A31" s="236">
        <f t="shared" si="2"/>
        <v>21</v>
      </c>
      <c r="B31" s="990" t="s">
        <v>667</v>
      </c>
      <c r="C31" s="989"/>
      <c r="D31" s="989"/>
      <c r="E31" s="116">
        <f>-'AH-2'!E43</f>
        <v>-128579.84063999999</v>
      </c>
      <c r="F31" s="1697"/>
      <c r="G31" s="982" t="s">
        <v>1680</v>
      </c>
      <c r="H31" s="236">
        <f>+H30+1</f>
        <v>21</v>
      </c>
      <c r="I31" s="227"/>
    </row>
    <row r="32" spans="1:10" x14ac:dyDescent="0.35">
      <c r="A32" s="236">
        <f t="shared" si="2"/>
        <v>22</v>
      </c>
      <c r="B32" s="990" t="s">
        <v>145</v>
      </c>
      <c r="C32" s="989"/>
      <c r="E32" s="116">
        <f>-'AH-2'!E53</f>
        <v>-25.724845446</v>
      </c>
      <c r="F32" s="1697"/>
      <c r="G32" s="999" t="s">
        <v>1681</v>
      </c>
      <c r="H32" s="236">
        <f t="shared" ref="H32:H33" si="3">+H31+1</f>
        <v>22</v>
      </c>
      <c r="I32" s="227"/>
    </row>
    <row r="33" spans="1:9" x14ac:dyDescent="0.35">
      <c r="A33" s="236">
        <f t="shared" si="2"/>
        <v>23</v>
      </c>
      <c r="B33" s="990" t="s">
        <v>143</v>
      </c>
      <c r="E33" s="116">
        <f>-'AH-2'!D45</f>
        <v>-964.92977000000019</v>
      </c>
      <c r="F33" s="1697"/>
      <c r="G33" s="999" t="s">
        <v>1682</v>
      </c>
      <c r="H33" s="236">
        <f t="shared" si="3"/>
        <v>23</v>
      </c>
      <c r="I33" s="227"/>
    </row>
    <row r="34" spans="1:9" ht="31" x14ac:dyDescent="0.35">
      <c r="A34" s="236">
        <f t="shared" si="2"/>
        <v>24</v>
      </c>
      <c r="B34" s="990" t="s">
        <v>146</v>
      </c>
      <c r="C34" s="989"/>
      <c r="D34" s="989"/>
      <c r="E34" s="270">
        <f>-SUM('AH-2'!D33+'AH-2'!D35+'AH-2'!D36+'AH-2'!D37+'AH-2'!D38+'AH-2'!D40+'AH-2'!D41+'AH-2'!D42)</f>
        <v>-9748.0802954320006</v>
      </c>
      <c r="F34" s="1697"/>
      <c r="G34" s="1878" t="s">
        <v>1683</v>
      </c>
      <c r="H34" s="236">
        <f>+H33+1</f>
        <v>24</v>
      </c>
      <c r="I34" s="227"/>
    </row>
    <row r="35" spans="1:9" x14ac:dyDescent="0.35">
      <c r="A35" s="236">
        <f t="shared" si="2"/>
        <v>25</v>
      </c>
      <c r="B35" s="990" t="s">
        <v>884</v>
      </c>
      <c r="C35" s="989"/>
      <c r="E35" s="271">
        <f>SUM(E22:E34)</f>
        <v>476352.79650686105</v>
      </c>
      <c r="F35" s="1697"/>
      <c r="G35" s="982" t="s">
        <v>1131</v>
      </c>
      <c r="H35" s="236">
        <f>+H34+1</f>
        <v>25</v>
      </c>
      <c r="I35" s="227"/>
    </row>
    <row r="36" spans="1:9" x14ac:dyDescent="0.35">
      <c r="A36" s="236">
        <f t="shared" ref="A36:A45" si="4">+A35+1</f>
        <v>26</v>
      </c>
      <c r="B36" s="990" t="s">
        <v>817</v>
      </c>
      <c r="C36" s="989"/>
      <c r="E36" s="270">
        <f>-'AH-2'!F15</f>
        <v>-8615.7170000000006</v>
      </c>
      <c r="F36" s="1697"/>
      <c r="G36" s="982" t="s">
        <v>1132</v>
      </c>
      <c r="H36" s="236">
        <f t="shared" ref="H36:H47" si="5">+H35+1</f>
        <v>26</v>
      </c>
      <c r="I36" s="227"/>
    </row>
    <row r="37" spans="1:9" x14ac:dyDescent="0.35">
      <c r="A37" s="236">
        <f t="shared" si="4"/>
        <v>27</v>
      </c>
      <c r="B37" s="990" t="s">
        <v>147</v>
      </c>
      <c r="C37" s="989"/>
      <c r="E37" s="271">
        <f>SUM(E35:E36)</f>
        <v>467737.07950686105</v>
      </c>
      <c r="F37" s="1697"/>
      <c r="G37" s="982" t="s">
        <v>1133</v>
      </c>
      <c r="H37" s="236">
        <f t="shared" si="5"/>
        <v>27</v>
      </c>
    </row>
    <row r="38" spans="1:9" x14ac:dyDescent="0.35">
      <c r="A38" s="236">
        <f t="shared" si="4"/>
        <v>28</v>
      </c>
      <c r="B38" s="220" t="s">
        <v>12</v>
      </c>
      <c r="C38" s="989"/>
      <c r="D38" s="989"/>
      <c r="E38" s="272">
        <f>'Stmt AI'!E25</f>
        <v>0.20229837689326716</v>
      </c>
      <c r="F38" s="1697"/>
      <c r="G38" s="715" t="s">
        <v>1110</v>
      </c>
      <c r="H38" s="236">
        <f t="shared" si="5"/>
        <v>28</v>
      </c>
    </row>
    <row r="39" spans="1:9" x14ac:dyDescent="0.35">
      <c r="A39" s="236">
        <f t="shared" si="4"/>
        <v>29</v>
      </c>
      <c r="B39" s="990" t="s">
        <v>148</v>
      </c>
      <c r="C39" s="989"/>
      <c r="D39" s="989"/>
      <c r="E39" s="273">
        <f>E37*E38</f>
        <v>94622.451997035037</v>
      </c>
      <c r="F39" s="1697"/>
      <c r="G39" s="982" t="s">
        <v>1134</v>
      </c>
      <c r="H39" s="236">
        <f t="shared" si="5"/>
        <v>29</v>
      </c>
    </row>
    <row r="40" spans="1:9" x14ac:dyDescent="0.35">
      <c r="A40" s="236">
        <f t="shared" si="4"/>
        <v>30</v>
      </c>
      <c r="B40" s="220" t="s">
        <v>161</v>
      </c>
      <c r="C40" s="989"/>
      <c r="D40" s="989"/>
      <c r="E40" s="274">
        <f>E60*(-E36)</f>
        <v>3469.8858816028378</v>
      </c>
      <c r="F40" s="1697"/>
      <c r="G40" s="982" t="s">
        <v>1135</v>
      </c>
      <c r="H40" s="236">
        <f t="shared" si="5"/>
        <v>30</v>
      </c>
    </row>
    <row r="41" spans="1:9" ht="16" thickBot="1" x14ac:dyDescent="0.4">
      <c r="A41" s="236">
        <f t="shared" si="4"/>
        <v>31</v>
      </c>
      <c r="B41" s="990" t="s">
        <v>933</v>
      </c>
      <c r="C41" s="989"/>
      <c r="D41" s="989"/>
      <c r="E41" s="275">
        <f>E40+E39</f>
        <v>98092.337878637874</v>
      </c>
      <c r="F41" s="1697"/>
      <c r="G41" s="982" t="s">
        <v>1070</v>
      </c>
      <c r="H41" s="236">
        <f t="shared" si="5"/>
        <v>31</v>
      </c>
      <c r="I41" s="939"/>
    </row>
    <row r="42" spans="1:9" ht="16" thickTop="1" x14ac:dyDescent="0.35">
      <c r="A42" s="236">
        <f t="shared" si="4"/>
        <v>32</v>
      </c>
      <c r="B42" s="1000"/>
      <c r="C42" s="989"/>
      <c r="D42" s="989"/>
      <c r="E42" s="276"/>
      <c r="F42" s="1697"/>
      <c r="G42" s="982"/>
      <c r="H42" s="236">
        <f t="shared" si="5"/>
        <v>32</v>
      </c>
    </row>
    <row r="43" spans="1:9" x14ac:dyDescent="0.35">
      <c r="A43" s="236">
        <f t="shared" si="4"/>
        <v>33</v>
      </c>
      <c r="B43" s="994" t="s">
        <v>149</v>
      </c>
      <c r="C43" s="989"/>
      <c r="D43" s="989"/>
      <c r="E43" s="277"/>
      <c r="F43" s="1697"/>
      <c r="G43" s="982"/>
      <c r="H43" s="236">
        <f t="shared" si="5"/>
        <v>33</v>
      </c>
    </row>
    <row r="44" spans="1:9" x14ac:dyDescent="0.35">
      <c r="A44" s="236">
        <f t="shared" si="4"/>
        <v>34</v>
      </c>
      <c r="B44" s="990" t="s">
        <v>150</v>
      </c>
      <c r="C44" s="989"/>
      <c r="D44" s="989"/>
      <c r="E44" s="17">
        <f>'Stmt AD'!I35</f>
        <v>7094919.3161269231</v>
      </c>
      <c r="F44" s="1697"/>
      <c r="G44" s="992" t="s">
        <v>1136</v>
      </c>
      <c r="H44" s="236">
        <f t="shared" si="5"/>
        <v>34</v>
      </c>
    </row>
    <row r="45" spans="1:9" x14ac:dyDescent="0.35">
      <c r="A45" s="236">
        <f t="shared" si="4"/>
        <v>35</v>
      </c>
      <c r="B45" s="990" t="s">
        <v>13</v>
      </c>
      <c r="C45" s="989"/>
      <c r="D45" s="989"/>
      <c r="E45" s="278">
        <v>0</v>
      </c>
      <c r="F45" s="1697"/>
      <c r="G45" s="992" t="s">
        <v>151</v>
      </c>
      <c r="H45" s="236">
        <f t="shared" si="5"/>
        <v>35</v>
      </c>
    </row>
    <row r="46" spans="1:9" x14ac:dyDescent="0.35">
      <c r="A46" s="236">
        <f t="shared" si="0"/>
        <v>36</v>
      </c>
      <c r="B46" s="990" t="s">
        <v>14</v>
      </c>
      <c r="C46" s="989"/>
      <c r="D46" s="989"/>
      <c r="E46" s="82">
        <f>'Stmt AD'!I39</f>
        <v>101769.80346132621</v>
      </c>
      <c r="F46" s="1697"/>
      <c r="G46" s="1001" t="s">
        <v>1075</v>
      </c>
      <c r="H46" s="236">
        <f t="shared" si="5"/>
        <v>36</v>
      </c>
    </row>
    <row r="47" spans="1:9" x14ac:dyDescent="0.35">
      <c r="A47" s="236">
        <f t="shared" si="0"/>
        <v>37</v>
      </c>
      <c r="B47" s="990" t="s">
        <v>15</v>
      </c>
      <c r="C47" s="989"/>
      <c r="D47" s="989"/>
      <c r="E47" s="30">
        <f>'Stmt AD'!I41</f>
        <v>276230.81071417732</v>
      </c>
      <c r="F47" s="1697"/>
      <c r="G47" s="1001" t="s">
        <v>1076</v>
      </c>
      <c r="H47" s="236">
        <f t="shared" si="5"/>
        <v>37</v>
      </c>
    </row>
    <row r="48" spans="1:9" ht="16" thickBot="1" x14ac:dyDescent="0.4">
      <c r="A48" s="236">
        <f t="shared" si="0"/>
        <v>38</v>
      </c>
      <c r="B48" s="990" t="s">
        <v>152</v>
      </c>
      <c r="C48" s="989"/>
      <c r="D48" s="989"/>
      <c r="E48" s="279">
        <f>SUM(E44:E47)</f>
        <v>7472919.9303024262</v>
      </c>
      <c r="F48" s="1697"/>
      <c r="G48" s="982" t="s">
        <v>1137</v>
      </c>
      <c r="H48" s="236">
        <f t="shared" si="1"/>
        <v>38</v>
      </c>
      <c r="I48" s="1002"/>
    </row>
    <row r="49" spans="1:9" ht="16" thickTop="1" x14ac:dyDescent="0.35">
      <c r="A49" s="236">
        <f t="shared" si="0"/>
        <v>39</v>
      </c>
      <c r="B49" s="1000"/>
      <c r="C49" s="989"/>
      <c r="D49" s="989"/>
      <c r="E49" s="9"/>
      <c r="F49" s="1697"/>
      <c r="G49" s="982"/>
      <c r="H49" s="236">
        <f t="shared" si="1"/>
        <v>39</v>
      </c>
    </row>
    <row r="50" spans="1:9" x14ac:dyDescent="0.35">
      <c r="A50" s="236">
        <f t="shared" si="0"/>
        <v>40</v>
      </c>
      <c r="B50" s="990" t="s">
        <v>153</v>
      </c>
      <c r="C50" s="989"/>
      <c r="D50" s="989"/>
      <c r="E50" s="249">
        <f>E44</f>
        <v>7094919.3161269231</v>
      </c>
      <c r="F50" s="1697"/>
      <c r="G50" s="1003" t="s">
        <v>1138</v>
      </c>
      <c r="H50" s="236">
        <f>+H49+1</f>
        <v>40</v>
      </c>
    </row>
    <row r="51" spans="1:9" x14ac:dyDescent="0.35">
      <c r="A51" s="236">
        <f t="shared" si="0"/>
        <v>41</v>
      </c>
      <c r="B51" s="990" t="s">
        <v>154</v>
      </c>
      <c r="C51" s="989"/>
      <c r="D51" s="989"/>
      <c r="E51" s="19">
        <f>'Stmt AD'!I11</f>
        <v>566175.05046153837</v>
      </c>
      <c r="F51" s="1697"/>
      <c r="G51" s="1001" t="s">
        <v>1139</v>
      </c>
      <c r="H51" s="236">
        <f t="shared" ref="H51:H58" si="6">+H50+1</f>
        <v>41</v>
      </c>
    </row>
    <row r="52" spans="1:9" x14ac:dyDescent="0.35">
      <c r="A52" s="236">
        <f t="shared" si="0"/>
        <v>42</v>
      </c>
      <c r="B52" s="990" t="s">
        <v>155</v>
      </c>
      <c r="C52" s="989"/>
      <c r="D52" s="989"/>
      <c r="E52" s="278">
        <v>0</v>
      </c>
      <c r="F52" s="1697"/>
      <c r="G52" s="992" t="s">
        <v>151</v>
      </c>
      <c r="H52" s="236">
        <f t="shared" si="6"/>
        <v>42</v>
      </c>
    </row>
    <row r="53" spans="1:9" x14ac:dyDescent="0.35">
      <c r="A53" s="236">
        <f t="shared" si="0"/>
        <v>43</v>
      </c>
      <c r="B53" s="990" t="s">
        <v>156</v>
      </c>
      <c r="C53" s="989"/>
      <c r="D53" s="989"/>
      <c r="E53" s="19">
        <f>'Stmt AD'!I17</f>
        <v>542749.88971846167</v>
      </c>
      <c r="F53" s="1697"/>
      <c r="G53" s="1001" t="s">
        <v>1140</v>
      </c>
      <c r="H53" s="236">
        <f t="shared" si="6"/>
        <v>43</v>
      </c>
    </row>
    <row r="54" spans="1:9" x14ac:dyDescent="0.35">
      <c r="A54" s="236">
        <f t="shared" si="0"/>
        <v>44</v>
      </c>
      <c r="B54" s="990" t="s">
        <v>157</v>
      </c>
      <c r="C54" s="989"/>
      <c r="D54" s="989"/>
      <c r="E54" s="19">
        <f>'Stmt AD'!I19</f>
        <v>8482865.0223850012</v>
      </c>
      <c r="F54" s="1697"/>
      <c r="G54" s="1001" t="s">
        <v>1141</v>
      </c>
      <c r="H54" s="236">
        <f t="shared" si="6"/>
        <v>44</v>
      </c>
    </row>
    <row r="55" spans="1:9" x14ac:dyDescent="0.35">
      <c r="A55" s="236">
        <f t="shared" si="0"/>
        <v>45</v>
      </c>
      <c r="B55" s="990" t="s">
        <v>13</v>
      </c>
      <c r="C55" s="989"/>
      <c r="D55" s="989"/>
      <c r="E55" s="278">
        <v>0</v>
      </c>
      <c r="F55" s="1697"/>
      <c r="G55" s="992" t="s">
        <v>151</v>
      </c>
      <c r="H55" s="236">
        <f t="shared" si="6"/>
        <v>45</v>
      </c>
    </row>
    <row r="56" spans="1:9" x14ac:dyDescent="0.35">
      <c r="A56" s="236">
        <f t="shared" si="0"/>
        <v>46</v>
      </c>
      <c r="B56" s="990" t="s">
        <v>158</v>
      </c>
      <c r="C56" s="989"/>
      <c r="D56" s="989"/>
      <c r="E56" s="19">
        <f>'Stmt AD'!I27</f>
        <v>503067.82004000002</v>
      </c>
      <c r="F56" s="1697"/>
      <c r="G56" s="1001" t="s">
        <v>1142</v>
      </c>
      <c r="H56" s="236">
        <f t="shared" si="6"/>
        <v>46</v>
      </c>
    </row>
    <row r="57" spans="1:9" x14ac:dyDescent="0.35">
      <c r="A57" s="236">
        <f t="shared" si="0"/>
        <v>47</v>
      </c>
      <c r="B57" s="990" t="s">
        <v>159</v>
      </c>
      <c r="C57" s="989"/>
      <c r="D57" s="989"/>
      <c r="E57" s="280">
        <f>'Stmt AD'!I29</f>
        <v>1365462.3183650998</v>
      </c>
      <c r="F57" s="1697"/>
      <c r="G57" s="1001" t="s">
        <v>1143</v>
      </c>
      <c r="H57" s="236">
        <f t="shared" si="6"/>
        <v>47</v>
      </c>
    </row>
    <row r="58" spans="1:9" ht="16" thickBot="1" x14ac:dyDescent="0.4">
      <c r="A58" s="236">
        <f t="shared" si="0"/>
        <v>48</v>
      </c>
      <c r="B58" s="990" t="s">
        <v>160</v>
      </c>
      <c r="C58" s="989"/>
      <c r="D58" s="989"/>
      <c r="E58" s="281">
        <f>SUM(E50:E57)</f>
        <v>18555239.417097025</v>
      </c>
      <c r="F58" s="1697"/>
      <c r="G58" s="982" t="s">
        <v>1144</v>
      </c>
      <c r="H58" s="236">
        <f t="shared" si="6"/>
        <v>48</v>
      </c>
      <c r="I58" s="1002"/>
    </row>
    <row r="59" spans="1:9" ht="16" thickTop="1" x14ac:dyDescent="0.35">
      <c r="A59" s="236">
        <f t="shared" si="0"/>
        <v>49</v>
      </c>
      <c r="C59" s="989"/>
      <c r="D59" s="989"/>
      <c r="E59" s="282"/>
      <c r="G59" s="982"/>
      <c r="H59" s="236">
        <f t="shared" si="1"/>
        <v>49</v>
      </c>
    </row>
    <row r="60" spans="1:9" ht="16" thickBot="1" x14ac:dyDescent="0.4">
      <c r="A60" s="236">
        <f t="shared" si="0"/>
        <v>50</v>
      </c>
      <c r="B60" s="990" t="s">
        <v>806</v>
      </c>
      <c r="C60" s="989"/>
      <c r="D60" s="989"/>
      <c r="E60" s="283">
        <f>E48/E58</f>
        <v>0.4027390734401835</v>
      </c>
      <c r="G60" s="982" t="s">
        <v>1145</v>
      </c>
      <c r="H60" s="236">
        <f t="shared" si="1"/>
        <v>50</v>
      </c>
      <c r="I60" s="1002"/>
    </row>
    <row r="61" spans="1:9" ht="16" thickTop="1" x14ac:dyDescent="0.35">
      <c r="A61" s="236"/>
      <c r="B61" s="990" t="s">
        <v>10</v>
      </c>
      <c r="C61" s="989"/>
      <c r="D61" s="989"/>
      <c r="E61" s="1004"/>
      <c r="G61" s="982"/>
      <c r="H61" s="236"/>
    </row>
    <row r="62" spans="1:9" x14ac:dyDescent="0.35">
      <c r="A62" s="236"/>
      <c r="B62" s="990"/>
      <c r="C62" s="989"/>
      <c r="D62" s="989"/>
      <c r="E62" s="1004"/>
      <c r="F62" s="1004"/>
      <c r="G62" s="982"/>
      <c r="H62" s="236"/>
    </row>
    <row r="63" spans="1:9" ht="18" x14ac:dyDescent="0.35">
      <c r="A63" s="1005">
        <v>1</v>
      </c>
      <c r="B63" s="990" t="s">
        <v>993</v>
      </c>
      <c r="H63" s="236"/>
    </row>
    <row r="64" spans="1:9" x14ac:dyDescent="0.35">
      <c r="A64" s="236"/>
      <c r="B64" s="990" t="s">
        <v>994</v>
      </c>
      <c r="C64" s="989"/>
      <c r="D64" s="989"/>
      <c r="E64" s="282"/>
      <c r="F64" s="282"/>
      <c r="G64" s="982"/>
      <c r="H64" s="236"/>
    </row>
  </sheetData>
  <mergeCells count="5">
    <mergeCell ref="B2:G2"/>
    <mergeCell ref="B3:G3"/>
    <mergeCell ref="B4:G4"/>
    <mergeCell ref="B5:G5"/>
    <mergeCell ref="B6:G6"/>
  </mergeCells>
  <printOptions horizontalCentered="1"/>
  <pageMargins left="0.5" right="0.5" top="0.5" bottom="0.5" header="0.25" footer="0.25"/>
  <pageSetup scale="54" orientation="portrait" r:id="rId1"/>
  <headerFooter scaleWithDoc="0">
    <oddFooter>&amp;C&amp;"Times New Roman,Regular"&amp;10AH</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3"/>
  <sheetViews>
    <sheetView zoomScale="80" zoomScaleNormal="80" workbookViewId="0"/>
  </sheetViews>
  <sheetFormatPr defaultColWidth="13.453125" defaultRowHeight="15.5" x14ac:dyDescent="0.35"/>
  <cols>
    <col min="1" max="1" width="5.08984375" style="1569" customWidth="1"/>
    <col min="2" max="2" width="8.54296875" style="1006" customWidth="1"/>
    <col min="3" max="3" width="63.08984375" style="220" customWidth="1"/>
    <col min="4" max="4" width="16.90625" style="220" customWidth="1"/>
    <col min="5" max="5" width="16.90625" style="9" customWidth="1"/>
    <col min="6" max="6" width="16.90625" style="220" customWidth="1"/>
    <col min="7" max="7" width="34.54296875" style="220" customWidth="1"/>
    <col min="8" max="8" width="5.08984375" style="1569" customWidth="1"/>
    <col min="9" max="16384" width="13.453125" style="220"/>
  </cols>
  <sheetData>
    <row r="1" spans="1:11" x14ac:dyDescent="0.35">
      <c r="A1" s="1564"/>
    </row>
    <row r="2" spans="1:11" s="1" customFormat="1" ht="15" x14ac:dyDescent="0.35">
      <c r="A2" s="1564"/>
      <c r="B2" s="2289" t="s">
        <v>18</v>
      </c>
      <c r="C2" s="2289"/>
      <c r="D2" s="2289"/>
      <c r="E2" s="2289"/>
      <c r="F2" s="2289"/>
      <c r="G2" s="2289"/>
      <c r="H2" s="1564"/>
    </row>
    <row r="3" spans="1:11" s="1" customFormat="1" ht="15" x14ac:dyDescent="0.35">
      <c r="A3" s="1564"/>
      <c r="B3" s="2289" t="s">
        <v>162</v>
      </c>
      <c r="C3" s="2289"/>
      <c r="D3" s="2289"/>
      <c r="E3" s="2289"/>
      <c r="F3" s="2289"/>
      <c r="G3" s="2289"/>
      <c r="H3" s="1564"/>
    </row>
    <row r="4" spans="1:11" s="1" customFormat="1" ht="15" x14ac:dyDescent="0.35">
      <c r="A4" s="1564"/>
      <c r="B4" s="2289" t="s">
        <v>1604</v>
      </c>
      <c r="C4" s="2289"/>
      <c r="D4" s="2289"/>
      <c r="E4" s="2289"/>
      <c r="F4" s="2289"/>
      <c r="G4" s="2289"/>
      <c r="H4" s="1564"/>
    </row>
    <row r="5" spans="1:11" s="246" customFormat="1" ht="15" x14ac:dyDescent="0.35">
      <c r="A5" s="1570"/>
      <c r="B5" s="2296" t="s">
        <v>2</v>
      </c>
      <c r="C5" s="2296"/>
      <c r="D5" s="2296"/>
      <c r="E5" s="2296"/>
      <c r="F5" s="2296"/>
      <c r="G5" s="2296"/>
      <c r="H5" s="1570"/>
    </row>
    <row r="6" spans="1:11" ht="16" thickBot="1" x14ac:dyDescent="0.4">
      <c r="A6" s="1582"/>
      <c r="B6" s="1008"/>
      <c r="C6" s="1009"/>
      <c r="D6" s="1009"/>
      <c r="E6" s="1010"/>
      <c r="F6" s="1009"/>
      <c r="G6" s="1009"/>
      <c r="H6" s="6"/>
    </row>
    <row r="7" spans="1:11" s="1" customFormat="1" x14ac:dyDescent="0.35">
      <c r="A7" s="6"/>
      <c r="B7" s="1011"/>
      <c r="C7" s="1012"/>
      <c r="D7" s="1013" t="s">
        <v>4</v>
      </c>
      <c r="E7" s="1014" t="s">
        <v>5</v>
      </c>
      <c r="F7" s="1013" t="s">
        <v>163</v>
      </c>
      <c r="G7" s="1015"/>
      <c r="H7" s="6"/>
    </row>
    <row r="8" spans="1:11" s="1" customFormat="1" x14ac:dyDescent="0.35">
      <c r="A8" s="6" t="s">
        <v>3</v>
      </c>
      <c r="B8" s="1016" t="s">
        <v>164</v>
      </c>
      <c r="C8" s="246"/>
      <c r="D8" s="1017" t="s">
        <v>31</v>
      </c>
      <c r="E8" s="1017" t="s">
        <v>165</v>
      </c>
      <c r="F8" s="1017" t="s">
        <v>31</v>
      </c>
      <c r="G8" s="1018"/>
      <c r="H8" s="6" t="s">
        <v>3</v>
      </c>
    </row>
    <row r="9" spans="1:11" s="1" customFormat="1" x14ac:dyDescent="0.35">
      <c r="A9" s="6" t="s">
        <v>25</v>
      </c>
      <c r="B9" s="1019" t="s">
        <v>166</v>
      </c>
      <c r="C9" s="1020" t="s">
        <v>74</v>
      </c>
      <c r="D9" s="1021" t="s">
        <v>167</v>
      </c>
      <c r="E9" s="1021" t="s">
        <v>168</v>
      </c>
      <c r="F9" s="1021" t="s">
        <v>169</v>
      </c>
      <c r="G9" s="1022" t="s">
        <v>9</v>
      </c>
      <c r="H9" s="6" t="s">
        <v>25</v>
      </c>
    </row>
    <row r="10" spans="1:11" s="1" customFormat="1" x14ac:dyDescent="0.35">
      <c r="A10" s="6"/>
      <c r="B10" s="1023"/>
      <c r="C10" s="1024" t="s">
        <v>170</v>
      </c>
      <c r="D10" s="1025"/>
      <c r="E10" s="1025"/>
      <c r="F10" s="1025"/>
      <c r="G10" s="1026"/>
      <c r="H10" s="6"/>
      <c r="J10" s="220"/>
      <c r="K10" s="220"/>
    </row>
    <row r="11" spans="1:11" s="1" customFormat="1" x14ac:dyDescent="0.35">
      <c r="A11" s="6">
        <v>1</v>
      </c>
      <c r="B11" s="1027">
        <v>560</v>
      </c>
      <c r="C11" s="297" t="s">
        <v>171</v>
      </c>
      <c r="D11" s="164">
        <v>9551.6479999999992</v>
      </c>
      <c r="E11" s="1742">
        <f>E47</f>
        <v>105.63984000000001</v>
      </c>
      <c r="F11" s="164">
        <f t="shared" ref="F11:F25" si="0">D11-E11</f>
        <v>9446.0081599999994</v>
      </c>
      <c r="G11" s="1028" t="s">
        <v>1728</v>
      </c>
      <c r="H11" s="6">
        <f>A11</f>
        <v>1</v>
      </c>
      <c r="J11" s="220"/>
      <c r="K11" s="220"/>
    </row>
    <row r="12" spans="1:11" s="1" customFormat="1" x14ac:dyDescent="0.35">
      <c r="A12" s="6">
        <f>A11+1</f>
        <v>2</v>
      </c>
      <c r="B12" s="1027">
        <v>561.1</v>
      </c>
      <c r="C12" s="297" t="s">
        <v>172</v>
      </c>
      <c r="D12" s="166">
        <v>872.18</v>
      </c>
      <c r="E12" s="166">
        <v>0</v>
      </c>
      <c r="F12" s="166">
        <f t="shared" si="0"/>
        <v>872.18</v>
      </c>
      <c r="G12" s="1028" t="s">
        <v>1729</v>
      </c>
      <c r="H12" s="6">
        <f>H11+1</f>
        <v>2</v>
      </c>
      <c r="J12" s="220"/>
      <c r="K12" s="220"/>
    </row>
    <row r="13" spans="1:11" s="1" customFormat="1" x14ac:dyDescent="0.35">
      <c r="A13" s="6">
        <f t="shared" ref="A13:A58" si="1">A12+1</f>
        <v>3</v>
      </c>
      <c r="B13" s="1027">
        <v>561.20000000000005</v>
      </c>
      <c r="C13" s="297" t="s">
        <v>173</v>
      </c>
      <c r="D13" s="166">
        <v>1592.02</v>
      </c>
      <c r="E13" s="166">
        <v>0</v>
      </c>
      <c r="F13" s="166">
        <f t="shared" si="0"/>
        <v>1592.02</v>
      </c>
      <c r="G13" s="1028" t="s">
        <v>1730</v>
      </c>
      <c r="H13" s="6">
        <f t="shared" ref="H13:H58" si="2">H12+1</f>
        <v>3</v>
      </c>
      <c r="J13" s="220"/>
      <c r="K13" s="220"/>
    </row>
    <row r="14" spans="1:11" s="1" customFormat="1" x14ac:dyDescent="0.35">
      <c r="A14" s="6">
        <f t="shared" si="1"/>
        <v>4</v>
      </c>
      <c r="B14" s="1027">
        <v>561.29999999999995</v>
      </c>
      <c r="C14" s="297" t="s">
        <v>174</v>
      </c>
      <c r="D14" s="166">
        <v>122.504</v>
      </c>
      <c r="E14" s="166">
        <v>0</v>
      </c>
      <c r="F14" s="166">
        <f t="shared" si="0"/>
        <v>122.504</v>
      </c>
      <c r="G14" s="1028" t="s">
        <v>1731</v>
      </c>
      <c r="H14" s="6">
        <f t="shared" si="2"/>
        <v>4</v>
      </c>
      <c r="J14" s="220"/>
      <c r="K14" s="220"/>
    </row>
    <row r="15" spans="1:11" s="1" customFormat="1" ht="17.25" customHeight="1" x14ac:dyDescent="0.35">
      <c r="A15" s="6">
        <f t="shared" si="1"/>
        <v>5</v>
      </c>
      <c r="B15" s="1027">
        <v>561.4</v>
      </c>
      <c r="C15" s="297" t="s">
        <v>175</v>
      </c>
      <c r="D15" s="166">
        <v>3844.3679999999999</v>
      </c>
      <c r="E15" s="284">
        <f>E48</f>
        <v>3844.3684500000004</v>
      </c>
      <c r="F15" s="166">
        <f t="shared" si="0"/>
        <v>-4.5000000045547495E-4</v>
      </c>
      <c r="G15" s="1028" t="s">
        <v>1732</v>
      </c>
      <c r="H15" s="6">
        <f t="shared" si="2"/>
        <v>5</v>
      </c>
      <c r="J15" s="220"/>
      <c r="K15" s="220"/>
    </row>
    <row r="16" spans="1:11" s="1" customFormat="1" x14ac:dyDescent="0.35">
      <c r="A16" s="6">
        <f t="shared" si="1"/>
        <v>6</v>
      </c>
      <c r="B16" s="1027">
        <v>561.5</v>
      </c>
      <c r="C16" s="297" t="s">
        <v>176</v>
      </c>
      <c r="D16" s="166">
        <v>84.087000000000003</v>
      </c>
      <c r="E16" s="166">
        <v>0</v>
      </c>
      <c r="F16" s="166">
        <f t="shared" si="0"/>
        <v>84.087000000000003</v>
      </c>
      <c r="G16" s="1028" t="s">
        <v>1733</v>
      </c>
      <c r="H16" s="6">
        <f t="shared" si="2"/>
        <v>6</v>
      </c>
      <c r="J16" s="220"/>
      <c r="K16" s="220"/>
    </row>
    <row r="17" spans="1:11" s="1" customFormat="1" x14ac:dyDescent="0.35">
      <c r="A17" s="6">
        <f t="shared" si="1"/>
        <v>7</v>
      </c>
      <c r="B17" s="1027">
        <v>561.6</v>
      </c>
      <c r="C17" s="297" t="s">
        <v>177</v>
      </c>
      <c r="D17" s="166">
        <v>0</v>
      </c>
      <c r="E17" s="166">
        <v>0</v>
      </c>
      <c r="F17" s="166">
        <f t="shared" si="0"/>
        <v>0</v>
      </c>
      <c r="G17" s="1028" t="s">
        <v>1734</v>
      </c>
      <c r="H17" s="6">
        <f t="shared" si="2"/>
        <v>7</v>
      </c>
      <c r="J17" s="220"/>
      <c r="K17" s="220"/>
    </row>
    <row r="18" spans="1:11" s="1" customFormat="1" x14ac:dyDescent="0.35">
      <c r="A18" s="6">
        <f t="shared" si="1"/>
        <v>8</v>
      </c>
      <c r="B18" s="1027">
        <v>561.70000000000005</v>
      </c>
      <c r="C18" s="297" t="s">
        <v>178</v>
      </c>
      <c r="D18" s="166">
        <v>0</v>
      </c>
      <c r="E18" s="166">
        <v>0</v>
      </c>
      <c r="F18" s="166">
        <f t="shared" si="0"/>
        <v>0</v>
      </c>
      <c r="G18" s="1029" t="s">
        <v>1735</v>
      </c>
      <c r="H18" s="6">
        <f t="shared" si="2"/>
        <v>8</v>
      </c>
      <c r="J18" s="220"/>
      <c r="K18" s="220"/>
    </row>
    <row r="19" spans="1:11" s="1" customFormat="1" x14ac:dyDescent="0.35">
      <c r="A19" s="6">
        <f t="shared" si="1"/>
        <v>9</v>
      </c>
      <c r="B19" s="1027">
        <v>561.79999999999995</v>
      </c>
      <c r="C19" s="297" t="s">
        <v>179</v>
      </c>
      <c r="D19" s="166">
        <v>2540.1909999999998</v>
      </c>
      <c r="E19" s="284">
        <f>E49</f>
        <v>1815.5599299999999</v>
      </c>
      <c r="F19" s="166">
        <f t="shared" si="0"/>
        <v>724.63106999999991</v>
      </c>
      <c r="G19" s="1029" t="s">
        <v>1736</v>
      </c>
      <c r="H19" s="6">
        <f t="shared" si="2"/>
        <v>9</v>
      </c>
      <c r="J19" s="220"/>
      <c r="K19" s="220"/>
    </row>
    <row r="20" spans="1:11" s="1" customFormat="1" ht="15" customHeight="1" x14ac:dyDescent="0.35">
      <c r="A20" s="6">
        <f t="shared" si="1"/>
        <v>10</v>
      </c>
      <c r="B20" s="1027">
        <v>562</v>
      </c>
      <c r="C20" s="297" t="s">
        <v>180</v>
      </c>
      <c r="D20" s="166">
        <v>8258.6720000000005</v>
      </c>
      <c r="E20" s="166">
        <v>0</v>
      </c>
      <c r="F20" s="166">
        <f t="shared" si="0"/>
        <v>8258.6720000000005</v>
      </c>
      <c r="G20" s="1029" t="s">
        <v>1737</v>
      </c>
      <c r="H20" s="6">
        <f t="shared" si="2"/>
        <v>10</v>
      </c>
      <c r="J20" s="220"/>
      <c r="K20" s="220"/>
    </row>
    <row r="21" spans="1:11" s="1" customFormat="1" x14ac:dyDescent="0.35">
      <c r="A21" s="6">
        <f t="shared" si="1"/>
        <v>11</v>
      </c>
      <c r="B21" s="1027">
        <v>563</v>
      </c>
      <c r="C21" s="297" t="s">
        <v>181</v>
      </c>
      <c r="D21" s="166">
        <v>10149.41</v>
      </c>
      <c r="E21" s="166">
        <v>0</v>
      </c>
      <c r="F21" s="166">
        <f t="shared" si="0"/>
        <v>10149.41</v>
      </c>
      <c r="G21" s="1029" t="s">
        <v>1738</v>
      </c>
      <c r="H21" s="6">
        <f t="shared" si="2"/>
        <v>11</v>
      </c>
      <c r="J21" s="220"/>
      <c r="K21" s="220"/>
    </row>
    <row r="22" spans="1:11" s="1" customFormat="1" x14ac:dyDescent="0.35">
      <c r="A22" s="6">
        <f>A21+1</f>
        <v>12</v>
      </c>
      <c r="B22" s="1027">
        <v>564</v>
      </c>
      <c r="C22" s="297" t="s">
        <v>182</v>
      </c>
      <c r="D22" s="166">
        <v>58.883000000000003</v>
      </c>
      <c r="E22" s="166">
        <v>0</v>
      </c>
      <c r="F22" s="166">
        <f t="shared" si="0"/>
        <v>58.883000000000003</v>
      </c>
      <c r="G22" s="1029" t="s">
        <v>1739</v>
      </c>
      <c r="H22" s="6">
        <f>H21+1</f>
        <v>12</v>
      </c>
      <c r="J22" s="220"/>
      <c r="K22" s="220"/>
    </row>
    <row r="23" spans="1:11" s="1" customFormat="1" x14ac:dyDescent="0.35">
      <c r="A23" s="6">
        <f t="shared" si="1"/>
        <v>13</v>
      </c>
      <c r="B23" s="1027">
        <v>565</v>
      </c>
      <c r="C23" s="297" t="s">
        <v>183</v>
      </c>
      <c r="D23" s="166">
        <v>0</v>
      </c>
      <c r="E23" s="166">
        <v>0</v>
      </c>
      <c r="F23" s="166">
        <f t="shared" si="0"/>
        <v>0</v>
      </c>
      <c r="G23" s="1029" t="s">
        <v>1740</v>
      </c>
      <c r="H23" s="6">
        <f t="shared" si="2"/>
        <v>13</v>
      </c>
      <c r="J23" s="220"/>
      <c r="K23" s="220"/>
    </row>
    <row r="24" spans="1:11" s="1" customFormat="1" x14ac:dyDescent="0.35">
      <c r="A24" s="6">
        <f t="shared" si="1"/>
        <v>14</v>
      </c>
      <c r="B24" s="1027">
        <v>566</v>
      </c>
      <c r="C24" s="297" t="s">
        <v>184</v>
      </c>
      <c r="D24" s="166">
        <v>17591.239000000001</v>
      </c>
      <c r="E24" s="284">
        <f>E55</f>
        <v>3708.41851</v>
      </c>
      <c r="F24" s="166">
        <f t="shared" si="0"/>
        <v>13882.820490000002</v>
      </c>
      <c r="G24" s="1029" t="s">
        <v>1741</v>
      </c>
      <c r="H24" s="6">
        <f t="shared" si="2"/>
        <v>14</v>
      </c>
      <c r="J24" s="220"/>
      <c r="K24" s="220"/>
    </row>
    <row r="25" spans="1:11" s="1" customFormat="1" x14ac:dyDescent="0.35">
      <c r="A25" s="6">
        <f>A24+1</f>
        <v>15</v>
      </c>
      <c r="B25" s="1027">
        <v>567</v>
      </c>
      <c r="C25" s="297" t="s">
        <v>185</v>
      </c>
      <c r="D25" s="285">
        <v>3946.8180000000002</v>
      </c>
      <c r="E25" s="285">
        <v>0</v>
      </c>
      <c r="F25" s="285">
        <f t="shared" si="0"/>
        <v>3946.8180000000002</v>
      </c>
      <c r="G25" s="1029" t="s">
        <v>1742</v>
      </c>
      <c r="H25" s="6">
        <f t="shared" si="2"/>
        <v>15</v>
      </c>
      <c r="J25" s="220"/>
      <c r="K25" s="220"/>
    </row>
    <row r="26" spans="1:11" s="1" customFormat="1" x14ac:dyDescent="0.35">
      <c r="A26" s="6">
        <f>A25+1</f>
        <v>16</v>
      </c>
      <c r="B26" s="1027"/>
      <c r="C26" s="297"/>
      <c r="D26" s="166"/>
      <c r="E26" s="284"/>
      <c r="F26" s="166"/>
      <c r="G26" s="1028"/>
      <c r="H26" s="6">
        <f>H25+1</f>
        <v>16</v>
      </c>
      <c r="J26" s="220"/>
      <c r="K26" s="220"/>
    </row>
    <row r="27" spans="1:11" s="1" customFormat="1" ht="16" thickBot="1" x14ac:dyDescent="0.4">
      <c r="A27" s="6">
        <f>A26+1</f>
        <v>17</v>
      </c>
      <c r="B27" s="1030"/>
      <c r="C27" s="1031" t="s">
        <v>850</v>
      </c>
      <c r="D27" s="286">
        <f>SUM(D11:D25)</f>
        <v>58612.020000000004</v>
      </c>
      <c r="E27" s="287">
        <f>SUM(E11:E25)</f>
        <v>9473.9867300000005</v>
      </c>
      <c r="F27" s="286">
        <f>SUM(F11:F25)</f>
        <v>49138.03327</v>
      </c>
      <c r="G27" s="1032" t="str">
        <f>"Sum Lines "&amp;A11&amp;" thru "&amp;A25</f>
        <v>Sum Lines 1 thru 15</v>
      </c>
      <c r="H27" s="6">
        <f>H26+1</f>
        <v>17</v>
      </c>
      <c r="J27" s="220"/>
      <c r="K27" s="220"/>
    </row>
    <row r="28" spans="1:11" s="1" customFormat="1" x14ac:dyDescent="0.35">
      <c r="A28" s="6">
        <f t="shared" si="1"/>
        <v>18</v>
      </c>
      <c r="B28" s="1033"/>
      <c r="C28" s="297"/>
      <c r="D28" s="288"/>
      <c r="E28" s="289"/>
      <c r="F28" s="288"/>
      <c r="G28" s="1029"/>
      <c r="H28" s="6">
        <f t="shared" si="2"/>
        <v>18</v>
      </c>
      <c r="J28" s="220"/>
      <c r="K28" s="220"/>
    </row>
    <row r="29" spans="1:11" s="1" customFormat="1" x14ac:dyDescent="0.35">
      <c r="A29" s="6">
        <f t="shared" si="1"/>
        <v>19</v>
      </c>
      <c r="B29" s="1023"/>
      <c r="C29" s="1024" t="s">
        <v>186</v>
      </c>
      <c r="D29" s="288"/>
      <c r="E29" s="289"/>
      <c r="F29" s="288"/>
      <c r="G29" s="1029"/>
      <c r="H29" s="6">
        <f t="shared" si="2"/>
        <v>19</v>
      </c>
      <c r="J29" s="220"/>
      <c r="K29" s="220"/>
    </row>
    <row r="30" spans="1:11" s="1" customFormat="1" x14ac:dyDescent="0.35">
      <c r="A30" s="6">
        <f t="shared" si="1"/>
        <v>20</v>
      </c>
      <c r="B30" s="1027">
        <v>568</v>
      </c>
      <c r="C30" s="297" t="s">
        <v>187</v>
      </c>
      <c r="D30" s="164">
        <v>1949.278</v>
      </c>
      <c r="E30" s="164">
        <v>0</v>
      </c>
      <c r="F30" s="164">
        <f t="shared" ref="F30:F39" si="3">D30-E30</f>
        <v>1949.278</v>
      </c>
      <c r="G30" s="1029" t="s">
        <v>1743</v>
      </c>
      <c r="H30" s="6">
        <f t="shared" si="2"/>
        <v>20</v>
      </c>
      <c r="J30" s="220"/>
      <c r="K30" s="220"/>
    </row>
    <row r="31" spans="1:11" s="1" customFormat="1" x14ac:dyDescent="0.35">
      <c r="A31" s="6">
        <f t="shared" si="1"/>
        <v>21</v>
      </c>
      <c r="B31" s="1027">
        <v>569</v>
      </c>
      <c r="C31" s="297" t="s">
        <v>188</v>
      </c>
      <c r="D31" s="166">
        <v>529.44799999999998</v>
      </c>
      <c r="E31" s="284">
        <v>0</v>
      </c>
      <c r="F31" s="166">
        <f t="shared" si="3"/>
        <v>529.44799999999998</v>
      </c>
      <c r="G31" s="1029" t="s">
        <v>1744</v>
      </c>
      <c r="H31" s="6">
        <f t="shared" si="2"/>
        <v>21</v>
      </c>
      <c r="J31" s="220"/>
      <c r="K31" s="220"/>
    </row>
    <row r="32" spans="1:11" s="1" customFormat="1" x14ac:dyDescent="0.35">
      <c r="A32" s="6">
        <f t="shared" si="1"/>
        <v>22</v>
      </c>
      <c r="B32" s="1027">
        <v>569.1</v>
      </c>
      <c r="C32" s="297" t="s">
        <v>189</v>
      </c>
      <c r="D32" s="166">
        <v>1034.4570000000001</v>
      </c>
      <c r="E32" s="284">
        <v>0</v>
      </c>
      <c r="F32" s="166">
        <f t="shared" si="3"/>
        <v>1034.4570000000001</v>
      </c>
      <c r="G32" s="1029" t="s">
        <v>1745</v>
      </c>
      <c r="H32" s="6">
        <f t="shared" si="2"/>
        <v>22</v>
      </c>
      <c r="J32" s="220"/>
      <c r="K32" s="220"/>
    </row>
    <row r="33" spans="1:11" s="1" customFormat="1" x14ac:dyDescent="0.35">
      <c r="A33" s="6">
        <f t="shared" si="1"/>
        <v>23</v>
      </c>
      <c r="B33" s="1027">
        <v>569.20000000000005</v>
      </c>
      <c r="C33" s="297" t="s">
        <v>190</v>
      </c>
      <c r="D33" s="166">
        <v>3015.7959999999998</v>
      </c>
      <c r="E33" s="284">
        <v>0</v>
      </c>
      <c r="F33" s="166">
        <f t="shared" si="3"/>
        <v>3015.7959999999998</v>
      </c>
      <c r="G33" s="1029" t="s">
        <v>1746</v>
      </c>
      <c r="H33" s="6">
        <f t="shared" si="2"/>
        <v>23</v>
      </c>
      <c r="J33" s="220"/>
      <c r="K33" s="220"/>
    </row>
    <row r="34" spans="1:11" s="1" customFormat="1" x14ac:dyDescent="0.35">
      <c r="A34" s="6">
        <f t="shared" si="1"/>
        <v>24</v>
      </c>
      <c r="B34" s="1027">
        <v>569.29999999999995</v>
      </c>
      <c r="C34" s="297" t="s">
        <v>191</v>
      </c>
      <c r="D34" s="166">
        <v>5.1999999999999998E-2</v>
      </c>
      <c r="E34" s="284">
        <v>0</v>
      </c>
      <c r="F34" s="166">
        <f t="shared" si="3"/>
        <v>5.1999999999999998E-2</v>
      </c>
      <c r="G34" s="1029" t="s">
        <v>1747</v>
      </c>
      <c r="H34" s="6">
        <f t="shared" si="2"/>
        <v>24</v>
      </c>
      <c r="J34" s="220"/>
      <c r="K34" s="220"/>
    </row>
    <row r="35" spans="1:11" s="1" customFormat="1" x14ac:dyDescent="0.35">
      <c r="A35" s="6">
        <f t="shared" si="1"/>
        <v>25</v>
      </c>
      <c r="B35" s="1027">
        <v>569.4</v>
      </c>
      <c r="C35" s="297" t="s">
        <v>192</v>
      </c>
      <c r="D35" s="166">
        <v>173.12200000000001</v>
      </c>
      <c r="E35" s="284">
        <v>0</v>
      </c>
      <c r="F35" s="166">
        <f t="shared" si="3"/>
        <v>173.12200000000001</v>
      </c>
      <c r="G35" s="1029" t="s">
        <v>1748</v>
      </c>
      <c r="H35" s="6">
        <f t="shared" si="2"/>
        <v>25</v>
      </c>
      <c r="J35" s="220"/>
      <c r="K35" s="220"/>
    </row>
    <row r="36" spans="1:11" s="1" customFormat="1" x14ac:dyDescent="0.35">
      <c r="A36" s="6">
        <f t="shared" si="1"/>
        <v>26</v>
      </c>
      <c r="B36" s="1027">
        <v>570</v>
      </c>
      <c r="C36" s="297" t="s">
        <v>193</v>
      </c>
      <c r="D36" s="166">
        <v>19573.862000000001</v>
      </c>
      <c r="E36" s="284">
        <v>0</v>
      </c>
      <c r="F36" s="166">
        <f t="shared" si="3"/>
        <v>19573.862000000001</v>
      </c>
      <c r="G36" s="1029" t="s">
        <v>1749</v>
      </c>
      <c r="H36" s="6">
        <f t="shared" si="2"/>
        <v>26</v>
      </c>
      <c r="J36" s="220"/>
      <c r="K36" s="220"/>
    </row>
    <row r="37" spans="1:11" s="1" customFormat="1" x14ac:dyDescent="0.35">
      <c r="A37" s="6">
        <f t="shared" si="1"/>
        <v>27</v>
      </c>
      <c r="B37" s="1027">
        <v>571</v>
      </c>
      <c r="C37" s="297" t="s">
        <v>695</v>
      </c>
      <c r="D37" s="166">
        <v>24432.907999999999</v>
      </c>
      <c r="E37" s="284">
        <v>0</v>
      </c>
      <c r="F37" s="166">
        <f t="shared" si="3"/>
        <v>24432.907999999999</v>
      </c>
      <c r="G37" s="1029" t="s">
        <v>1750</v>
      </c>
      <c r="H37" s="6">
        <f t="shared" si="2"/>
        <v>27</v>
      </c>
      <c r="I37" s="1811"/>
      <c r="J37" s="220"/>
      <c r="K37" s="220"/>
    </row>
    <row r="38" spans="1:11" s="1" customFormat="1" x14ac:dyDescent="0.35">
      <c r="A38" s="6">
        <f t="shared" si="1"/>
        <v>28</v>
      </c>
      <c r="B38" s="1027">
        <v>572</v>
      </c>
      <c r="C38" s="297" t="s">
        <v>194</v>
      </c>
      <c r="D38" s="166">
        <v>423.899</v>
      </c>
      <c r="E38" s="284">
        <v>0</v>
      </c>
      <c r="F38" s="166">
        <f t="shared" si="3"/>
        <v>423.899</v>
      </c>
      <c r="G38" s="1028" t="s">
        <v>1751</v>
      </c>
      <c r="H38" s="6">
        <f t="shared" si="2"/>
        <v>28</v>
      </c>
      <c r="I38" s="1811"/>
      <c r="J38" s="220"/>
      <c r="K38" s="220"/>
    </row>
    <row r="39" spans="1:11" s="1" customFormat="1" x14ac:dyDescent="0.35">
      <c r="A39" s="6">
        <f t="shared" si="1"/>
        <v>29</v>
      </c>
      <c r="B39" s="1027">
        <v>573</v>
      </c>
      <c r="C39" s="297" t="s">
        <v>195</v>
      </c>
      <c r="D39" s="166">
        <v>11.49</v>
      </c>
      <c r="E39" s="285">
        <v>0</v>
      </c>
      <c r="F39" s="285">
        <f t="shared" si="3"/>
        <v>11.49</v>
      </c>
      <c r="G39" s="1028" t="s">
        <v>1752</v>
      </c>
      <c r="H39" s="6">
        <f t="shared" si="2"/>
        <v>29</v>
      </c>
      <c r="I39" s="1835"/>
      <c r="J39" s="220"/>
      <c r="K39" s="220"/>
    </row>
    <row r="40" spans="1:11" s="1" customFormat="1" x14ac:dyDescent="0.35">
      <c r="A40" s="6">
        <f t="shared" si="1"/>
        <v>30</v>
      </c>
      <c r="B40" s="1027"/>
      <c r="C40" s="297"/>
      <c r="D40" s="290"/>
      <c r="E40" s="284"/>
      <c r="F40" s="290"/>
      <c r="G40" s="1028"/>
      <c r="H40" s="6">
        <f t="shared" si="2"/>
        <v>30</v>
      </c>
      <c r="J40" s="220"/>
      <c r="K40" s="220"/>
    </row>
    <row r="41" spans="1:11" s="1" customFormat="1" x14ac:dyDescent="0.35">
      <c r="A41" s="6">
        <f t="shared" si="1"/>
        <v>31</v>
      </c>
      <c r="B41" s="1033"/>
      <c r="C41" s="1034" t="s">
        <v>851</v>
      </c>
      <c r="D41" s="164">
        <f>SUM(D30:D39)</f>
        <v>51144.311999999991</v>
      </c>
      <c r="E41" s="164">
        <f>SUM(E30:E39)</f>
        <v>0</v>
      </c>
      <c r="F41" s="164">
        <f>SUM(F30:F39)</f>
        <v>51144.311999999991</v>
      </c>
      <c r="G41" s="1028" t="str">
        <f>"Sum Lines "&amp;A30&amp;" thru "&amp;A39</f>
        <v>Sum Lines 20 thru 29</v>
      </c>
      <c r="H41" s="6">
        <f t="shared" si="2"/>
        <v>31</v>
      </c>
      <c r="J41" s="220"/>
      <c r="K41" s="220"/>
    </row>
    <row r="42" spans="1:11" s="1" customFormat="1" x14ac:dyDescent="0.35">
      <c r="A42" s="6">
        <f t="shared" si="1"/>
        <v>32</v>
      </c>
      <c r="B42" s="1033"/>
      <c r="C42" s="297"/>
      <c r="D42" s="291"/>
      <c r="E42" s="291"/>
      <c r="F42" s="291"/>
      <c r="G42" s="1028"/>
      <c r="H42" s="6">
        <f t="shared" si="2"/>
        <v>32</v>
      </c>
      <c r="J42" s="220"/>
      <c r="K42" s="220"/>
    </row>
    <row r="43" spans="1:11" s="1" customFormat="1" ht="16" thickBot="1" x14ac:dyDescent="0.4">
      <c r="A43" s="6">
        <f t="shared" si="1"/>
        <v>33</v>
      </c>
      <c r="B43" s="1016"/>
      <c r="C43" s="246" t="s">
        <v>196</v>
      </c>
      <c r="D43" s="292">
        <f>D27+D41</f>
        <v>109756.33199999999</v>
      </c>
      <c r="E43" s="292">
        <f>+E27+E41</f>
        <v>9473.9867300000005</v>
      </c>
      <c r="F43" s="292">
        <f>+F27+F41</f>
        <v>100282.34526999999</v>
      </c>
      <c r="G43" s="1028" t="str">
        <f>"Line "&amp;A27&amp;" + Line "&amp;A41</f>
        <v>Line 17 + Line 31</v>
      </c>
      <c r="H43" s="6">
        <f t="shared" si="2"/>
        <v>33</v>
      </c>
      <c r="J43" s="220"/>
      <c r="K43" s="220"/>
    </row>
    <row r="44" spans="1:11" ht="16.5" thickTop="1" thickBot="1" x14ac:dyDescent="0.4">
      <c r="A44" s="6">
        <f t="shared" si="1"/>
        <v>34</v>
      </c>
      <c r="B44" s="1035"/>
      <c r="C44" s="405"/>
      <c r="D44" s="293"/>
      <c r="E44" s="294"/>
      <c r="F44" s="293"/>
      <c r="G44" s="1036"/>
      <c r="H44" s="6">
        <f t="shared" si="2"/>
        <v>34</v>
      </c>
    </row>
    <row r="45" spans="1:11" x14ac:dyDescent="0.35">
      <c r="A45" s="6">
        <f t="shared" si="1"/>
        <v>35</v>
      </c>
      <c r="B45" s="1037"/>
      <c r="C45" s="297"/>
      <c r="D45" s="295"/>
      <c r="E45" s="289"/>
      <c r="F45" s="295"/>
      <c r="G45" s="1038"/>
      <c r="H45" s="6">
        <f>H44+1</f>
        <v>35</v>
      </c>
    </row>
    <row r="46" spans="1:11" x14ac:dyDescent="0.35">
      <c r="A46" s="6">
        <f t="shared" si="1"/>
        <v>36</v>
      </c>
      <c r="B46" s="1039" t="s">
        <v>915</v>
      </c>
      <c r="C46" s="297"/>
      <c r="D46" s="295"/>
      <c r="E46" s="289"/>
      <c r="F46" s="295"/>
      <c r="G46" s="1038"/>
      <c r="H46" s="6">
        <f t="shared" si="2"/>
        <v>36</v>
      </c>
    </row>
    <row r="47" spans="1:11" s="1686" customFormat="1" x14ac:dyDescent="0.35">
      <c r="A47" s="6">
        <f t="shared" si="1"/>
        <v>37</v>
      </c>
      <c r="B47" s="1037" t="s">
        <v>1382</v>
      </c>
      <c r="C47" s="297" t="s">
        <v>1381</v>
      </c>
      <c r="D47" s="295"/>
      <c r="E47" s="1650">
        <v>105.63984000000001</v>
      </c>
      <c r="F47" s="295"/>
      <c r="G47" s="1038"/>
      <c r="H47" s="6">
        <f t="shared" si="2"/>
        <v>37</v>
      </c>
    </row>
    <row r="48" spans="1:11" x14ac:dyDescent="0.35">
      <c r="A48" s="6">
        <f t="shared" si="1"/>
        <v>38</v>
      </c>
      <c r="B48" s="1037" t="s">
        <v>197</v>
      </c>
      <c r="C48" s="297" t="s">
        <v>198</v>
      </c>
      <c r="D48" s="295"/>
      <c r="E48" s="284">
        <v>3844.3684500000004</v>
      </c>
      <c r="F48" s="297"/>
      <c r="G48" s="1038"/>
      <c r="H48" s="6">
        <f t="shared" si="2"/>
        <v>38</v>
      </c>
    </row>
    <row r="49" spans="1:10" x14ac:dyDescent="0.35">
      <c r="A49" s="6">
        <f t="shared" si="1"/>
        <v>39</v>
      </c>
      <c r="B49" s="1037">
        <v>561.79999999999995</v>
      </c>
      <c r="C49" s="297" t="s">
        <v>199</v>
      </c>
      <c r="D49" s="295"/>
      <c r="E49" s="284">
        <v>1815.5599299999999</v>
      </c>
      <c r="F49" s="297"/>
      <c r="G49" s="1038"/>
      <c r="H49" s="6">
        <f t="shared" si="2"/>
        <v>39</v>
      </c>
    </row>
    <row r="50" spans="1:10" x14ac:dyDescent="0.35">
      <c r="A50" s="6">
        <f t="shared" si="1"/>
        <v>40</v>
      </c>
      <c r="B50" s="1037">
        <v>565</v>
      </c>
      <c r="C50" s="297" t="s">
        <v>200</v>
      </c>
      <c r="D50" s="295"/>
      <c r="E50" s="284">
        <v>0</v>
      </c>
      <c r="F50" s="298"/>
      <c r="G50" s="1038"/>
      <c r="H50" s="6">
        <f t="shared" si="2"/>
        <v>40</v>
      </c>
    </row>
    <row r="51" spans="1:10" x14ac:dyDescent="0.35">
      <c r="A51" s="6">
        <f t="shared" si="1"/>
        <v>41</v>
      </c>
      <c r="B51" s="1037" t="s">
        <v>201</v>
      </c>
      <c r="C51" s="297" t="s">
        <v>862</v>
      </c>
      <c r="D51" s="296">
        <v>0</v>
      </c>
      <c r="E51" s="284"/>
      <c r="F51" s="295"/>
      <c r="G51" s="1038"/>
      <c r="H51" s="6">
        <f t="shared" si="2"/>
        <v>41</v>
      </c>
    </row>
    <row r="52" spans="1:10" x14ac:dyDescent="0.35">
      <c r="A52" s="6">
        <f t="shared" si="1"/>
        <v>42</v>
      </c>
      <c r="B52" s="1037"/>
      <c r="C52" s="297" t="s">
        <v>863</v>
      </c>
      <c r="D52" s="284">
        <v>0</v>
      </c>
      <c r="E52" s="284"/>
      <c r="F52" s="295"/>
      <c r="G52" s="1038"/>
      <c r="H52" s="6">
        <f t="shared" si="2"/>
        <v>42</v>
      </c>
    </row>
    <row r="53" spans="1:10" x14ac:dyDescent="0.35">
      <c r="A53" s="6">
        <f t="shared" si="1"/>
        <v>43</v>
      </c>
      <c r="B53" s="1037"/>
      <c r="C53" s="297" t="s">
        <v>864</v>
      </c>
      <c r="D53" s="284">
        <v>958.11661000000004</v>
      </c>
      <c r="E53" s="299"/>
      <c r="F53" s="295"/>
      <c r="G53" s="1038"/>
      <c r="H53" s="6">
        <f t="shared" si="2"/>
        <v>43</v>
      </c>
    </row>
    <row r="54" spans="1:10" x14ac:dyDescent="0.35">
      <c r="A54" s="6">
        <f t="shared" si="1"/>
        <v>44</v>
      </c>
      <c r="B54" s="1037"/>
      <c r="C54" s="297" t="s">
        <v>865</v>
      </c>
      <c r="D54" s="284">
        <v>243.06765000000001</v>
      </c>
      <c r="E54" s="299"/>
      <c r="F54" s="295"/>
      <c r="G54" s="1038"/>
      <c r="H54" s="6">
        <f t="shared" si="2"/>
        <v>44</v>
      </c>
    </row>
    <row r="55" spans="1:10" x14ac:dyDescent="0.35">
      <c r="A55" s="6">
        <f t="shared" si="1"/>
        <v>45</v>
      </c>
      <c r="B55" s="1037"/>
      <c r="C55" s="297" t="s">
        <v>866</v>
      </c>
      <c r="D55" s="1751">
        <v>2507.23425</v>
      </c>
      <c r="E55" s="1885">
        <f>SUM(D51:D55)</f>
        <v>3708.41851</v>
      </c>
      <c r="F55" s="298"/>
      <c r="G55" s="1038"/>
      <c r="H55" s="6">
        <f t="shared" si="2"/>
        <v>45</v>
      </c>
      <c r="J55" s="1884"/>
    </row>
    <row r="56" spans="1:10" x14ac:dyDescent="0.35">
      <c r="A56" s="6">
        <f t="shared" si="1"/>
        <v>46</v>
      </c>
      <c r="B56" s="1037"/>
      <c r="C56" s="297"/>
      <c r="D56" s="284"/>
      <c r="E56" s="299"/>
      <c r="F56" s="295"/>
      <c r="G56" s="1038"/>
      <c r="H56" s="6">
        <f t="shared" si="2"/>
        <v>46</v>
      </c>
    </row>
    <row r="57" spans="1:10" ht="16" thickBot="1" x14ac:dyDescent="0.4">
      <c r="A57" s="6">
        <f t="shared" si="1"/>
        <v>47</v>
      </c>
      <c r="B57" s="1040"/>
      <c r="C57" s="246" t="s">
        <v>202</v>
      </c>
      <c r="D57" s="295"/>
      <c r="E57" s="300">
        <f>SUM(E47:E56)</f>
        <v>9473.9867300000005</v>
      </c>
      <c r="F57" s="295"/>
      <c r="G57" s="1038"/>
      <c r="H57" s="6">
        <f t="shared" si="2"/>
        <v>47</v>
      </c>
    </row>
    <row r="58" spans="1:10" ht="16.5" thickTop="1" thickBot="1" x14ac:dyDescent="0.4">
      <c r="A58" s="6">
        <f t="shared" si="1"/>
        <v>48</v>
      </c>
      <c r="B58" s="1041"/>
      <c r="C58" s="405"/>
      <c r="D58" s="405"/>
      <c r="E58" s="1042"/>
      <c r="F58" s="405"/>
      <c r="G58" s="1036"/>
      <c r="H58" s="6">
        <f t="shared" si="2"/>
        <v>48</v>
      </c>
    </row>
    <row r="59" spans="1:10" x14ac:dyDescent="0.35">
      <c r="B59" s="1043"/>
    </row>
    <row r="60" spans="1:10" x14ac:dyDescent="0.35">
      <c r="B60" s="1043"/>
    </row>
    <row r="61" spans="1:10" x14ac:dyDescent="0.35">
      <c r="B61" s="1043"/>
    </row>
    <row r="62" spans="1:10" x14ac:dyDescent="0.35">
      <c r="B62" s="1043"/>
    </row>
    <row r="63" spans="1:10" x14ac:dyDescent="0.35">
      <c r="B63" s="1043"/>
    </row>
    <row r="64" spans="1:10" x14ac:dyDescent="0.35">
      <c r="B64" s="1043"/>
    </row>
    <row r="65" spans="2:5" x14ac:dyDescent="0.35">
      <c r="B65" s="1043"/>
    </row>
    <row r="66" spans="2:5" x14ac:dyDescent="0.35">
      <c r="B66" s="1043"/>
    </row>
    <row r="67" spans="2:5" x14ac:dyDescent="0.35">
      <c r="B67" s="1043"/>
    </row>
    <row r="68" spans="2:5" x14ac:dyDescent="0.35">
      <c r="B68" s="1043"/>
    </row>
    <row r="69" spans="2:5" x14ac:dyDescent="0.35">
      <c r="B69" s="1043"/>
    </row>
    <row r="70" spans="2:5" x14ac:dyDescent="0.35">
      <c r="B70" s="1043"/>
    </row>
    <row r="71" spans="2:5" x14ac:dyDescent="0.35">
      <c r="B71" s="1043"/>
    </row>
    <row r="72" spans="2:5" x14ac:dyDescent="0.35">
      <c r="B72" s="1043"/>
    </row>
    <row r="73" spans="2:5" x14ac:dyDescent="0.35">
      <c r="B73" s="1043"/>
    </row>
    <row r="74" spans="2:5" x14ac:dyDescent="0.35">
      <c r="B74" s="1043"/>
      <c r="E74" s="220"/>
    </row>
    <row r="75" spans="2:5" x14ac:dyDescent="0.35">
      <c r="B75" s="1043"/>
      <c r="E75" s="220"/>
    </row>
    <row r="76" spans="2:5" x14ac:dyDescent="0.35">
      <c r="B76" s="1043"/>
      <c r="E76" s="220"/>
    </row>
    <row r="77" spans="2:5" x14ac:dyDescent="0.35">
      <c r="B77" s="1043"/>
      <c r="E77" s="220"/>
    </row>
    <row r="78" spans="2:5" x14ac:dyDescent="0.35">
      <c r="B78" s="1043"/>
      <c r="E78" s="220"/>
    </row>
    <row r="79" spans="2:5" x14ac:dyDescent="0.35">
      <c r="B79" s="1043"/>
      <c r="E79" s="220"/>
    </row>
    <row r="80" spans="2:5" x14ac:dyDescent="0.35">
      <c r="B80" s="1043"/>
      <c r="E80" s="220"/>
    </row>
    <row r="81" spans="2:5" x14ac:dyDescent="0.35">
      <c r="B81" s="1043"/>
      <c r="E81" s="220"/>
    </row>
    <row r="82" spans="2:5" x14ac:dyDescent="0.35">
      <c r="B82" s="1043"/>
      <c r="E82" s="220"/>
    </row>
    <row r="83" spans="2:5" x14ac:dyDescent="0.35">
      <c r="B83" s="1043"/>
      <c r="E83" s="220"/>
    </row>
    <row r="84" spans="2:5" x14ac:dyDescent="0.35">
      <c r="B84" s="1043"/>
      <c r="E84" s="220"/>
    </row>
    <row r="85" spans="2:5" x14ac:dyDescent="0.35">
      <c r="B85" s="1043"/>
      <c r="E85" s="220"/>
    </row>
    <row r="86" spans="2:5" x14ac:dyDescent="0.35">
      <c r="B86" s="1043"/>
      <c r="E86" s="220"/>
    </row>
    <row r="87" spans="2:5" x14ac:dyDescent="0.35">
      <c r="B87" s="1043"/>
      <c r="E87" s="220"/>
    </row>
    <row r="88" spans="2:5" x14ac:dyDescent="0.35">
      <c r="B88" s="1043"/>
      <c r="E88" s="220"/>
    </row>
    <row r="89" spans="2:5" x14ac:dyDescent="0.35">
      <c r="B89" s="1043"/>
      <c r="E89" s="220"/>
    </row>
    <row r="90" spans="2:5" x14ac:dyDescent="0.35">
      <c r="B90" s="1043"/>
      <c r="E90" s="220"/>
    </row>
    <row r="91" spans="2:5" x14ac:dyDescent="0.35">
      <c r="B91" s="1043"/>
      <c r="E91" s="220"/>
    </row>
    <row r="92" spans="2:5" x14ac:dyDescent="0.35">
      <c r="B92" s="1043"/>
      <c r="E92" s="220"/>
    </row>
    <row r="93" spans="2:5" x14ac:dyDescent="0.35">
      <c r="B93" s="1043"/>
      <c r="E93" s="220"/>
    </row>
    <row r="94" spans="2:5" x14ac:dyDescent="0.35">
      <c r="B94" s="1043"/>
      <c r="E94" s="220"/>
    </row>
    <row r="95" spans="2:5" x14ac:dyDescent="0.35">
      <c r="B95" s="1043"/>
      <c r="E95" s="220"/>
    </row>
    <row r="96" spans="2:5" x14ac:dyDescent="0.35">
      <c r="B96" s="1043"/>
      <c r="E96" s="220"/>
    </row>
    <row r="97" spans="2:5" x14ac:dyDescent="0.35">
      <c r="B97" s="1043"/>
      <c r="E97" s="220"/>
    </row>
    <row r="98" spans="2:5" x14ac:dyDescent="0.35">
      <c r="B98" s="1043"/>
      <c r="E98" s="220"/>
    </row>
    <row r="99" spans="2:5" x14ac:dyDescent="0.35">
      <c r="B99" s="1043"/>
      <c r="E99" s="220"/>
    </row>
    <row r="100" spans="2:5" x14ac:dyDescent="0.35">
      <c r="B100" s="1043"/>
      <c r="E100" s="220"/>
    </row>
    <row r="101" spans="2:5" x14ac:dyDescent="0.35">
      <c r="B101" s="1043"/>
      <c r="E101" s="220"/>
    </row>
    <row r="102" spans="2:5" x14ac:dyDescent="0.35">
      <c r="B102" s="1043"/>
      <c r="E102" s="220"/>
    </row>
    <row r="103" spans="2:5" x14ac:dyDescent="0.35">
      <c r="B103" s="1043"/>
      <c r="E103" s="220"/>
    </row>
    <row r="104" spans="2:5" x14ac:dyDescent="0.35">
      <c r="B104" s="1043"/>
      <c r="E104" s="220"/>
    </row>
    <row r="105" spans="2:5" x14ac:dyDescent="0.35">
      <c r="B105" s="1043"/>
      <c r="E105" s="220"/>
    </row>
    <row r="106" spans="2:5" x14ac:dyDescent="0.35">
      <c r="B106" s="1043"/>
      <c r="E106" s="220"/>
    </row>
    <row r="107" spans="2:5" x14ac:dyDescent="0.35">
      <c r="B107" s="1043"/>
      <c r="E107" s="220"/>
    </row>
    <row r="108" spans="2:5" x14ac:dyDescent="0.35">
      <c r="B108" s="1043"/>
      <c r="E108" s="220"/>
    </row>
    <row r="109" spans="2:5" x14ac:dyDescent="0.35">
      <c r="B109" s="1043"/>
      <c r="E109" s="220"/>
    </row>
    <row r="110" spans="2:5" x14ac:dyDescent="0.35">
      <c r="B110" s="1043"/>
      <c r="E110" s="220"/>
    </row>
    <row r="111" spans="2:5" x14ac:dyDescent="0.35">
      <c r="B111" s="1043"/>
      <c r="E111" s="220"/>
    </row>
    <row r="112" spans="2:5" x14ac:dyDescent="0.35">
      <c r="B112" s="1043"/>
      <c r="E112" s="220"/>
    </row>
    <row r="113" spans="2:5" x14ac:dyDescent="0.35">
      <c r="B113" s="1043"/>
      <c r="E113" s="220"/>
    </row>
    <row r="114" spans="2:5" x14ac:dyDescent="0.35">
      <c r="B114" s="1043"/>
      <c r="E114" s="220"/>
    </row>
    <row r="115" spans="2:5" x14ac:dyDescent="0.35">
      <c r="B115" s="1043"/>
      <c r="E115" s="220"/>
    </row>
    <row r="116" spans="2:5" x14ac:dyDescent="0.35">
      <c r="B116" s="1043"/>
      <c r="E116" s="220"/>
    </row>
    <row r="117" spans="2:5" x14ac:dyDescent="0.35">
      <c r="B117" s="1043"/>
      <c r="E117" s="220"/>
    </row>
    <row r="118" spans="2:5" x14ac:dyDescent="0.35">
      <c r="B118" s="1043"/>
      <c r="E118" s="220"/>
    </row>
    <row r="119" spans="2:5" x14ac:dyDescent="0.35">
      <c r="B119" s="1043"/>
      <c r="E119" s="220"/>
    </row>
    <row r="120" spans="2:5" x14ac:dyDescent="0.35">
      <c r="B120" s="1043"/>
      <c r="E120" s="220"/>
    </row>
    <row r="121" spans="2:5" x14ac:dyDescent="0.35">
      <c r="B121" s="1043"/>
      <c r="E121" s="220"/>
    </row>
    <row r="122" spans="2:5" x14ac:dyDescent="0.35">
      <c r="B122" s="1043"/>
      <c r="E122" s="220"/>
    </row>
    <row r="123" spans="2:5" x14ac:dyDescent="0.35">
      <c r="B123" s="1043"/>
      <c r="E123" s="220"/>
    </row>
    <row r="124" spans="2:5" x14ac:dyDescent="0.35">
      <c r="B124" s="1043"/>
      <c r="E124" s="220"/>
    </row>
    <row r="125" spans="2:5" x14ac:dyDescent="0.35">
      <c r="B125" s="1043"/>
      <c r="E125" s="220"/>
    </row>
    <row r="126" spans="2:5" x14ac:dyDescent="0.35">
      <c r="B126" s="1043"/>
      <c r="E126" s="220"/>
    </row>
    <row r="127" spans="2:5" x14ac:dyDescent="0.35">
      <c r="B127" s="1043"/>
      <c r="E127" s="220"/>
    </row>
    <row r="128" spans="2:5" x14ac:dyDescent="0.35">
      <c r="B128" s="1043"/>
      <c r="E128" s="220"/>
    </row>
    <row r="129" spans="2:5" x14ac:dyDescent="0.35">
      <c r="B129" s="1043"/>
      <c r="E129" s="220"/>
    </row>
    <row r="130" spans="2:5" x14ac:dyDescent="0.35">
      <c r="B130" s="1043"/>
      <c r="E130" s="220"/>
    </row>
    <row r="131" spans="2:5" x14ac:dyDescent="0.35">
      <c r="B131" s="1043"/>
      <c r="E131" s="220"/>
    </row>
    <row r="132" spans="2:5" x14ac:dyDescent="0.35">
      <c r="B132" s="1043"/>
      <c r="E132" s="220"/>
    </row>
    <row r="133" spans="2:5" x14ac:dyDescent="0.35">
      <c r="B133" s="1043"/>
      <c r="E133" s="220"/>
    </row>
    <row r="134" spans="2:5" x14ac:dyDescent="0.35">
      <c r="B134" s="1043"/>
      <c r="E134" s="220"/>
    </row>
    <row r="135" spans="2:5" x14ac:dyDescent="0.35">
      <c r="B135" s="1043"/>
      <c r="E135" s="220"/>
    </row>
    <row r="136" spans="2:5" x14ac:dyDescent="0.35">
      <c r="B136" s="1043"/>
      <c r="E136" s="220"/>
    </row>
    <row r="137" spans="2:5" x14ac:dyDescent="0.35">
      <c r="B137" s="1043"/>
      <c r="E137" s="220"/>
    </row>
    <row r="138" spans="2:5" x14ac:dyDescent="0.35">
      <c r="B138" s="1043"/>
      <c r="E138" s="220"/>
    </row>
    <row r="139" spans="2:5" x14ac:dyDescent="0.35">
      <c r="B139" s="1043"/>
      <c r="E139" s="220"/>
    </row>
    <row r="140" spans="2:5" x14ac:dyDescent="0.35">
      <c r="B140" s="1043"/>
      <c r="E140" s="220"/>
    </row>
    <row r="141" spans="2:5" x14ac:dyDescent="0.35">
      <c r="B141" s="1043"/>
      <c r="E141" s="220"/>
    </row>
    <row r="142" spans="2:5" x14ac:dyDescent="0.35">
      <c r="B142" s="1043"/>
      <c r="E142" s="220"/>
    </row>
    <row r="143" spans="2:5" x14ac:dyDescent="0.35">
      <c r="B143" s="1043"/>
      <c r="E143" s="220"/>
    </row>
    <row r="144" spans="2:5" x14ac:dyDescent="0.35">
      <c r="B144" s="1043"/>
      <c r="E144" s="220"/>
    </row>
    <row r="145" spans="2:5" x14ac:dyDescent="0.35">
      <c r="B145" s="1043"/>
      <c r="E145" s="220"/>
    </row>
    <row r="146" spans="2:5" x14ac:dyDescent="0.35">
      <c r="B146" s="1043"/>
      <c r="E146" s="220"/>
    </row>
    <row r="147" spans="2:5" x14ac:dyDescent="0.35">
      <c r="B147" s="1043"/>
      <c r="E147" s="220"/>
    </row>
    <row r="148" spans="2:5" x14ac:dyDescent="0.35">
      <c r="B148" s="1043"/>
      <c r="E148" s="220"/>
    </row>
    <row r="149" spans="2:5" x14ac:dyDescent="0.35">
      <c r="B149" s="1043"/>
      <c r="E149" s="220"/>
    </row>
    <row r="150" spans="2:5" x14ac:dyDescent="0.35">
      <c r="B150" s="1043"/>
      <c r="E150" s="220"/>
    </row>
    <row r="151" spans="2:5" x14ac:dyDescent="0.35">
      <c r="B151" s="1043"/>
      <c r="E151" s="220"/>
    </row>
    <row r="152" spans="2:5" x14ac:dyDescent="0.35">
      <c r="B152" s="1043"/>
      <c r="E152" s="220"/>
    </row>
    <row r="153" spans="2:5" x14ac:dyDescent="0.35">
      <c r="B153" s="1043"/>
      <c r="E153" s="220"/>
    </row>
    <row r="154" spans="2:5" x14ac:dyDescent="0.35">
      <c r="B154" s="1043"/>
      <c r="E154" s="220"/>
    </row>
    <row r="155" spans="2:5" x14ac:dyDescent="0.35">
      <c r="B155" s="1043"/>
      <c r="E155" s="220"/>
    </row>
    <row r="156" spans="2:5" x14ac:dyDescent="0.35">
      <c r="B156" s="1043"/>
      <c r="E156" s="220"/>
    </row>
    <row r="157" spans="2:5" x14ac:dyDescent="0.35">
      <c r="B157" s="1043"/>
      <c r="E157" s="220"/>
    </row>
    <row r="158" spans="2:5" x14ac:dyDescent="0.35">
      <c r="B158" s="1043"/>
      <c r="E158" s="220"/>
    </row>
    <row r="159" spans="2:5" x14ac:dyDescent="0.35">
      <c r="B159" s="1043"/>
      <c r="E159" s="220"/>
    </row>
    <row r="160" spans="2:5" x14ac:dyDescent="0.35">
      <c r="B160" s="1043"/>
      <c r="E160" s="220"/>
    </row>
    <row r="161" spans="2:5" x14ac:dyDescent="0.35">
      <c r="B161" s="1043"/>
      <c r="E161" s="220"/>
    </row>
    <row r="162" spans="2:5" x14ac:dyDescent="0.35">
      <c r="B162" s="1043"/>
      <c r="E162" s="220"/>
    </row>
    <row r="163" spans="2:5" x14ac:dyDescent="0.35">
      <c r="B163" s="1043"/>
      <c r="E163" s="220"/>
    </row>
    <row r="164" spans="2:5" x14ac:dyDescent="0.35">
      <c r="B164" s="1043"/>
      <c r="E164" s="220"/>
    </row>
    <row r="165" spans="2:5" x14ac:dyDescent="0.35">
      <c r="B165" s="1043"/>
      <c r="E165" s="220"/>
    </row>
    <row r="166" spans="2:5" x14ac:dyDescent="0.35">
      <c r="B166" s="1043"/>
      <c r="E166" s="220"/>
    </row>
    <row r="167" spans="2:5" x14ac:dyDescent="0.35">
      <c r="B167" s="1043"/>
      <c r="E167" s="220"/>
    </row>
    <row r="168" spans="2:5" x14ac:dyDescent="0.35">
      <c r="B168" s="1043"/>
      <c r="E168" s="220"/>
    </row>
    <row r="169" spans="2:5" x14ac:dyDescent="0.35">
      <c r="B169" s="1043"/>
      <c r="E169" s="220"/>
    </row>
    <row r="170" spans="2:5" x14ac:dyDescent="0.35">
      <c r="B170" s="1043"/>
      <c r="E170" s="220"/>
    </row>
    <row r="171" spans="2:5" x14ac:dyDescent="0.35">
      <c r="B171" s="1043"/>
      <c r="E171" s="220"/>
    </row>
    <row r="172" spans="2:5" x14ac:dyDescent="0.35">
      <c r="B172" s="1043"/>
      <c r="E172" s="220"/>
    </row>
    <row r="173" spans="2:5" x14ac:dyDescent="0.35">
      <c r="B173" s="1043"/>
      <c r="E173" s="220"/>
    </row>
    <row r="174" spans="2:5" x14ac:dyDescent="0.35">
      <c r="B174" s="1043"/>
      <c r="E174" s="220"/>
    </row>
    <row r="175" spans="2:5" x14ac:dyDescent="0.35">
      <c r="B175" s="1043"/>
      <c r="E175" s="220"/>
    </row>
    <row r="176" spans="2:5" x14ac:dyDescent="0.35">
      <c r="B176" s="1043"/>
      <c r="E176" s="220"/>
    </row>
    <row r="177" spans="2:5" x14ac:dyDescent="0.35">
      <c r="B177" s="1043"/>
      <c r="E177" s="220"/>
    </row>
    <row r="178" spans="2:5" x14ac:dyDescent="0.35">
      <c r="B178" s="1043"/>
      <c r="E178" s="220"/>
    </row>
    <row r="179" spans="2:5" x14ac:dyDescent="0.35">
      <c r="B179" s="1043"/>
      <c r="E179" s="220"/>
    </row>
    <row r="180" spans="2:5" x14ac:dyDescent="0.35">
      <c r="B180" s="1043"/>
      <c r="E180" s="220"/>
    </row>
    <row r="181" spans="2:5" x14ac:dyDescent="0.35">
      <c r="B181" s="1043"/>
      <c r="E181" s="220"/>
    </row>
    <row r="182" spans="2:5" x14ac:dyDescent="0.35">
      <c r="B182" s="1043"/>
      <c r="E182" s="220"/>
    </row>
    <row r="183" spans="2:5" x14ac:dyDescent="0.35">
      <c r="B183" s="1043"/>
      <c r="E183" s="220"/>
    </row>
    <row r="184" spans="2:5" x14ac:dyDescent="0.35">
      <c r="B184" s="1043"/>
      <c r="E184" s="220"/>
    </row>
    <row r="185" spans="2:5" x14ac:dyDescent="0.35">
      <c r="B185" s="1043"/>
      <c r="E185" s="220"/>
    </row>
    <row r="186" spans="2:5" x14ac:dyDescent="0.35">
      <c r="B186" s="1043"/>
      <c r="E186" s="220"/>
    </row>
    <row r="187" spans="2:5" x14ac:dyDescent="0.35">
      <c r="B187" s="1043"/>
      <c r="E187" s="220"/>
    </row>
    <row r="188" spans="2:5" x14ac:dyDescent="0.35">
      <c r="B188" s="1043"/>
      <c r="E188" s="220"/>
    </row>
    <row r="189" spans="2:5" x14ac:dyDescent="0.35">
      <c r="B189" s="1043"/>
      <c r="E189" s="220"/>
    </row>
    <row r="190" spans="2:5" x14ac:dyDescent="0.35">
      <c r="B190" s="1043"/>
      <c r="E190" s="220"/>
    </row>
    <row r="191" spans="2:5" x14ac:dyDescent="0.35">
      <c r="B191" s="1043"/>
      <c r="E191" s="220"/>
    </row>
    <row r="192" spans="2:5" x14ac:dyDescent="0.35">
      <c r="B192" s="1043"/>
      <c r="E192" s="220"/>
    </row>
    <row r="193" spans="2:5" x14ac:dyDescent="0.35">
      <c r="B193" s="1043"/>
      <c r="E193" s="220"/>
    </row>
    <row r="194" spans="2:5" x14ac:dyDescent="0.35">
      <c r="B194" s="1043"/>
      <c r="E194" s="220"/>
    </row>
    <row r="195" spans="2:5" x14ac:dyDescent="0.35">
      <c r="B195" s="1043"/>
      <c r="E195" s="220"/>
    </row>
    <row r="196" spans="2:5" x14ac:dyDescent="0.35">
      <c r="B196" s="1043"/>
      <c r="E196" s="220"/>
    </row>
    <row r="197" spans="2:5" x14ac:dyDescent="0.35">
      <c r="B197" s="1043"/>
      <c r="E197" s="220"/>
    </row>
    <row r="198" spans="2:5" x14ac:dyDescent="0.35">
      <c r="B198" s="1043"/>
      <c r="E198" s="220"/>
    </row>
    <row r="199" spans="2:5" x14ac:dyDescent="0.35">
      <c r="B199" s="1043"/>
      <c r="E199" s="220"/>
    </row>
    <row r="200" spans="2:5" x14ac:dyDescent="0.35">
      <c r="B200" s="1043"/>
      <c r="E200" s="220"/>
    </row>
    <row r="201" spans="2:5" x14ac:dyDescent="0.35">
      <c r="B201" s="1043"/>
      <c r="E201" s="220"/>
    </row>
    <row r="202" spans="2:5" x14ac:dyDescent="0.35">
      <c r="B202" s="1043"/>
      <c r="E202" s="220"/>
    </row>
    <row r="203" spans="2:5" x14ac:dyDescent="0.35">
      <c r="B203" s="1043"/>
      <c r="E203" s="220"/>
    </row>
    <row r="204" spans="2:5" x14ac:dyDescent="0.35">
      <c r="B204" s="1043"/>
      <c r="E204" s="220"/>
    </row>
    <row r="205" spans="2:5" x14ac:dyDescent="0.35">
      <c r="B205" s="1043"/>
      <c r="E205" s="220"/>
    </row>
    <row r="206" spans="2:5" x14ac:dyDescent="0.35">
      <c r="B206" s="1043"/>
      <c r="E206" s="220"/>
    </row>
    <row r="207" spans="2:5" x14ac:dyDescent="0.35">
      <c r="B207" s="1043"/>
      <c r="E207" s="220"/>
    </row>
    <row r="208" spans="2:5" x14ac:dyDescent="0.35">
      <c r="B208" s="1043"/>
      <c r="E208" s="220"/>
    </row>
    <row r="209" spans="2:5" x14ac:dyDescent="0.35">
      <c r="B209" s="1043"/>
      <c r="E209" s="220"/>
    </row>
    <row r="210" spans="2:5" x14ac:dyDescent="0.35">
      <c r="B210" s="1043"/>
      <c r="E210" s="220"/>
    </row>
    <row r="211" spans="2:5" x14ac:dyDescent="0.35">
      <c r="B211" s="1043"/>
      <c r="E211" s="220"/>
    </row>
    <row r="212" spans="2:5" x14ac:dyDescent="0.35">
      <c r="B212" s="1043"/>
      <c r="E212" s="220"/>
    </row>
    <row r="213" spans="2:5" x14ac:dyDescent="0.35">
      <c r="B213" s="1043"/>
      <c r="E213" s="220"/>
    </row>
    <row r="214" spans="2:5" x14ac:dyDescent="0.35">
      <c r="B214" s="1043"/>
      <c r="E214" s="220"/>
    </row>
    <row r="215" spans="2:5" x14ac:dyDescent="0.35">
      <c r="B215" s="1043"/>
      <c r="E215" s="220"/>
    </row>
    <row r="216" spans="2:5" x14ac:dyDescent="0.35">
      <c r="B216" s="1043"/>
      <c r="E216" s="220"/>
    </row>
    <row r="217" spans="2:5" x14ac:dyDescent="0.35">
      <c r="B217" s="1043"/>
      <c r="E217" s="220"/>
    </row>
    <row r="218" spans="2:5" x14ac:dyDescent="0.35">
      <c r="B218" s="1043"/>
      <c r="E218" s="220"/>
    </row>
    <row r="219" spans="2:5" x14ac:dyDescent="0.35">
      <c r="B219" s="1043"/>
      <c r="E219" s="220"/>
    </row>
    <row r="220" spans="2:5" x14ac:dyDescent="0.35">
      <c r="B220" s="1043"/>
      <c r="E220" s="220"/>
    </row>
    <row r="221" spans="2:5" x14ac:dyDescent="0.35">
      <c r="B221" s="1043"/>
      <c r="E221" s="220"/>
    </row>
    <row r="222" spans="2:5" x14ac:dyDescent="0.35">
      <c r="B222" s="1043"/>
      <c r="E222" s="220"/>
    </row>
    <row r="223" spans="2:5" x14ac:dyDescent="0.35">
      <c r="B223" s="1043"/>
      <c r="E223" s="220"/>
    </row>
    <row r="224" spans="2:5" x14ac:dyDescent="0.35">
      <c r="B224" s="1043"/>
      <c r="E224" s="220"/>
    </row>
    <row r="225" spans="2:5" x14ac:dyDescent="0.35">
      <c r="B225" s="1043"/>
      <c r="E225" s="220"/>
    </row>
    <row r="226" spans="2:5" x14ac:dyDescent="0.35">
      <c r="B226" s="1043"/>
      <c r="E226" s="220"/>
    </row>
    <row r="227" spans="2:5" x14ac:dyDescent="0.35">
      <c r="B227" s="1043"/>
      <c r="E227" s="220"/>
    </row>
    <row r="228" spans="2:5" x14ac:dyDescent="0.35">
      <c r="B228" s="1043"/>
      <c r="E228" s="220"/>
    </row>
    <row r="229" spans="2:5" x14ac:dyDescent="0.35">
      <c r="B229" s="1043"/>
      <c r="E229" s="220"/>
    </row>
    <row r="230" spans="2:5" x14ac:dyDescent="0.35">
      <c r="B230" s="1043"/>
      <c r="E230" s="220"/>
    </row>
    <row r="231" spans="2:5" x14ac:dyDescent="0.35">
      <c r="B231" s="1043"/>
      <c r="E231" s="220"/>
    </row>
    <row r="232" spans="2:5" x14ac:dyDescent="0.35">
      <c r="B232" s="1043"/>
      <c r="E232" s="220"/>
    </row>
    <row r="233" spans="2:5" x14ac:dyDescent="0.35">
      <c r="B233" s="1043"/>
      <c r="E233" s="220"/>
    </row>
    <row r="234" spans="2:5" x14ac:dyDescent="0.35">
      <c r="B234" s="1043"/>
      <c r="E234" s="220"/>
    </row>
    <row r="235" spans="2:5" x14ac:dyDescent="0.35">
      <c r="B235" s="1043"/>
      <c r="E235" s="220"/>
    </row>
    <row r="236" spans="2:5" x14ac:dyDescent="0.35">
      <c r="B236" s="1043"/>
      <c r="E236" s="220"/>
    </row>
    <row r="237" spans="2:5" x14ac:dyDescent="0.35">
      <c r="B237" s="1043"/>
      <c r="E237" s="220"/>
    </row>
    <row r="238" spans="2:5" x14ac:dyDescent="0.35">
      <c r="B238" s="1043"/>
      <c r="E238" s="220"/>
    </row>
    <row r="239" spans="2:5" x14ac:dyDescent="0.35">
      <c r="B239" s="1043"/>
      <c r="E239" s="220"/>
    </row>
    <row r="240" spans="2:5" x14ac:dyDescent="0.35">
      <c r="B240" s="1043"/>
      <c r="E240" s="220"/>
    </row>
    <row r="241" spans="2:5" x14ac:dyDescent="0.35">
      <c r="B241" s="1043"/>
      <c r="E241" s="220"/>
    </row>
    <row r="242" spans="2:5" x14ac:dyDescent="0.35">
      <c r="B242" s="1043"/>
      <c r="E242" s="220"/>
    </row>
    <row r="243" spans="2:5" x14ac:dyDescent="0.35">
      <c r="B243" s="1043"/>
      <c r="E243" s="220"/>
    </row>
    <row r="244" spans="2:5" x14ac:dyDescent="0.35">
      <c r="B244" s="1043"/>
      <c r="E244" s="220"/>
    </row>
    <row r="245" spans="2:5" x14ac:dyDescent="0.35">
      <c r="B245" s="1043"/>
      <c r="E245" s="220"/>
    </row>
    <row r="246" spans="2:5" x14ac:dyDescent="0.35">
      <c r="B246" s="1043"/>
      <c r="E246" s="220"/>
    </row>
    <row r="247" spans="2:5" x14ac:dyDescent="0.35">
      <c r="B247" s="1043"/>
      <c r="E247" s="220"/>
    </row>
    <row r="248" spans="2:5" x14ac:dyDescent="0.35">
      <c r="B248" s="1043"/>
      <c r="E248" s="220"/>
    </row>
    <row r="249" spans="2:5" x14ac:dyDescent="0.35">
      <c r="B249" s="1043"/>
      <c r="E249" s="220"/>
    </row>
    <row r="250" spans="2:5" x14ac:dyDescent="0.35">
      <c r="B250" s="1043"/>
      <c r="E250" s="220"/>
    </row>
    <row r="251" spans="2:5" x14ac:dyDescent="0.35">
      <c r="B251" s="1043"/>
      <c r="E251" s="220"/>
    </row>
    <row r="252" spans="2:5" x14ac:dyDescent="0.35">
      <c r="B252" s="1043"/>
      <c r="E252" s="220"/>
    </row>
    <row r="253" spans="2:5" x14ac:dyDescent="0.35">
      <c r="B253" s="1043"/>
      <c r="E253" s="220"/>
    </row>
    <row r="254" spans="2:5" x14ac:dyDescent="0.35">
      <c r="B254" s="1043"/>
      <c r="E254" s="220"/>
    </row>
    <row r="255" spans="2:5" x14ac:dyDescent="0.35">
      <c r="B255" s="1043"/>
      <c r="E255" s="220"/>
    </row>
    <row r="256" spans="2:5" x14ac:dyDescent="0.35">
      <c r="B256" s="1043"/>
      <c r="E256" s="220"/>
    </row>
    <row r="257" spans="2:5" x14ac:dyDescent="0.35">
      <c r="B257" s="1043"/>
      <c r="E257" s="220"/>
    </row>
    <row r="258" spans="2:5" x14ac:dyDescent="0.35">
      <c r="B258" s="1043"/>
      <c r="E258" s="220"/>
    </row>
    <row r="259" spans="2:5" x14ac:dyDescent="0.35">
      <c r="B259" s="1043"/>
      <c r="E259" s="220"/>
    </row>
    <row r="260" spans="2:5" x14ac:dyDescent="0.35">
      <c r="B260" s="1043"/>
      <c r="E260" s="220"/>
    </row>
    <row r="261" spans="2:5" x14ac:dyDescent="0.35">
      <c r="B261" s="1043"/>
      <c r="E261" s="220"/>
    </row>
    <row r="262" spans="2:5" x14ac:dyDescent="0.35">
      <c r="B262" s="1043"/>
      <c r="E262" s="220"/>
    </row>
    <row r="263" spans="2:5" x14ac:dyDescent="0.35">
      <c r="B263" s="1043"/>
      <c r="E263" s="220"/>
    </row>
    <row r="264" spans="2:5" x14ac:dyDescent="0.35">
      <c r="B264" s="1043"/>
      <c r="E264" s="220"/>
    </row>
    <row r="265" spans="2:5" x14ac:dyDescent="0.35">
      <c r="B265" s="1043"/>
      <c r="E265" s="220"/>
    </row>
    <row r="266" spans="2:5" x14ac:dyDescent="0.35">
      <c r="B266" s="1043"/>
      <c r="E266" s="220"/>
    </row>
    <row r="267" spans="2:5" x14ac:dyDescent="0.35">
      <c r="B267" s="1043"/>
      <c r="E267" s="220"/>
    </row>
    <row r="268" spans="2:5" x14ac:dyDescent="0.35">
      <c r="B268" s="1043"/>
      <c r="E268" s="220"/>
    </row>
    <row r="269" spans="2:5" x14ac:dyDescent="0.35">
      <c r="B269" s="1043"/>
      <c r="E269" s="220"/>
    </row>
    <row r="270" spans="2:5" x14ac:dyDescent="0.35">
      <c r="B270" s="1043"/>
      <c r="E270" s="220"/>
    </row>
    <row r="271" spans="2:5" x14ac:dyDescent="0.35">
      <c r="B271" s="1043"/>
      <c r="E271" s="220"/>
    </row>
    <row r="272" spans="2:5" x14ac:dyDescent="0.35">
      <c r="B272" s="1043"/>
      <c r="E272" s="220"/>
    </row>
    <row r="273" spans="2:5" x14ac:dyDescent="0.35">
      <c r="B273" s="1043"/>
      <c r="E273" s="220"/>
    </row>
    <row r="274" spans="2:5" x14ac:dyDescent="0.35">
      <c r="B274" s="1043"/>
      <c r="E274" s="220"/>
    </row>
    <row r="275" spans="2:5" x14ac:dyDescent="0.35">
      <c r="B275" s="1043"/>
      <c r="E275" s="220"/>
    </row>
    <row r="276" spans="2:5" x14ac:dyDescent="0.35">
      <c r="B276" s="1043"/>
      <c r="E276" s="220"/>
    </row>
    <row r="277" spans="2:5" x14ac:dyDescent="0.35">
      <c r="B277" s="1043"/>
      <c r="E277" s="220"/>
    </row>
    <row r="278" spans="2:5" x14ac:dyDescent="0.35">
      <c r="B278" s="1043"/>
      <c r="E278" s="220"/>
    </row>
    <row r="279" spans="2:5" x14ac:dyDescent="0.35">
      <c r="B279" s="1043"/>
      <c r="E279" s="220"/>
    </row>
    <row r="280" spans="2:5" x14ac:dyDescent="0.35">
      <c r="B280" s="1043"/>
      <c r="E280" s="220"/>
    </row>
    <row r="281" spans="2:5" x14ac:dyDescent="0.35">
      <c r="B281" s="1043"/>
      <c r="E281" s="220"/>
    </row>
    <row r="282" spans="2:5" x14ac:dyDescent="0.35">
      <c r="B282" s="1043"/>
      <c r="E282" s="220"/>
    </row>
    <row r="283" spans="2:5" x14ac:dyDescent="0.35">
      <c r="B283" s="1043"/>
      <c r="E283" s="220"/>
    </row>
    <row r="284" spans="2:5" x14ac:dyDescent="0.35">
      <c r="B284" s="1043"/>
      <c r="E284" s="220"/>
    </row>
    <row r="285" spans="2:5" x14ac:dyDescent="0.35">
      <c r="B285" s="1043"/>
      <c r="E285" s="220"/>
    </row>
    <row r="286" spans="2:5" x14ac:dyDescent="0.35">
      <c r="B286" s="1043"/>
      <c r="E286" s="220"/>
    </row>
    <row r="287" spans="2:5" x14ac:dyDescent="0.35">
      <c r="B287" s="1043"/>
      <c r="E287" s="220"/>
    </row>
    <row r="288" spans="2:5" x14ac:dyDescent="0.35">
      <c r="B288" s="1043"/>
      <c r="E288" s="220"/>
    </row>
    <row r="289" spans="2:5" x14ac:dyDescent="0.35">
      <c r="B289" s="1043"/>
      <c r="E289" s="220"/>
    </row>
    <row r="290" spans="2:5" x14ac:dyDescent="0.35">
      <c r="B290" s="1043"/>
      <c r="E290" s="220"/>
    </row>
    <row r="291" spans="2:5" x14ac:dyDescent="0.35">
      <c r="B291" s="1043"/>
      <c r="E291" s="220"/>
    </row>
    <row r="292" spans="2:5" x14ac:dyDescent="0.35">
      <c r="B292" s="1043"/>
      <c r="E292" s="220"/>
    </row>
    <row r="293" spans="2:5" x14ac:dyDescent="0.35">
      <c r="B293" s="1043"/>
      <c r="E293" s="220"/>
    </row>
    <row r="294" spans="2:5" x14ac:dyDescent="0.35">
      <c r="B294" s="1043"/>
      <c r="E294" s="220"/>
    </row>
    <row r="295" spans="2:5" x14ac:dyDescent="0.35">
      <c r="B295" s="1043"/>
      <c r="E295" s="220"/>
    </row>
    <row r="296" spans="2:5" x14ac:dyDescent="0.35">
      <c r="B296" s="1043"/>
      <c r="E296" s="220"/>
    </row>
    <row r="297" spans="2:5" x14ac:dyDescent="0.35">
      <c r="B297" s="1043"/>
      <c r="E297" s="220"/>
    </row>
    <row r="298" spans="2:5" x14ac:dyDescent="0.35">
      <c r="B298" s="1043"/>
      <c r="E298" s="220"/>
    </row>
    <row r="299" spans="2:5" x14ac:dyDescent="0.35">
      <c r="B299" s="1043"/>
      <c r="E299" s="220"/>
    </row>
    <row r="300" spans="2:5" x14ac:dyDescent="0.35">
      <c r="B300" s="1043"/>
      <c r="E300" s="220"/>
    </row>
    <row r="301" spans="2:5" x14ac:dyDescent="0.35">
      <c r="B301" s="1043"/>
      <c r="E301" s="220"/>
    </row>
    <row r="302" spans="2:5" x14ac:dyDescent="0.35">
      <c r="B302" s="1043"/>
      <c r="E302" s="220"/>
    </row>
    <row r="303" spans="2:5" x14ac:dyDescent="0.35">
      <c r="B303" s="1043"/>
      <c r="E303" s="220"/>
    </row>
    <row r="304" spans="2:5" x14ac:dyDescent="0.35">
      <c r="B304" s="1043"/>
      <c r="E304" s="220"/>
    </row>
    <row r="305" spans="2:5" x14ac:dyDescent="0.35">
      <c r="B305" s="1043"/>
      <c r="E305" s="220"/>
    </row>
    <row r="306" spans="2:5" x14ac:dyDescent="0.35">
      <c r="B306" s="1043"/>
      <c r="E306" s="220"/>
    </row>
    <row r="307" spans="2:5" x14ac:dyDescent="0.35">
      <c r="B307" s="1043"/>
      <c r="E307" s="220"/>
    </row>
    <row r="308" spans="2:5" x14ac:dyDescent="0.35">
      <c r="B308" s="1043"/>
      <c r="E308" s="220"/>
    </row>
    <row r="309" spans="2:5" x14ac:dyDescent="0.35">
      <c r="B309" s="1043"/>
      <c r="E309" s="220"/>
    </row>
    <row r="310" spans="2:5" x14ac:dyDescent="0.35">
      <c r="B310" s="1043"/>
      <c r="E310" s="220"/>
    </row>
    <row r="311" spans="2:5" x14ac:dyDescent="0.35">
      <c r="B311" s="1043"/>
      <c r="E311" s="220"/>
    </row>
    <row r="312" spans="2:5" x14ac:dyDescent="0.35">
      <c r="B312" s="1043"/>
      <c r="E312" s="220"/>
    </row>
    <row r="313" spans="2:5" x14ac:dyDescent="0.35">
      <c r="B313" s="1043"/>
      <c r="E313" s="220"/>
    </row>
    <row r="314" spans="2:5" x14ac:dyDescent="0.35">
      <c r="B314" s="1043"/>
      <c r="E314" s="220"/>
    </row>
    <row r="315" spans="2:5" x14ac:dyDescent="0.35">
      <c r="B315" s="1043"/>
      <c r="E315" s="220"/>
    </row>
    <row r="316" spans="2:5" x14ac:dyDescent="0.35">
      <c r="B316" s="1043"/>
      <c r="E316" s="220"/>
    </row>
    <row r="317" spans="2:5" x14ac:dyDescent="0.35">
      <c r="B317" s="1043"/>
      <c r="E317" s="220"/>
    </row>
    <row r="318" spans="2:5" x14ac:dyDescent="0.35">
      <c r="B318" s="1043"/>
      <c r="E318" s="220"/>
    </row>
    <row r="319" spans="2:5" x14ac:dyDescent="0.35">
      <c r="B319" s="1043"/>
      <c r="E319" s="220"/>
    </row>
    <row r="320" spans="2:5" x14ac:dyDescent="0.35">
      <c r="B320" s="1043"/>
      <c r="E320" s="220"/>
    </row>
    <row r="321" spans="2:5" x14ac:dyDescent="0.35">
      <c r="B321" s="1043"/>
      <c r="E321" s="220"/>
    </row>
    <row r="322" spans="2:5" x14ac:dyDescent="0.35">
      <c r="B322" s="1043"/>
      <c r="E322" s="220"/>
    </row>
    <row r="323" spans="2:5" x14ac:dyDescent="0.35">
      <c r="B323" s="1043"/>
      <c r="E323" s="220"/>
    </row>
    <row r="324" spans="2:5" x14ac:dyDescent="0.35">
      <c r="B324" s="1043"/>
      <c r="E324" s="220"/>
    </row>
    <row r="325" spans="2:5" x14ac:dyDescent="0.35">
      <c r="B325" s="1043"/>
      <c r="E325" s="220"/>
    </row>
    <row r="326" spans="2:5" x14ac:dyDescent="0.35">
      <c r="B326" s="1043"/>
      <c r="E326" s="220"/>
    </row>
    <row r="327" spans="2:5" x14ac:dyDescent="0.35">
      <c r="B327" s="1043"/>
      <c r="E327" s="220"/>
    </row>
    <row r="328" spans="2:5" x14ac:dyDescent="0.35">
      <c r="B328" s="1043"/>
      <c r="E328" s="220"/>
    </row>
    <row r="329" spans="2:5" x14ac:dyDescent="0.35">
      <c r="B329" s="1043"/>
      <c r="E329" s="220"/>
    </row>
    <row r="330" spans="2:5" x14ac:dyDescent="0.35">
      <c r="B330" s="1043"/>
      <c r="E330" s="220"/>
    </row>
    <row r="331" spans="2:5" x14ac:dyDescent="0.35">
      <c r="B331" s="1043"/>
      <c r="E331" s="220"/>
    </row>
    <row r="332" spans="2:5" x14ac:dyDescent="0.35">
      <c r="B332" s="1043"/>
      <c r="E332" s="220"/>
    </row>
    <row r="333" spans="2:5" x14ac:dyDescent="0.35">
      <c r="B333" s="1043"/>
      <c r="E333" s="220"/>
    </row>
    <row r="334" spans="2:5" x14ac:dyDescent="0.35">
      <c r="B334" s="1043"/>
      <c r="E334" s="220"/>
    </row>
    <row r="335" spans="2:5" x14ac:dyDescent="0.35">
      <c r="B335" s="1043"/>
      <c r="E335" s="220"/>
    </row>
    <row r="336" spans="2:5" x14ac:dyDescent="0.35">
      <c r="B336" s="1043"/>
      <c r="E336" s="220"/>
    </row>
    <row r="337" spans="2:5" x14ac:dyDescent="0.35">
      <c r="B337" s="1043"/>
      <c r="E337" s="220"/>
    </row>
    <row r="338" spans="2:5" x14ac:dyDescent="0.35">
      <c r="B338" s="1043"/>
      <c r="E338" s="220"/>
    </row>
    <row r="339" spans="2:5" x14ac:dyDescent="0.35">
      <c r="B339" s="1043"/>
      <c r="E339" s="220"/>
    </row>
    <row r="340" spans="2:5" x14ac:dyDescent="0.35">
      <c r="B340" s="1043"/>
      <c r="E340" s="220"/>
    </row>
    <row r="341" spans="2:5" x14ac:dyDescent="0.35">
      <c r="B341" s="1043"/>
      <c r="E341" s="220"/>
    </row>
    <row r="342" spans="2:5" x14ac:dyDescent="0.35">
      <c r="B342" s="1043"/>
      <c r="E342" s="220"/>
    </row>
    <row r="343" spans="2:5" x14ac:dyDescent="0.35">
      <c r="B343" s="1043"/>
      <c r="E343" s="220"/>
    </row>
    <row r="344" spans="2:5" x14ac:dyDescent="0.35">
      <c r="B344" s="1043"/>
      <c r="E344" s="220"/>
    </row>
    <row r="345" spans="2:5" x14ac:dyDescent="0.35">
      <c r="B345" s="1043"/>
      <c r="E345" s="220"/>
    </row>
    <row r="346" spans="2:5" x14ac:dyDescent="0.35">
      <c r="B346" s="1043"/>
      <c r="E346" s="220"/>
    </row>
    <row r="347" spans="2:5" x14ac:dyDescent="0.35">
      <c r="B347" s="1043"/>
      <c r="E347" s="220"/>
    </row>
    <row r="348" spans="2:5" x14ac:dyDescent="0.35">
      <c r="B348" s="1043"/>
      <c r="E348" s="220"/>
    </row>
    <row r="349" spans="2:5" x14ac:dyDescent="0.35">
      <c r="B349" s="1043"/>
      <c r="E349" s="220"/>
    </row>
    <row r="350" spans="2:5" x14ac:dyDescent="0.35">
      <c r="B350" s="1043"/>
      <c r="E350" s="220"/>
    </row>
    <row r="351" spans="2:5" x14ac:dyDescent="0.35">
      <c r="B351" s="1043"/>
      <c r="E351" s="220"/>
    </row>
    <row r="352" spans="2:5" x14ac:dyDescent="0.35">
      <c r="B352" s="1043"/>
      <c r="E352" s="220"/>
    </row>
    <row r="353" spans="2:5" x14ac:dyDescent="0.35">
      <c r="B353" s="1043"/>
      <c r="E353" s="220"/>
    </row>
    <row r="354" spans="2:5" x14ac:dyDescent="0.35">
      <c r="B354" s="1043"/>
      <c r="E354" s="220"/>
    </row>
    <row r="355" spans="2:5" x14ac:dyDescent="0.35">
      <c r="B355" s="1043"/>
      <c r="E355" s="220"/>
    </row>
    <row r="356" spans="2:5" x14ac:dyDescent="0.35">
      <c r="B356" s="1043"/>
      <c r="E356" s="220"/>
    </row>
    <row r="357" spans="2:5" x14ac:dyDescent="0.35">
      <c r="B357" s="1043"/>
      <c r="E357" s="220"/>
    </row>
    <row r="358" spans="2:5" x14ac:dyDescent="0.35">
      <c r="B358" s="1043"/>
      <c r="E358" s="220"/>
    </row>
    <row r="359" spans="2:5" x14ac:dyDescent="0.35">
      <c r="B359" s="1043"/>
      <c r="E359" s="220"/>
    </row>
    <row r="360" spans="2:5" x14ac:dyDescent="0.35">
      <c r="B360" s="1043"/>
      <c r="E360" s="220"/>
    </row>
    <row r="361" spans="2:5" x14ac:dyDescent="0.35">
      <c r="B361" s="1043"/>
      <c r="E361" s="220"/>
    </row>
    <row r="362" spans="2:5" x14ac:dyDescent="0.35">
      <c r="B362" s="1043"/>
      <c r="E362" s="220"/>
    </row>
    <row r="363" spans="2:5" x14ac:dyDescent="0.35">
      <c r="B363" s="1043"/>
      <c r="E363" s="220"/>
    </row>
    <row r="364" spans="2:5" x14ac:dyDescent="0.35">
      <c r="B364" s="1043"/>
      <c r="E364" s="220"/>
    </row>
    <row r="365" spans="2:5" x14ac:dyDescent="0.35">
      <c r="B365" s="1043"/>
      <c r="E365" s="220"/>
    </row>
    <row r="366" spans="2:5" x14ac:dyDescent="0.35">
      <c r="B366" s="1043"/>
      <c r="E366" s="220"/>
    </row>
    <row r="367" spans="2:5" x14ac:dyDescent="0.35">
      <c r="B367" s="1043"/>
      <c r="E367" s="220"/>
    </row>
    <row r="368" spans="2:5" x14ac:dyDescent="0.35">
      <c r="B368" s="1043"/>
      <c r="E368" s="220"/>
    </row>
    <row r="369" spans="2:5" x14ac:dyDescent="0.35">
      <c r="B369" s="1043"/>
      <c r="E369" s="220"/>
    </row>
    <row r="370" spans="2:5" x14ac:dyDescent="0.35">
      <c r="B370" s="1043"/>
      <c r="E370" s="220"/>
    </row>
    <row r="371" spans="2:5" x14ac:dyDescent="0.35">
      <c r="B371" s="1043"/>
      <c r="E371" s="220"/>
    </row>
    <row r="372" spans="2:5" x14ac:dyDescent="0.35">
      <c r="B372" s="1043"/>
      <c r="E372" s="220"/>
    </row>
    <row r="373" spans="2:5" x14ac:dyDescent="0.35">
      <c r="B373" s="1043"/>
      <c r="E373" s="220"/>
    </row>
    <row r="374" spans="2:5" x14ac:dyDescent="0.35">
      <c r="B374" s="1043"/>
      <c r="E374" s="220"/>
    </row>
    <row r="375" spans="2:5" x14ac:dyDescent="0.35">
      <c r="B375" s="1043"/>
      <c r="E375" s="220"/>
    </row>
    <row r="376" spans="2:5" x14ac:dyDescent="0.35">
      <c r="B376" s="1043"/>
      <c r="E376" s="220"/>
    </row>
    <row r="377" spans="2:5" x14ac:dyDescent="0.35">
      <c r="B377" s="1043"/>
      <c r="E377" s="220"/>
    </row>
    <row r="378" spans="2:5" x14ac:dyDescent="0.35">
      <c r="B378" s="1043"/>
      <c r="E378" s="220"/>
    </row>
    <row r="379" spans="2:5" x14ac:dyDescent="0.35">
      <c r="B379" s="1043"/>
      <c r="E379" s="220"/>
    </row>
    <row r="380" spans="2:5" x14ac:dyDescent="0.35">
      <c r="B380" s="1043"/>
      <c r="E380" s="220"/>
    </row>
    <row r="381" spans="2:5" x14ac:dyDescent="0.35">
      <c r="B381" s="1043"/>
      <c r="E381" s="220"/>
    </row>
    <row r="382" spans="2:5" x14ac:dyDescent="0.35">
      <c r="B382" s="1043"/>
      <c r="E382" s="220"/>
    </row>
    <row r="383" spans="2:5" x14ac:dyDescent="0.35">
      <c r="B383" s="1043"/>
      <c r="E383" s="220"/>
    </row>
    <row r="384" spans="2:5" x14ac:dyDescent="0.35">
      <c r="B384" s="1043"/>
      <c r="E384" s="220"/>
    </row>
    <row r="385" spans="2:5" x14ac:dyDescent="0.35">
      <c r="B385" s="1043"/>
      <c r="E385" s="220"/>
    </row>
    <row r="386" spans="2:5" x14ac:dyDescent="0.35">
      <c r="B386" s="1043"/>
      <c r="E386" s="220"/>
    </row>
    <row r="387" spans="2:5" x14ac:dyDescent="0.35">
      <c r="B387" s="1043"/>
      <c r="E387" s="220"/>
    </row>
    <row r="388" spans="2:5" x14ac:dyDescent="0.35">
      <c r="B388" s="1043"/>
      <c r="E388" s="220"/>
    </row>
    <row r="389" spans="2:5" x14ac:dyDescent="0.35">
      <c r="B389" s="1043"/>
      <c r="E389" s="220"/>
    </row>
    <row r="390" spans="2:5" x14ac:dyDescent="0.35">
      <c r="B390" s="1043"/>
      <c r="E390" s="220"/>
    </row>
    <row r="391" spans="2:5" x14ac:dyDescent="0.35">
      <c r="B391" s="1043"/>
      <c r="E391" s="220"/>
    </row>
    <row r="392" spans="2:5" x14ac:dyDescent="0.35">
      <c r="B392" s="1043"/>
      <c r="E392" s="220"/>
    </row>
    <row r="393" spans="2:5" x14ac:dyDescent="0.35">
      <c r="B393" s="1043"/>
      <c r="E393" s="220"/>
    </row>
    <row r="394" spans="2:5" x14ac:dyDescent="0.35">
      <c r="B394" s="1043"/>
      <c r="E394" s="220"/>
    </row>
    <row r="395" spans="2:5" x14ac:dyDescent="0.35">
      <c r="B395" s="1043"/>
      <c r="E395" s="220"/>
    </row>
    <row r="396" spans="2:5" x14ac:dyDescent="0.35">
      <c r="B396" s="1043"/>
      <c r="E396" s="220"/>
    </row>
    <row r="397" spans="2:5" x14ac:dyDescent="0.35">
      <c r="B397" s="1043"/>
      <c r="E397" s="220"/>
    </row>
    <row r="398" spans="2:5" x14ac:dyDescent="0.35">
      <c r="B398" s="1043"/>
      <c r="E398" s="220"/>
    </row>
    <row r="399" spans="2:5" x14ac:dyDescent="0.35">
      <c r="B399" s="1043"/>
      <c r="E399" s="220"/>
    </row>
    <row r="400" spans="2:5" x14ac:dyDescent="0.35">
      <c r="B400" s="1043"/>
      <c r="E400" s="220"/>
    </row>
    <row r="401" spans="2:5" x14ac:dyDescent="0.35">
      <c r="B401" s="1043"/>
      <c r="E401" s="220"/>
    </row>
    <row r="402" spans="2:5" x14ac:dyDescent="0.35">
      <c r="B402" s="1043"/>
      <c r="E402" s="220"/>
    </row>
    <row r="403" spans="2:5" x14ac:dyDescent="0.35">
      <c r="B403" s="1043"/>
      <c r="E403" s="220"/>
    </row>
    <row r="404" spans="2:5" x14ac:dyDescent="0.35">
      <c r="B404" s="1043"/>
      <c r="E404" s="220"/>
    </row>
    <row r="405" spans="2:5" x14ac:dyDescent="0.35">
      <c r="B405" s="1043"/>
      <c r="E405" s="220"/>
    </row>
    <row r="406" spans="2:5" x14ac:dyDescent="0.35">
      <c r="B406" s="1043"/>
      <c r="E406" s="220"/>
    </row>
    <row r="407" spans="2:5" x14ac:dyDescent="0.35">
      <c r="B407" s="1043"/>
      <c r="E407" s="220"/>
    </row>
    <row r="408" spans="2:5" x14ac:dyDescent="0.35">
      <c r="B408" s="1043"/>
      <c r="E408" s="220"/>
    </row>
    <row r="409" spans="2:5" x14ac:dyDescent="0.35">
      <c r="B409" s="1043"/>
      <c r="E409" s="220"/>
    </row>
    <row r="410" spans="2:5" x14ac:dyDescent="0.35">
      <c r="B410" s="1043"/>
      <c r="E410" s="220"/>
    </row>
    <row r="411" spans="2:5" x14ac:dyDescent="0.35">
      <c r="B411" s="1043"/>
      <c r="E411" s="220"/>
    </row>
    <row r="412" spans="2:5" x14ac:dyDescent="0.35">
      <c r="B412" s="1043"/>
      <c r="E412" s="220"/>
    </row>
    <row r="413" spans="2:5" x14ac:dyDescent="0.35">
      <c r="B413" s="1043"/>
      <c r="E413" s="220"/>
    </row>
  </sheetData>
  <mergeCells count="4">
    <mergeCell ref="B2:G2"/>
    <mergeCell ref="B3:G3"/>
    <mergeCell ref="B4:G4"/>
    <mergeCell ref="B5:G5"/>
  </mergeCells>
  <printOptions horizontalCentered="1"/>
  <pageMargins left="0.5" right="0.5" top="0.5" bottom="0.5" header="0.25" footer="0.25"/>
  <pageSetup scale="57" orientation="portrait" r:id="rId1"/>
  <headerFooter scaleWithDoc="0">
    <oddFooter>&amp;C&amp;"Times New Roman,Regular"&amp;10&amp;A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T83"/>
  <sheetViews>
    <sheetView zoomScale="80" zoomScaleNormal="80" workbookViewId="0"/>
  </sheetViews>
  <sheetFormatPr defaultColWidth="9.08984375" defaultRowHeight="15.5" x14ac:dyDescent="0.35"/>
  <cols>
    <col min="1" max="1" width="5.08984375" style="1583" customWidth="1"/>
    <col min="2" max="2" width="8.54296875" style="1044" customWidth="1"/>
    <col min="3" max="3" width="69.08984375" style="1044" customWidth="1"/>
    <col min="4" max="6" width="16.90625" style="1044" customWidth="1"/>
    <col min="7" max="7" width="34.54296875" style="1044" customWidth="1"/>
    <col min="8" max="8" width="5.08984375" style="1583" customWidth="1"/>
    <col min="9" max="9" width="4" style="1044" customWidth="1"/>
    <col min="10" max="10" width="13.08984375" style="1044" bestFit="1" customWidth="1"/>
    <col min="11" max="11" width="9.08984375" style="1044"/>
    <col min="12" max="12" width="9.90625" style="1044" customWidth="1"/>
    <col min="13" max="13" width="10" style="1044" customWidth="1"/>
    <col min="14" max="16384" width="9.08984375" style="1044"/>
  </cols>
  <sheetData>
    <row r="2" spans="1:11" x14ac:dyDescent="0.35">
      <c r="B2" s="2297" t="s">
        <v>18</v>
      </c>
      <c r="C2" s="2297"/>
      <c r="D2" s="2297"/>
      <c r="E2" s="2297"/>
      <c r="F2" s="2297"/>
      <c r="G2" s="2297"/>
      <c r="H2" s="1859"/>
    </row>
    <row r="3" spans="1:11" x14ac:dyDescent="0.35">
      <c r="B3" s="2297" t="s">
        <v>203</v>
      </c>
      <c r="C3" s="2297"/>
      <c r="D3" s="2297"/>
      <c r="E3" s="2297"/>
      <c r="F3" s="2297"/>
      <c r="G3" s="2297"/>
      <c r="H3" s="1859"/>
    </row>
    <row r="4" spans="1:11" x14ac:dyDescent="0.35">
      <c r="B4" s="2297" t="s">
        <v>1604</v>
      </c>
      <c r="C4" s="2297"/>
      <c r="D4" s="2297"/>
      <c r="E4" s="2297"/>
      <c r="F4" s="2297"/>
      <c r="G4" s="2297"/>
      <c r="H4" s="1859"/>
    </row>
    <row r="5" spans="1:11" x14ac:dyDescent="0.35">
      <c r="B5" s="2298" t="s">
        <v>2</v>
      </c>
      <c r="C5" s="2298"/>
      <c r="D5" s="2298"/>
      <c r="E5" s="2298"/>
      <c r="F5" s="2298"/>
      <c r="G5" s="2298"/>
      <c r="H5" s="1859"/>
    </row>
    <row r="6" spans="1:11" ht="16" thickBot="1" x14ac:dyDescent="0.4">
      <c r="A6" s="306"/>
      <c r="B6" s="307"/>
      <c r="C6" s="307"/>
      <c r="D6" s="1758"/>
      <c r="E6" s="1758"/>
      <c r="F6" s="1758"/>
      <c r="G6" s="1758"/>
      <c r="H6" s="306"/>
      <c r="J6" s="220"/>
    </row>
    <row r="7" spans="1:11" x14ac:dyDescent="0.35">
      <c r="A7" s="1045"/>
      <c r="B7" s="1046"/>
      <c r="C7" s="1047"/>
      <c r="D7" s="1048" t="s">
        <v>4</v>
      </c>
      <c r="E7" s="1049" t="s">
        <v>5</v>
      </c>
      <c r="F7" s="1048" t="s">
        <v>163</v>
      </c>
      <c r="G7" s="1050"/>
      <c r="H7" s="1045"/>
    </row>
    <row r="8" spans="1:11" x14ac:dyDescent="0.35">
      <c r="A8" s="306" t="s">
        <v>3</v>
      </c>
      <c r="B8" s="1051" t="s">
        <v>164</v>
      </c>
      <c r="C8" s="1052"/>
      <c r="D8" s="1850" t="s">
        <v>31</v>
      </c>
      <c r="E8" s="1053" t="s">
        <v>165</v>
      </c>
      <c r="F8" s="1850" t="s">
        <v>31</v>
      </c>
      <c r="G8" s="1054"/>
      <c r="H8" s="306" t="s">
        <v>3</v>
      </c>
    </row>
    <row r="9" spans="1:11" ht="16" thickBot="1" x14ac:dyDescent="0.4">
      <c r="A9" s="306" t="s">
        <v>25</v>
      </c>
      <c r="B9" s="1055" t="s">
        <v>166</v>
      </c>
      <c r="C9" s="2216" t="s">
        <v>74</v>
      </c>
      <c r="D9" s="1056" t="s">
        <v>167</v>
      </c>
      <c r="E9" s="2216" t="s">
        <v>168</v>
      </c>
      <c r="F9" s="1056" t="s">
        <v>169</v>
      </c>
      <c r="G9" s="1851" t="s">
        <v>9</v>
      </c>
      <c r="H9" s="306" t="s">
        <v>25</v>
      </c>
      <c r="I9" s="306"/>
    </row>
    <row r="10" spans="1:11" x14ac:dyDescent="0.35">
      <c r="A10" s="306"/>
      <c r="B10" s="1057"/>
      <c r="C10" s="1058" t="s">
        <v>204</v>
      </c>
      <c r="D10" s="1852"/>
      <c r="E10" s="1852"/>
      <c r="F10" s="1853"/>
      <c r="G10" s="1068"/>
      <c r="H10" s="306"/>
    </row>
    <row r="11" spans="1:11" x14ac:dyDescent="0.35">
      <c r="A11" s="306">
        <v>1</v>
      </c>
      <c r="B11" s="1057">
        <v>920</v>
      </c>
      <c r="C11" s="1059" t="s">
        <v>205</v>
      </c>
      <c r="D11" s="1854">
        <v>62282.646999999997</v>
      </c>
      <c r="E11" s="1854">
        <f>E30</f>
        <v>880.90825143900008</v>
      </c>
      <c r="F11" s="1854">
        <f>D11-E11</f>
        <v>61401.738748560994</v>
      </c>
      <c r="G11" s="1060" t="s">
        <v>1753</v>
      </c>
      <c r="H11" s="306">
        <f>A11</f>
        <v>1</v>
      </c>
      <c r="I11" s="1044" t="s">
        <v>10</v>
      </c>
      <c r="J11" s="8"/>
    </row>
    <row r="12" spans="1:11" x14ac:dyDescent="0.35">
      <c r="A12" s="306">
        <f t="shared" ref="A12:A26" si="0">A11+1</f>
        <v>2</v>
      </c>
      <c r="B12" s="1057">
        <v>921</v>
      </c>
      <c r="C12" s="1059" t="s">
        <v>774</v>
      </c>
      <c r="D12" s="1867">
        <v>33307.565000000002</v>
      </c>
      <c r="E12" s="1861">
        <f>E31</f>
        <v>7379.4532107689993</v>
      </c>
      <c r="F12" s="1867">
        <f>D12-E12</f>
        <v>25928.111789231003</v>
      </c>
      <c r="G12" s="1060" t="s">
        <v>1754</v>
      </c>
      <c r="H12" s="306">
        <f t="shared" ref="H12:H26" si="1">H11+1</f>
        <v>2</v>
      </c>
      <c r="J12" s="8"/>
      <c r="K12" s="1061"/>
    </row>
    <row r="13" spans="1:11" x14ac:dyDescent="0.35">
      <c r="A13" s="306">
        <f t="shared" si="0"/>
        <v>3</v>
      </c>
      <c r="B13" s="1057">
        <v>922</v>
      </c>
      <c r="C13" s="1059" t="s">
        <v>206</v>
      </c>
      <c r="D13" s="1867">
        <v>-20277.082999999999</v>
      </c>
      <c r="E13" s="1861"/>
      <c r="F13" s="1867">
        <f>D13-E13</f>
        <v>-20277.082999999999</v>
      </c>
      <c r="G13" s="1060" t="s">
        <v>1755</v>
      </c>
      <c r="H13" s="306">
        <f t="shared" si="1"/>
        <v>3</v>
      </c>
      <c r="J13" s="8"/>
    </row>
    <row r="14" spans="1:11" x14ac:dyDescent="0.35">
      <c r="A14" s="306">
        <f t="shared" si="0"/>
        <v>4</v>
      </c>
      <c r="B14" s="1057">
        <v>923</v>
      </c>
      <c r="C14" s="1059" t="s">
        <v>775</v>
      </c>
      <c r="D14" s="1867">
        <v>108586.773</v>
      </c>
      <c r="E14" s="1861">
        <f>E33</f>
        <v>10897.358875796001</v>
      </c>
      <c r="F14" s="1867">
        <f>D14-E14</f>
        <v>97689.414124204006</v>
      </c>
      <c r="G14" s="1060" t="s">
        <v>1756</v>
      </c>
      <c r="H14" s="306">
        <f t="shared" si="1"/>
        <v>4</v>
      </c>
      <c r="J14" s="8"/>
    </row>
    <row r="15" spans="1:11" x14ac:dyDescent="0.35">
      <c r="A15" s="306">
        <f t="shared" si="0"/>
        <v>5</v>
      </c>
      <c r="B15" s="1057">
        <v>924</v>
      </c>
      <c r="C15" s="1059" t="s">
        <v>776</v>
      </c>
      <c r="D15" s="1867">
        <v>8615.7170000000006</v>
      </c>
      <c r="E15" s="1861"/>
      <c r="F15" s="1867">
        <f t="shared" ref="F15:F16" si="2">D15-E15</f>
        <v>8615.7170000000006</v>
      </c>
      <c r="G15" s="1060" t="s">
        <v>1757</v>
      </c>
      <c r="H15" s="306">
        <f t="shared" si="1"/>
        <v>5</v>
      </c>
      <c r="J15" s="8"/>
    </row>
    <row r="16" spans="1:11" x14ac:dyDescent="0.35">
      <c r="A16" s="306">
        <f t="shared" si="0"/>
        <v>6</v>
      </c>
      <c r="B16" s="1057">
        <v>925</v>
      </c>
      <c r="C16" s="1059" t="s">
        <v>513</v>
      </c>
      <c r="D16" s="1867">
        <v>215579.21799999999</v>
      </c>
      <c r="E16" s="1861">
        <f>E38</f>
        <v>1418.4390198959995</v>
      </c>
      <c r="F16" s="1867">
        <f t="shared" si="2"/>
        <v>214160.77898010399</v>
      </c>
      <c r="G16" s="1060" t="s">
        <v>1758</v>
      </c>
      <c r="H16" s="306">
        <f t="shared" si="1"/>
        <v>6</v>
      </c>
      <c r="J16" s="8"/>
    </row>
    <row r="17" spans="1:14" ht="18" x14ac:dyDescent="0.35">
      <c r="A17" s="306">
        <f>A16+1</f>
        <v>7</v>
      </c>
      <c r="B17" s="1057">
        <v>926</v>
      </c>
      <c r="C17" s="1059" t="s">
        <v>916</v>
      </c>
      <c r="D17" s="1867">
        <v>56506.010999999999</v>
      </c>
      <c r="E17" s="1861">
        <f>E42</f>
        <v>2076.6261635540004</v>
      </c>
      <c r="F17" s="1867">
        <f>D17-E17</f>
        <v>54429.384836445999</v>
      </c>
      <c r="G17" s="1060" t="s">
        <v>1759</v>
      </c>
      <c r="H17" s="1062">
        <f>A16+1</f>
        <v>7</v>
      </c>
      <c r="J17" s="10"/>
      <c r="L17" s="1063"/>
      <c r="M17" s="1063"/>
      <c r="N17" s="1063"/>
    </row>
    <row r="18" spans="1:14" x14ac:dyDescent="0.35">
      <c r="A18" s="306">
        <f>A17+1</f>
        <v>8</v>
      </c>
      <c r="B18" s="1057">
        <v>927</v>
      </c>
      <c r="C18" s="1059" t="s">
        <v>207</v>
      </c>
      <c r="D18" s="1856">
        <v>128579.841</v>
      </c>
      <c r="E18" s="1867">
        <f>E43</f>
        <v>128579.84063999999</v>
      </c>
      <c r="F18" s="1867">
        <f t="shared" ref="F18:F20" si="3">D18-E18</f>
        <v>3.6000000545755029E-4</v>
      </c>
      <c r="G18" s="1060" t="s">
        <v>1760</v>
      </c>
      <c r="H18" s="1062">
        <f>A17+1</f>
        <v>8</v>
      </c>
      <c r="I18" s="1063"/>
      <c r="J18" s="10"/>
      <c r="K18" s="1063"/>
      <c r="L18" s="1063"/>
      <c r="M18" s="1063"/>
      <c r="N18" s="1063"/>
    </row>
    <row r="19" spans="1:14" ht="18.5" x14ac:dyDescent="0.35">
      <c r="A19" s="306">
        <f t="shared" si="0"/>
        <v>9</v>
      </c>
      <c r="B19" s="1057">
        <v>928</v>
      </c>
      <c r="C19" s="1059" t="s">
        <v>208</v>
      </c>
      <c r="D19" s="1867">
        <v>35379.656000000003</v>
      </c>
      <c r="E19" s="1861">
        <f>E48</f>
        <v>24075.693879999999</v>
      </c>
      <c r="F19" s="1867">
        <f t="shared" si="3"/>
        <v>11303.962120000004</v>
      </c>
      <c r="G19" s="1060" t="s">
        <v>1761</v>
      </c>
      <c r="H19" s="1062">
        <f t="shared" si="1"/>
        <v>9</v>
      </c>
      <c r="I19" s="1063"/>
      <c r="J19" s="10"/>
      <c r="K19" s="1063"/>
      <c r="L19" s="1063"/>
      <c r="M19" s="1063"/>
      <c r="N19" s="1063"/>
    </row>
    <row r="20" spans="1:14" x14ac:dyDescent="0.35">
      <c r="A20" s="306">
        <f t="shared" si="0"/>
        <v>10</v>
      </c>
      <c r="B20" s="1057">
        <v>929</v>
      </c>
      <c r="C20" s="1059" t="s">
        <v>209</v>
      </c>
      <c r="D20" s="1867">
        <v>-12933.800999999999</v>
      </c>
      <c r="E20" s="1861"/>
      <c r="F20" s="1867">
        <f t="shared" si="3"/>
        <v>-12933.800999999999</v>
      </c>
      <c r="G20" s="1060" t="s">
        <v>1762</v>
      </c>
      <c r="H20" s="306">
        <f t="shared" si="1"/>
        <v>10</v>
      </c>
      <c r="J20" s="8"/>
    </row>
    <row r="21" spans="1:14" x14ac:dyDescent="0.35">
      <c r="A21" s="306">
        <f>A20+1</f>
        <v>11</v>
      </c>
      <c r="B21" s="1064">
        <v>930.1</v>
      </c>
      <c r="C21" s="1059" t="s">
        <v>210</v>
      </c>
      <c r="D21" s="1867">
        <v>66.135000000000005</v>
      </c>
      <c r="E21" s="1861">
        <f>E49</f>
        <v>66.134640000000005</v>
      </c>
      <c r="F21" s="1867">
        <f>D21-E21</f>
        <v>3.6000000000058208E-4</v>
      </c>
      <c r="G21" s="1060" t="s">
        <v>1763</v>
      </c>
      <c r="H21" s="306">
        <f>H20+1</f>
        <v>11</v>
      </c>
      <c r="J21" s="8"/>
    </row>
    <row r="22" spans="1:14" s="307" customFormat="1" x14ac:dyDescent="0.35">
      <c r="A22" s="306">
        <f>A21+1</f>
        <v>12</v>
      </c>
      <c r="B22" s="1064">
        <v>930.2</v>
      </c>
      <c r="C22" s="1059" t="s">
        <v>777</v>
      </c>
      <c r="D22" s="1867">
        <v>10538.715</v>
      </c>
      <c r="E22" s="1861">
        <f>E51</f>
        <v>5025.3699585660006</v>
      </c>
      <c r="F22" s="1867">
        <f t="shared" ref="F22" si="4">D22-E22</f>
        <v>5513.3450414339995</v>
      </c>
      <c r="G22" s="1060" t="s">
        <v>1764</v>
      </c>
      <c r="H22" s="306">
        <f>H21+1</f>
        <v>12</v>
      </c>
      <c r="J22" s="1065"/>
      <c r="K22" s="1044"/>
    </row>
    <row r="23" spans="1:14" x14ac:dyDescent="0.35">
      <c r="A23" s="306">
        <f t="shared" si="0"/>
        <v>13</v>
      </c>
      <c r="B23" s="1057">
        <v>931</v>
      </c>
      <c r="C23" s="1059" t="s">
        <v>185</v>
      </c>
      <c r="D23" s="1867">
        <v>12351.503000000001</v>
      </c>
      <c r="E23" s="1861">
        <f>E52</f>
        <v>13.720007673000001</v>
      </c>
      <c r="F23" s="1867">
        <f>D23-E23</f>
        <v>12337.782992327</v>
      </c>
      <c r="G23" s="1060" t="s">
        <v>1765</v>
      </c>
      <c r="H23" s="306">
        <f t="shared" si="1"/>
        <v>13</v>
      </c>
      <c r="J23" s="8"/>
    </row>
    <row r="24" spans="1:14" x14ac:dyDescent="0.35">
      <c r="A24" s="306">
        <f t="shared" si="0"/>
        <v>14</v>
      </c>
      <c r="B24" s="1057">
        <v>935</v>
      </c>
      <c r="C24" s="1059" t="s">
        <v>211</v>
      </c>
      <c r="D24" s="285">
        <v>18209.169000000002</v>
      </c>
      <c r="E24" s="2217">
        <f>E53</f>
        <v>25.724845446</v>
      </c>
      <c r="F24" s="285">
        <f>D24-E24</f>
        <v>18183.444154554003</v>
      </c>
      <c r="G24" s="1541" t="s">
        <v>1766</v>
      </c>
      <c r="H24" s="306">
        <f t="shared" si="1"/>
        <v>14</v>
      </c>
      <c r="I24" s="1044" t="s">
        <v>10</v>
      </c>
      <c r="J24" s="8"/>
    </row>
    <row r="25" spans="1:14" x14ac:dyDescent="0.35">
      <c r="A25" s="306">
        <f>A24+1</f>
        <v>15</v>
      </c>
      <c r="B25" s="1057"/>
      <c r="C25" s="307"/>
      <c r="D25" s="1857"/>
      <c r="E25" s="305"/>
      <c r="F25" s="1857"/>
      <c r="G25" s="1066"/>
      <c r="H25" s="306">
        <f>H24+1</f>
        <v>15</v>
      </c>
    </row>
    <row r="26" spans="1:14" ht="16" thickBot="1" x14ac:dyDescent="0.4">
      <c r="A26" s="306">
        <f t="shared" si="0"/>
        <v>16</v>
      </c>
      <c r="B26" s="1057"/>
      <c r="C26" s="1067" t="s">
        <v>212</v>
      </c>
      <c r="D26" s="301">
        <f>SUM(D11:D24)</f>
        <v>656792.06599999999</v>
      </c>
      <c r="E26" s="302">
        <f>SUM(E11:E24)</f>
        <v>180439.269493139</v>
      </c>
      <c r="F26" s="292">
        <f>SUM(F11:F24)</f>
        <v>476352.79650686105</v>
      </c>
      <c r="G26" s="1068" t="str">
        <f>"Sum Lines "&amp;A11&amp;" thru "&amp;A24</f>
        <v>Sum Lines 1 thru 14</v>
      </c>
      <c r="H26" s="306">
        <f t="shared" si="1"/>
        <v>16</v>
      </c>
    </row>
    <row r="27" spans="1:14" ht="16.5" thickTop="1" thickBot="1" x14ac:dyDescent="0.4">
      <c r="A27" s="306">
        <f>A26+1</f>
        <v>17</v>
      </c>
      <c r="B27" s="1069"/>
      <c r="C27" s="2218"/>
      <c r="D27" s="303"/>
      <c r="E27" s="304"/>
      <c r="F27" s="304"/>
      <c r="G27" s="1759"/>
      <c r="H27" s="306">
        <f>H26+1</f>
        <v>17</v>
      </c>
    </row>
    <row r="28" spans="1:14" x14ac:dyDescent="0.35">
      <c r="A28" s="306">
        <f>A27+1</f>
        <v>18</v>
      </c>
      <c r="B28" s="1070"/>
      <c r="C28" s="307"/>
      <c r="D28" s="307"/>
      <c r="E28" s="305"/>
      <c r="F28" s="307"/>
      <c r="G28" s="1066"/>
      <c r="H28" s="306">
        <f>H27+1</f>
        <v>18</v>
      </c>
    </row>
    <row r="29" spans="1:14" x14ac:dyDescent="0.35">
      <c r="A29" s="306">
        <f t="shared" ref="A29:A61" si="5">A28+1</f>
        <v>19</v>
      </c>
      <c r="B29" s="1071" t="s">
        <v>213</v>
      </c>
      <c r="C29" s="1793"/>
      <c r="D29" s="1793"/>
      <c r="E29" s="1793"/>
      <c r="F29" s="1793"/>
      <c r="G29" s="1066"/>
      <c r="H29" s="306">
        <f>H28+1</f>
        <v>19</v>
      </c>
    </row>
    <row r="30" spans="1:14" x14ac:dyDescent="0.35">
      <c r="A30" s="1793">
        <f t="shared" si="5"/>
        <v>20</v>
      </c>
      <c r="B30" s="1757">
        <v>920</v>
      </c>
      <c r="C30" s="1059" t="s">
        <v>1675</v>
      </c>
      <c r="D30" s="2212"/>
      <c r="E30" s="2214">
        <v>880.90825143900008</v>
      </c>
      <c r="F30" s="1793"/>
      <c r="G30" s="1066"/>
      <c r="H30" s="1793">
        <f t="shared" ref="H30:H62" si="6">H29+1</f>
        <v>20</v>
      </c>
    </row>
    <row r="31" spans="1:14" x14ac:dyDescent="0.35">
      <c r="A31" s="1793">
        <f t="shared" si="5"/>
        <v>21</v>
      </c>
      <c r="B31" s="1757">
        <v>921</v>
      </c>
      <c r="C31" s="1059" t="s">
        <v>1675</v>
      </c>
      <c r="D31" s="2211"/>
      <c r="E31" s="2211">
        <v>7379.4532107689993</v>
      </c>
      <c r="F31" s="1793"/>
      <c r="G31" s="1066"/>
      <c r="H31" s="1793">
        <f t="shared" si="6"/>
        <v>21</v>
      </c>
    </row>
    <row r="32" spans="1:14" x14ac:dyDescent="0.35">
      <c r="A32" s="1793">
        <f t="shared" si="5"/>
        <v>22</v>
      </c>
      <c r="B32" s="1757">
        <v>923</v>
      </c>
      <c r="C32" s="1059" t="s">
        <v>1675</v>
      </c>
      <c r="D32" s="2212">
        <v>1396.4498757960002</v>
      </c>
      <c r="E32" s="1793"/>
      <c r="F32" s="1793"/>
      <c r="G32" s="1066"/>
      <c r="H32" s="1793">
        <f t="shared" si="6"/>
        <v>22</v>
      </c>
    </row>
    <row r="33" spans="1:8" ht="18" x14ac:dyDescent="0.35">
      <c r="A33" s="1793">
        <f t="shared" si="5"/>
        <v>23</v>
      </c>
      <c r="B33" s="1757"/>
      <c r="C33" s="1059" t="s">
        <v>1664</v>
      </c>
      <c r="D33" s="2213">
        <v>9500.9089999999997</v>
      </c>
      <c r="E33" s="2215">
        <f>SUM(D32:D33)</f>
        <v>10897.358875796001</v>
      </c>
      <c r="F33" s="1793"/>
      <c r="G33" s="1066"/>
      <c r="H33" s="1793">
        <f t="shared" si="6"/>
        <v>23</v>
      </c>
    </row>
    <row r="34" spans="1:8" x14ac:dyDescent="0.35">
      <c r="A34" s="1793">
        <f t="shared" si="5"/>
        <v>24</v>
      </c>
      <c r="B34" s="1757">
        <v>925</v>
      </c>
      <c r="C34" s="1059" t="s">
        <v>1675</v>
      </c>
      <c r="D34" s="2211">
        <v>1299.7870644639997</v>
      </c>
      <c r="E34" s="1793"/>
      <c r="F34" s="1793"/>
      <c r="G34" s="1066"/>
      <c r="H34" s="1793">
        <f t="shared" si="6"/>
        <v>24</v>
      </c>
    </row>
    <row r="35" spans="1:8" x14ac:dyDescent="0.35">
      <c r="A35" s="1793">
        <f t="shared" si="5"/>
        <v>25</v>
      </c>
      <c r="B35" s="1757"/>
      <c r="C35" s="1059" t="s">
        <v>1660</v>
      </c>
      <c r="D35" s="2211">
        <v>56.953900000000012</v>
      </c>
      <c r="E35" s="1793"/>
      <c r="F35" s="1793"/>
      <c r="G35" s="1066"/>
      <c r="H35" s="1793">
        <f t="shared" si="6"/>
        <v>25</v>
      </c>
    </row>
    <row r="36" spans="1:8" x14ac:dyDescent="0.35">
      <c r="A36" s="1793">
        <f t="shared" si="5"/>
        <v>26</v>
      </c>
      <c r="B36" s="1757"/>
      <c r="C36" s="1059" t="s">
        <v>1671</v>
      </c>
      <c r="D36" s="2211">
        <v>51.146999999999998</v>
      </c>
      <c r="E36" s="1793"/>
      <c r="F36" s="1793"/>
      <c r="G36" s="1066"/>
      <c r="H36" s="1793">
        <f t="shared" si="6"/>
        <v>26</v>
      </c>
    </row>
    <row r="37" spans="1:8" x14ac:dyDescent="0.35">
      <c r="A37" s="1793">
        <f t="shared" si="5"/>
        <v>27</v>
      </c>
      <c r="B37" s="1757"/>
      <c r="C37" s="1059" t="s">
        <v>1661</v>
      </c>
      <c r="D37" s="2211">
        <v>7.6603654320000008</v>
      </c>
      <c r="E37" s="1793"/>
      <c r="F37" s="1793"/>
      <c r="G37" s="1066"/>
      <c r="H37" s="1793">
        <f t="shared" si="6"/>
        <v>27</v>
      </c>
    </row>
    <row r="38" spans="1:8" x14ac:dyDescent="0.35">
      <c r="A38" s="1793">
        <f t="shared" si="5"/>
        <v>28</v>
      </c>
      <c r="B38" s="1757"/>
      <c r="C38" s="1059" t="s">
        <v>1662</v>
      </c>
      <c r="D38" s="2213">
        <v>2.8906900000000006</v>
      </c>
      <c r="E38" s="2211">
        <f>SUM(D34:D38)</f>
        <v>1418.4390198959995</v>
      </c>
      <c r="F38" s="1793"/>
      <c r="G38" s="1066"/>
      <c r="H38" s="1793">
        <f t="shared" si="6"/>
        <v>28</v>
      </c>
    </row>
    <row r="39" spans="1:8" x14ac:dyDescent="0.35">
      <c r="A39" s="1793">
        <f t="shared" si="5"/>
        <v>29</v>
      </c>
      <c r="B39" s="1757">
        <v>926</v>
      </c>
      <c r="C39" s="2256" t="s">
        <v>1675</v>
      </c>
      <c r="D39" s="2211">
        <v>1948.1068235539999</v>
      </c>
      <c r="E39" s="1793"/>
      <c r="F39" s="1793"/>
      <c r="G39" s="1066"/>
      <c r="H39" s="1793">
        <f t="shared" si="6"/>
        <v>29</v>
      </c>
    </row>
    <row r="40" spans="1:8" x14ac:dyDescent="0.35">
      <c r="A40" s="1793">
        <f t="shared" si="5"/>
        <v>30</v>
      </c>
      <c r="B40" s="1757"/>
      <c r="C40" s="1059" t="s">
        <v>1660</v>
      </c>
      <c r="D40" s="2211">
        <v>87.771760000000015</v>
      </c>
      <c r="E40" s="1793"/>
      <c r="F40" s="1793"/>
      <c r="G40" s="1066"/>
      <c r="H40" s="1793">
        <f t="shared" si="6"/>
        <v>30</v>
      </c>
    </row>
    <row r="41" spans="1:8" x14ac:dyDescent="0.35">
      <c r="A41" s="1793">
        <f t="shared" si="5"/>
        <v>31</v>
      </c>
      <c r="B41" s="1757"/>
      <c r="C41" s="1059" t="s">
        <v>1663</v>
      </c>
      <c r="D41" s="2211">
        <v>36.096990000000005</v>
      </c>
      <c r="F41" s="1793"/>
      <c r="G41" s="1066"/>
      <c r="H41" s="1793">
        <f t="shared" si="6"/>
        <v>31</v>
      </c>
    </row>
    <row r="42" spans="1:8" x14ac:dyDescent="0.35">
      <c r="A42" s="1793">
        <f t="shared" si="5"/>
        <v>32</v>
      </c>
      <c r="B42" s="1757"/>
      <c r="C42" s="1059" t="s">
        <v>1662</v>
      </c>
      <c r="D42" s="2213">
        <v>4.6505900000000002</v>
      </c>
      <c r="E42" s="2211">
        <f>SUM(D39:D42)</f>
        <v>2076.6261635540004</v>
      </c>
      <c r="F42" s="1793"/>
      <c r="G42" s="1066"/>
      <c r="H42" s="1793">
        <f t="shared" si="6"/>
        <v>32</v>
      </c>
    </row>
    <row r="43" spans="1:8" x14ac:dyDescent="0.35">
      <c r="A43" s="1793">
        <f t="shared" si="5"/>
        <v>33</v>
      </c>
      <c r="B43" s="1752">
        <v>927</v>
      </c>
      <c r="C43" s="1754" t="s">
        <v>207</v>
      </c>
      <c r="D43" s="2211"/>
      <c r="E43" s="2215">
        <v>128579.84063999999</v>
      </c>
      <c r="F43" s="1793"/>
      <c r="G43" s="1066"/>
      <c r="H43" s="1793">
        <f t="shared" si="6"/>
        <v>33</v>
      </c>
    </row>
    <row r="44" spans="1:8" x14ac:dyDescent="0.35">
      <c r="A44" s="1793">
        <f t="shared" si="5"/>
        <v>34</v>
      </c>
      <c r="B44" s="1757">
        <v>928</v>
      </c>
      <c r="C44" s="1059" t="s">
        <v>1705</v>
      </c>
      <c r="D44" s="2211">
        <v>22235.548999999999</v>
      </c>
      <c r="E44" s="1793"/>
      <c r="F44" s="1793"/>
      <c r="G44" s="1066"/>
      <c r="H44" s="1793">
        <f t="shared" si="6"/>
        <v>34</v>
      </c>
    </row>
    <row r="45" spans="1:8" x14ac:dyDescent="0.35">
      <c r="A45" s="1793">
        <f t="shared" si="5"/>
        <v>35</v>
      </c>
      <c r="B45" s="1757"/>
      <c r="C45" s="1059" t="s">
        <v>1670</v>
      </c>
      <c r="D45" s="2211">
        <v>964.92977000000019</v>
      </c>
      <c r="E45" s="1793"/>
      <c r="F45" s="1793"/>
      <c r="G45" s="1066"/>
      <c r="H45" s="1793">
        <f t="shared" si="6"/>
        <v>35</v>
      </c>
    </row>
    <row r="46" spans="1:8" x14ac:dyDescent="0.35">
      <c r="A46" s="1793">
        <f t="shared" si="5"/>
        <v>36</v>
      </c>
      <c r="B46" s="1757"/>
      <c r="C46" s="1059" t="s">
        <v>1675</v>
      </c>
      <c r="D46" s="2211">
        <v>258.03949000000011</v>
      </c>
      <c r="E46" s="1793"/>
      <c r="F46" s="1793"/>
      <c r="G46" s="1066"/>
      <c r="H46" s="1793">
        <f t="shared" si="6"/>
        <v>36</v>
      </c>
    </row>
    <row r="47" spans="1:8" x14ac:dyDescent="0.35">
      <c r="A47" s="1793">
        <f t="shared" si="5"/>
        <v>37</v>
      </c>
      <c r="B47" s="1757"/>
      <c r="C47" s="1755" t="s">
        <v>214</v>
      </c>
      <c r="D47" s="2219">
        <v>0</v>
      </c>
      <c r="E47" s="1793"/>
      <c r="F47" s="1793"/>
      <c r="G47" s="1066"/>
      <c r="H47" s="1793">
        <f t="shared" si="6"/>
        <v>37</v>
      </c>
    </row>
    <row r="48" spans="1:8" x14ac:dyDescent="0.35">
      <c r="A48" s="1793">
        <f t="shared" si="5"/>
        <v>38</v>
      </c>
      <c r="B48" s="1757"/>
      <c r="C48" s="1755" t="s">
        <v>215</v>
      </c>
      <c r="D48" s="2213">
        <v>617.17561999999998</v>
      </c>
      <c r="E48" s="2211">
        <f>SUM(D44:D48)</f>
        <v>24075.693879999999</v>
      </c>
      <c r="F48" s="1793"/>
      <c r="G48" s="1066"/>
      <c r="H48" s="1793">
        <f t="shared" si="6"/>
        <v>38</v>
      </c>
    </row>
    <row r="49" spans="1:20" x14ac:dyDescent="0.35">
      <c r="A49" s="1793">
        <f t="shared" si="5"/>
        <v>39</v>
      </c>
      <c r="B49" s="1756">
        <v>930.1</v>
      </c>
      <c r="C49" s="1753" t="s">
        <v>210</v>
      </c>
      <c r="D49" s="2211"/>
      <c r="E49" s="2215">
        <v>66.134640000000005</v>
      </c>
      <c r="F49" s="1793"/>
      <c r="G49" s="1066"/>
      <c r="H49" s="1793">
        <f t="shared" si="6"/>
        <v>39</v>
      </c>
    </row>
    <row r="50" spans="1:20" x14ac:dyDescent="0.35">
      <c r="A50" s="1793">
        <f t="shared" si="5"/>
        <v>40</v>
      </c>
      <c r="B50" s="2220">
        <v>930.2</v>
      </c>
      <c r="C50" s="2221" t="s">
        <v>216</v>
      </c>
      <c r="D50" s="2215">
        <v>5025.3662400000003</v>
      </c>
      <c r="F50" s="1793"/>
      <c r="G50" s="1066"/>
      <c r="H50" s="1793">
        <f t="shared" si="6"/>
        <v>40</v>
      </c>
    </row>
    <row r="51" spans="1:20" x14ac:dyDescent="0.35">
      <c r="A51" s="1793">
        <f t="shared" si="5"/>
        <v>41</v>
      </c>
      <c r="B51" s="2220"/>
      <c r="C51" s="2221" t="s">
        <v>1675</v>
      </c>
      <c r="D51" s="2213">
        <v>3.7185659999999956E-3</v>
      </c>
      <c r="E51" s="2215">
        <f>SUM(D50:D51)</f>
        <v>5025.3699585660006</v>
      </c>
      <c r="F51" s="1793"/>
      <c r="G51" s="1066"/>
      <c r="H51" s="1793">
        <f t="shared" si="6"/>
        <v>41</v>
      </c>
    </row>
    <row r="52" spans="1:20" x14ac:dyDescent="0.35">
      <c r="A52" s="1793">
        <f t="shared" si="5"/>
        <v>42</v>
      </c>
      <c r="B52" s="2263">
        <v>931</v>
      </c>
      <c r="C52" s="1753" t="s">
        <v>1675</v>
      </c>
      <c r="D52" s="2211"/>
      <c r="E52" s="2215">
        <v>13.720007673000001</v>
      </c>
      <c r="F52" s="1793"/>
      <c r="G52" s="1066"/>
      <c r="H52" s="1793">
        <f t="shared" si="6"/>
        <v>42</v>
      </c>
    </row>
    <row r="53" spans="1:20" x14ac:dyDescent="0.35">
      <c r="A53" s="1793">
        <f t="shared" si="5"/>
        <v>43</v>
      </c>
      <c r="B53" s="1757">
        <v>935</v>
      </c>
      <c r="C53" s="1059" t="s">
        <v>217</v>
      </c>
      <c r="D53" s="2211"/>
      <c r="E53" s="2232">
        <v>25.724845446</v>
      </c>
      <c r="F53" s="1793"/>
      <c r="G53" s="1066"/>
      <c r="H53" s="1793">
        <f t="shared" si="6"/>
        <v>43</v>
      </c>
    </row>
    <row r="54" spans="1:20" x14ac:dyDescent="0.35">
      <c r="A54" s="1793">
        <f t="shared" si="5"/>
        <v>44</v>
      </c>
      <c r="B54" s="1757"/>
      <c r="C54" s="1072"/>
      <c r="D54" s="308"/>
      <c r="E54" s="1861"/>
      <c r="F54" s="307"/>
      <c r="G54" s="1066"/>
      <c r="H54" s="1793">
        <f t="shared" si="6"/>
        <v>44</v>
      </c>
      <c r="I54" s="1063"/>
      <c r="J54" s="1063"/>
      <c r="K54" s="1063"/>
      <c r="L54" s="1063"/>
      <c r="M54" s="1063"/>
      <c r="N54" s="1063"/>
      <c r="O54" s="1063"/>
      <c r="P54" s="1063"/>
      <c r="Q54" s="1063"/>
      <c r="R54" s="1063"/>
      <c r="S54" s="1063"/>
      <c r="T54" s="1063"/>
    </row>
    <row r="55" spans="1:20" ht="16" thickBot="1" x14ac:dyDescent="0.4">
      <c r="A55" s="1793">
        <f t="shared" si="5"/>
        <v>45</v>
      </c>
      <c r="B55" s="1070"/>
      <c r="C55" s="1073" t="s">
        <v>202</v>
      </c>
      <c r="D55" s="1613"/>
      <c r="E55" s="300">
        <f>SUM(E30:E53)</f>
        <v>180439.269493139</v>
      </c>
      <c r="F55" s="309"/>
      <c r="G55" s="1066"/>
      <c r="H55" s="1793">
        <f t="shared" si="6"/>
        <v>45</v>
      </c>
      <c r="I55" s="1063"/>
      <c r="J55" s="1063"/>
      <c r="K55" s="1063"/>
      <c r="L55" s="1063"/>
      <c r="M55" s="1063"/>
      <c r="N55" s="1063"/>
      <c r="O55" s="1063"/>
      <c r="P55" s="1063"/>
      <c r="Q55" s="1063"/>
      <c r="R55" s="1063"/>
      <c r="S55" s="1063"/>
      <c r="T55" s="1063"/>
    </row>
    <row r="56" spans="1:20" ht="16" thickTop="1" x14ac:dyDescent="0.35">
      <c r="A56" s="1793">
        <f t="shared" si="5"/>
        <v>46</v>
      </c>
      <c r="B56" s="1070"/>
      <c r="C56" s="1073"/>
      <c r="D56" s="307"/>
      <c r="E56" s="1876"/>
      <c r="F56" s="246"/>
      <c r="G56" s="1066"/>
      <c r="H56" s="1793">
        <f t="shared" si="6"/>
        <v>46</v>
      </c>
      <c r="I56" s="1063"/>
      <c r="J56" s="1063"/>
      <c r="K56" s="1063"/>
      <c r="L56" s="1063"/>
      <c r="M56" s="1063"/>
      <c r="N56" s="1063"/>
      <c r="O56" s="1063"/>
      <c r="P56" s="1063"/>
      <c r="Q56" s="1063"/>
      <c r="R56" s="1063"/>
      <c r="S56" s="1063"/>
      <c r="T56" s="1063"/>
    </row>
    <row r="57" spans="1:20" x14ac:dyDescent="0.35">
      <c r="A57" s="1793">
        <f t="shared" si="5"/>
        <v>47</v>
      </c>
      <c r="B57" s="1070"/>
      <c r="C57" s="1073"/>
      <c r="D57" s="305"/>
      <c r="E57" s="1876"/>
      <c r="F57" s="246"/>
      <c r="G57" s="1066"/>
      <c r="H57" s="1793">
        <f t="shared" si="6"/>
        <v>47</v>
      </c>
    </row>
    <row r="58" spans="1:20" ht="18" x14ac:dyDescent="0.35">
      <c r="A58" s="1793">
        <f t="shared" si="5"/>
        <v>48</v>
      </c>
      <c r="B58" s="1074">
        <v>1</v>
      </c>
      <c r="C58" s="1494" t="s">
        <v>1656</v>
      </c>
      <c r="D58" s="305"/>
      <c r="E58" s="2222"/>
      <c r="F58" s="246"/>
      <c r="G58" s="1066"/>
      <c r="H58" s="1793">
        <f t="shared" si="6"/>
        <v>48</v>
      </c>
    </row>
    <row r="59" spans="1:20" ht="18" x14ac:dyDescent="0.35">
      <c r="A59" s="1793">
        <f t="shared" si="5"/>
        <v>49</v>
      </c>
      <c r="B59" s="2233">
        <v>2</v>
      </c>
      <c r="C59" s="2229" t="s">
        <v>1668</v>
      </c>
      <c r="D59" s="305"/>
      <c r="E59" s="2222"/>
      <c r="F59" s="246"/>
      <c r="G59" s="1066"/>
      <c r="H59" s="1793">
        <f t="shared" si="6"/>
        <v>49</v>
      </c>
    </row>
    <row r="60" spans="1:20" ht="18" x14ac:dyDescent="0.35">
      <c r="A60" s="1793">
        <f t="shared" si="5"/>
        <v>50</v>
      </c>
      <c r="B60" s="2233"/>
      <c r="C60" s="2229" t="s">
        <v>1669</v>
      </c>
      <c r="D60" s="305"/>
      <c r="E60" s="2222"/>
      <c r="F60" s="246"/>
      <c r="G60" s="1066"/>
      <c r="H60" s="1793">
        <f t="shared" si="6"/>
        <v>50</v>
      </c>
    </row>
    <row r="61" spans="1:20" ht="18" x14ac:dyDescent="0.35">
      <c r="A61" s="1793">
        <f t="shared" si="5"/>
        <v>51</v>
      </c>
      <c r="B61" s="2233"/>
      <c r="C61" s="2229" t="s">
        <v>1667</v>
      </c>
      <c r="D61" s="305"/>
      <c r="E61" s="2222"/>
      <c r="F61" s="246"/>
      <c r="G61" s="1066"/>
      <c r="H61" s="1793">
        <f t="shared" si="6"/>
        <v>51</v>
      </c>
    </row>
    <row r="62" spans="1:20" ht="16" thickBot="1" x14ac:dyDescent="0.4">
      <c r="A62" s="1793">
        <f t="shared" ref="A62" si="7">A61+1</f>
        <v>52</v>
      </c>
      <c r="B62" s="1076"/>
      <c r="C62" s="2223"/>
      <c r="D62" s="2218"/>
      <c r="E62" s="2218"/>
      <c r="F62" s="2218"/>
      <c r="G62" s="1759"/>
      <c r="H62" s="1793">
        <f t="shared" si="6"/>
        <v>52</v>
      </c>
    </row>
    <row r="63" spans="1:20" x14ac:dyDescent="0.35">
      <c r="A63" s="1045"/>
      <c r="B63" s="307"/>
      <c r="C63" s="1075"/>
      <c r="D63" s="1077"/>
      <c r="E63" s="1077"/>
      <c r="F63" s="307"/>
      <c r="G63" s="307"/>
      <c r="H63" s="306"/>
    </row>
    <row r="64" spans="1:20" ht="18" x14ac:dyDescent="0.35">
      <c r="A64" s="1078"/>
      <c r="C64" s="1075"/>
      <c r="D64" s="307"/>
      <c r="E64" s="307"/>
      <c r="F64" s="307"/>
      <c r="G64" s="307"/>
      <c r="H64" s="306"/>
    </row>
    <row r="65" spans="1:8" ht="18" x14ac:dyDescent="0.35">
      <c r="A65" s="1078"/>
      <c r="C65" s="1075"/>
      <c r="D65" s="307"/>
      <c r="E65" s="307"/>
      <c r="F65" s="307"/>
      <c r="G65" s="307"/>
      <c r="H65" s="306"/>
    </row>
    <row r="66" spans="1:8" ht="18" x14ac:dyDescent="0.35">
      <c r="A66" s="1078"/>
      <c r="C66" s="1075"/>
      <c r="D66" s="307"/>
      <c r="E66" s="307"/>
      <c r="F66" s="307"/>
      <c r="G66" s="307"/>
      <c r="H66" s="306"/>
    </row>
    <row r="67" spans="1:8" ht="18" x14ac:dyDescent="0.35">
      <c r="A67" s="1078"/>
      <c r="C67" s="1075"/>
      <c r="D67" s="307"/>
      <c r="E67" s="307"/>
      <c r="F67" s="307"/>
      <c r="G67" s="307"/>
      <c r="H67" s="306"/>
    </row>
    <row r="68" spans="1:8" ht="18" x14ac:dyDescent="0.35">
      <c r="A68" s="1078"/>
      <c r="C68" s="1075"/>
      <c r="D68" s="307"/>
      <c r="E68" s="307"/>
      <c r="F68" s="307"/>
      <c r="G68" s="307"/>
      <c r="H68" s="306"/>
    </row>
    <row r="69" spans="1:8" ht="18" x14ac:dyDescent="0.35">
      <c r="A69" s="1078"/>
      <c r="C69" s="1075"/>
      <c r="D69" s="307"/>
      <c r="E69" s="307"/>
      <c r="F69" s="307"/>
      <c r="G69" s="307"/>
      <c r="H69" s="306"/>
    </row>
    <row r="70" spans="1:8" x14ac:dyDescent="0.35">
      <c r="A70" s="1045"/>
      <c r="B70" s="307"/>
      <c r="C70" s="1075"/>
      <c r="D70" s="307"/>
      <c r="E70" s="307"/>
      <c r="F70" s="307"/>
      <c r="G70" s="307"/>
      <c r="H70" s="306"/>
    </row>
    <row r="71" spans="1:8" ht="18" x14ac:dyDescent="0.35">
      <c r="A71" s="1078"/>
      <c r="B71" s="307"/>
      <c r="C71" s="1075"/>
      <c r="D71" s="307"/>
      <c r="E71" s="307"/>
      <c r="F71" s="307"/>
      <c r="G71" s="307"/>
      <c r="H71" s="306"/>
    </row>
    <row r="72" spans="1:8" x14ac:dyDescent="0.35">
      <c r="A72" s="1045"/>
      <c r="B72" s="307"/>
      <c r="C72" s="1075"/>
      <c r="D72" s="307"/>
      <c r="E72" s="307"/>
      <c r="F72" s="307"/>
      <c r="G72" s="307"/>
      <c r="H72" s="306"/>
    </row>
    <row r="73" spans="1:8" ht="18" x14ac:dyDescent="0.35">
      <c r="A73" s="1078"/>
      <c r="B73" s="307"/>
      <c r="C73" s="1075"/>
      <c r="D73" s="307"/>
      <c r="E73" s="307"/>
      <c r="F73" s="307"/>
      <c r="G73" s="307"/>
      <c r="H73" s="306"/>
    </row>
    <row r="74" spans="1:8" x14ac:dyDescent="0.35">
      <c r="A74" s="1045"/>
      <c r="B74" s="307"/>
      <c r="C74" s="1075"/>
      <c r="D74" s="307"/>
      <c r="E74" s="307"/>
      <c r="F74" s="307"/>
      <c r="G74" s="307"/>
      <c r="H74" s="306"/>
    </row>
    <row r="75" spans="1:8" ht="18" x14ac:dyDescent="0.35">
      <c r="A75" s="1078"/>
      <c r="B75" s="307"/>
      <c r="C75" s="1075"/>
      <c r="D75" s="307"/>
      <c r="E75" s="307"/>
      <c r="F75" s="307"/>
      <c r="G75" s="307"/>
      <c r="H75" s="306"/>
    </row>
    <row r="76" spans="1:8" ht="18" x14ac:dyDescent="0.35">
      <c r="A76" s="1078"/>
      <c r="B76" s="1075"/>
      <c r="C76" s="307"/>
      <c r="D76" s="307"/>
      <c r="E76" s="307"/>
      <c r="F76" s="307"/>
      <c r="G76" s="307"/>
      <c r="H76" s="306"/>
    </row>
    <row r="77" spans="1:8" ht="18" x14ac:dyDescent="0.35">
      <c r="A77" s="1078"/>
      <c r="B77" s="1075"/>
      <c r="C77" s="307"/>
      <c r="D77" s="307"/>
      <c r="E77" s="307"/>
      <c r="F77" s="307"/>
      <c r="G77" s="307"/>
      <c r="H77" s="306"/>
    </row>
    <row r="78" spans="1:8" x14ac:dyDescent="0.35">
      <c r="A78" s="306"/>
      <c r="B78" s="1075"/>
      <c r="C78" s="307"/>
      <c r="D78" s="307"/>
      <c r="E78" s="307"/>
      <c r="F78" s="307"/>
      <c r="G78" s="307"/>
      <c r="H78" s="306"/>
    </row>
    <row r="79" spans="1:8" ht="18" x14ac:dyDescent="0.35">
      <c r="A79" s="1078"/>
      <c r="B79" s="1075"/>
      <c r="C79" s="307"/>
      <c r="D79" s="307"/>
      <c r="E79" s="307"/>
      <c r="F79" s="307"/>
      <c r="G79" s="307"/>
      <c r="H79" s="306"/>
    </row>
    <row r="80" spans="1:8" x14ac:dyDescent="0.35">
      <c r="A80" s="1079"/>
      <c r="B80" s="1080"/>
      <c r="C80" s="307"/>
      <c r="D80" s="307"/>
      <c r="E80" s="307"/>
      <c r="F80" s="307"/>
      <c r="G80" s="307"/>
      <c r="H80" s="306"/>
    </row>
    <row r="81" spans="1:8" x14ac:dyDescent="0.35">
      <c r="A81" s="306"/>
      <c r="B81" s="1059"/>
      <c r="C81" s="307"/>
      <c r="D81" s="307"/>
      <c r="E81" s="307"/>
      <c r="F81" s="307"/>
      <c r="G81" s="307"/>
      <c r="H81" s="306"/>
    </row>
    <row r="82" spans="1:8" x14ac:dyDescent="0.35">
      <c r="A82" s="306"/>
      <c r="B82" s="307"/>
      <c r="C82" s="307"/>
      <c r="D82" s="307"/>
      <c r="E82" s="307"/>
      <c r="F82" s="307"/>
      <c r="G82" s="307"/>
      <c r="H82" s="306"/>
    </row>
    <row r="83" spans="1:8" x14ac:dyDescent="0.35">
      <c r="A83" s="306"/>
      <c r="B83" s="307"/>
      <c r="C83" s="307"/>
      <c r="D83" s="307"/>
      <c r="E83" s="307"/>
      <c r="F83" s="307"/>
      <c r="G83" s="307"/>
      <c r="H83" s="306"/>
    </row>
  </sheetData>
  <mergeCells count="4">
    <mergeCell ref="B2:G2"/>
    <mergeCell ref="B3:G3"/>
    <mergeCell ref="B4:G4"/>
    <mergeCell ref="B5:G5"/>
  </mergeCells>
  <printOptions horizontalCentered="1"/>
  <pageMargins left="0.5" right="0.5" top="0.5" bottom="0.5" header="0.25" footer="0.25"/>
  <pageSetup scale="55" orientation="portrait" r:id="rId1"/>
  <headerFooter scaleWithDoc="0">
    <oddFooter xml:space="preserve">&amp;C&amp;"Times New Roman,Regular"&amp;10&amp;A
</oddFooter>
  </headerFooter>
  <rowBreaks count="1" manualBreakCount="1">
    <brk id="27"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29"/>
  <sheetViews>
    <sheetView zoomScale="80" zoomScaleNormal="80" workbookViewId="0"/>
  </sheetViews>
  <sheetFormatPr defaultColWidth="8.90625" defaultRowHeight="15.5" x14ac:dyDescent="0.35"/>
  <cols>
    <col min="1" max="1" width="5.08984375" style="1569" customWidth="1"/>
    <col min="2" max="2" width="64.90625" style="7" customWidth="1"/>
    <col min="3" max="3" width="21.08984375" style="220" customWidth="1"/>
    <col min="4" max="4" width="1.54296875" style="7" customWidth="1"/>
    <col min="5" max="5" width="16.90625" style="7" customWidth="1"/>
    <col min="6" max="6" width="1.54296875" style="7" customWidth="1"/>
    <col min="7" max="7" width="34.54296875" style="7" customWidth="1"/>
    <col min="8" max="8" width="5.08984375" style="7" customWidth="1"/>
    <col min="9" max="9" width="8.90625" style="7"/>
    <col min="10" max="10" width="20.453125" style="2227" bestFit="1" customWidth="1"/>
    <col min="11" max="16384" width="8.90625" style="7"/>
  </cols>
  <sheetData>
    <row r="1" spans="1:11" x14ac:dyDescent="0.35">
      <c r="A1" s="1584"/>
      <c r="B1" s="220"/>
      <c r="D1" s="220"/>
      <c r="E1" s="1081"/>
      <c r="F1" s="1082"/>
      <c r="G1" s="234"/>
      <c r="H1" s="236"/>
    </row>
    <row r="2" spans="1:11" x14ac:dyDescent="0.35">
      <c r="B2" s="2288" t="s">
        <v>18</v>
      </c>
      <c r="C2" s="2288"/>
      <c r="D2" s="2288"/>
      <c r="E2" s="2288"/>
      <c r="F2" s="2289"/>
      <c r="G2" s="2289"/>
      <c r="H2" s="234"/>
    </row>
    <row r="3" spans="1:11" x14ac:dyDescent="0.35">
      <c r="B3" s="2288" t="s">
        <v>1327</v>
      </c>
      <c r="C3" s="2288"/>
      <c r="D3" s="2288"/>
      <c r="E3" s="2288"/>
      <c r="F3" s="2289"/>
      <c r="G3" s="2289"/>
      <c r="H3" s="234"/>
    </row>
    <row r="4" spans="1:11" x14ac:dyDescent="0.35">
      <c r="B4" s="2288" t="s">
        <v>514</v>
      </c>
      <c r="C4" s="2288"/>
      <c r="D4" s="2288"/>
      <c r="E4" s="2288"/>
      <c r="F4" s="2289"/>
      <c r="G4" s="2289"/>
      <c r="H4" s="234"/>
    </row>
    <row r="5" spans="1:11" x14ac:dyDescent="0.35">
      <c r="B5" s="2293" t="str">
        <f>'Stmt AD'!B5</f>
        <v>Base Period &amp; True-Up Period 12 - Months Ending December 31, 2021</v>
      </c>
      <c r="C5" s="2293"/>
      <c r="D5" s="2293"/>
      <c r="E5" s="2293"/>
      <c r="F5" s="2283"/>
      <c r="G5" s="2283"/>
      <c r="H5" s="234"/>
    </row>
    <row r="6" spans="1:11" x14ac:dyDescent="0.35">
      <c r="B6" s="2291" t="s">
        <v>2</v>
      </c>
      <c r="C6" s="2278"/>
      <c r="D6" s="2278"/>
      <c r="E6" s="2278"/>
      <c r="F6" s="2278"/>
      <c r="G6" s="2278"/>
      <c r="H6" s="234"/>
    </row>
    <row r="7" spans="1:11" x14ac:dyDescent="0.35">
      <c r="B7" s="236"/>
      <c r="C7" s="236"/>
      <c r="D7" s="236"/>
      <c r="E7" s="236"/>
      <c r="F7" s="932"/>
      <c r="G7" s="234"/>
      <c r="H7" s="234"/>
    </row>
    <row r="8" spans="1:11" x14ac:dyDescent="0.35">
      <c r="A8" s="1569" t="s">
        <v>3</v>
      </c>
      <c r="B8" s="932"/>
      <c r="C8" s="236" t="s">
        <v>648</v>
      </c>
      <c r="D8" s="932"/>
      <c r="E8" s="932"/>
      <c r="F8" s="932"/>
      <c r="G8" s="234"/>
      <c r="H8" s="234" t="s">
        <v>3</v>
      </c>
    </row>
    <row r="9" spans="1:11" x14ac:dyDescent="0.35">
      <c r="A9" s="6" t="s">
        <v>25</v>
      </c>
      <c r="B9" s="989"/>
      <c r="C9" s="732" t="s">
        <v>646</v>
      </c>
      <c r="D9" s="220"/>
      <c r="E9" s="935" t="s">
        <v>135</v>
      </c>
      <c r="F9" s="234"/>
      <c r="G9" s="415" t="s">
        <v>9</v>
      </c>
      <c r="H9" s="6" t="s">
        <v>25</v>
      </c>
    </row>
    <row r="10" spans="1:11" x14ac:dyDescent="0.35">
      <c r="A10" s="236"/>
      <c r="B10" s="220"/>
      <c r="D10" s="220"/>
      <c r="E10" s="220"/>
      <c r="F10" s="234"/>
      <c r="G10" s="1083"/>
      <c r="H10" s="236"/>
    </row>
    <row r="11" spans="1:11" x14ac:dyDescent="0.35">
      <c r="A11" s="236">
        <v>1</v>
      </c>
      <c r="B11" s="220" t="s">
        <v>219</v>
      </c>
      <c r="C11" s="937" t="s">
        <v>1767</v>
      </c>
      <c r="D11" s="220"/>
      <c r="E11" s="105">
        <v>12351.188</v>
      </c>
      <c r="F11" s="1084"/>
      <c r="G11" s="1085"/>
      <c r="H11" s="236">
        <f>A11</f>
        <v>1</v>
      </c>
      <c r="K11" s="937"/>
    </row>
    <row r="12" spans="1:11" x14ac:dyDescent="0.35">
      <c r="A12" s="236">
        <f>+A11+1</f>
        <v>2</v>
      </c>
      <c r="B12" s="220"/>
      <c r="C12" s="937"/>
      <c r="D12" s="220"/>
      <c r="E12" s="310"/>
      <c r="F12" s="1084"/>
      <c r="G12" s="1086"/>
      <c r="H12" s="236">
        <f>+H11+1</f>
        <v>2</v>
      </c>
      <c r="K12" s="937"/>
    </row>
    <row r="13" spans="1:11" x14ac:dyDescent="0.35">
      <c r="A13" s="236">
        <f t="shared" ref="A13:A25" si="0">+A12+1</f>
        <v>3</v>
      </c>
      <c r="B13" s="989" t="s">
        <v>220</v>
      </c>
      <c r="C13" s="937" t="s">
        <v>1768</v>
      </c>
      <c r="D13" s="989"/>
      <c r="E13" s="107">
        <v>28694.654999999999</v>
      </c>
      <c r="F13" s="1084"/>
      <c r="G13" s="1085"/>
      <c r="H13" s="236">
        <f t="shared" ref="H13:H25" si="1">+H12+1</f>
        <v>3</v>
      </c>
      <c r="K13" s="937"/>
    </row>
    <row r="14" spans="1:11" x14ac:dyDescent="0.35">
      <c r="A14" s="236">
        <f t="shared" si="0"/>
        <v>4</v>
      </c>
      <c r="B14" s="989"/>
      <c r="C14" s="937"/>
      <c r="D14" s="989"/>
      <c r="E14" s="311"/>
      <c r="F14" s="1084"/>
      <c r="G14" s="1085"/>
      <c r="H14" s="236">
        <f t="shared" si="1"/>
        <v>4</v>
      </c>
      <c r="K14" s="937"/>
    </row>
    <row r="15" spans="1:11" x14ac:dyDescent="0.35">
      <c r="A15" s="236">
        <f t="shared" si="0"/>
        <v>5</v>
      </c>
      <c r="B15" s="989" t="s">
        <v>221</v>
      </c>
      <c r="C15" s="937" t="s">
        <v>1769</v>
      </c>
      <c r="D15" s="989"/>
      <c r="E15" s="107">
        <v>65798.991999999998</v>
      </c>
      <c r="F15" s="1084"/>
      <c r="G15" s="1085"/>
      <c r="H15" s="236">
        <f t="shared" si="1"/>
        <v>5</v>
      </c>
      <c r="K15" s="937"/>
    </row>
    <row r="16" spans="1:11" x14ac:dyDescent="0.35">
      <c r="A16" s="236">
        <f t="shared" si="0"/>
        <v>6</v>
      </c>
      <c r="B16" s="989"/>
      <c r="C16" s="937"/>
      <c r="D16" s="989"/>
      <c r="E16" s="311"/>
      <c r="F16" s="1084"/>
      <c r="G16" s="1085"/>
      <c r="H16" s="236">
        <f t="shared" si="1"/>
        <v>6</v>
      </c>
      <c r="K16" s="937"/>
    </row>
    <row r="17" spans="1:11" x14ac:dyDescent="0.35">
      <c r="A17" s="236">
        <f t="shared" si="0"/>
        <v>7</v>
      </c>
      <c r="B17" s="989" t="s">
        <v>222</v>
      </c>
      <c r="C17" s="937" t="s">
        <v>1770</v>
      </c>
      <c r="D17" s="989"/>
      <c r="E17" s="107">
        <v>17729.048999999999</v>
      </c>
      <c r="F17" s="1084"/>
      <c r="G17" s="1085"/>
      <c r="H17" s="236">
        <f t="shared" si="1"/>
        <v>7</v>
      </c>
      <c r="K17" s="937"/>
    </row>
    <row r="18" spans="1:11" x14ac:dyDescent="0.35">
      <c r="A18" s="236">
        <f t="shared" si="0"/>
        <v>8</v>
      </c>
      <c r="B18" s="989"/>
      <c r="C18" s="937"/>
      <c r="D18" s="989"/>
      <c r="E18" s="311"/>
      <c r="F18" s="1084"/>
      <c r="G18" s="1085"/>
      <c r="H18" s="236">
        <f t="shared" si="1"/>
        <v>8</v>
      </c>
      <c r="K18" s="937"/>
    </row>
    <row r="19" spans="1:11" x14ac:dyDescent="0.35">
      <c r="A19" s="236">
        <f t="shared" si="0"/>
        <v>9</v>
      </c>
      <c r="B19" s="989" t="s">
        <v>223</v>
      </c>
      <c r="C19" s="937" t="s">
        <v>1771</v>
      </c>
      <c r="D19" s="989"/>
      <c r="E19" s="107">
        <v>17269.345000000001</v>
      </c>
      <c r="F19" s="1084"/>
      <c r="G19" s="1085"/>
      <c r="H19" s="236">
        <f t="shared" si="1"/>
        <v>9</v>
      </c>
      <c r="K19" s="937"/>
    </row>
    <row r="20" spans="1:11" x14ac:dyDescent="0.35">
      <c r="A20" s="236">
        <f t="shared" si="0"/>
        <v>10</v>
      </c>
      <c r="B20" s="989"/>
      <c r="C20" s="937"/>
      <c r="D20" s="989"/>
      <c r="E20" s="312"/>
      <c r="F20" s="1084"/>
      <c r="G20" s="1085"/>
      <c r="H20" s="236">
        <f t="shared" si="1"/>
        <v>10</v>
      </c>
      <c r="K20" s="937"/>
    </row>
    <row r="21" spans="1:11" x14ac:dyDescent="0.35">
      <c r="A21" s="236">
        <f t="shared" si="0"/>
        <v>11</v>
      </c>
      <c r="B21" s="989" t="s">
        <v>224</v>
      </c>
      <c r="C21" s="937" t="s">
        <v>1772</v>
      </c>
      <c r="D21" s="989"/>
      <c r="E21" s="270">
        <v>0</v>
      </c>
      <c r="F21" s="1084"/>
      <c r="G21" s="1085"/>
      <c r="H21" s="236">
        <f t="shared" si="1"/>
        <v>11</v>
      </c>
      <c r="K21" s="937"/>
    </row>
    <row r="22" spans="1:11" x14ac:dyDescent="0.35">
      <c r="A22" s="236">
        <f t="shared" si="0"/>
        <v>12</v>
      </c>
      <c r="B22" s="989"/>
      <c r="C22" s="989"/>
      <c r="D22" s="989"/>
      <c r="E22" s="310"/>
      <c r="F22" s="1084"/>
      <c r="G22" s="937"/>
      <c r="H22" s="236">
        <f t="shared" si="1"/>
        <v>12</v>
      </c>
    </row>
    <row r="23" spans="1:11" x14ac:dyDescent="0.35">
      <c r="A23" s="236">
        <f t="shared" si="0"/>
        <v>13</v>
      </c>
      <c r="B23" s="220" t="s">
        <v>1233</v>
      </c>
      <c r="C23" s="989"/>
      <c r="D23" s="989"/>
      <c r="E23" s="313">
        <f>SUM(E11:E21)</f>
        <v>141843.22899999999</v>
      </c>
      <c r="F23" s="1084"/>
      <c r="G23" s="1087" t="s">
        <v>1095</v>
      </c>
      <c r="H23" s="236">
        <f t="shared" si="1"/>
        <v>13</v>
      </c>
    </row>
    <row r="24" spans="1:11" x14ac:dyDescent="0.35">
      <c r="A24" s="236">
        <f t="shared" si="0"/>
        <v>14</v>
      </c>
      <c r="B24" s="989"/>
      <c r="C24" s="989"/>
      <c r="D24" s="989"/>
      <c r="E24" s="313"/>
      <c r="F24" s="1084"/>
      <c r="G24" s="1087"/>
      <c r="H24" s="236">
        <f t="shared" si="1"/>
        <v>14</v>
      </c>
    </row>
    <row r="25" spans="1:11" ht="16" thickBot="1" x14ac:dyDescent="0.4">
      <c r="A25" s="236">
        <f t="shared" si="0"/>
        <v>15</v>
      </c>
      <c r="B25" s="989" t="s">
        <v>12</v>
      </c>
      <c r="C25" s="989"/>
      <c r="D25" s="989"/>
      <c r="E25" s="314">
        <f>E13/E23</f>
        <v>0.20229837689326716</v>
      </c>
      <c r="F25" s="1088"/>
      <c r="G25" s="234" t="s">
        <v>1124</v>
      </c>
      <c r="H25" s="236">
        <f t="shared" si="1"/>
        <v>15</v>
      </c>
    </row>
    <row r="26" spans="1:11" ht="16" thickTop="1" x14ac:dyDescent="0.35">
      <c r="A26" s="236"/>
      <c r="B26" s="989"/>
      <c r="C26" s="989"/>
      <c r="D26" s="989"/>
      <c r="E26" s="315"/>
      <c r="F26" s="1088"/>
      <c r="G26" s="234"/>
      <c r="H26" s="236"/>
    </row>
    <row r="27" spans="1:11" x14ac:dyDescent="0.35">
      <c r="A27" s="236"/>
      <c r="B27" s="220"/>
      <c r="C27" s="989"/>
      <c r="D27" s="989"/>
      <c r="E27" s="315"/>
      <c r="F27" s="1088"/>
      <c r="G27" s="1087"/>
      <c r="H27" s="236"/>
    </row>
    <row r="28" spans="1:11" x14ac:dyDescent="0.35">
      <c r="A28" s="236"/>
      <c r="B28" s="989"/>
      <c r="C28" s="989"/>
      <c r="D28" s="989"/>
      <c r="E28" s="1359"/>
      <c r="F28" s="1088"/>
      <c r="G28" s="234"/>
      <c r="H28" s="236"/>
    </row>
    <row r="29" spans="1:11" x14ac:dyDescent="0.35">
      <c r="E29" s="1883"/>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Roman,Regular"&amp;10AI</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heetViews>
  <sheetFormatPr defaultColWidth="8.90625" defaultRowHeight="15.5" x14ac:dyDescent="0.35"/>
  <cols>
    <col min="1" max="1" width="5.08984375" style="1569" customWidth="1"/>
    <col min="2" max="2" width="71.54296875" style="79" customWidth="1"/>
    <col min="3" max="3" width="21.08984375" style="1092" customWidth="1"/>
    <col min="4" max="4" width="1.54296875" style="79" customWidth="1"/>
    <col min="5" max="5" width="16.90625" style="79" customWidth="1"/>
    <col min="6" max="6" width="1.54296875" style="79" customWidth="1"/>
    <col min="7" max="7" width="34.54296875" style="79" customWidth="1"/>
    <col min="8" max="8" width="5.08984375" style="1563" customWidth="1"/>
    <col min="9" max="9" width="20.453125" style="79" bestFit="1" customWidth="1"/>
    <col min="10" max="16384" width="8.90625" style="79"/>
  </cols>
  <sheetData>
    <row r="1" spans="1:8" x14ac:dyDescent="0.35">
      <c r="B1" s="1089"/>
      <c r="C1" s="1090"/>
      <c r="D1" s="136"/>
      <c r="E1" s="202"/>
      <c r="F1" s="112"/>
      <c r="G1" s="182"/>
    </row>
    <row r="2" spans="1:8" x14ac:dyDescent="0.35">
      <c r="B2" s="2288" t="s">
        <v>18</v>
      </c>
      <c r="C2" s="2288"/>
      <c r="D2" s="2288"/>
      <c r="E2" s="2288"/>
      <c r="F2" s="2288"/>
      <c r="G2" s="2288"/>
    </row>
    <row r="3" spans="1:8" x14ac:dyDescent="0.35">
      <c r="B3" s="2288" t="s">
        <v>1328</v>
      </c>
      <c r="C3" s="2288"/>
      <c r="D3" s="2288"/>
      <c r="E3" s="2288"/>
      <c r="F3" s="2288"/>
      <c r="G3" s="2288"/>
    </row>
    <row r="4" spans="1:8" x14ac:dyDescent="0.35">
      <c r="B4" s="2288" t="s">
        <v>501</v>
      </c>
      <c r="C4" s="2288"/>
      <c r="D4" s="2288"/>
      <c r="E4" s="2288"/>
      <c r="F4" s="2288"/>
      <c r="G4" s="2288"/>
    </row>
    <row r="5" spans="1:8" x14ac:dyDescent="0.35">
      <c r="B5" s="2293" t="str">
        <f>'Stmt AD'!B5</f>
        <v>Base Period &amp; True-Up Period 12 - Months Ending December 31, 2021</v>
      </c>
      <c r="C5" s="2293"/>
      <c r="D5" s="2293"/>
      <c r="E5" s="2293"/>
      <c r="F5" s="2293"/>
      <c r="G5" s="2293"/>
    </row>
    <row r="6" spans="1:8" ht="15.75" customHeight="1" x14ac:dyDescent="0.35">
      <c r="B6" s="2299">
        <v>-1000</v>
      </c>
      <c r="C6" s="2299"/>
      <c r="D6" s="2299"/>
      <c r="E6" s="2299"/>
      <c r="F6" s="2299"/>
      <c r="G6" s="2299"/>
    </row>
    <row r="7" spans="1:8" x14ac:dyDescent="0.35">
      <c r="B7" s="367"/>
      <c r="C7" s="1090"/>
      <c r="D7" s="367"/>
      <c r="E7" s="367"/>
      <c r="F7" s="729"/>
      <c r="G7" s="182"/>
    </row>
    <row r="8" spans="1:8" x14ac:dyDescent="0.35">
      <c r="A8" s="1563" t="s">
        <v>3</v>
      </c>
      <c r="B8" s="729"/>
      <c r="C8" s="236" t="s">
        <v>648</v>
      </c>
      <c r="D8" s="729"/>
      <c r="E8" s="730"/>
      <c r="F8" s="729"/>
      <c r="G8" s="345"/>
      <c r="H8" s="1563" t="s">
        <v>3</v>
      </c>
    </row>
    <row r="9" spans="1:8" x14ac:dyDescent="0.35">
      <c r="A9" s="345" t="s">
        <v>25</v>
      </c>
      <c r="B9" s="729"/>
      <c r="C9" s="732" t="s">
        <v>646</v>
      </c>
      <c r="D9" s="729"/>
      <c r="E9" s="735" t="s">
        <v>135</v>
      </c>
      <c r="F9" s="729"/>
      <c r="G9" s="89" t="s">
        <v>9</v>
      </c>
      <c r="H9" s="345" t="s">
        <v>25</v>
      </c>
    </row>
    <row r="10" spans="1:8" x14ac:dyDescent="0.35">
      <c r="A10" s="345"/>
      <c r="B10" s="729"/>
      <c r="C10" s="1091"/>
      <c r="D10" s="729"/>
      <c r="E10" s="345"/>
      <c r="F10" s="729"/>
      <c r="G10" s="345"/>
      <c r="H10" s="345"/>
    </row>
    <row r="11" spans="1:8" x14ac:dyDescent="0.35">
      <c r="A11" s="236">
        <v>1</v>
      </c>
      <c r="B11" s="1089" t="s">
        <v>711</v>
      </c>
      <c r="C11" s="1090"/>
      <c r="D11" s="367"/>
      <c r="E11" s="316">
        <f>'AJ-1'!F23</f>
        <v>209143.46138751096</v>
      </c>
      <c r="F11" s="367"/>
      <c r="G11" s="1003" t="s">
        <v>1113</v>
      </c>
      <c r="H11" s="236">
        <f>A11</f>
        <v>1</v>
      </c>
    </row>
    <row r="12" spans="1:8" x14ac:dyDescent="0.35">
      <c r="A12" s="236">
        <f>A11+1</f>
        <v>2</v>
      </c>
      <c r="E12" s="317"/>
      <c r="F12" s="201"/>
      <c r="G12" s="123"/>
      <c r="H12" s="236">
        <f>H11+1</f>
        <v>2</v>
      </c>
    </row>
    <row r="13" spans="1:8" x14ac:dyDescent="0.35">
      <c r="A13" s="236">
        <f t="shared" ref="A13:A33" si="0">A12+1</f>
        <v>3</v>
      </c>
      <c r="B13" s="79" t="s">
        <v>502</v>
      </c>
      <c r="C13" s="182" t="s">
        <v>1773</v>
      </c>
      <c r="E13" s="111">
        <f>'AJ-2'!C15</f>
        <v>15043.789330000001</v>
      </c>
      <c r="F13" s="201"/>
      <c r="G13" s="123" t="s">
        <v>1114</v>
      </c>
      <c r="H13" s="236">
        <f t="shared" ref="H13:H28" si="1">H12+1</f>
        <v>3</v>
      </c>
    </row>
    <row r="14" spans="1:8" x14ac:dyDescent="0.35">
      <c r="A14" s="236">
        <f t="shared" si="0"/>
        <v>4</v>
      </c>
      <c r="C14" s="182"/>
      <c r="E14" s="317"/>
      <c r="F14" s="201"/>
      <c r="G14" s="123"/>
      <c r="H14" s="236">
        <f t="shared" si="1"/>
        <v>4</v>
      </c>
    </row>
    <row r="15" spans="1:8" x14ac:dyDescent="0.35">
      <c r="A15" s="236">
        <f t="shared" si="0"/>
        <v>5</v>
      </c>
      <c r="B15" s="79" t="s">
        <v>503</v>
      </c>
      <c r="C15" s="182" t="s">
        <v>1774</v>
      </c>
      <c r="E15" s="318">
        <f>'AJ-3'!C15</f>
        <v>22351.710289999999</v>
      </c>
      <c r="F15" s="120"/>
      <c r="G15" s="123" t="s">
        <v>1115</v>
      </c>
      <c r="H15" s="236">
        <f t="shared" si="1"/>
        <v>5</v>
      </c>
    </row>
    <row r="16" spans="1:8" x14ac:dyDescent="0.35">
      <c r="A16" s="236">
        <f t="shared" si="0"/>
        <v>6</v>
      </c>
      <c r="C16" s="182"/>
      <c r="E16" s="103"/>
      <c r="F16" s="204"/>
      <c r="G16" s="123"/>
      <c r="H16" s="236">
        <f t="shared" si="1"/>
        <v>6</v>
      </c>
    </row>
    <row r="17" spans="1:8" x14ac:dyDescent="0.35">
      <c r="A17" s="236">
        <f t="shared" si="0"/>
        <v>7</v>
      </c>
      <c r="B17" s="79" t="s">
        <v>504</v>
      </c>
      <c r="C17" s="182" t="s">
        <v>1775</v>
      </c>
      <c r="E17" s="115">
        <f>'AJ-4'!D15</f>
        <v>123877.65469889999</v>
      </c>
      <c r="F17" s="106"/>
      <c r="G17" s="123" t="s">
        <v>1116</v>
      </c>
      <c r="H17" s="236">
        <f t="shared" si="1"/>
        <v>7</v>
      </c>
    </row>
    <row r="18" spans="1:8" x14ac:dyDescent="0.35">
      <c r="A18" s="236">
        <f t="shared" si="0"/>
        <v>8</v>
      </c>
      <c r="E18" s="319"/>
      <c r="F18" s="204"/>
      <c r="G18" s="123"/>
      <c r="H18" s="236">
        <f t="shared" si="1"/>
        <v>8</v>
      </c>
    </row>
    <row r="19" spans="1:8" x14ac:dyDescent="0.35">
      <c r="A19" s="236">
        <f t="shared" si="0"/>
        <v>9</v>
      </c>
      <c r="B19" s="79" t="s">
        <v>12</v>
      </c>
      <c r="E19" s="320">
        <f>'Stmt AI'!E25</f>
        <v>0.20229837689326716</v>
      </c>
      <c r="F19" s="204"/>
      <c r="G19" s="123" t="s">
        <v>1110</v>
      </c>
      <c r="H19" s="236">
        <f t="shared" si="1"/>
        <v>9</v>
      </c>
    </row>
    <row r="20" spans="1:8" x14ac:dyDescent="0.35">
      <c r="A20" s="236">
        <f t="shared" si="0"/>
        <v>10</v>
      </c>
      <c r="E20" s="321"/>
      <c r="F20" s="204"/>
      <c r="G20" s="123"/>
      <c r="H20" s="236">
        <f t="shared" si="1"/>
        <v>10</v>
      </c>
    </row>
    <row r="21" spans="1:8" x14ac:dyDescent="0.35">
      <c r="A21" s="236">
        <f t="shared" si="0"/>
        <v>11</v>
      </c>
      <c r="B21" s="79" t="s">
        <v>505</v>
      </c>
      <c r="E21" s="322">
        <f>E13*$E$19</f>
        <v>3043.3341637832514</v>
      </c>
      <c r="F21" s="201"/>
      <c r="G21" s="123" t="s">
        <v>1117</v>
      </c>
      <c r="H21" s="236">
        <f t="shared" si="1"/>
        <v>11</v>
      </c>
    </row>
    <row r="22" spans="1:8" x14ac:dyDescent="0.35">
      <c r="A22" s="236">
        <f t="shared" si="0"/>
        <v>12</v>
      </c>
      <c r="E22" s="323"/>
      <c r="F22" s="204"/>
      <c r="G22" s="123"/>
      <c r="H22" s="236">
        <f t="shared" si="1"/>
        <v>12</v>
      </c>
    </row>
    <row r="23" spans="1:8" x14ac:dyDescent="0.35">
      <c r="A23" s="236">
        <f t="shared" si="0"/>
        <v>13</v>
      </c>
      <c r="B23" s="79" t="s">
        <v>506</v>
      </c>
      <c r="E23" s="324">
        <f>E15*$E$19</f>
        <v>4521.7147124555377</v>
      </c>
      <c r="F23" s="106"/>
      <c r="G23" s="123" t="s">
        <v>1118</v>
      </c>
      <c r="H23" s="236">
        <f t="shared" si="1"/>
        <v>13</v>
      </c>
    </row>
    <row r="24" spans="1:8" x14ac:dyDescent="0.35">
      <c r="A24" s="236">
        <f t="shared" si="0"/>
        <v>14</v>
      </c>
      <c r="B24" s="79" t="s">
        <v>10</v>
      </c>
      <c r="E24" s="211"/>
      <c r="F24" s="106"/>
      <c r="G24" s="123"/>
      <c r="H24" s="236">
        <f t="shared" si="1"/>
        <v>14</v>
      </c>
    </row>
    <row r="25" spans="1:8" x14ac:dyDescent="0.35">
      <c r="A25" s="236">
        <f t="shared" si="0"/>
        <v>15</v>
      </c>
      <c r="B25" s="79" t="s">
        <v>507</v>
      </c>
      <c r="E25" s="325">
        <f>E17*$E$19</f>
        <v>25060.248478932077</v>
      </c>
      <c r="F25" s="106"/>
      <c r="G25" s="123" t="s">
        <v>1119</v>
      </c>
      <c r="H25" s="236">
        <f t="shared" si="1"/>
        <v>15</v>
      </c>
    </row>
    <row r="26" spans="1:8" x14ac:dyDescent="0.35">
      <c r="A26" s="236">
        <f t="shared" si="0"/>
        <v>16</v>
      </c>
      <c r="E26" s="211"/>
      <c r="F26" s="106"/>
      <c r="G26" s="123"/>
      <c r="H26" s="236">
        <f t="shared" si="1"/>
        <v>16</v>
      </c>
    </row>
    <row r="27" spans="1:8" ht="16" thickBot="1" x14ac:dyDescent="0.4">
      <c r="A27" s="236">
        <f t="shared" si="0"/>
        <v>17</v>
      </c>
      <c r="B27" s="79" t="s">
        <v>917</v>
      </c>
      <c r="D27" s="215"/>
      <c r="E27" s="326">
        <f>E11+E21+E23+E25</f>
        <v>241768.75874268185</v>
      </c>
      <c r="F27" s="201"/>
      <c r="G27" s="123" t="s">
        <v>1120</v>
      </c>
      <c r="H27" s="236">
        <f t="shared" si="1"/>
        <v>17</v>
      </c>
    </row>
    <row r="28" spans="1:8" ht="16" thickTop="1" x14ac:dyDescent="0.35">
      <c r="A28" s="236">
        <f t="shared" si="0"/>
        <v>18</v>
      </c>
      <c r="D28" s="215"/>
      <c r="E28" s="215"/>
      <c r="F28" s="106"/>
      <c r="G28" s="123"/>
      <c r="H28" s="236">
        <f t="shared" si="1"/>
        <v>18</v>
      </c>
    </row>
    <row r="29" spans="1:8" ht="16" thickBot="1" x14ac:dyDescent="0.4">
      <c r="A29" s="236">
        <f>A28+1</f>
        <v>19</v>
      </c>
      <c r="B29" s="79" t="s">
        <v>508</v>
      </c>
      <c r="D29" s="215"/>
      <c r="E29" s="216">
        <f>'AJ-5'!F25</f>
        <v>0</v>
      </c>
      <c r="F29" s="106"/>
      <c r="G29" s="1003" t="s">
        <v>1121</v>
      </c>
      <c r="H29" s="236">
        <f>H28+1</f>
        <v>19</v>
      </c>
    </row>
    <row r="30" spans="1:8" ht="16" thickTop="1" x14ac:dyDescent="0.35">
      <c r="A30" s="236">
        <f t="shared" si="0"/>
        <v>20</v>
      </c>
      <c r="D30" s="215"/>
      <c r="F30" s="106"/>
      <c r="G30" s="123"/>
      <c r="H30" s="236">
        <f t="shared" ref="H30:H33" si="2">H29+1</f>
        <v>20</v>
      </c>
    </row>
    <row r="31" spans="1:8" ht="19" thickBot="1" x14ac:dyDescent="0.4">
      <c r="A31" s="236">
        <f>A30+1</f>
        <v>21</v>
      </c>
      <c r="B31" s="79" t="s">
        <v>761</v>
      </c>
      <c r="D31" s="1093"/>
      <c r="E31" s="216">
        <f>'AJ-6'!C17</f>
        <v>0</v>
      </c>
      <c r="F31" s="742"/>
      <c r="G31" s="123" t="s">
        <v>1122</v>
      </c>
      <c r="H31" s="236">
        <f>H30+1</f>
        <v>21</v>
      </c>
    </row>
    <row r="32" spans="1:8" ht="16" thickTop="1" x14ac:dyDescent="0.35">
      <c r="A32" s="236">
        <f t="shared" si="0"/>
        <v>22</v>
      </c>
      <c r="D32" s="108"/>
      <c r="E32" s="103"/>
      <c r="F32" s="106"/>
      <c r="G32" s="123"/>
      <c r="H32" s="236">
        <f t="shared" si="2"/>
        <v>22</v>
      </c>
    </row>
    <row r="33" spans="1:8" ht="16" thickBot="1" x14ac:dyDescent="0.4">
      <c r="A33" s="236">
        <f t="shared" si="0"/>
        <v>23</v>
      </c>
      <c r="B33" s="79" t="s">
        <v>509</v>
      </c>
      <c r="C33" s="1094"/>
      <c r="D33" s="1095"/>
      <c r="E33" s="216">
        <f>'AJ-7'!C17</f>
        <v>0</v>
      </c>
      <c r="F33" s="106"/>
      <c r="G33" s="123" t="s">
        <v>1123</v>
      </c>
      <c r="H33" s="236">
        <f t="shared" si="2"/>
        <v>23</v>
      </c>
    </row>
    <row r="34" spans="1:8" ht="16" thickTop="1" x14ac:dyDescent="0.35">
      <c r="A34" s="1563"/>
      <c r="B34" s="690"/>
      <c r="E34" s="317"/>
      <c r="F34" s="106"/>
      <c r="G34" s="1096"/>
    </row>
    <row r="35" spans="1:8" x14ac:dyDescent="0.35">
      <c r="A35" s="1563"/>
      <c r="B35" s="690"/>
      <c r="E35" s="317"/>
      <c r="F35" s="106"/>
      <c r="G35" s="1096"/>
    </row>
    <row r="36" spans="1:8" ht="18" x14ac:dyDescent="0.35">
      <c r="A36" s="750">
        <v>1</v>
      </c>
      <c r="B36" s="79" t="s">
        <v>713</v>
      </c>
      <c r="E36" s="215"/>
      <c r="F36" s="106"/>
      <c r="G36" s="123"/>
    </row>
    <row r="37" spans="1:8" x14ac:dyDescent="0.35">
      <c r="A37" s="1563"/>
      <c r="E37" s="215"/>
      <c r="F37" s="106"/>
      <c r="G37" s="123"/>
    </row>
    <row r="38" spans="1:8" x14ac:dyDescent="0.35">
      <c r="A38" s="1563"/>
      <c r="B38" s="1097"/>
      <c r="E38" s="103"/>
      <c r="F38" s="106"/>
      <c r="G38" s="123"/>
    </row>
    <row r="39" spans="1:8" x14ac:dyDescent="0.35">
      <c r="A39" s="1563"/>
      <c r="B39" s="88"/>
      <c r="C39" s="1094"/>
      <c r="E39" s="327"/>
      <c r="F39" s="106"/>
      <c r="G39" s="1098"/>
    </row>
    <row r="40" spans="1:8" x14ac:dyDescent="0.35">
      <c r="A40" s="1563"/>
      <c r="B40" s="1097"/>
      <c r="E40" s="199"/>
      <c r="F40" s="106"/>
      <c r="G40" s="1098"/>
    </row>
    <row r="41" spans="1:8" x14ac:dyDescent="0.35">
      <c r="A41" s="1563"/>
      <c r="F41" s="182"/>
      <c r="G41" s="123"/>
    </row>
  </sheetData>
  <mergeCells count="5">
    <mergeCell ref="B5:G5"/>
    <mergeCell ref="B2:G2"/>
    <mergeCell ref="B3:G3"/>
    <mergeCell ref="B4:G4"/>
    <mergeCell ref="B6:G6"/>
  </mergeCells>
  <printOptions horizontalCentered="1"/>
  <pageMargins left="0.5" right="0.5" top="0.5" bottom="0.5" header="0.25" footer="0.25"/>
  <pageSetup scale="60" orientation="portrait" r:id="rId1"/>
  <headerFooter scaleWithDoc="0">
    <oddFooter>&amp;C&amp;"Times New Roman,Regular"&amp;10AJ</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H28"/>
  <sheetViews>
    <sheetView zoomScale="80" zoomScaleNormal="80" workbookViewId="0"/>
  </sheetViews>
  <sheetFormatPr defaultColWidth="9.08984375" defaultRowHeight="15.5" x14ac:dyDescent="0.35"/>
  <cols>
    <col min="1" max="1" width="5.08984375" style="1563" customWidth="1"/>
    <col min="2" max="2" width="8.54296875" style="79" customWidth="1"/>
    <col min="3" max="3" width="53.08984375" style="79" customWidth="1"/>
    <col min="4" max="4" width="18.54296875" style="79" customWidth="1"/>
    <col min="5" max="5" width="27.90625" style="79" customWidth="1"/>
    <col min="6" max="6" width="18.54296875" style="79" customWidth="1"/>
    <col min="7" max="7" width="27.90625" style="79" customWidth="1"/>
    <col min="8" max="8" width="5.08984375" style="1563" customWidth="1"/>
    <col min="9" max="16384" width="9.08984375" style="79"/>
  </cols>
  <sheetData>
    <row r="2" spans="1:8" x14ac:dyDescent="0.35">
      <c r="B2" s="2289" t="s">
        <v>18</v>
      </c>
      <c r="C2" s="2289"/>
      <c r="D2" s="2289"/>
      <c r="E2" s="2289"/>
      <c r="F2" s="2289"/>
      <c r="G2" s="2289"/>
      <c r="H2" s="1561"/>
    </row>
    <row r="3" spans="1:8" x14ac:dyDescent="0.35">
      <c r="B3" s="2289" t="s">
        <v>226</v>
      </c>
      <c r="C3" s="2289"/>
      <c r="D3" s="2289"/>
      <c r="E3" s="2289"/>
      <c r="F3" s="2289"/>
      <c r="G3" s="2289"/>
      <c r="H3" s="1561"/>
    </row>
    <row r="4" spans="1:8" x14ac:dyDescent="0.35">
      <c r="B4" s="2289" t="s">
        <v>227</v>
      </c>
      <c r="C4" s="2289"/>
      <c r="D4" s="2289"/>
      <c r="E4" s="2289"/>
      <c r="F4" s="2289"/>
      <c r="G4" s="2289"/>
      <c r="H4" s="1561"/>
    </row>
    <row r="5" spans="1:8" x14ac:dyDescent="0.35">
      <c r="B5" s="2289" t="s">
        <v>1603</v>
      </c>
      <c r="C5" s="2289"/>
      <c r="D5" s="2289"/>
      <c r="E5" s="2289"/>
      <c r="F5" s="2289"/>
      <c r="G5" s="2289"/>
    </row>
    <row r="6" spans="1:8" x14ac:dyDescent="0.35">
      <c r="B6" s="2300">
        <v>-1000</v>
      </c>
      <c r="C6" s="2300"/>
      <c r="D6" s="2300"/>
      <c r="E6" s="2300"/>
      <c r="F6" s="2300"/>
      <c r="G6" s="2300"/>
    </row>
    <row r="7" spans="1:8" x14ac:dyDescent="0.35">
      <c r="B7" s="1099"/>
      <c r="C7" s="1100"/>
      <c r="D7" s="1100"/>
      <c r="E7" s="1100"/>
      <c r="F7" s="1101"/>
      <c r="G7" s="81"/>
    </row>
    <row r="8" spans="1:8" x14ac:dyDescent="0.35">
      <c r="B8" s="1102"/>
      <c r="C8" s="756"/>
      <c r="D8" s="1103" t="s">
        <v>164</v>
      </c>
      <c r="E8" s="1104"/>
      <c r="F8" s="1103"/>
      <c r="G8" s="1104"/>
    </row>
    <row r="9" spans="1:8" s="728" customFormat="1" x14ac:dyDescent="0.35">
      <c r="A9" s="1561"/>
      <c r="B9" s="799"/>
      <c r="C9" s="799"/>
      <c r="D9" s="765" t="s">
        <v>61</v>
      </c>
      <c r="E9" s="976"/>
      <c r="F9" s="761" t="s">
        <v>61</v>
      </c>
      <c r="G9" s="976"/>
      <c r="H9" s="1563"/>
    </row>
    <row r="10" spans="1:8" x14ac:dyDescent="0.35">
      <c r="A10" s="1563" t="s">
        <v>3</v>
      </c>
      <c r="B10" s="799" t="s">
        <v>73</v>
      </c>
      <c r="C10" s="799"/>
      <c r="D10" s="765" t="s">
        <v>228</v>
      </c>
      <c r="E10" s="976"/>
      <c r="F10" s="765" t="s">
        <v>228</v>
      </c>
      <c r="G10" s="976"/>
      <c r="H10" s="1563" t="s">
        <v>3</v>
      </c>
    </row>
    <row r="11" spans="1:8" ht="18" x14ac:dyDescent="0.35">
      <c r="A11" s="1563" t="s">
        <v>25</v>
      </c>
      <c r="B11" s="854" t="s">
        <v>25</v>
      </c>
      <c r="C11" s="766" t="s">
        <v>74</v>
      </c>
      <c r="D11" s="769" t="s">
        <v>36</v>
      </c>
      <c r="E11" s="1105" t="s">
        <v>9</v>
      </c>
      <c r="F11" s="769" t="s">
        <v>717</v>
      </c>
      <c r="G11" s="1105" t="s">
        <v>9</v>
      </c>
      <c r="H11" s="1563" t="s">
        <v>25</v>
      </c>
    </row>
    <row r="12" spans="1:8" x14ac:dyDescent="0.35">
      <c r="A12" s="1563">
        <v>1</v>
      </c>
      <c r="B12" s="525">
        <v>303</v>
      </c>
      <c r="C12" s="1106" t="s">
        <v>82</v>
      </c>
      <c r="D12" s="183">
        <v>0</v>
      </c>
      <c r="E12" s="909" t="s">
        <v>647</v>
      </c>
      <c r="F12" s="183">
        <v>0</v>
      </c>
      <c r="G12" s="1603" t="s">
        <v>647</v>
      </c>
      <c r="H12" s="1563">
        <f>A12</f>
        <v>1</v>
      </c>
    </row>
    <row r="13" spans="1:8" x14ac:dyDescent="0.35">
      <c r="A13" s="1563">
        <f>A12+1</f>
        <v>2</v>
      </c>
      <c r="B13" s="525">
        <v>350</v>
      </c>
      <c r="C13" s="1106" t="s">
        <v>229</v>
      </c>
      <c r="D13" s="168">
        <v>1949.5070499999999</v>
      </c>
      <c r="E13" s="173"/>
      <c r="F13" s="168">
        <v>0</v>
      </c>
      <c r="G13" s="1107"/>
      <c r="H13" s="1563">
        <f>H12+1</f>
        <v>2</v>
      </c>
    </row>
    <row r="14" spans="1:8" x14ac:dyDescent="0.35">
      <c r="A14" s="1563">
        <f t="shared" ref="A14:A24" si="0">A13+1</f>
        <v>3</v>
      </c>
      <c r="B14" s="525">
        <v>352</v>
      </c>
      <c r="C14" s="170" t="s">
        <v>103</v>
      </c>
      <c r="D14" s="168">
        <v>16490.569879999999</v>
      </c>
      <c r="E14" s="173"/>
      <c r="F14" s="168">
        <v>0</v>
      </c>
      <c r="G14" s="1107"/>
      <c r="H14" s="1563">
        <f t="shared" ref="H14:H24" si="1">H13+1</f>
        <v>3</v>
      </c>
    </row>
    <row r="15" spans="1:8" x14ac:dyDescent="0.35">
      <c r="A15" s="1563">
        <f t="shared" si="0"/>
        <v>4</v>
      </c>
      <c r="B15" s="525">
        <v>353</v>
      </c>
      <c r="C15" s="170" t="s">
        <v>88</v>
      </c>
      <c r="D15" s="168">
        <v>71852.14486</v>
      </c>
      <c r="E15" s="173"/>
      <c r="F15" s="168">
        <v>0</v>
      </c>
      <c r="G15" s="1107"/>
      <c r="H15" s="1563">
        <f t="shared" si="1"/>
        <v>4</v>
      </c>
    </row>
    <row r="16" spans="1:8" x14ac:dyDescent="0.35">
      <c r="A16" s="1563">
        <f t="shared" si="0"/>
        <v>5</v>
      </c>
      <c r="B16" s="525">
        <v>354</v>
      </c>
      <c r="C16" s="170" t="s">
        <v>89</v>
      </c>
      <c r="D16" s="168">
        <v>23245.139520000001</v>
      </c>
      <c r="E16" s="173"/>
      <c r="F16" s="168">
        <v>0</v>
      </c>
      <c r="G16" s="1107"/>
      <c r="H16" s="1563">
        <f t="shared" si="1"/>
        <v>5</v>
      </c>
    </row>
    <row r="17" spans="1:8" x14ac:dyDescent="0.35">
      <c r="A17" s="1563">
        <f t="shared" si="0"/>
        <v>6</v>
      </c>
      <c r="B17" s="525">
        <v>355</v>
      </c>
      <c r="C17" s="170" t="s">
        <v>90</v>
      </c>
      <c r="D17" s="168">
        <v>43174.292889999997</v>
      </c>
      <c r="E17" s="173"/>
      <c r="F17" s="168">
        <v>0</v>
      </c>
      <c r="G17" s="1107"/>
      <c r="H17" s="1563">
        <f t="shared" si="1"/>
        <v>6</v>
      </c>
    </row>
    <row r="18" spans="1:8" x14ac:dyDescent="0.35">
      <c r="A18" s="1563">
        <f t="shared" si="0"/>
        <v>7</v>
      </c>
      <c r="B18" s="525">
        <v>356</v>
      </c>
      <c r="C18" s="170" t="s">
        <v>230</v>
      </c>
      <c r="D18" s="168">
        <v>25014.738740000001</v>
      </c>
      <c r="E18" s="173"/>
      <c r="F18" s="168">
        <v>0</v>
      </c>
      <c r="G18" s="1107"/>
      <c r="H18" s="1563">
        <f t="shared" si="1"/>
        <v>7</v>
      </c>
    </row>
    <row r="19" spans="1:8" x14ac:dyDescent="0.35">
      <c r="A19" s="1563">
        <f t="shared" si="0"/>
        <v>8</v>
      </c>
      <c r="B19" s="525">
        <v>357</v>
      </c>
      <c r="C19" s="170" t="s">
        <v>92</v>
      </c>
      <c r="D19" s="168">
        <v>11927.205120000001</v>
      </c>
      <c r="E19" s="173"/>
      <c r="F19" s="168">
        <v>0</v>
      </c>
      <c r="G19" s="1107"/>
      <c r="H19" s="1563">
        <f t="shared" si="1"/>
        <v>8</v>
      </c>
    </row>
    <row r="20" spans="1:8" x14ac:dyDescent="0.35">
      <c r="A20" s="1563">
        <f t="shared" si="0"/>
        <v>9</v>
      </c>
      <c r="B20" s="525">
        <v>358</v>
      </c>
      <c r="C20" s="170" t="s">
        <v>231</v>
      </c>
      <c r="D20" s="168">
        <v>12121.301670000001</v>
      </c>
      <c r="E20" s="173"/>
      <c r="F20" s="168">
        <v>0</v>
      </c>
      <c r="G20" s="1107"/>
      <c r="H20" s="1563">
        <f t="shared" si="1"/>
        <v>9</v>
      </c>
    </row>
    <row r="21" spans="1:8" x14ac:dyDescent="0.35">
      <c r="A21" s="1563">
        <f t="shared" si="0"/>
        <v>10</v>
      </c>
      <c r="B21" s="855">
        <v>359</v>
      </c>
      <c r="C21" s="1108" t="s">
        <v>104</v>
      </c>
      <c r="D21" s="168">
        <v>6177.2195400000001</v>
      </c>
      <c r="E21" s="1109" t="s">
        <v>647</v>
      </c>
      <c r="F21" s="168">
        <v>0</v>
      </c>
      <c r="G21" s="858" t="s">
        <v>647</v>
      </c>
      <c r="H21" s="1563">
        <f t="shared" si="1"/>
        <v>10</v>
      </c>
    </row>
    <row r="22" spans="1:8" x14ac:dyDescent="0.35">
      <c r="A22" s="1563">
        <f t="shared" si="0"/>
        <v>11</v>
      </c>
      <c r="B22" s="756"/>
      <c r="C22" s="756"/>
      <c r="D22" s="328"/>
      <c r="E22" s="916"/>
      <c r="F22" s="328"/>
      <c r="G22" s="916"/>
      <c r="H22" s="1563">
        <f t="shared" si="1"/>
        <v>11</v>
      </c>
    </row>
    <row r="23" spans="1:8" x14ac:dyDescent="0.35">
      <c r="A23" s="1563">
        <f t="shared" si="0"/>
        <v>12</v>
      </c>
      <c r="B23" s="827"/>
      <c r="C23" s="358" t="s">
        <v>802</v>
      </c>
      <c r="D23" s="217">
        <f>'AJ-1A'!D37</f>
        <v>211952.11927</v>
      </c>
      <c r="E23" s="909" t="s">
        <v>1204</v>
      </c>
      <c r="F23" s="217">
        <f>'AJ-1A'!J37</f>
        <v>209143.46138751096</v>
      </c>
      <c r="G23" s="909" t="s">
        <v>1112</v>
      </c>
      <c r="H23" s="1563">
        <f t="shared" si="1"/>
        <v>12</v>
      </c>
    </row>
    <row r="24" spans="1:8" x14ac:dyDescent="0.35">
      <c r="A24" s="1563">
        <f t="shared" si="0"/>
        <v>13</v>
      </c>
      <c r="B24" s="1110"/>
      <c r="C24" s="781"/>
      <c r="D24" s="1111"/>
      <c r="E24" s="359"/>
      <c r="F24" s="1111"/>
      <c r="G24" s="359"/>
      <c r="H24" s="1563">
        <f t="shared" si="1"/>
        <v>13</v>
      </c>
    </row>
    <row r="27" spans="1:8" ht="18" x14ac:dyDescent="0.35">
      <c r="A27" s="1112">
        <v>1</v>
      </c>
      <c r="B27" s="1551" t="s">
        <v>926</v>
      </c>
    </row>
    <row r="28" spans="1:8" x14ac:dyDescent="0.35">
      <c r="A28" s="1560"/>
      <c r="B28" s="1551" t="s">
        <v>920</v>
      </c>
      <c r="C28" s="85"/>
      <c r="D28" s="85"/>
      <c r="E28" s="85"/>
      <c r="G28" s="1113"/>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70"/>
  <sheetViews>
    <sheetView zoomScale="80" zoomScaleNormal="80" workbookViewId="0"/>
  </sheetViews>
  <sheetFormatPr defaultColWidth="8.90625" defaultRowHeight="15.5" x14ac:dyDescent="0.35"/>
  <cols>
    <col min="1" max="1" width="5.08984375" style="1563" customWidth="1"/>
    <col min="2" max="2" width="11.08984375" style="79" customWidth="1"/>
    <col min="3" max="3" width="35.90625" style="79" customWidth="1"/>
    <col min="4" max="10" width="18.54296875" style="1128" customWidth="1"/>
    <col min="11" max="11" width="25.54296875" style="130" customWidth="1"/>
    <col min="12" max="12" width="5.08984375" style="1563" customWidth="1"/>
    <col min="13" max="13" width="12.08984375" style="79" customWidth="1"/>
    <col min="14" max="14" width="12.08984375" style="79" bestFit="1" customWidth="1"/>
    <col min="15" max="16384" width="8.90625" style="79"/>
  </cols>
  <sheetData>
    <row r="1" spans="1:12" s="88" customFormat="1" ht="15" x14ac:dyDescent="0.35">
      <c r="A1" s="1561" t="s">
        <v>10</v>
      </c>
      <c r="L1" s="1561"/>
    </row>
    <row r="2" spans="1:12" s="1558" customFormat="1" ht="15" x14ac:dyDescent="0.35">
      <c r="A2" s="1561"/>
      <c r="B2" s="2289" t="s">
        <v>18</v>
      </c>
      <c r="C2" s="2289"/>
      <c r="D2" s="2289"/>
      <c r="E2" s="2289"/>
      <c r="F2" s="2289"/>
      <c r="G2" s="2289"/>
      <c r="H2" s="2289"/>
      <c r="I2" s="2289"/>
      <c r="J2" s="2289"/>
      <c r="K2" s="2289"/>
      <c r="L2" s="1561"/>
    </row>
    <row r="3" spans="1:12" s="88" customFormat="1" ht="15" x14ac:dyDescent="0.35">
      <c r="A3" s="1561"/>
      <c r="B3" s="2289" t="s">
        <v>62</v>
      </c>
      <c r="C3" s="2289"/>
      <c r="D3" s="2289"/>
      <c r="E3" s="2289"/>
      <c r="F3" s="2289"/>
      <c r="G3" s="2289"/>
      <c r="H3" s="2289"/>
      <c r="I3" s="2289"/>
      <c r="J3" s="2289"/>
      <c r="K3" s="2289"/>
      <c r="L3" s="1561"/>
    </row>
    <row r="4" spans="1:12" ht="12.75" customHeight="1" x14ac:dyDescent="0.35">
      <c r="B4" s="2289" t="s">
        <v>232</v>
      </c>
      <c r="C4" s="2289"/>
      <c r="D4" s="2289"/>
      <c r="E4" s="2289"/>
      <c r="F4" s="2289"/>
      <c r="G4" s="2289"/>
      <c r="H4" s="2289"/>
      <c r="I4" s="2289"/>
      <c r="J4" s="2289"/>
      <c r="K4" s="2289"/>
      <c r="L4" s="1561"/>
    </row>
    <row r="5" spans="1:12" x14ac:dyDescent="0.35">
      <c r="B5" s="2281" t="s">
        <v>930</v>
      </c>
      <c r="C5" s="2281"/>
      <c r="D5" s="2281"/>
      <c r="E5" s="2281"/>
      <c r="F5" s="2281"/>
      <c r="G5" s="2281"/>
      <c r="H5" s="2281"/>
      <c r="I5" s="2281"/>
      <c r="J5" s="2281"/>
      <c r="K5" s="2281"/>
      <c r="L5" s="1561"/>
    </row>
    <row r="6" spans="1:12" x14ac:dyDescent="0.35">
      <c r="B6" s="2289" t="s">
        <v>1594</v>
      </c>
      <c r="C6" s="2289"/>
      <c r="D6" s="2289"/>
      <c r="E6" s="2289"/>
      <c r="F6" s="2289"/>
      <c r="G6" s="2289"/>
      <c r="H6" s="2289"/>
      <c r="I6" s="2289"/>
      <c r="J6" s="2289"/>
      <c r="K6" s="2289"/>
      <c r="L6" s="1561"/>
    </row>
    <row r="7" spans="1:12" x14ac:dyDescent="0.35">
      <c r="B7" s="2292" t="s">
        <v>2</v>
      </c>
      <c r="C7" s="2289"/>
      <c r="D7" s="2289"/>
      <c r="E7" s="2289"/>
      <c r="F7" s="2289"/>
      <c r="G7" s="2289"/>
      <c r="H7" s="2289"/>
      <c r="I7" s="2289"/>
      <c r="J7" s="2289"/>
      <c r="K7" s="2289"/>
      <c r="L7" s="1561"/>
    </row>
    <row r="8" spans="1:12" x14ac:dyDescent="0.35">
      <c r="C8" s="752"/>
      <c r="D8" s="753"/>
      <c r="E8" s="839" t="s">
        <v>570</v>
      </c>
      <c r="F8" s="839"/>
      <c r="G8" s="839"/>
      <c r="H8" s="839"/>
      <c r="I8" s="839"/>
      <c r="J8" s="839"/>
      <c r="K8" s="839"/>
    </row>
    <row r="9" spans="1:12" s="728" customFormat="1" ht="15" x14ac:dyDescent="0.35">
      <c r="A9" s="595"/>
      <c r="B9" s="798"/>
      <c r="C9" s="840"/>
      <c r="D9" s="841" t="s">
        <v>29</v>
      </c>
      <c r="E9" s="842" t="s">
        <v>30</v>
      </c>
      <c r="F9" s="842" t="s">
        <v>64</v>
      </c>
      <c r="G9" s="1114" t="s">
        <v>65</v>
      </c>
      <c r="H9" s="842" t="s">
        <v>66</v>
      </c>
      <c r="I9" s="842" t="s">
        <v>67</v>
      </c>
      <c r="J9" s="842" t="s">
        <v>68</v>
      </c>
      <c r="K9" s="842"/>
      <c r="L9" s="595"/>
    </row>
    <row r="10" spans="1:12" x14ac:dyDescent="0.35">
      <c r="A10" s="345"/>
      <c r="B10" s="1115"/>
      <c r="C10" s="844"/>
      <c r="D10" s="852"/>
      <c r="E10" s="846"/>
      <c r="F10" s="920"/>
      <c r="G10" s="1116"/>
      <c r="H10" s="846" t="s">
        <v>234</v>
      </c>
      <c r="I10" s="849"/>
      <c r="J10" s="846"/>
      <c r="K10" s="843"/>
      <c r="L10" s="345"/>
    </row>
    <row r="11" spans="1:12" x14ac:dyDescent="0.35">
      <c r="A11" s="345"/>
      <c r="B11" s="1115"/>
      <c r="C11" s="844"/>
      <c r="D11" s="852" t="s">
        <v>31</v>
      </c>
      <c r="E11" s="846" t="s">
        <v>57</v>
      </c>
      <c r="F11" s="920" t="s">
        <v>61</v>
      </c>
      <c r="G11" s="1116" t="s">
        <v>61</v>
      </c>
      <c r="H11" s="846" t="s">
        <v>61</v>
      </c>
      <c r="I11" s="849" t="s">
        <v>235</v>
      </c>
      <c r="J11" s="846" t="s">
        <v>237</v>
      </c>
      <c r="K11" s="525"/>
      <c r="L11" s="345"/>
    </row>
    <row r="12" spans="1:12" x14ac:dyDescent="0.35">
      <c r="A12" s="345"/>
      <c r="B12" s="921"/>
      <c r="C12" s="170"/>
      <c r="D12" s="852" t="s">
        <v>61</v>
      </c>
      <c r="E12" s="1117" t="s">
        <v>236</v>
      </c>
      <c r="F12" s="1117" t="s">
        <v>236</v>
      </c>
      <c r="G12" s="847" t="s">
        <v>236</v>
      </c>
      <c r="H12" s="846" t="s">
        <v>228</v>
      </c>
      <c r="I12" s="928" t="s">
        <v>35</v>
      </c>
      <c r="J12" s="1117" t="s">
        <v>228</v>
      </c>
      <c r="K12" s="799"/>
      <c r="L12" s="345"/>
    </row>
    <row r="13" spans="1:12" ht="18" x14ac:dyDescent="0.35">
      <c r="A13" s="345" t="s">
        <v>3</v>
      </c>
      <c r="B13" s="891"/>
      <c r="C13" s="827"/>
      <c r="D13" s="1118" t="s">
        <v>238</v>
      </c>
      <c r="E13" s="1117" t="s">
        <v>239</v>
      </c>
      <c r="F13" s="1117" t="s">
        <v>239</v>
      </c>
      <c r="G13" s="870" t="s">
        <v>239</v>
      </c>
      <c r="H13" s="1119" t="s">
        <v>243</v>
      </c>
      <c r="I13" s="1120" t="s">
        <v>240</v>
      </c>
      <c r="J13" s="1121" t="s">
        <v>805</v>
      </c>
      <c r="K13" s="799"/>
      <c r="L13" s="345" t="s">
        <v>3</v>
      </c>
    </row>
    <row r="14" spans="1:12" ht="18" x14ac:dyDescent="0.35">
      <c r="A14" s="345" t="s">
        <v>25</v>
      </c>
      <c r="B14" s="872" t="s">
        <v>73</v>
      </c>
      <c r="C14" s="766" t="s">
        <v>74</v>
      </c>
      <c r="D14" s="769" t="s">
        <v>803</v>
      </c>
      <c r="E14" s="857" t="s">
        <v>76</v>
      </c>
      <c r="F14" s="857" t="s">
        <v>241</v>
      </c>
      <c r="G14" s="1122" t="s">
        <v>242</v>
      </c>
      <c r="H14" s="766" t="s">
        <v>244</v>
      </c>
      <c r="I14" s="1123" t="s">
        <v>804</v>
      </c>
      <c r="J14" s="766" t="s">
        <v>797</v>
      </c>
      <c r="K14" s="766" t="s">
        <v>9</v>
      </c>
      <c r="L14" s="345" t="s">
        <v>25</v>
      </c>
    </row>
    <row r="15" spans="1:12" x14ac:dyDescent="0.35">
      <c r="A15" s="345"/>
      <c r="B15" s="170"/>
      <c r="C15" s="170" t="s">
        <v>81</v>
      </c>
      <c r="D15" s="169"/>
      <c r="E15" s="170"/>
      <c r="F15" s="170"/>
      <c r="G15" s="171"/>
      <c r="H15" s="170"/>
      <c r="I15" s="170"/>
      <c r="J15" s="170"/>
      <c r="K15" s="525"/>
      <c r="L15" s="345"/>
    </row>
    <row r="16" spans="1:12" x14ac:dyDescent="0.35">
      <c r="A16" s="345">
        <v>1</v>
      </c>
      <c r="B16" s="860">
        <v>182</v>
      </c>
      <c r="C16" s="170" t="s">
        <v>245</v>
      </c>
      <c r="D16" s="330">
        <v>0</v>
      </c>
      <c r="E16" s="330">
        <v>0</v>
      </c>
      <c r="F16" s="330">
        <v>0</v>
      </c>
      <c r="G16" s="330">
        <v>0</v>
      </c>
      <c r="H16" s="165">
        <f>SUM(D16:G16)</f>
        <v>0</v>
      </c>
      <c r="I16" s="330">
        <v>0</v>
      </c>
      <c r="J16" s="165">
        <f t="shared" ref="J16:J21" si="0">+H16+I16</f>
        <v>0</v>
      </c>
      <c r="K16" s="525" t="s">
        <v>647</v>
      </c>
      <c r="L16" s="345">
        <f>A16</f>
        <v>1</v>
      </c>
    </row>
    <row r="17" spans="1:14" x14ac:dyDescent="0.35">
      <c r="A17" s="345">
        <f t="shared" ref="A17:A37" si="1">A16+1</f>
        <v>2</v>
      </c>
      <c r="B17" s="860">
        <v>186</v>
      </c>
      <c r="C17" s="170" t="s">
        <v>246</v>
      </c>
      <c r="D17" s="332">
        <v>0</v>
      </c>
      <c r="E17" s="333">
        <v>0</v>
      </c>
      <c r="F17" s="333">
        <v>0</v>
      </c>
      <c r="G17" s="333">
        <v>0</v>
      </c>
      <c r="H17" s="167">
        <f>SUM(D17:G17)</f>
        <v>0</v>
      </c>
      <c r="I17" s="333">
        <v>15.744</v>
      </c>
      <c r="J17" s="167">
        <f t="shared" si="0"/>
        <v>15.744</v>
      </c>
      <c r="K17" s="525" t="s">
        <v>647</v>
      </c>
      <c r="L17" s="345">
        <f t="shared" ref="L17:L37" si="2">L16+1</f>
        <v>2</v>
      </c>
    </row>
    <row r="18" spans="1:14" x14ac:dyDescent="0.35">
      <c r="A18" s="345">
        <f t="shared" si="1"/>
        <v>3</v>
      </c>
      <c r="B18" s="860">
        <v>303</v>
      </c>
      <c r="C18" s="170" t="s">
        <v>82</v>
      </c>
      <c r="D18" s="332">
        <v>0</v>
      </c>
      <c r="E18" s="333">
        <v>0</v>
      </c>
      <c r="F18" s="333">
        <v>0</v>
      </c>
      <c r="G18" s="333">
        <v>0</v>
      </c>
      <c r="H18" s="1741">
        <f t="shared" ref="H18:H21" si="3">SUM(D18:G18)</f>
        <v>0</v>
      </c>
      <c r="I18" s="333">
        <v>0</v>
      </c>
      <c r="J18" s="167">
        <f t="shared" si="0"/>
        <v>0</v>
      </c>
      <c r="K18" s="525" t="s">
        <v>647</v>
      </c>
      <c r="L18" s="345">
        <f t="shared" si="2"/>
        <v>3</v>
      </c>
    </row>
    <row r="19" spans="1:14" x14ac:dyDescent="0.35">
      <c r="A19" s="345">
        <f t="shared" si="1"/>
        <v>4</v>
      </c>
      <c r="B19" s="860">
        <v>360</v>
      </c>
      <c r="C19" s="861" t="s">
        <v>102</v>
      </c>
      <c r="D19" s="332">
        <v>0</v>
      </c>
      <c r="E19" s="333">
        <v>0.61314000000000002</v>
      </c>
      <c r="F19" s="333">
        <v>0</v>
      </c>
      <c r="G19" s="333">
        <v>0</v>
      </c>
      <c r="H19" s="1741">
        <f t="shared" si="3"/>
        <v>0.61314000000000002</v>
      </c>
      <c r="I19" s="333">
        <v>0</v>
      </c>
      <c r="J19" s="167">
        <f t="shared" si="0"/>
        <v>0.61314000000000002</v>
      </c>
      <c r="K19" s="525" t="s">
        <v>647</v>
      </c>
      <c r="L19" s="345">
        <f t="shared" si="2"/>
        <v>4</v>
      </c>
    </row>
    <row r="20" spans="1:14" x14ac:dyDescent="0.35">
      <c r="A20" s="345">
        <f t="shared" si="1"/>
        <v>5</v>
      </c>
      <c r="B20" s="860">
        <v>361</v>
      </c>
      <c r="C20" s="170" t="s">
        <v>85</v>
      </c>
      <c r="D20" s="332">
        <v>0</v>
      </c>
      <c r="E20" s="333">
        <v>54.078834999999998</v>
      </c>
      <c r="F20" s="333">
        <v>0</v>
      </c>
      <c r="G20" s="333">
        <v>0</v>
      </c>
      <c r="H20" s="1741">
        <f t="shared" si="3"/>
        <v>54.078834999999998</v>
      </c>
      <c r="I20" s="333">
        <v>0</v>
      </c>
      <c r="J20" s="167">
        <f t="shared" si="0"/>
        <v>54.078834999999998</v>
      </c>
      <c r="K20" s="525" t="s">
        <v>647</v>
      </c>
      <c r="L20" s="345">
        <f t="shared" si="2"/>
        <v>5</v>
      </c>
    </row>
    <row r="21" spans="1:14" x14ac:dyDescent="0.35">
      <c r="A21" s="345">
        <f t="shared" si="1"/>
        <v>6</v>
      </c>
      <c r="B21" s="860">
        <v>362</v>
      </c>
      <c r="C21" s="170" t="s">
        <v>88</v>
      </c>
      <c r="D21" s="332">
        <v>0</v>
      </c>
      <c r="E21" s="333">
        <v>0</v>
      </c>
      <c r="F21" s="333">
        <v>0</v>
      </c>
      <c r="G21" s="333">
        <v>0</v>
      </c>
      <c r="H21" s="1741">
        <f t="shared" si="3"/>
        <v>0</v>
      </c>
      <c r="I21" s="333">
        <v>0</v>
      </c>
      <c r="J21" s="167">
        <f t="shared" si="0"/>
        <v>0</v>
      </c>
      <c r="K21" s="525" t="s">
        <v>647</v>
      </c>
      <c r="L21" s="345">
        <f t="shared" si="2"/>
        <v>6</v>
      </c>
    </row>
    <row r="22" spans="1:14" x14ac:dyDescent="0.35">
      <c r="A22" s="345">
        <f t="shared" si="1"/>
        <v>7</v>
      </c>
      <c r="B22" s="525"/>
      <c r="C22" s="170"/>
      <c r="D22" s="334"/>
      <c r="E22" s="335"/>
      <c r="F22" s="172"/>
      <c r="G22" s="171"/>
      <c r="H22" s="170"/>
      <c r="I22" s="170"/>
      <c r="J22" s="170"/>
      <c r="K22" s="525"/>
      <c r="L22" s="345">
        <f t="shared" si="2"/>
        <v>7</v>
      </c>
    </row>
    <row r="23" spans="1:14" s="88" customFormat="1" x14ac:dyDescent="0.35">
      <c r="A23" s="345">
        <f t="shared" si="1"/>
        <v>8</v>
      </c>
      <c r="B23" s="862" t="s">
        <v>86</v>
      </c>
      <c r="C23" s="863" t="s">
        <v>87</v>
      </c>
      <c r="D23" s="634">
        <f t="shared" ref="D23:I23" si="4">SUM(D16:D22)</f>
        <v>0</v>
      </c>
      <c r="E23" s="634">
        <f t="shared" si="4"/>
        <v>54.691974999999999</v>
      </c>
      <c r="F23" s="632">
        <f t="shared" si="4"/>
        <v>0</v>
      </c>
      <c r="G23" s="633">
        <f t="shared" si="4"/>
        <v>0</v>
      </c>
      <c r="H23" s="632">
        <f t="shared" si="4"/>
        <v>54.691974999999999</v>
      </c>
      <c r="I23" s="632">
        <f t="shared" si="4"/>
        <v>15.744</v>
      </c>
      <c r="J23" s="632">
        <f>SUM(J16:J22)</f>
        <v>70.435974999999999</v>
      </c>
      <c r="K23" s="876" t="s">
        <v>1160</v>
      </c>
      <c r="L23" s="345">
        <f t="shared" si="2"/>
        <v>8</v>
      </c>
    </row>
    <row r="24" spans="1:14" x14ac:dyDescent="0.35">
      <c r="A24" s="345">
        <f t="shared" si="1"/>
        <v>9</v>
      </c>
      <c r="B24" s="525"/>
      <c r="C24" s="170"/>
      <c r="D24" s="337"/>
      <c r="E24" s="338"/>
      <c r="F24" s="173"/>
      <c r="G24" s="168"/>
      <c r="H24" s="168"/>
      <c r="I24" s="339"/>
      <c r="J24" s="170"/>
      <c r="K24" s="525"/>
      <c r="L24" s="345">
        <f t="shared" si="2"/>
        <v>9</v>
      </c>
      <c r="N24" s="1124"/>
    </row>
    <row r="25" spans="1:14" x14ac:dyDescent="0.35">
      <c r="A25" s="345">
        <f t="shared" si="1"/>
        <v>10</v>
      </c>
      <c r="B25" s="860">
        <v>350</v>
      </c>
      <c r="C25" s="170" t="s">
        <v>84</v>
      </c>
      <c r="D25" s="330">
        <v>1949.5070499999999</v>
      </c>
      <c r="E25" s="445"/>
      <c r="F25" s="445"/>
      <c r="G25" s="445">
        <v>-11.572471504000001</v>
      </c>
      <c r="H25" s="165">
        <f>SUM(D25:G25)</f>
        <v>1937.9345784959999</v>
      </c>
      <c r="I25" s="445">
        <v>0</v>
      </c>
      <c r="J25" s="165">
        <f t="shared" ref="J25:J33" si="5">H25+I25</f>
        <v>1937.9345784959999</v>
      </c>
      <c r="K25" s="525" t="s">
        <v>647</v>
      </c>
      <c r="L25" s="345">
        <f t="shared" si="2"/>
        <v>10</v>
      </c>
    </row>
    <row r="26" spans="1:14" x14ac:dyDescent="0.35">
      <c r="A26" s="345">
        <f t="shared" si="1"/>
        <v>11</v>
      </c>
      <c r="B26" s="860">
        <v>352</v>
      </c>
      <c r="C26" s="170" t="s">
        <v>85</v>
      </c>
      <c r="D26" s="1760">
        <v>16490.569879999999</v>
      </c>
      <c r="E26" s="333"/>
      <c r="F26" s="1761">
        <v>-45.466569999999997</v>
      </c>
      <c r="G26" s="1761">
        <v>-2233.5156559850002</v>
      </c>
      <c r="H26" s="1741">
        <f>SUM(D26:G26)</f>
        <v>14211.587654014998</v>
      </c>
      <c r="I26" s="333">
        <v>0</v>
      </c>
      <c r="J26" s="173">
        <f t="shared" si="5"/>
        <v>14211.587654014998</v>
      </c>
      <c r="K26" s="525" t="s">
        <v>647</v>
      </c>
      <c r="L26" s="345">
        <f t="shared" si="2"/>
        <v>11</v>
      </c>
      <c r="M26" s="1125"/>
    </row>
    <row r="27" spans="1:14" x14ac:dyDescent="0.35">
      <c r="A27" s="345">
        <f t="shared" si="1"/>
        <v>12</v>
      </c>
      <c r="B27" s="860">
        <v>353</v>
      </c>
      <c r="C27" s="170" t="s">
        <v>88</v>
      </c>
      <c r="D27" s="1760">
        <v>71852.14486</v>
      </c>
      <c r="E27" s="333"/>
      <c r="F27" s="1761">
        <v>-468.49180000000001</v>
      </c>
      <c r="G27" s="1761">
        <v>-83.380219999999994</v>
      </c>
      <c r="H27" s="1741">
        <f t="shared" ref="H27:H33" si="6">SUM(D27:G27)</f>
        <v>71300.272839999991</v>
      </c>
      <c r="I27" s="333">
        <v>0</v>
      </c>
      <c r="J27" s="173">
        <f t="shared" si="5"/>
        <v>71300.272839999991</v>
      </c>
      <c r="K27" s="525" t="s">
        <v>647</v>
      </c>
      <c r="L27" s="345">
        <f t="shared" si="2"/>
        <v>12</v>
      </c>
      <c r="M27" s="1126"/>
    </row>
    <row r="28" spans="1:14" x14ac:dyDescent="0.35">
      <c r="A28" s="345">
        <f t="shared" si="1"/>
        <v>13</v>
      </c>
      <c r="B28" s="860">
        <v>354</v>
      </c>
      <c r="C28" s="170" t="s">
        <v>89</v>
      </c>
      <c r="D28" s="1760">
        <v>23245.139520000001</v>
      </c>
      <c r="E28" s="333"/>
      <c r="F28" s="333"/>
      <c r="G28" s="333">
        <v>0</v>
      </c>
      <c r="H28" s="1741">
        <f t="shared" si="6"/>
        <v>23245.139520000001</v>
      </c>
      <c r="I28" s="333">
        <v>0</v>
      </c>
      <c r="J28" s="173">
        <f t="shared" si="5"/>
        <v>23245.139520000001</v>
      </c>
      <c r="K28" s="525" t="s">
        <v>647</v>
      </c>
      <c r="L28" s="345">
        <f t="shared" si="2"/>
        <v>13</v>
      </c>
    </row>
    <row r="29" spans="1:14" x14ac:dyDescent="0.35">
      <c r="A29" s="345">
        <f t="shared" si="1"/>
        <v>14</v>
      </c>
      <c r="B29" s="860">
        <v>355</v>
      </c>
      <c r="C29" s="170" t="s">
        <v>90</v>
      </c>
      <c r="D29" s="1760">
        <v>43174.292889999997</v>
      </c>
      <c r="E29" s="333"/>
      <c r="F29" s="333"/>
      <c r="G29" s="333">
        <v>0</v>
      </c>
      <c r="H29" s="1741">
        <f t="shared" si="6"/>
        <v>43174.292889999997</v>
      </c>
      <c r="I29" s="333">
        <v>0</v>
      </c>
      <c r="J29" s="173">
        <f t="shared" si="5"/>
        <v>43174.292889999997</v>
      </c>
      <c r="K29" s="525" t="s">
        <v>647</v>
      </c>
      <c r="L29" s="345">
        <f t="shared" si="2"/>
        <v>14</v>
      </c>
    </row>
    <row r="30" spans="1:14" x14ac:dyDescent="0.35">
      <c r="A30" s="345">
        <f t="shared" si="1"/>
        <v>15</v>
      </c>
      <c r="B30" s="860">
        <v>356</v>
      </c>
      <c r="C30" s="170" t="s">
        <v>91</v>
      </c>
      <c r="D30" s="1760">
        <v>25014.738740000001</v>
      </c>
      <c r="E30" s="333"/>
      <c r="F30" s="333"/>
      <c r="G30" s="333">
        <v>0</v>
      </c>
      <c r="H30" s="1741">
        <f t="shared" si="6"/>
        <v>25014.738740000001</v>
      </c>
      <c r="I30" s="333">
        <v>0</v>
      </c>
      <c r="J30" s="173">
        <f t="shared" si="5"/>
        <v>25014.738740000001</v>
      </c>
      <c r="K30" s="525" t="s">
        <v>647</v>
      </c>
      <c r="L30" s="345">
        <f t="shared" si="2"/>
        <v>15</v>
      </c>
    </row>
    <row r="31" spans="1:14" x14ac:dyDescent="0.35">
      <c r="A31" s="345">
        <f t="shared" si="1"/>
        <v>16</v>
      </c>
      <c r="B31" s="860">
        <v>357</v>
      </c>
      <c r="C31" s="170" t="s">
        <v>92</v>
      </c>
      <c r="D31" s="1760">
        <v>11927.205120000001</v>
      </c>
      <c r="E31" s="333"/>
      <c r="F31" s="333"/>
      <c r="G31" s="333">
        <v>0</v>
      </c>
      <c r="H31" s="1741">
        <f t="shared" si="6"/>
        <v>11927.205120000001</v>
      </c>
      <c r="I31" s="333">
        <v>0</v>
      </c>
      <c r="J31" s="173">
        <f t="shared" si="5"/>
        <v>11927.205120000001</v>
      </c>
      <c r="K31" s="525" t="s">
        <v>647</v>
      </c>
      <c r="L31" s="345">
        <f t="shared" si="2"/>
        <v>16</v>
      </c>
    </row>
    <row r="32" spans="1:14" x14ac:dyDescent="0.35">
      <c r="A32" s="345">
        <f t="shared" si="1"/>
        <v>17</v>
      </c>
      <c r="B32" s="860">
        <v>358</v>
      </c>
      <c r="C32" s="170" t="s">
        <v>93</v>
      </c>
      <c r="D32" s="1760">
        <v>12121.301670000001</v>
      </c>
      <c r="E32" s="333"/>
      <c r="F32" s="1761">
        <v>-36.667140000000003</v>
      </c>
      <c r="G32" s="333">
        <v>0</v>
      </c>
      <c r="H32" s="1741">
        <f t="shared" si="6"/>
        <v>12084.634530000001</v>
      </c>
      <c r="I32" s="333">
        <v>0</v>
      </c>
      <c r="J32" s="173">
        <f t="shared" si="5"/>
        <v>12084.634530000001</v>
      </c>
      <c r="K32" s="525" t="s">
        <v>647</v>
      </c>
      <c r="L32" s="345">
        <f t="shared" si="2"/>
        <v>17</v>
      </c>
    </row>
    <row r="33" spans="1:14" x14ac:dyDescent="0.35">
      <c r="A33" s="345">
        <f t="shared" si="1"/>
        <v>18</v>
      </c>
      <c r="B33" s="860">
        <v>359</v>
      </c>
      <c r="C33" s="170" t="s">
        <v>94</v>
      </c>
      <c r="D33" s="1760">
        <v>6177.2195400000001</v>
      </c>
      <c r="E33" s="333"/>
      <c r="F33" s="333"/>
      <c r="G33" s="333">
        <v>0</v>
      </c>
      <c r="H33" s="1741">
        <f t="shared" si="6"/>
        <v>6177.2195400000001</v>
      </c>
      <c r="I33" s="333">
        <v>0</v>
      </c>
      <c r="J33" s="173">
        <f t="shared" si="5"/>
        <v>6177.2195400000001</v>
      </c>
      <c r="K33" s="525" t="s">
        <v>647</v>
      </c>
      <c r="L33" s="345">
        <f t="shared" si="2"/>
        <v>18</v>
      </c>
    </row>
    <row r="34" spans="1:14" x14ac:dyDescent="0.35">
      <c r="A34" s="345">
        <f t="shared" si="1"/>
        <v>19</v>
      </c>
      <c r="B34" s="923"/>
      <c r="C34" s="170"/>
      <c r="D34" s="172" t="s">
        <v>10</v>
      </c>
      <c r="E34" s="340"/>
      <c r="F34" s="340"/>
      <c r="G34" s="126"/>
      <c r="H34" s="340"/>
      <c r="I34" s="340"/>
      <c r="J34" s="340"/>
      <c r="K34" s="860"/>
      <c r="L34" s="345">
        <f t="shared" si="2"/>
        <v>19</v>
      </c>
    </row>
    <row r="35" spans="1:14" x14ac:dyDescent="0.35">
      <c r="A35" s="345">
        <f t="shared" si="1"/>
        <v>20</v>
      </c>
      <c r="B35" s="864" t="s">
        <v>86</v>
      </c>
      <c r="C35" s="863" t="s">
        <v>59</v>
      </c>
      <c r="D35" s="632">
        <f t="shared" ref="D35:J35" si="7">SUM(D25:D34)</f>
        <v>211952.11927</v>
      </c>
      <c r="E35" s="632">
        <f t="shared" si="7"/>
        <v>0</v>
      </c>
      <c r="F35" s="632">
        <f t="shared" si="7"/>
        <v>-550.62551000000008</v>
      </c>
      <c r="G35" s="633">
        <f t="shared" si="7"/>
        <v>-2328.4683474890003</v>
      </c>
      <c r="H35" s="632">
        <f t="shared" si="7"/>
        <v>209073.02541251096</v>
      </c>
      <c r="I35" s="632">
        <f t="shared" si="7"/>
        <v>0</v>
      </c>
      <c r="J35" s="632">
        <f t="shared" si="7"/>
        <v>209073.02541251096</v>
      </c>
      <c r="K35" s="924" t="s">
        <v>1161</v>
      </c>
      <c r="L35" s="345">
        <f t="shared" si="2"/>
        <v>20</v>
      </c>
    </row>
    <row r="36" spans="1:14" x14ac:dyDescent="0.35">
      <c r="A36" s="345">
        <f t="shared" si="1"/>
        <v>21</v>
      </c>
      <c r="B36" s="921"/>
      <c r="C36" s="81"/>
      <c r="D36" s="84"/>
      <c r="E36" s="126"/>
      <c r="F36" s="126"/>
      <c r="G36" s="126"/>
      <c r="H36" s="126"/>
      <c r="I36" s="126"/>
      <c r="J36" s="126"/>
      <c r="K36" s="1127"/>
      <c r="L36" s="345">
        <f t="shared" si="2"/>
        <v>21</v>
      </c>
    </row>
    <row r="37" spans="1:14" x14ac:dyDescent="0.35">
      <c r="A37" s="345">
        <f t="shared" si="1"/>
        <v>22</v>
      </c>
      <c r="B37" s="925" t="s">
        <v>95</v>
      </c>
      <c r="C37" s="867"/>
      <c r="D37" s="178">
        <f t="shared" ref="D37:J37" si="8">D35+D23</f>
        <v>211952.11927</v>
      </c>
      <c r="E37" s="178">
        <f t="shared" si="8"/>
        <v>54.691974999999999</v>
      </c>
      <c r="F37" s="178">
        <f t="shared" si="8"/>
        <v>-550.62551000000008</v>
      </c>
      <c r="G37" s="180">
        <f t="shared" si="8"/>
        <v>-2328.4683474890003</v>
      </c>
      <c r="H37" s="178">
        <f t="shared" si="8"/>
        <v>209127.71738751096</v>
      </c>
      <c r="I37" s="178">
        <f t="shared" si="8"/>
        <v>15.744</v>
      </c>
      <c r="J37" s="178">
        <f t="shared" si="8"/>
        <v>209143.46138751096</v>
      </c>
      <c r="K37" s="876" t="s">
        <v>1162</v>
      </c>
      <c r="L37" s="345">
        <f t="shared" si="2"/>
        <v>22</v>
      </c>
    </row>
    <row r="38" spans="1:14" x14ac:dyDescent="0.35">
      <c r="D38" s="79"/>
      <c r="E38" s="130"/>
      <c r="F38" s="130"/>
      <c r="G38" s="130"/>
      <c r="H38" s="130"/>
      <c r="I38" s="130"/>
      <c r="J38" s="130"/>
    </row>
    <row r="39" spans="1:14" x14ac:dyDescent="0.35">
      <c r="D39" s="79"/>
      <c r="E39" s="130"/>
      <c r="F39" s="130"/>
      <c r="G39" s="130"/>
      <c r="H39" s="130"/>
      <c r="I39" s="130"/>
      <c r="J39" s="130"/>
    </row>
    <row r="40" spans="1:14" x14ac:dyDescent="0.35">
      <c r="A40" s="1725"/>
      <c r="B40" s="1724" t="s">
        <v>918</v>
      </c>
      <c r="C40" s="1724"/>
      <c r="D40" s="1762"/>
      <c r="E40" s="1763"/>
      <c r="F40" s="1763"/>
      <c r="G40" s="1763"/>
      <c r="H40" s="1763"/>
      <c r="I40" s="1763"/>
      <c r="J40" s="1763"/>
      <c r="K40" s="1763"/>
      <c r="L40" s="1725"/>
      <c r="M40" s="1724"/>
    </row>
    <row r="41" spans="1:14" x14ac:dyDescent="0.35">
      <c r="A41" s="1725"/>
      <c r="B41" s="1724"/>
      <c r="C41" s="1724"/>
      <c r="D41" s="1724"/>
      <c r="E41" s="1764"/>
      <c r="F41" s="1764"/>
      <c r="G41" s="1764"/>
      <c r="H41" s="1764"/>
      <c r="I41" s="1764"/>
      <c r="J41" s="1764"/>
      <c r="K41" s="1763"/>
      <c r="L41" s="1725"/>
      <c r="M41" s="1724"/>
    </row>
    <row r="42" spans="1:14" ht="18" x14ac:dyDescent="0.35">
      <c r="A42" s="1112">
        <v>1</v>
      </c>
      <c r="B42" s="85" t="s">
        <v>1776</v>
      </c>
      <c r="C42" s="85"/>
      <c r="D42" s="85"/>
      <c r="E42" s="1129"/>
      <c r="F42" s="1129"/>
      <c r="G42" s="1129"/>
      <c r="H42" s="1129"/>
      <c r="I42" s="1129"/>
      <c r="J42" s="1129"/>
      <c r="K42" s="1130"/>
      <c r="L42" s="694"/>
      <c r="M42" s="85"/>
      <c r="N42" s="85"/>
    </row>
    <row r="43" spans="1:14" ht="18" x14ac:dyDescent="0.35">
      <c r="A43" s="1112">
        <v>2</v>
      </c>
      <c r="B43" s="85" t="s">
        <v>995</v>
      </c>
      <c r="C43" s="85"/>
      <c r="D43" s="85"/>
      <c r="E43" s="1129"/>
      <c r="F43" s="1129"/>
      <c r="G43" s="1129"/>
      <c r="H43" s="1129"/>
      <c r="I43" s="1129"/>
      <c r="J43" s="1129"/>
      <c r="K43" s="1130"/>
      <c r="L43" s="694"/>
      <c r="M43" s="85"/>
      <c r="N43" s="85"/>
    </row>
    <row r="44" spans="1:14" s="1128" customFormat="1" x14ac:dyDescent="0.35">
      <c r="A44" s="1725"/>
      <c r="B44" s="85" t="s">
        <v>1820</v>
      </c>
      <c r="C44" s="85"/>
      <c r="D44" s="85"/>
      <c r="E44" s="1129"/>
      <c r="F44" s="1129"/>
      <c r="G44" s="1129"/>
      <c r="H44" s="1129"/>
      <c r="I44" s="1129"/>
      <c r="J44" s="1129"/>
      <c r="K44" s="1130"/>
      <c r="L44" s="694"/>
      <c r="M44" s="85"/>
      <c r="N44" s="85"/>
    </row>
    <row r="45" spans="1:14" s="1128" customFormat="1" ht="18" x14ac:dyDescent="0.35">
      <c r="A45" s="1112">
        <v>3</v>
      </c>
      <c r="B45" s="85" t="s">
        <v>1777</v>
      </c>
      <c r="C45" s="85"/>
      <c r="D45" s="85"/>
      <c r="E45" s="1129"/>
      <c r="F45" s="1129"/>
      <c r="G45" s="1131"/>
      <c r="H45" s="1129"/>
      <c r="I45" s="1129"/>
      <c r="J45" s="1129"/>
      <c r="K45" s="1130"/>
      <c r="L45" s="694"/>
      <c r="M45" s="85"/>
      <c r="N45" s="85"/>
    </row>
    <row r="46" spans="1:14" s="1128" customFormat="1" x14ac:dyDescent="0.35">
      <c r="A46" s="1725"/>
      <c r="B46" s="85" t="s">
        <v>825</v>
      </c>
      <c r="C46" s="85"/>
      <c r="D46" s="85"/>
      <c r="E46" s="1129"/>
      <c r="F46" s="1129"/>
      <c r="G46" s="1129"/>
      <c r="H46" s="1129"/>
      <c r="I46" s="1129"/>
      <c r="J46" s="1129"/>
      <c r="K46" s="1130"/>
      <c r="L46" s="694"/>
      <c r="M46" s="85"/>
      <c r="N46" s="85"/>
    </row>
    <row r="47" spans="1:14" s="1128" customFormat="1" x14ac:dyDescent="0.35">
      <c r="A47" s="1725"/>
      <c r="B47" s="85" t="s">
        <v>824</v>
      </c>
      <c r="C47" s="85"/>
      <c r="D47" s="85"/>
      <c r="E47" s="1129"/>
      <c r="F47" s="1129"/>
      <c r="G47" s="1129"/>
      <c r="H47" s="1129"/>
      <c r="I47" s="1129"/>
      <c r="J47" s="1129"/>
      <c r="K47" s="1130"/>
      <c r="L47" s="694"/>
      <c r="M47" s="85"/>
      <c r="N47" s="85"/>
    </row>
    <row r="48" spans="1:14" s="1128" customFormat="1" x14ac:dyDescent="0.35">
      <c r="A48" s="1563"/>
      <c r="B48" s="79"/>
      <c r="C48" s="79"/>
      <c r="D48" s="79"/>
      <c r="K48" s="130"/>
      <c r="L48" s="1563"/>
      <c r="M48" s="79"/>
      <c r="N48" s="79"/>
    </row>
    <row r="49" spans="1:14" s="1128" customFormat="1" x14ac:dyDescent="0.35">
      <c r="A49" s="1563"/>
      <c r="B49" s="79"/>
      <c r="C49" s="79"/>
      <c r="D49" s="79"/>
      <c r="K49" s="130"/>
      <c r="L49" s="1563"/>
      <c r="M49" s="79"/>
      <c r="N49" s="79"/>
    </row>
    <row r="50" spans="1:14" s="1128" customFormat="1" x14ac:dyDescent="0.35">
      <c r="A50" s="1563"/>
      <c r="B50" s="79"/>
      <c r="C50" s="79"/>
      <c r="D50" s="79"/>
      <c r="K50" s="130"/>
      <c r="L50" s="1563"/>
      <c r="M50" s="79"/>
      <c r="N50" s="79"/>
    </row>
    <row r="51" spans="1:14" s="1128" customFormat="1" x14ac:dyDescent="0.35">
      <c r="A51" s="1563"/>
      <c r="B51" s="79"/>
      <c r="C51" s="79"/>
      <c r="D51" s="79"/>
      <c r="K51" s="130"/>
      <c r="L51" s="1563"/>
      <c r="M51" s="79"/>
      <c r="N51" s="79"/>
    </row>
    <row r="52" spans="1:14" s="1128" customFormat="1" x14ac:dyDescent="0.35">
      <c r="A52" s="1563"/>
      <c r="B52" s="79"/>
      <c r="C52" s="79"/>
      <c r="D52" s="79"/>
      <c r="K52" s="130"/>
      <c r="L52" s="1563"/>
      <c r="M52" s="79"/>
      <c r="N52" s="79"/>
    </row>
    <row r="53" spans="1:14" s="1128" customFormat="1" x14ac:dyDescent="0.35">
      <c r="A53" s="1563"/>
      <c r="B53" s="79"/>
      <c r="C53" s="79"/>
      <c r="D53" s="79"/>
      <c r="K53" s="130"/>
      <c r="L53" s="1563"/>
      <c r="M53" s="79"/>
      <c r="N53" s="79"/>
    </row>
    <row r="54" spans="1:14" s="1128" customFormat="1" x14ac:dyDescent="0.35">
      <c r="A54" s="1563"/>
      <c r="B54" s="79"/>
      <c r="C54" s="79"/>
      <c r="D54" s="79"/>
      <c r="K54" s="130"/>
      <c r="L54" s="1563"/>
      <c r="M54" s="79"/>
      <c r="N54" s="79"/>
    </row>
    <row r="55" spans="1:14" s="1128" customFormat="1" x14ac:dyDescent="0.35">
      <c r="A55" s="1563"/>
      <c r="B55" s="79"/>
      <c r="C55" s="79"/>
      <c r="D55" s="79"/>
      <c r="K55" s="130"/>
      <c r="L55" s="1563"/>
      <c r="M55" s="79"/>
      <c r="N55" s="79"/>
    </row>
    <row r="56" spans="1:14" s="1128" customFormat="1" x14ac:dyDescent="0.35">
      <c r="A56" s="1563"/>
      <c r="B56" s="79"/>
      <c r="C56" s="79"/>
      <c r="D56" s="79"/>
      <c r="K56" s="130"/>
      <c r="L56" s="1563"/>
      <c r="M56" s="79"/>
      <c r="N56" s="79"/>
    </row>
    <row r="57" spans="1:14" s="1128" customFormat="1" x14ac:dyDescent="0.35">
      <c r="A57" s="1563"/>
      <c r="B57" s="79"/>
      <c r="C57" s="79"/>
      <c r="D57" s="79"/>
      <c r="K57" s="130"/>
      <c r="L57" s="1563"/>
      <c r="M57" s="79"/>
      <c r="N57" s="79"/>
    </row>
    <row r="58" spans="1:14" s="1128" customFormat="1" x14ac:dyDescent="0.35">
      <c r="A58" s="1563"/>
      <c r="B58" s="79"/>
      <c r="C58" s="79"/>
      <c r="D58" s="79"/>
      <c r="K58" s="130"/>
      <c r="L58" s="1563"/>
      <c r="M58" s="79"/>
      <c r="N58" s="79"/>
    </row>
    <row r="59" spans="1:14" s="1128" customFormat="1" x14ac:dyDescent="0.35">
      <c r="A59" s="1563"/>
      <c r="B59" s="79"/>
      <c r="C59" s="79"/>
      <c r="D59" s="79"/>
      <c r="K59" s="130"/>
      <c r="L59" s="1563"/>
      <c r="M59" s="79"/>
      <c r="N59" s="79"/>
    </row>
    <row r="60" spans="1:14" s="1128" customFormat="1" x14ac:dyDescent="0.35">
      <c r="A60" s="1563"/>
      <c r="B60" s="79"/>
      <c r="C60" s="79"/>
      <c r="D60" s="79"/>
      <c r="K60" s="130"/>
      <c r="L60" s="1563"/>
      <c r="M60" s="79"/>
      <c r="N60" s="79"/>
    </row>
    <row r="61" spans="1:14" s="1128" customFormat="1" x14ac:dyDescent="0.35">
      <c r="A61" s="1563"/>
      <c r="B61" s="79"/>
      <c r="C61" s="79"/>
      <c r="D61" s="79"/>
      <c r="K61" s="130"/>
      <c r="L61" s="1563"/>
      <c r="M61" s="79"/>
      <c r="N61" s="79"/>
    </row>
    <row r="62" spans="1:14" s="1128" customFormat="1" x14ac:dyDescent="0.35">
      <c r="A62" s="1563"/>
      <c r="B62" s="79"/>
      <c r="C62" s="79"/>
      <c r="D62" s="79"/>
      <c r="K62" s="130"/>
      <c r="L62" s="1563"/>
      <c r="M62" s="79"/>
      <c r="N62" s="79"/>
    </row>
    <row r="63" spans="1:14" s="1128" customFormat="1" x14ac:dyDescent="0.35">
      <c r="A63" s="1563"/>
      <c r="B63" s="79"/>
      <c r="C63" s="79"/>
      <c r="D63" s="79"/>
      <c r="K63" s="130"/>
      <c r="L63" s="1563"/>
      <c r="M63" s="79"/>
      <c r="N63" s="79"/>
    </row>
    <row r="64" spans="1:14" s="1128" customFormat="1" x14ac:dyDescent="0.35">
      <c r="A64" s="1563"/>
      <c r="B64" s="79"/>
      <c r="C64" s="79"/>
      <c r="D64" s="79"/>
      <c r="K64" s="130"/>
      <c r="L64" s="1563"/>
      <c r="M64" s="79"/>
      <c r="N64" s="79"/>
    </row>
    <row r="65" spans="1:14" s="1128" customFormat="1" x14ac:dyDescent="0.35">
      <c r="A65" s="1563"/>
      <c r="B65" s="79"/>
      <c r="C65" s="79"/>
      <c r="D65" s="79"/>
      <c r="K65" s="130"/>
      <c r="L65" s="1563"/>
      <c r="M65" s="79"/>
      <c r="N65" s="79"/>
    </row>
    <row r="66" spans="1:14" s="1128" customFormat="1" x14ac:dyDescent="0.35">
      <c r="A66" s="1563"/>
      <c r="B66" s="79"/>
      <c r="C66" s="79"/>
      <c r="D66" s="79"/>
      <c r="K66" s="130"/>
      <c r="L66" s="1563"/>
      <c r="M66" s="79"/>
      <c r="N66" s="79"/>
    </row>
    <row r="67" spans="1:14" s="1128" customFormat="1" x14ac:dyDescent="0.35">
      <c r="A67" s="1563"/>
      <c r="B67" s="79"/>
      <c r="C67" s="79"/>
      <c r="D67" s="79"/>
      <c r="K67" s="130"/>
      <c r="L67" s="1563"/>
      <c r="M67" s="79"/>
      <c r="N67" s="79"/>
    </row>
    <row r="68" spans="1:14" s="1128" customFormat="1" x14ac:dyDescent="0.35">
      <c r="A68" s="1563"/>
      <c r="B68" s="79"/>
      <c r="C68" s="79"/>
      <c r="D68" s="79"/>
      <c r="K68" s="130"/>
      <c r="L68" s="1563"/>
      <c r="M68" s="79"/>
      <c r="N68" s="79"/>
    </row>
    <row r="69" spans="1:14" s="1128" customFormat="1" x14ac:dyDescent="0.35">
      <c r="A69" s="1563"/>
      <c r="B69" s="79"/>
      <c r="C69" s="79"/>
      <c r="D69" s="79"/>
      <c r="K69" s="130"/>
      <c r="L69" s="1563"/>
      <c r="M69" s="79"/>
      <c r="N69" s="79"/>
    </row>
    <row r="70" spans="1:14" s="1128" customFormat="1" x14ac:dyDescent="0.35">
      <c r="A70" s="1563"/>
      <c r="B70" s="79"/>
      <c r="C70" s="79"/>
      <c r="D70" s="79"/>
      <c r="K70" s="130"/>
      <c r="L70" s="1563"/>
      <c r="M70" s="79"/>
      <c r="N70" s="79"/>
    </row>
    <row r="71" spans="1:14" s="1128" customFormat="1" x14ac:dyDescent="0.35">
      <c r="A71" s="1563"/>
      <c r="B71" s="79"/>
      <c r="C71" s="79"/>
      <c r="D71" s="79"/>
      <c r="K71" s="130"/>
      <c r="L71" s="1563"/>
      <c r="M71" s="79"/>
      <c r="N71" s="79"/>
    </row>
    <row r="72" spans="1:14" s="1128" customFormat="1" x14ac:dyDescent="0.35">
      <c r="A72" s="1563"/>
      <c r="B72" s="79"/>
      <c r="C72" s="79"/>
      <c r="D72" s="79"/>
      <c r="K72" s="130"/>
      <c r="L72" s="1563"/>
      <c r="M72" s="79"/>
      <c r="N72" s="79"/>
    </row>
    <row r="73" spans="1:14" s="1128" customFormat="1" x14ac:dyDescent="0.35">
      <c r="A73" s="1563"/>
      <c r="B73" s="79"/>
      <c r="C73" s="79"/>
      <c r="D73" s="79"/>
      <c r="K73" s="130"/>
      <c r="L73" s="1563"/>
      <c r="M73" s="79"/>
      <c r="N73" s="79"/>
    </row>
    <row r="74" spans="1:14" s="1128" customFormat="1" x14ac:dyDescent="0.35">
      <c r="A74" s="1563"/>
      <c r="B74" s="79"/>
      <c r="C74" s="79"/>
      <c r="D74" s="79"/>
      <c r="K74" s="130"/>
      <c r="L74" s="1563"/>
      <c r="M74" s="79"/>
      <c r="N74" s="79"/>
    </row>
    <row r="75" spans="1:14" s="1128" customFormat="1" x14ac:dyDescent="0.35">
      <c r="A75" s="1563"/>
      <c r="B75" s="79"/>
      <c r="C75" s="79"/>
      <c r="D75" s="79"/>
      <c r="K75" s="130"/>
      <c r="L75" s="1563"/>
      <c r="M75" s="79"/>
      <c r="N75" s="79"/>
    </row>
    <row r="76" spans="1:14" s="1128" customFormat="1" x14ac:dyDescent="0.35">
      <c r="A76" s="1563"/>
      <c r="B76" s="79"/>
      <c r="C76" s="79"/>
      <c r="D76" s="79"/>
      <c r="K76" s="130"/>
      <c r="L76" s="1563"/>
      <c r="M76" s="79"/>
      <c r="N76" s="79"/>
    </row>
    <row r="77" spans="1:14" s="1128" customFormat="1" x14ac:dyDescent="0.35">
      <c r="A77" s="1563"/>
      <c r="B77" s="79"/>
      <c r="C77" s="79"/>
      <c r="D77" s="79"/>
      <c r="K77" s="130"/>
      <c r="L77" s="1563"/>
      <c r="M77" s="79"/>
      <c r="N77" s="79"/>
    </row>
    <row r="78" spans="1:14" s="1128" customFormat="1" x14ac:dyDescent="0.35">
      <c r="A78" s="1563"/>
      <c r="B78" s="79"/>
      <c r="C78" s="79"/>
      <c r="D78" s="79"/>
      <c r="K78" s="130"/>
      <c r="L78" s="1563"/>
      <c r="M78" s="79"/>
      <c r="N78" s="79"/>
    </row>
    <row r="79" spans="1:14" s="1128" customFormat="1" x14ac:dyDescent="0.35">
      <c r="A79" s="1563"/>
      <c r="B79" s="79"/>
      <c r="C79" s="79"/>
      <c r="D79" s="79"/>
      <c r="K79" s="130"/>
      <c r="L79" s="1563"/>
      <c r="M79" s="79"/>
      <c r="N79" s="79"/>
    </row>
    <row r="80" spans="1:14" s="1128" customFormat="1" x14ac:dyDescent="0.35">
      <c r="A80" s="1563"/>
      <c r="B80" s="79"/>
      <c r="C80" s="79"/>
      <c r="D80" s="79"/>
      <c r="K80" s="130"/>
      <c r="L80" s="1563"/>
      <c r="M80" s="79"/>
      <c r="N80" s="79"/>
    </row>
    <row r="81" spans="1:14" s="1128" customFormat="1" x14ac:dyDescent="0.35">
      <c r="A81" s="1563"/>
      <c r="B81" s="79"/>
      <c r="C81" s="79"/>
      <c r="D81" s="79"/>
      <c r="K81" s="130"/>
      <c r="L81" s="1563"/>
      <c r="M81" s="79"/>
      <c r="N81" s="79"/>
    </row>
    <row r="82" spans="1:14" s="1128" customFormat="1" x14ac:dyDescent="0.35">
      <c r="A82" s="1563"/>
      <c r="B82" s="79"/>
      <c r="C82" s="79"/>
      <c r="D82" s="79"/>
      <c r="K82" s="130"/>
      <c r="L82" s="1563"/>
      <c r="M82" s="79"/>
      <c r="N82" s="79"/>
    </row>
    <row r="83" spans="1:14" s="1128" customFormat="1" x14ac:dyDescent="0.35">
      <c r="A83" s="1563"/>
      <c r="B83" s="79"/>
      <c r="C83" s="79"/>
      <c r="D83" s="79"/>
      <c r="K83" s="130"/>
      <c r="L83" s="1563"/>
      <c r="M83" s="79"/>
      <c r="N83" s="79"/>
    </row>
    <row r="84" spans="1:14" s="1128" customFormat="1" x14ac:dyDescent="0.35">
      <c r="A84" s="1563"/>
      <c r="B84" s="79"/>
      <c r="C84" s="79"/>
      <c r="D84" s="79"/>
      <c r="K84" s="130"/>
      <c r="L84" s="1563"/>
      <c r="M84" s="79"/>
      <c r="N84" s="79"/>
    </row>
    <row r="85" spans="1:14" s="1128" customFormat="1" x14ac:dyDescent="0.35">
      <c r="A85" s="1563"/>
      <c r="B85" s="79"/>
      <c r="C85" s="79"/>
      <c r="D85" s="79"/>
      <c r="K85" s="130"/>
      <c r="L85" s="1563"/>
      <c r="M85" s="79"/>
      <c r="N85" s="79"/>
    </row>
    <row r="86" spans="1:14" s="1128" customFormat="1" x14ac:dyDescent="0.35">
      <c r="A86" s="1563"/>
      <c r="B86" s="79"/>
      <c r="C86" s="79"/>
      <c r="D86" s="79"/>
      <c r="K86" s="130"/>
      <c r="L86" s="1563"/>
      <c r="M86" s="79"/>
      <c r="N86" s="79"/>
    </row>
    <row r="87" spans="1:14" s="1128" customFormat="1" x14ac:dyDescent="0.35">
      <c r="A87" s="1563"/>
      <c r="B87" s="79"/>
      <c r="C87" s="79"/>
      <c r="D87" s="79"/>
      <c r="K87" s="130"/>
      <c r="L87" s="1563"/>
      <c r="M87" s="79"/>
      <c r="N87" s="79"/>
    </row>
    <row r="88" spans="1:14" s="1128" customFormat="1" x14ac:dyDescent="0.35">
      <c r="A88" s="1563"/>
      <c r="B88" s="79"/>
      <c r="C88" s="79"/>
      <c r="D88" s="79"/>
      <c r="K88" s="130"/>
      <c r="L88" s="1563"/>
      <c r="M88" s="79"/>
      <c r="N88" s="79"/>
    </row>
    <row r="89" spans="1:14" s="1128" customFormat="1" x14ac:dyDescent="0.35">
      <c r="A89" s="1563"/>
      <c r="B89" s="79"/>
      <c r="C89" s="79"/>
      <c r="D89" s="79"/>
      <c r="K89" s="130"/>
      <c r="L89" s="1563"/>
      <c r="M89" s="79"/>
      <c r="N89" s="79"/>
    </row>
    <row r="90" spans="1:14" s="1128" customFormat="1" x14ac:dyDescent="0.35">
      <c r="A90" s="1563"/>
      <c r="B90" s="79"/>
      <c r="C90" s="79"/>
      <c r="D90" s="79"/>
      <c r="K90" s="130"/>
      <c r="L90" s="1563"/>
      <c r="M90" s="79"/>
      <c r="N90" s="79"/>
    </row>
    <row r="91" spans="1:14" s="1128" customFormat="1" x14ac:dyDescent="0.35">
      <c r="A91" s="1563"/>
      <c r="B91" s="79"/>
      <c r="C91" s="79"/>
      <c r="D91" s="79"/>
      <c r="K91" s="130"/>
      <c r="L91" s="1563"/>
      <c r="M91" s="79"/>
      <c r="N91" s="79"/>
    </row>
    <row r="92" spans="1:14" s="1128" customFormat="1" x14ac:dyDescent="0.35">
      <c r="A92" s="1563"/>
      <c r="B92" s="79"/>
      <c r="C92" s="79"/>
      <c r="D92" s="79"/>
      <c r="K92" s="130"/>
      <c r="L92" s="1563"/>
      <c r="M92" s="79"/>
      <c r="N92" s="79"/>
    </row>
    <row r="93" spans="1:14" s="1128" customFormat="1" x14ac:dyDescent="0.35">
      <c r="A93" s="1563"/>
      <c r="B93" s="79"/>
      <c r="C93" s="79"/>
      <c r="D93" s="79"/>
      <c r="K93" s="130"/>
      <c r="L93" s="1563"/>
      <c r="M93" s="79"/>
      <c r="N93" s="79"/>
    </row>
    <row r="94" spans="1:14" s="1128" customFormat="1" x14ac:dyDescent="0.35">
      <c r="A94" s="1563"/>
      <c r="B94" s="79"/>
      <c r="C94" s="79"/>
      <c r="D94" s="79"/>
      <c r="K94" s="130"/>
      <c r="L94" s="1563"/>
      <c r="M94" s="79"/>
      <c r="N94" s="79"/>
    </row>
    <row r="95" spans="1:14" s="1128" customFormat="1" x14ac:dyDescent="0.35">
      <c r="A95" s="1563"/>
      <c r="B95" s="79"/>
      <c r="C95" s="79"/>
      <c r="D95" s="79"/>
      <c r="K95" s="130"/>
      <c r="L95" s="1563"/>
      <c r="M95" s="79"/>
      <c r="N95" s="79"/>
    </row>
    <row r="96" spans="1:14" s="1128" customFormat="1" x14ac:dyDescent="0.35">
      <c r="A96" s="1563"/>
      <c r="B96" s="79"/>
      <c r="C96" s="79"/>
      <c r="D96" s="79"/>
      <c r="K96" s="130"/>
      <c r="L96" s="1563"/>
      <c r="M96" s="79"/>
      <c r="N96" s="79"/>
    </row>
    <row r="97" spans="1:14" s="1128" customFormat="1" x14ac:dyDescent="0.35">
      <c r="A97" s="1563"/>
      <c r="B97" s="79"/>
      <c r="C97" s="79"/>
      <c r="D97" s="79"/>
      <c r="K97" s="130"/>
      <c r="L97" s="1563"/>
      <c r="M97" s="79"/>
      <c r="N97" s="79"/>
    </row>
    <row r="98" spans="1:14" s="1128" customFormat="1" x14ac:dyDescent="0.35">
      <c r="A98" s="1563"/>
      <c r="B98" s="79"/>
      <c r="C98" s="79"/>
      <c r="D98" s="79"/>
      <c r="K98" s="130"/>
      <c r="L98" s="1563"/>
      <c r="M98" s="79"/>
      <c r="N98" s="79"/>
    </row>
    <row r="99" spans="1:14" s="1128" customFormat="1" x14ac:dyDescent="0.35">
      <c r="A99" s="1563"/>
      <c r="B99" s="79"/>
      <c r="C99" s="79"/>
      <c r="D99" s="79"/>
      <c r="K99" s="130"/>
      <c r="L99" s="1563"/>
      <c r="M99" s="79"/>
      <c r="N99" s="79"/>
    </row>
    <row r="100" spans="1:14" s="1128" customFormat="1" x14ac:dyDescent="0.35">
      <c r="A100" s="1563"/>
      <c r="B100" s="79"/>
      <c r="C100" s="79"/>
      <c r="D100" s="79"/>
      <c r="K100" s="130"/>
      <c r="L100" s="1563"/>
      <c r="M100" s="79"/>
      <c r="N100" s="79"/>
    </row>
    <row r="101" spans="1:14" s="1128" customFormat="1" x14ac:dyDescent="0.35">
      <c r="A101" s="1563"/>
      <c r="B101" s="79"/>
      <c r="C101" s="79"/>
      <c r="D101" s="79"/>
      <c r="K101" s="130"/>
      <c r="L101" s="1563"/>
      <c r="M101" s="79"/>
      <c r="N101" s="79"/>
    </row>
    <row r="102" spans="1:14" s="1128" customFormat="1" x14ac:dyDescent="0.35">
      <c r="A102" s="1563"/>
      <c r="B102" s="79"/>
      <c r="C102" s="79"/>
      <c r="D102" s="79"/>
      <c r="K102" s="130"/>
      <c r="L102" s="1563"/>
      <c r="M102" s="79"/>
      <c r="N102" s="79"/>
    </row>
    <row r="103" spans="1:14" s="1128" customFormat="1" x14ac:dyDescent="0.35">
      <c r="A103" s="1563"/>
      <c r="B103" s="79"/>
      <c r="C103" s="79"/>
      <c r="D103" s="79"/>
      <c r="K103" s="130"/>
      <c r="L103" s="1563"/>
      <c r="M103" s="79"/>
      <c r="N103" s="79"/>
    </row>
    <row r="104" spans="1:14" s="1128" customFormat="1" x14ac:dyDescent="0.35">
      <c r="A104" s="1563"/>
      <c r="B104" s="79"/>
      <c r="C104" s="79"/>
      <c r="D104" s="79"/>
      <c r="K104" s="130"/>
      <c r="L104" s="1563"/>
      <c r="M104" s="79"/>
      <c r="N104" s="79"/>
    </row>
    <row r="105" spans="1:14" s="1128" customFormat="1" x14ac:dyDescent="0.35">
      <c r="A105" s="1563"/>
      <c r="B105" s="79"/>
      <c r="C105" s="79"/>
      <c r="D105" s="79"/>
      <c r="K105" s="130"/>
      <c r="L105" s="1563"/>
      <c r="M105" s="79"/>
      <c r="N105" s="79"/>
    </row>
    <row r="106" spans="1:14" s="1128" customFormat="1" x14ac:dyDescent="0.35">
      <c r="A106" s="1563"/>
      <c r="B106" s="79"/>
      <c r="C106" s="79"/>
      <c r="D106" s="79"/>
      <c r="K106" s="130"/>
      <c r="L106" s="1563"/>
      <c r="M106" s="79"/>
      <c r="N106" s="79"/>
    </row>
    <row r="107" spans="1:14" s="1128" customFormat="1" x14ac:dyDescent="0.35">
      <c r="A107" s="1563"/>
      <c r="B107" s="79"/>
      <c r="C107" s="79"/>
      <c r="D107" s="79"/>
      <c r="K107" s="130"/>
      <c r="L107" s="1563"/>
      <c r="M107" s="79"/>
      <c r="N107" s="79"/>
    </row>
    <row r="108" spans="1:14" s="1128" customFormat="1" x14ac:dyDescent="0.35">
      <c r="A108" s="1563"/>
      <c r="B108" s="79"/>
      <c r="C108" s="79"/>
      <c r="D108" s="79"/>
      <c r="K108" s="130"/>
      <c r="L108" s="1563"/>
      <c r="M108" s="79"/>
      <c r="N108" s="79"/>
    </row>
    <row r="109" spans="1:14" s="1128" customFormat="1" x14ac:dyDescent="0.35">
      <c r="A109" s="1563"/>
      <c r="B109" s="79"/>
      <c r="C109" s="79"/>
      <c r="D109" s="79"/>
      <c r="K109" s="130"/>
      <c r="L109" s="1563"/>
      <c r="M109" s="79"/>
      <c r="N109" s="79"/>
    </row>
    <row r="110" spans="1:14" s="1128" customFormat="1" x14ac:dyDescent="0.35">
      <c r="A110" s="1563"/>
      <c r="B110" s="79"/>
      <c r="C110" s="79"/>
      <c r="D110" s="79"/>
      <c r="K110" s="130"/>
      <c r="L110" s="1563"/>
      <c r="M110" s="79"/>
      <c r="N110" s="79"/>
    </row>
    <row r="111" spans="1:14" s="1128" customFormat="1" x14ac:dyDescent="0.35">
      <c r="A111" s="1563"/>
      <c r="B111" s="79"/>
      <c r="C111" s="79"/>
      <c r="D111" s="79"/>
      <c r="K111" s="130"/>
      <c r="L111" s="1563"/>
      <c r="M111" s="79"/>
      <c r="N111" s="79"/>
    </row>
    <row r="112" spans="1:14" s="1128" customFormat="1" x14ac:dyDescent="0.35">
      <c r="A112" s="1563"/>
      <c r="B112" s="79"/>
      <c r="C112" s="79"/>
      <c r="D112" s="79"/>
      <c r="K112" s="130"/>
      <c r="L112" s="1563"/>
      <c r="M112" s="79"/>
      <c r="N112" s="79"/>
    </row>
    <row r="113" spans="1:14" s="1128" customFormat="1" x14ac:dyDescent="0.35">
      <c r="A113" s="1563"/>
      <c r="B113" s="79"/>
      <c r="C113" s="79"/>
      <c r="D113" s="79"/>
      <c r="K113" s="130"/>
      <c r="L113" s="1563"/>
      <c r="M113" s="79"/>
      <c r="N113" s="79"/>
    </row>
    <row r="114" spans="1:14" s="1128" customFormat="1" x14ac:dyDescent="0.35">
      <c r="A114" s="1563"/>
      <c r="B114" s="79"/>
      <c r="C114" s="79"/>
      <c r="D114" s="79"/>
      <c r="K114" s="130"/>
      <c r="L114" s="1563"/>
      <c r="M114" s="79"/>
      <c r="N114" s="79"/>
    </row>
    <row r="115" spans="1:14" s="1128" customFormat="1" x14ac:dyDescent="0.35">
      <c r="A115" s="1563"/>
      <c r="B115" s="79"/>
      <c r="C115" s="79"/>
      <c r="D115" s="79"/>
      <c r="K115" s="130"/>
      <c r="L115" s="1563"/>
      <c r="M115" s="79"/>
      <c r="N115" s="79"/>
    </row>
    <row r="116" spans="1:14" s="1128" customFormat="1" x14ac:dyDescent="0.35">
      <c r="A116" s="1563"/>
      <c r="B116" s="79"/>
      <c r="C116" s="79"/>
      <c r="D116" s="79"/>
      <c r="K116" s="130"/>
      <c r="L116" s="1563"/>
      <c r="M116" s="79"/>
      <c r="N116" s="79"/>
    </row>
    <row r="117" spans="1:14" s="1128" customFormat="1" x14ac:dyDescent="0.35">
      <c r="A117" s="1563"/>
      <c r="B117" s="79"/>
      <c r="C117" s="79"/>
      <c r="D117" s="79"/>
      <c r="K117" s="130"/>
      <c r="L117" s="1563"/>
      <c r="M117" s="79"/>
      <c r="N117" s="79"/>
    </row>
    <row r="118" spans="1:14" s="1128" customFormat="1" x14ac:dyDescent="0.35">
      <c r="A118" s="1563"/>
      <c r="B118" s="79"/>
      <c r="C118" s="79"/>
      <c r="D118" s="79"/>
      <c r="K118" s="130"/>
      <c r="L118" s="1563"/>
      <c r="M118" s="79"/>
      <c r="N118" s="79"/>
    </row>
    <row r="119" spans="1:14" s="1128" customFormat="1" x14ac:dyDescent="0.35">
      <c r="A119" s="1563"/>
      <c r="B119" s="79"/>
      <c r="C119" s="79"/>
      <c r="D119" s="79"/>
      <c r="K119" s="130"/>
      <c r="L119" s="1563"/>
      <c r="M119" s="79"/>
      <c r="N119" s="79"/>
    </row>
    <row r="120" spans="1:14" s="1128" customFormat="1" x14ac:dyDescent="0.35">
      <c r="A120" s="1563"/>
      <c r="B120" s="79"/>
      <c r="C120" s="79"/>
      <c r="D120" s="79"/>
      <c r="K120" s="130"/>
      <c r="L120" s="1563"/>
      <c r="M120" s="79"/>
      <c r="N120" s="79"/>
    </row>
    <row r="121" spans="1:14" s="1128" customFormat="1" x14ac:dyDescent="0.35">
      <c r="A121" s="1563"/>
      <c r="B121" s="79"/>
      <c r="C121" s="79"/>
      <c r="D121" s="79"/>
      <c r="K121" s="130"/>
      <c r="L121" s="1563"/>
      <c r="M121" s="79"/>
      <c r="N121" s="79"/>
    </row>
    <row r="122" spans="1:14" s="1128" customFormat="1" x14ac:dyDescent="0.35">
      <c r="A122" s="1563"/>
      <c r="B122" s="79"/>
      <c r="C122" s="79"/>
      <c r="D122" s="79"/>
      <c r="K122" s="130"/>
      <c r="L122" s="1563"/>
      <c r="M122" s="79"/>
      <c r="N122" s="79"/>
    </row>
    <row r="123" spans="1:14" s="1128" customFormat="1" x14ac:dyDescent="0.35">
      <c r="A123" s="1563"/>
      <c r="B123" s="79"/>
      <c r="C123" s="79"/>
      <c r="D123" s="79"/>
      <c r="K123" s="130"/>
      <c r="L123" s="1563"/>
      <c r="M123" s="79"/>
      <c r="N123" s="79"/>
    </row>
    <row r="124" spans="1:14" s="1128" customFormat="1" x14ac:dyDescent="0.35">
      <c r="A124" s="1563"/>
      <c r="B124" s="79"/>
      <c r="C124" s="79"/>
      <c r="D124" s="79"/>
      <c r="K124" s="130"/>
      <c r="L124" s="1563"/>
      <c r="M124" s="79"/>
      <c r="N124" s="79"/>
    </row>
    <row r="125" spans="1:14" s="1128" customFormat="1" x14ac:dyDescent="0.35">
      <c r="A125" s="1563"/>
      <c r="B125" s="79"/>
      <c r="C125" s="79"/>
      <c r="D125" s="79"/>
      <c r="K125" s="130"/>
      <c r="L125" s="1563"/>
      <c r="M125" s="79"/>
      <c r="N125" s="79"/>
    </row>
    <row r="126" spans="1:14" s="1128" customFormat="1" x14ac:dyDescent="0.35">
      <c r="A126" s="1563"/>
      <c r="B126" s="79"/>
      <c r="C126" s="79"/>
      <c r="D126" s="79"/>
      <c r="K126" s="130"/>
      <c r="L126" s="1563"/>
      <c r="M126" s="79"/>
      <c r="N126" s="79"/>
    </row>
    <row r="127" spans="1:14" s="1128" customFormat="1" x14ac:dyDescent="0.35">
      <c r="A127" s="1563"/>
      <c r="B127" s="79"/>
      <c r="C127" s="79"/>
      <c r="D127" s="79"/>
      <c r="K127" s="130"/>
      <c r="L127" s="1563"/>
      <c r="M127" s="79"/>
      <c r="N127" s="79"/>
    </row>
    <row r="128" spans="1:14" s="1128" customFormat="1" x14ac:dyDescent="0.35">
      <c r="A128" s="1563"/>
      <c r="B128" s="79"/>
      <c r="C128" s="79"/>
      <c r="D128" s="79"/>
      <c r="K128" s="130"/>
      <c r="L128" s="1563"/>
      <c r="M128" s="79"/>
      <c r="N128" s="79"/>
    </row>
    <row r="129" spans="1:14" s="1128" customFormat="1" x14ac:dyDescent="0.35">
      <c r="A129" s="1563"/>
      <c r="B129" s="79"/>
      <c r="C129" s="79"/>
      <c r="D129" s="79"/>
      <c r="K129" s="130"/>
      <c r="L129" s="1563"/>
      <c r="M129" s="79"/>
      <c r="N129" s="79"/>
    </row>
    <row r="130" spans="1:14" s="1128" customFormat="1" x14ac:dyDescent="0.35">
      <c r="A130" s="1563"/>
      <c r="B130" s="79"/>
      <c r="C130" s="79"/>
      <c r="D130" s="79"/>
      <c r="K130" s="130"/>
      <c r="L130" s="1563"/>
      <c r="M130" s="79"/>
      <c r="N130" s="79"/>
    </row>
    <row r="131" spans="1:14" s="1128" customFormat="1" x14ac:dyDescent="0.35">
      <c r="A131" s="1563"/>
      <c r="B131" s="79"/>
      <c r="C131" s="79"/>
      <c r="D131" s="79"/>
      <c r="K131" s="130"/>
      <c r="L131" s="1563"/>
      <c r="M131" s="79"/>
      <c r="N131" s="79"/>
    </row>
    <row r="132" spans="1:14" s="1128" customFormat="1" x14ac:dyDescent="0.35">
      <c r="A132" s="1563"/>
      <c r="B132" s="79"/>
      <c r="C132" s="79"/>
      <c r="D132" s="79"/>
      <c r="K132" s="130"/>
      <c r="L132" s="1563"/>
      <c r="M132" s="79"/>
      <c r="N132" s="79"/>
    </row>
    <row r="133" spans="1:14" s="1128" customFormat="1" x14ac:dyDescent="0.35">
      <c r="A133" s="1563"/>
      <c r="B133" s="79"/>
      <c r="C133" s="79"/>
      <c r="D133" s="79"/>
      <c r="K133" s="130"/>
      <c r="L133" s="1563"/>
      <c r="M133" s="79"/>
      <c r="N133" s="79"/>
    </row>
    <row r="134" spans="1:14" s="1128" customFormat="1" x14ac:dyDescent="0.35">
      <c r="A134" s="1563"/>
      <c r="B134" s="79"/>
      <c r="C134" s="79"/>
      <c r="D134" s="79"/>
      <c r="K134" s="130"/>
      <c r="L134" s="1563"/>
      <c r="M134" s="79"/>
      <c r="N134" s="79"/>
    </row>
    <row r="135" spans="1:14" s="1128" customFormat="1" x14ac:dyDescent="0.35">
      <c r="A135" s="1563"/>
      <c r="B135" s="79"/>
      <c r="C135" s="79"/>
      <c r="D135" s="79"/>
      <c r="K135" s="130"/>
      <c r="L135" s="1563"/>
      <c r="M135" s="79"/>
      <c r="N135" s="79"/>
    </row>
    <row r="136" spans="1:14" s="1128" customFormat="1" x14ac:dyDescent="0.35">
      <c r="A136" s="1563"/>
      <c r="B136" s="79"/>
      <c r="C136" s="79"/>
      <c r="D136" s="79"/>
      <c r="K136" s="130"/>
      <c r="L136" s="1563"/>
      <c r="M136" s="79"/>
      <c r="N136" s="79"/>
    </row>
    <row r="137" spans="1:14" s="1128" customFormat="1" x14ac:dyDescent="0.35">
      <c r="A137" s="1563"/>
      <c r="B137" s="79"/>
      <c r="C137" s="79"/>
      <c r="D137" s="79"/>
      <c r="K137" s="130"/>
      <c r="L137" s="1563"/>
      <c r="M137" s="79"/>
      <c r="N137" s="79"/>
    </row>
    <row r="138" spans="1:14" s="1128" customFormat="1" x14ac:dyDescent="0.35">
      <c r="A138" s="1563"/>
      <c r="B138" s="79"/>
      <c r="C138" s="79"/>
      <c r="D138" s="79"/>
      <c r="K138" s="130"/>
      <c r="L138" s="1563"/>
      <c r="M138" s="79"/>
      <c r="N138" s="79"/>
    </row>
    <row r="139" spans="1:14" s="1128" customFormat="1" x14ac:dyDescent="0.35">
      <c r="A139" s="1563"/>
      <c r="B139" s="79"/>
      <c r="C139" s="79"/>
      <c r="D139" s="79"/>
      <c r="K139" s="130"/>
      <c r="L139" s="1563"/>
      <c r="M139" s="79"/>
      <c r="N139" s="79"/>
    </row>
    <row r="140" spans="1:14" s="1128" customFormat="1" x14ac:dyDescent="0.35">
      <c r="A140" s="1563"/>
      <c r="B140" s="79"/>
      <c r="C140" s="79"/>
      <c r="D140" s="79"/>
      <c r="K140" s="130"/>
      <c r="L140" s="1563"/>
      <c r="M140" s="79"/>
      <c r="N140" s="79"/>
    </row>
    <row r="141" spans="1:14" s="1128" customFormat="1" x14ac:dyDescent="0.35">
      <c r="A141" s="1563"/>
      <c r="B141" s="79"/>
      <c r="C141" s="79"/>
      <c r="D141" s="79"/>
      <c r="K141" s="130"/>
      <c r="L141" s="1563"/>
      <c r="M141" s="79"/>
      <c r="N141" s="79"/>
    </row>
    <row r="142" spans="1:14" s="1128" customFormat="1" x14ac:dyDescent="0.35">
      <c r="A142" s="1563"/>
      <c r="B142" s="79"/>
      <c r="C142" s="79"/>
      <c r="D142" s="79"/>
      <c r="K142" s="130"/>
      <c r="L142" s="1563"/>
      <c r="M142" s="79"/>
      <c r="N142" s="79"/>
    </row>
    <row r="143" spans="1:14" s="1128" customFormat="1" x14ac:dyDescent="0.35">
      <c r="A143" s="1563"/>
      <c r="B143" s="79"/>
      <c r="C143" s="79"/>
      <c r="D143" s="79"/>
      <c r="K143" s="130"/>
      <c r="L143" s="1563"/>
      <c r="M143" s="79"/>
      <c r="N143" s="79"/>
    </row>
    <row r="144" spans="1:14" s="1128" customFormat="1" x14ac:dyDescent="0.35">
      <c r="A144" s="1563"/>
      <c r="B144" s="79"/>
      <c r="C144" s="79"/>
      <c r="D144" s="79"/>
      <c r="K144" s="130"/>
      <c r="L144" s="1563"/>
      <c r="M144" s="79"/>
      <c r="N144" s="79"/>
    </row>
    <row r="145" spans="1:14" s="1128" customFormat="1" x14ac:dyDescent="0.35">
      <c r="A145" s="1563"/>
      <c r="B145" s="79"/>
      <c r="C145" s="79"/>
      <c r="D145" s="79"/>
      <c r="K145" s="130"/>
      <c r="L145" s="1563"/>
      <c r="M145" s="79"/>
      <c r="N145" s="79"/>
    </row>
    <row r="146" spans="1:14" s="1128" customFormat="1" x14ac:dyDescent="0.35">
      <c r="A146" s="1563"/>
      <c r="B146" s="79"/>
      <c r="C146" s="79"/>
      <c r="D146" s="79"/>
      <c r="K146" s="130"/>
      <c r="L146" s="1563"/>
      <c r="M146" s="79"/>
      <c r="N146" s="79"/>
    </row>
    <row r="147" spans="1:14" s="1128" customFormat="1" x14ac:dyDescent="0.35">
      <c r="A147" s="1563"/>
      <c r="B147" s="79"/>
      <c r="C147" s="79"/>
      <c r="D147" s="79"/>
      <c r="K147" s="130"/>
      <c r="L147" s="1563"/>
      <c r="M147" s="79"/>
      <c r="N147" s="79"/>
    </row>
    <row r="148" spans="1:14" s="1128" customFormat="1" x14ac:dyDescent="0.35">
      <c r="A148" s="1563"/>
      <c r="B148" s="79"/>
      <c r="C148" s="79"/>
      <c r="D148" s="79"/>
      <c r="K148" s="130"/>
      <c r="L148" s="1563"/>
      <c r="M148" s="79"/>
      <c r="N148" s="79"/>
    </row>
    <row r="149" spans="1:14" s="1128" customFormat="1" x14ac:dyDescent="0.35">
      <c r="A149" s="1563"/>
      <c r="B149" s="79"/>
      <c r="C149" s="79"/>
      <c r="D149" s="79"/>
      <c r="K149" s="130"/>
      <c r="L149" s="1563"/>
      <c r="M149" s="79"/>
      <c r="N149" s="79"/>
    </row>
    <row r="150" spans="1:14" s="1128" customFormat="1" x14ac:dyDescent="0.35">
      <c r="A150" s="1563"/>
      <c r="B150" s="79"/>
      <c r="C150" s="79"/>
      <c r="D150" s="79"/>
      <c r="K150" s="130"/>
      <c r="L150" s="1563"/>
      <c r="M150" s="79"/>
      <c r="N150" s="79"/>
    </row>
    <row r="151" spans="1:14" s="1128" customFormat="1" x14ac:dyDescent="0.35">
      <c r="A151" s="1563"/>
      <c r="B151" s="79"/>
      <c r="C151" s="79"/>
      <c r="D151" s="79"/>
      <c r="K151" s="130"/>
      <c r="L151" s="1563"/>
      <c r="M151" s="79"/>
      <c r="N151" s="79"/>
    </row>
    <row r="152" spans="1:14" s="1128" customFormat="1" x14ac:dyDescent="0.35">
      <c r="A152" s="1563"/>
      <c r="B152" s="79"/>
      <c r="C152" s="79"/>
      <c r="D152" s="79"/>
      <c r="K152" s="130"/>
      <c r="L152" s="1563"/>
      <c r="M152" s="79"/>
      <c r="N152" s="79"/>
    </row>
    <row r="153" spans="1:14" s="1128" customFormat="1" x14ac:dyDescent="0.35">
      <c r="A153" s="1563"/>
      <c r="B153" s="79"/>
      <c r="C153" s="79"/>
      <c r="D153" s="79"/>
      <c r="K153" s="130"/>
      <c r="L153" s="1563"/>
      <c r="M153" s="79"/>
      <c r="N153" s="79"/>
    </row>
    <row r="154" spans="1:14" s="1128" customFormat="1" x14ac:dyDescent="0.35">
      <c r="A154" s="1563"/>
      <c r="B154" s="79"/>
      <c r="C154" s="79"/>
      <c r="D154" s="79"/>
      <c r="K154" s="130"/>
      <c r="L154" s="1563"/>
      <c r="M154" s="79"/>
      <c r="N154" s="79"/>
    </row>
    <row r="155" spans="1:14" s="1128" customFormat="1" x14ac:dyDescent="0.35">
      <c r="A155" s="1563"/>
      <c r="B155" s="79"/>
      <c r="C155" s="79"/>
      <c r="D155" s="79"/>
      <c r="K155" s="130"/>
      <c r="L155" s="1563"/>
      <c r="M155" s="79"/>
      <c r="N155" s="79"/>
    </row>
    <row r="156" spans="1:14" s="1128" customFormat="1" x14ac:dyDescent="0.35">
      <c r="A156" s="1563"/>
      <c r="B156" s="79"/>
      <c r="C156" s="79"/>
      <c r="D156" s="79"/>
      <c r="K156" s="130"/>
      <c r="L156" s="1563"/>
      <c r="M156" s="79"/>
      <c r="N156" s="79"/>
    </row>
    <row r="157" spans="1:14" s="1128" customFormat="1" x14ac:dyDescent="0.35">
      <c r="A157" s="1563"/>
      <c r="B157" s="79"/>
      <c r="C157" s="79"/>
      <c r="D157" s="79"/>
      <c r="K157" s="130"/>
      <c r="L157" s="1563"/>
      <c r="M157" s="79"/>
      <c r="N157" s="79"/>
    </row>
    <row r="158" spans="1:14" s="1128" customFormat="1" x14ac:dyDescent="0.35">
      <c r="A158" s="1563"/>
      <c r="B158" s="79"/>
      <c r="C158" s="79"/>
      <c r="D158" s="79"/>
      <c r="K158" s="130"/>
      <c r="L158" s="1563"/>
      <c r="M158" s="79"/>
      <c r="N158" s="79"/>
    </row>
    <row r="159" spans="1:14" s="1128" customFormat="1" x14ac:dyDescent="0.35">
      <c r="A159" s="1563"/>
      <c r="B159" s="79"/>
      <c r="C159" s="79"/>
      <c r="D159" s="79"/>
      <c r="K159" s="130"/>
      <c r="L159" s="1563"/>
      <c r="M159" s="79"/>
      <c r="N159" s="79"/>
    </row>
    <row r="160" spans="1:14" s="1128" customFormat="1" x14ac:dyDescent="0.35">
      <c r="A160" s="1563"/>
      <c r="B160" s="79"/>
      <c r="C160" s="79"/>
      <c r="D160" s="79"/>
      <c r="K160" s="130"/>
      <c r="L160" s="1563"/>
      <c r="M160" s="79"/>
      <c r="N160" s="79"/>
    </row>
    <row r="161" spans="1:14" s="1128" customFormat="1" x14ac:dyDescent="0.35">
      <c r="A161" s="1563"/>
      <c r="B161" s="79"/>
      <c r="C161" s="79"/>
      <c r="D161" s="79"/>
      <c r="K161" s="130"/>
      <c r="L161" s="1563"/>
      <c r="M161" s="79"/>
      <c r="N161" s="79"/>
    </row>
    <row r="162" spans="1:14" s="1128" customFormat="1" x14ac:dyDescent="0.35">
      <c r="A162" s="1563"/>
      <c r="B162" s="79"/>
      <c r="C162" s="79"/>
      <c r="D162" s="79"/>
      <c r="K162" s="130"/>
      <c r="L162" s="1563"/>
      <c r="M162" s="79"/>
      <c r="N162" s="79"/>
    </row>
    <row r="163" spans="1:14" s="1128" customFormat="1" x14ac:dyDescent="0.35">
      <c r="A163" s="1563"/>
      <c r="B163" s="79"/>
      <c r="C163" s="79"/>
      <c r="D163" s="79"/>
      <c r="K163" s="130"/>
      <c r="L163" s="1563"/>
      <c r="M163" s="79"/>
      <c r="N163" s="79"/>
    </row>
    <row r="164" spans="1:14" s="1128" customFormat="1" x14ac:dyDescent="0.35">
      <c r="A164" s="1563"/>
      <c r="B164" s="79"/>
      <c r="C164" s="79"/>
      <c r="D164" s="79"/>
      <c r="K164" s="130"/>
      <c r="L164" s="1563"/>
      <c r="M164" s="79"/>
      <c r="N164" s="79"/>
    </row>
    <row r="165" spans="1:14" s="1128" customFormat="1" x14ac:dyDescent="0.35">
      <c r="A165" s="1563"/>
      <c r="B165" s="79"/>
      <c r="C165" s="79"/>
      <c r="D165" s="79"/>
      <c r="K165" s="130"/>
      <c r="L165" s="1563"/>
      <c r="M165" s="79"/>
      <c r="N165" s="79"/>
    </row>
    <row r="166" spans="1:14" s="1128" customFormat="1" x14ac:dyDescent="0.35">
      <c r="A166" s="1563"/>
      <c r="B166" s="79"/>
      <c r="C166" s="79"/>
      <c r="D166" s="79"/>
      <c r="K166" s="130"/>
      <c r="L166" s="1563"/>
      <c r="M166" s="79"/>
      <c r="N166" s="79"/>
    </row>
    <row r="167" spans="1:14" s="1128" customFormat="1" x14ac:dyDescent="0.35">
      <c r="A167" s="1563"/>
      <c r="B167" s="79"/>
      <c r="C167" s="79"/>
      <c r="D167" s="79"/>
      <c r="K167" s="130"/>
      <c r="L167" s="1563"/>
      <c r="M167" s="79"/>
      <c r="N167" s="79"/>
    </row>
    <row r="168" spans="1:14" s="1128" customFormat="1" x14ac:dyDescent="0.35">
      <c r="A168" s="1563"/>
      <c r="B168" s="79"/>
      <c r="C168" s="79"/>
      <c r="D168" s="79"/>
      <c r="K168" s="130"/>
      <c r="L168" s="1563"/>
      <c r="M168" s="79"/>
      <c r="N168" s="79"/>
    </row>
    <row r="169" spans="1:14" s="1128" customFormat="1" x14ac:dyDescent="0.35">
      <c r="A169" s="1563"/>
      <c r="B169" s="79"/>
      <c r="C169" s="79"/>
      <c r="D169" s="79"/>
      <c r="K169" s="130"/>
      <c r="L169" s="1563"/>
      <c r="M169" s="79"/>
      <c r="N169" s="79"/>
    </row>
    <row r="170" spans="1:14" s="1128" customFormat="1" x14ac:dyDescent="0.35">
      <c r="A170" s="1563"/>
      <c r="B170" s="79"/>
      <c r="C170" s="79"/>
      <c r="D170" s="79"/>
      <c r="K170" s="130"/>
      <c r="L170" s="1563"/>
      <c r="M170" s="79"/>
      <c r="N170" s="79"/>
    </row>
  </sheetData>
  <mergeCells count="6">
    <mergeCell ref="B2:K2"/>
    <mergeCell ref="B6:K6"/>
    <mergeCell ref="B7:K7"/>
    <mergeCell ref="B3:K3"/>
    <mergeCell ref="B4:K4"/>
    <mergeCell ref="B5:K5"/>
  </mergeCells>
  <printOptions horizontalCentered="1"/>
  <pageMargins left="0.5" right="0.5" top="0.5" bottom="0.5" header="0.25" footer="0.25"/>
  <pageSetup scale="59" orientation="landscape" r:id="rId1"/>
  <headerFooter scaleWithDoc="0">
    <oddFooter>&amp;C&amp;"Times New Roman,Regular"&amp;10&amp;A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H48"/>
  <sheetViews>
    <sheetView zoomScale="80" zoomScaleNormal="80" workbookViewId="0"/>
  </sheetViews>
  <sheetFormatPr defaultColWidth="9.90625" defaultRowHeight="15.5" x14ac:dyDescent="0.35"/>
  <cols>
    <col min="1" max="1" width="5.08984375" style="1156" customWidth="1"/>
    <col min="2" max="2" width="15.08984375" style="1132" customWidth="1"/>
    <col min="3" max="3" width="25.90625" style="1132" customWidth="1"/>
    <col min="4" max="6" width="16.90625" style="1156" customWidth="1"/>
    <col min="7" max="7" width="5.08984375" style="1156" customWidth="1"/>
    <col min="8" max="8" width="7.90625" style="1132" customWidth="1"/>
    <col min="9" max="16384" width="9.90625" style="1132"/>
  </cols>
  <sheetData>
    <row r="2" spans="1:8" x14ac:dyDescent="0.35">
      <c r="B2" s="2289" t="s">
        <v>18</v>
      </c>
      <c r="C2" s="2289"/>
      <c r="D2" s="2289"/>
      <c r="E2" s="2289"/>
      <c r="F2" s="2289"/>
      <c r="G2" s="1565"/>
    </row>
    <row r="3" spans="1:8" x14ac:dyDescent="0.35">
      <c r="B3" s="2289" t="s">
        <v>225</v>
      </c>
      <c r="C3" s="2289"/>
      <c r="D3" s="2289"/>
      <c r="E3" s="2289"/>
      <c r="F3" s="2289"/>
      <c r="G3" s="1561"/>
    </row>
    <row r="4" spans="1:8" x14ac:dyDescent="0.35">
      <c r="B4" s="2289" t="s">
        <v>1423</v>
      </c>
      <c r="C4" s="2289"/>
      <c r="D4" s="2289"/>
      <c r="E4" s="2289"/>
      <c r="F4" s="2289"/>
      <c r="G4" s="1561"/>
    </row>
    <row r="5" spans="1:8" x14ac:dyDescent="0.35">
      <c r="B5" s="2279" t="s">
        <v>1649</v>
      </c>
      <c r="C5" s="2279"/>
      <c r="D5" s="2279"/>
      <c r="E5" s="2279"/>
      <c r="F5" s="2279"/>
      <c r="G5" s="1561"/>
    </row>
    <row r="6" spans="1:8" x14ac:dyDescent="0.35">
      <c r="B6" s="2279" t="s">
        <v>1605</v>
      </c>
      <c r="C6" s="2279"/>
      <c r="D6" s="2279"/>
      <c r="E6" s="2279"/>
      <c r="F6" s="2279"/>
      <c r="G6" s="1561"/>
    </row>
    <row r="7" spans="1:8" s="1133" customFormat="1" x14ac:dyDescent="0.35">
      <c r="A7" s="1567"/>
      <c r="B7" s="694"/>
      <c r="C7" s="694"/>
      <c r="D7" s="694"/>
      <c r="E7" s="694"/>
      <c r="F7" s="694"/>
      <c r="G7" s="694"/>
    </row>
    <row r="8" spans="1:8" x14ac:dyDescent="0.35">
      <c r="A8" s="1134"/>
      <c r="B8" s="1135"/>
      <c r="C8" s="1136"/>
      <c r="D8" s="1136" t="s">
        <v>4</v>
      </c>
      <c r="E8" s="1136" t="s">
        <v>5</v>
      </c>
      <c r="F8" s="1137" t="s">
        <v>697</v>
      </c>
      <c r="G8" s="1138"/>
      <c r="H8" s="1139"/>
    </row>
    <row r="9" spans="1:8" x14ac:dyDescent="0.35">
      <c r="A9" s="1134" t="s">
        <v>3</v>
      </c>
      <c r="B9" s="1140" t="s">
        <v>164</v>
      </c>
      <c r="C9" s="1141"/>
      <c r="D9" s="1141" t="s">
        <v>247</v>
      </c>
      <c r="E9" s="1141" t="s">
        <v>248</v>
      </c>
      <c r="F9" s="1142" t="s">
        <v>31</v>
      </c>
      <c r="G9" s="1143" t="s">
        <v>3</v>
      </c>
      <c r="H9" s="1139"/>
    </row>
    <row r="10" spans="1:8" x14ac:dyDescent="0.35">
      <c r="A10" s="1134" t="s">
        <v>25</v>
      </c>
      <c r="B10" s="1144" t="s">
        <v>73</v>
      </c>
      <c r="C10" s="1145" t="s">
        <v>74</v>
      </c>
      <c r="D10" s="1145" t="s">
        <v>249</v>
      </c>
      <c r="E10" s="1145" t="s">
        <v>249</v>
      </c>
      <c r="F10" s="1146" t="s">
        <v>249</v>
      </c>
      <c r="G10" s="1143" t="s">
        <v>25</v>
      </c>
      <c r="H10" s="1139"/>
    </row>
    <row r="11" spans="1:8" x14ac:dyDescent="0.35">
      <c r="A11" s="1134">
        <v>1</v>
      </c>
      <c r="B11" s="1147" t="s">
        <v>250</v>
      </c>
      <c r="C11" s="1148" t="s">
        <v>55</v>
      </c>
      <c r="D11" s="1765">
        <v>1.3599999999999999E-2</v>
      </c>
      <c r="E11" s="1765">
        <v>1.01E-2</v>
      </c>
      <c r="F11" s="341">
        <f>D11+E11</f>
        <v>2.3699999999999999E-2</v>
      </c>
      <c r="G11" s="1143">
        <f>A11</f>
        <v>1</v>
      </c>
      <c r="H11" s="1149"/>
    </row>
    <row r="12" spans="1:8" x14ac:dyDescent="0.35">
      <c r="A12" s="1134">
        <f>A11+1</f>
        <v>2</v>
      </c>
      <c r="B12" s="1147" t="s">
        <v>251</v>
      </c>
      <c r="C12" s="1148" t="s">
        <v>235</v>
      </c>
      <c r="D12" s="1765">
        <v>1.2500000000000001E-2</v>
      </c>
      <c r="E12" s="1765">
        <v>9.2999999999999992E-3</v>
      </c>
      <c r="F12" s="341">
        <f t="shared" ref="F12:F13" si="0">D12+E12</f>
        <v>2.18E-2</v>
      </c>
      <c r="G12" s="1143">
        <f>G11+1</f>
        <v>2</v>
      </c>
      <c r="H12" s="1149"/>
    </row>
    <row r="13" spans="1:8" x14ac:dyDescent="0.35">
      <c r="A13" s="1134">
        <f t="shared" ref="A13:A44" si="1">A12+1</f>
        <v>3</v>
      </c>
      <c r="B13" s="1147" t="s">
        <v>252</v>
      </c>
      <c r="C13" s="1148" t="s">
        <v>253</v>
      </c>
      <c r="D13" s="1765">
        <v>1.38E-2</v>
      </c>
      <c r="E13" s="1765">
        <v>1.03E-2</v>
      </c>
      <c r="F13" s="341">
        <f t="shared" si="0"/>
        <v>2.41E-2</v>
      </c>
      <c r="G13" s="1143">
        <f t="shared" ref="G13:G44" si="2">G12+1</f>
        <v>3</v>
      </c>
      <c r="H13" s="1149"/>
    </row>
    <row r="14" spans="1:8" x14ac:dyDescent="0.35">
      <c r="A14" s="1134">
        <f t="shared" si="1"/>
        <v>4</v>
      </c>
      <c r="B14" s="1150" t="s">
        <v>254</v>
      </c>
      <c r="C14" s="1151" t="s">
        <v>255</v>
      </c>
      <c r="D14" s="1766">
        <v>1.3558933235255061E-2</v>
      </c>
      <c r="E14" s="1766">
        <v>1.0088731564737295E-2</v>
      </c>
      <c r="F14" s="342">
        <f>D14+E14</f>
        <v>2.3647664799992356E-2</v>
      </c>
      <c r="G14" s="1143">
        <f t="shared" si="2"/>
        <v>4</v>
      </c>
      <c r="H14" s="1149"/>
    </row>
    <row r="15" spans="1:8" x14ac:dyDescent="0.35">
      <c r="A15" s="1134">
        <f t="shared" si="1"/>
        <v>5</v>
      </c>
      <c r="B15" s="1147" t="s">
        <v>256</v>
      </c>
      <c r="C15" s="1148" t="s">
        <v>55</v>
      </c>
      <c r="D15" s="1765">
        <v>2.06E-2</v>
      </c>
      <c r="E15" s="1765">
        <v>1.43E-2</v>
      </c>
      <c r="F15" s="341">
        <f t="shared" ref="F15:F18" si="3">D15+E15</f>
        <v>3.49E-2</v>
      </c>
      <c r="G15" s="1143">
        <f t="shared" si="2"/>
        <v>5</v>
      </c>
      <c r="H15" s="1149"/>
    </row>
    <row r="16" spans="1:8" x14ac:dyDescent="0.35">
      <c r="A16" s="1134">
        <f t="shared" si="1"/>
        <v>6</v>
      </c>
      <c r="B16" s="1147" t="s">
        <v>257</v>
      </c>
      <c r="C16" s="1148" t="s">
        <v>235</v>
      </c>
      <c r="D16" s="1765">
        <v>2.0500000000000001E-2</v>
      </c>
      <c r="E16" s="1765">
        <v>1.44E-2</v>
      </c>
      <c r="F16" s="341">
        <f t="shared" si="3"/>
        <v>3.49E-2</v>
      </c>
      <c r="G16" s="1143">
        <f t="shared" si="2"/>
        <v>6</v>
      </c>
      <c r="H16" s="1149"/>
    </row>
    <row r="17" spans="1:8" x14ac:dyDescent="0.35">
      <c r="A17" s="1134">
        <f t="shared" si="1"/>
        <v>7</v>
      </c>
      <c r="B17" s="1147" t="s">
        <v>258</v>
      </c>
      <c r="C17" s="1148" t="s">
        <v>259</v>
      </c>
      <c r="D17" s="1765">
        <v>2.1399999999999999E-2</v>
      </c>
      <c r="E17" s="1765">
        <v>1.4999999999999999E-2</v>
      </c>
      <c r="F17" s="341">
        <f t="shared" si="3"/>
        <v>3.6400000000000002E-2</v>
      </c>
      <c r="G17" s="1143">
        <f t="shared" si="2"/>
        <v>7</v>
      </c>
      <c r="H17" s="1149"/>
    </row>
    <row r="18" spans="1:8" x14ac:dyDescent="0.35">
      <c r="A18" s="1134">
        <f t="shared" si="1"/>
        <v>8</v>
      </c>
      <c r="B18" s="1147" t="s">
        <v>260</v>
      </c>
      <c r="C18" s="1148" t="s">
        <v>253</v>
      </c>
      <c r="D18" s="1765">
        <v>2.0500000000000001E-2</v>
      </c>
      <c r="E18" s="1765">
        <v>1.43E-2</v>
      </c>
      <c r="F18" s="341">
        <f t="shared" si="3"/>
        <v>3.4799999999999998E-2</v>
      </c>
      <c r="G18" s="1143">
        <f t="shared" si="2"/>
        <v>8</v>
      </c>
      <c r="H18" s="1149"/>
    </row>
    <row r="19" spans="1:8" x14ac:dyDescent="0.35">
      <c r="A19" s="1134">
        <f t="shared" si="1"/>
        <v>9</v>
      </c>
      <c r="B19" s="1150" t="s">
        <v>261</v>
      </c>
      <c r="C19" s="1151" t="s">
        <v>262</v>
      </c>
      <c r="D19" s="1766">
        <v>2.0565896238069249E-2</v>
      </c>
      <c r="E19" s="1766">
        <v>1.4316379631147466E-2</v>
      </c>
      <c r="F19" s="342">
        <f>D19+E19</f>
        <v>3.4882275869216717E-2</v>
      </c>
      <c r="G19" s="1143">
        <f t="shared" si="2"/>
        <v>9</v>
      </c>
      <c r="H19" s="1149"/>
    </row>
    <row r="20" spans="1:8" x14ac:dyDescent="0.35">
      <c r="A20" s="1134">
        <f t="shared" si="1"/>
        <v>10</v>
      </c>
      <c r="B20" s="1147" t="s">
        <v>263</v>
      </c>
      <c r="C20" s="1148" t="s">
        <v>55</v>
      </c>
      <c r="D20" s="1765">
        <v>1.35E-2</v>
      </c>
      <c r="E20" s="1765">
        <v>1.01E-2</v>
      </c>
      <c r="F20" s="341">
        <f t="shared" ref="F20:F22" si="4">D20+E20</f>
        <v>2.3599999999999999E-2</v>
      </c>
      <c r="G20" s="1143">
        <f t="shared" si="2"/>
        <v>10</v>
      </c>
      <c r="H20" s="1149"/>
    </row>
    <row r="21" spans="1:8" x14ac:dyDescent="0.35">
      <c r="A21" s="1134">
        <f t="shared" si="1"/>
        <v>11</v>
      </c>
      <c r="B21" s="1147" t="s">
        <v>264</v>
      </c>
      <c r="C21" s="1148" t="s">
        <v>235</v>
      </c>
      <c r="D21" s="1765">
        <v>1.1599999999999999E-2</v>
      </c>
      <c r="E21" s="1765">
        <v>8.6E-3</v>
      </c>
      <c r="F21" s="341">
        <f t="shared" si="4"/>
        <v>2.0199999999999999E-2</v>
      </c>
      <c r="G21" s="1143">
        <f t="shared" si="2"/>
        <v>11</v>
      </c>
      <c r="H21" s="1149"/>
    </row>
    <row r="22" spans="1:8" x14ac:dyDescent="0.35">
      <c r="A22" s="1134">
        <f t="shared" si="1"/>
        <v>12</v>
      </c>
      <c r="B22" s="1147" t="s">
        <v>265</v>
      </c>
      <c r="C22" s="1148" t="s">
        <v>253</v>
      </c>
      <c r="D22" s="1765">
        <v>1.47E-2</v>
      </c>
      <c r="E22" s="1765">
        <v>1.0999999999999999E-2</v>
      </c>
      <c r="F22" s="341">
        <f t="shared" si="4"/>
        <v>2.5700000000000001E-2</v>
      </c>
      <c r="G22" s="1143">
        <f t="shared" si="2"/>
        <v>12</v>
      </c>
      <c r="H22" s="1149"/>
    </row>
    <row r="23" spans="1:8" x14ac:dyDescent="0.35">
      <c r="A23" s="1134">
        <f t="shared" si="1"/>
        <v>13</v>
      </c>
      <c r="B23" s="1150" t="s">
        <v>266</v>
      </c>
      <c r="C23" s="1151" t="s">
        <v>267</v>
      </c>
      <c r="D23" s="1766">
        <v>1.4366780931154384E-2</v>
      </c>
      <c r="E23" s="1766">
        <v>1.0745134466137844E-2</v>
      </c>
      <c r="F23" s="342">
        <f>D23+E23</f>
        <v>2.5111915397292225E-2</v>
      </c>
      <c r="G23" s="1143">
        <f t="shared" si="2"/>
        <v>13</v>
      </c>
      <c r="H23" s="1149"/>
    </row>
    <row r="24" spans="1:8" x14ac:dyDescent="0.35">
      <c r="A24" s="1134">
        <f t="shared" si="1"/>
        <v>14</v>
      </c>
      <c r="B24" s="1147" t="s">
        <v>268</v>
      </c>
      <c r="C24" s="1148" t="s">
        <v>55</v>
      </c>
      <c r="D24" s="1765">
        <v>2.29E-2</v>
      </c>
      <c r="E24" s="1765">
        <v>2.2800000000000001E-2</v>
      </c>
      <c r="F24" s="341">
        <f t="shared" ref="F24:F26" si="5">D24+E24</f>
        <v>4.5700000000000005E-2</v>
      </c>
      <c r="G24" s="1143">
        <f t="shared" si="2"/>
        <v>14</v>
      </c>
      <c r="H24" s="1149"/>
    </row>
    <row r="25" spans="1:8" x14ac:dyDescent="0.35">
      <c r="A25" s="1134">
        <f t="shared" si="1"/>
        <v>15</v>
      </c>
      <c r="B25" s="1147" t="s">
        <v>269</v>
      </c>
      <c r="C25" s="1148" t="s">
        <v>235</v>
      </c>
      <c r="D25" s="1765">
        <v>1.7000000000000001E-2</v>
      </c>
      <c r="E25" s="1765">
        <v>1.7000000000000001E-2</v>
      </c>
      <c r="F25" s="341">
        <f t="shared" si="5"/>
        <v>3.4000000000000002E-2</v>
      </c>
      <c r="G25" s="1143">
        <f t="shared" si="2"/>
        <v>15</v>
      </c>
      <c r="H25" s="1149"/>
    </row>
    <row r="26" spans="1:8" x14ac:dyDescent="0.35">
      <c r="A26" s="1134">
        <f t="shared" si="1"/>
        <v>16</v>
      </c>
      <c r="B26" s="1147" t="s">
        <v>270</v>
      </c>
      <c r="C26" s="1148" t="s">
        <v>253</v>
      </c>
      <c r="D26" s="1765">
        <v>2.2599999999999999E-2</v>
      </c>
      <c r="E26" s="1765">
        <v>2.2499999999999999E-2</v>
      </c>
      <c r="F26" s="341">
        <f t="shared" si="5"/>
        <v>4.5100000000000001E-2</v>
      </c>
      <c r="G26" s="1143">
        <f t="shared" si="2"/>
        <v>16</v>
      </c>
      <c r="H26" s="1149"/>
    </row>
    <row r="27" spans="1:8" x14ac:dyDescent="0.35">
      <c r="A27" s="1134">
        <f t="shared" si="1"/>
        <v>17</v>
      </c>
      <c r="B27" s="1150" t="s">
        <v>271</v>
      </c>
      <c r="C27" s="1151" t="s">
        <v>272</v>
      </c>
      <c r="D27" s="1766">
        <v>2.2798209187326692E-2</v>
      </c>
      <c r="E27" s="1766">
        <v>2.2735885664166448E-2</v>
      </c>
      <c r="F27" s="342">
        <f>D27+E27</f>
        <v>4.5534094851493137E-2</v>
      </c>
      <c r="G27" s="1143">
        <f t="shared" si="2"/>
        <v>17</v>
      </c>
      <c r="H27" s="1149"/>
    </row>
    <row r="28" spans="1:8" x14ac:dyDescent="0.35">
      <c r="A28" s="1134">
        <f t="shared" si="1"/>
        <v>18</v>
      </c>
      <c r="B28" s="1147" t="s">
        <v>273</v>
      </c>
      <c r="C28" s="1148" t="s">
        <v>55</v>
      </c>
      <c r="D28" s="1765">
        <v>1.52E-2</v>
      </c>
      <c r="E28" s="1765">
        <v>1.5100000000000001E-2</v>
      </c>
      <c r="F28" s="341">
        <f t="shared" ref="F28:F30" si="6">D28+E28</f>
        <v>3.0300000000000001E-2</v>
      </c>
      <c r="G28" s="1143">
        <f t="shared" si="2"/>
        <v>18</v>
      </c>
      <c r="H28" s="1149"/>
    </row>
    <row r="29" spans="1:8" x14ac:dyDescent="0.35">
      <c r="A29" s="1134">
        <f t="shared" si="1"/>
        <v>19</v>
      </c>
      <c r="B29" s="1147" t="s">
        <v>274</v>
      </c>
      <c r="C29" s="1148" t="s">
        <v>235</v>
      </c>
      <c r="D29" s="1765">
        <v>7.1000000000000004E-3</v>
      </c>
      <c r="E29" s="1765">
        <v>7.1000000000000004E-3</v>
      </c>
      <c r="F29" s="341">
        <f t="shared" si="6"/>
        <v>1.4200000000000001E-2</v>
      </c>
      <c r="G29" s="1143">
        <f t="shared" si="2"/>
        <v>19</v>
      </c>
      <c r="H29" s="1149"/>
    </row>
    <row r="30" spans="1:8" x14ac:dyDescent="0.35">
      <c r="A30" s="1134">
        <f t="shared" si="1"/>
        <v>20</v>
      </c>
      <c r="B30" s="1147" t="s">
        <v>275</v>
      </c>
      <c r="C30" s="1148" t="s">
        <v>253</v>
      </c>
      <c r="D30" s="1765">
        <v>1.61E-2</v>
      </c>
      <c r="E30" s="1765">
        <v>1.61E-2</v>
      </c>
      <c r="F30" s="341">
        <f t="shared" si="6"/>
        <v>3.2199999999999999E-2</v>
      </c>
      <c r="G30" s="1143">
        <f t="shared" si="2"/>
        <v>20</v>
      </c>
      <c r="H30" s="1149"/>
    </row>
    <row r="31" spans="1:8" x14ac:dyDescent="0.35">
      <c r="A31" s="1134">
        <f t="shared" si="1"/>
        <v>21</v>
      </c>
      <c r="B31" s="1150" t="s">
        <v>276</v>
      </c>
      <c r="C31" s="1151" t="s">
        <v>277</v>
      </c>
      <c r="D31" s="1766">
        <v>1.4925123424026843E-2</v>
      </c>
      <c r="E31" s="1766">
        <v>1.4861809187744417E-2</v>
      </c>
      <c r="F31" s="342">
        <f>D31+E31</f>
        <v>2.9786932611771261E-2</v>
      </c>
      <c r="G31" s="1143">
        <f t="shared" si="2"/>
        <v>21</v>
      </c>
      <c r="H31" s="1149"/>
    </row>
    <row r="32" spans="1:8" x14ac:dyDescent="0.35">
      <c r="A32" s="1134">
        <f t="shared" si="1"/>
        <v>22</v>
      </c>
      <c r="B32" s="1147" t="s">
        <v>278</v>
      </c>
      <c r="C32" s="1148" t="s">
        <v>279</v>
      </c>
      <c r="D32" s="1765">
        <v>1.6500000000000001E-2</v>
      </c>
      <c r="E32" s="1765">
        <v>4.8999999999999998E-3</v>
      </c>
      <c r="F32" s="341">
        <f t="shared" ref="F32:F33" si="7">D32+E32</f>
        <v>2.1400000000000002E-2</v>
      </c>
      <c r="G32" s="1143">
        <f t="shared" si="2"/>
        <v>22</v>
      </c>
      <c r="H32" s="1149"/>
    </row>
    <row r="33" spans="1:8" x14ac:dyDescent="0.35">
      <c r="A33" s="1134">
        <f t="shared" si="1"/>
        <v>23</v>
      </c>
      <c r="B33" s="1147" t="s">
        <v>280</v>
      </c>
      <c r="C33" s="1148" t="s">
        <v>281</v>
      </c>
      <c r="D33" s="1765">
        <v>1.6899999999999998E-2</v>
      </c>
      <c r="E33" s="1765">
        <v>5.1000000000000004E-3</v>
      </c>
      <c r="F33" s="341">
        <f t="shared" si="7"/>
        <v>2.1999999999999999E-2</v>
      </c>
      <c r="G33" s="1143">
        <f t="shared" si="2"/>
        <v>23</v>
      </c>
      <c r="H33" s="1149"/>
    </row>
    <row r="34" spans="1:8" x14ac:dyDescent="0.35">
      <c r="A34" s="1134">
        <f t="shared" si="1"/>
        <v>24</v>
      </c>
      <c r="B34" s="1150" t="s">
        <v>282</v>
      </c>
      <c r="C34" s="1151" t="s">
        <v>283</v>
      </c>
      <c r="D34" s="1766">
        <v>1.6526218623288198E-2</v>
      </c>
      <c r="E34" s="1766">
        <v>4.9289695845477878E-3</v>
      </c>
      <c r="F34" s="342">
        <f>D34+E34</f>
        <v>2.1455188207835985E-2</v>
      </c>
      <c r="G34" s="1143">
        <f t="shared" si="2"/>
        <v>24</v>
      </c>
      <c r="H34" s="1149"/>
    </row>
    <row r="35" spans="1:8" x14ac:dyDescent="0.35">
      <c r="A35" s="1134">
        <f t="shared" si="1"/>
        <v>25</v>
      </c>
      <c r="B35" s="1147" t="s">
        <v>284</v>
      </c>
      <c r="C35" s="1148" t="s">
        <v>279</v>
      </c>
      <c r="D35" s="1765">
        <v>1.9400000000000001E-2</v>
      </c>
      <c r="E35" s="1765">
        <v>1.9E-3</v>
      </c>
      <c r="F35" s="341">
        <f t="shared" ref="F35:F36" si="8">D35+E35</f>
        <v>2.1299999999999999E-2</v>
      </c>
      <c r="G35" s="1143">
        <f t="shared" si="2"/>
        <v>25</v>
      </c>
      <c r="H35" s="1149"/>
    </row>
    <row r="36" spans="1:8" x14ac:dyDescent="0.35">
      <c r="A36" s="1134">
        <f t="shared" si="1"/>
        <v>26</v>
      </c>
      <c r="B36" s="1147" t="s">
        <v>285</v>
      </c>
      <c r="C36" s="1148" t="s">
        <v>281</v>
      </c>
      <c r="D36" s="1765">
        <v>1.9900000000000001E-2</v>
      </c>
      <c r="E36" s="1765">
        <v>2E-3</v>
      </c>
      <c r="F36" s="341">
        <f t="shared" si="8"/>
        <v>2.1900000000000003E-2</v>
      </c>
      <c r="G36" s="1143">
        <f t="shared" si="2"/>
        <v>26</v>
      </c>
      <c r="H36" s="1149"/>
    </row>
    <row r="37" spans="1:8" x14ac:dyDescent="0.35">
      <c r="A37" s="1134">
        <f t="shared" si="1"/>
        <v>27</v>
      </c>
      <c r="B37" s="1150" t="s">
        <v>286</v>
      </c>
      <c r="C37" s="1151" t="s">
        <v>287</v>
      </c>
      <c r="D37" s="1766">
        <v>1.948367166982156E-2</v>
      </c>
      <c r="E37" s="1766">
        <v>1.9223312561658309E-3</v>
      </c>
      <c r="F37" s="342">
        <f>D37+E37</f>
        <v>2.1406002925987391E-2</v>
      </c>
      <c r="G37" s="1143">
        <f t="shared" si="2"/>
        <v>27</v>
      </c>
      <c r="H37" s="1149"/>
    </row>
    <row r="38" spans="1:8" x14ac:dyDescent="0.35">
      <c r="A38" s="1134">
        <f t="shared" si="1"/>
        <v>28</v>
      </c>
      <c r="B38" s="1147" t="s">
        <v>288</v>
      </c>
      <c r="C38" s="1148" t="s">
        <v>55</v>
      </c>
      <c r="D38" s="1765">
        <v>1.6899999999999998E-2</v>
      </c>
      <c r="E38" s="1765">
        <v>0</v>
      </c>
      <c r="F38" s="341">
        <f t="shared" ref="F38:F40" si="9">D38+E38</f>
        <v>1.6899999999999998E-2</v>
      </c>
      <c r="G38" s="1143">
        <f t="shared" si="2"/>
        <v>28</v>
      </c>
      <c r="H38" s="1149"/>
    </row>
    <row r="39" spans="1:8" x14ac:dyDescent="0.35">
      <c r="A39" s="1134">
        <f t="shared" si="1"/>
        <v>29</v>
      </c>
      <c r="B39" s="1147" t="s">
        <v>289</v>
      </c>
      <c r="C39" s="1148" t="s">
        <v>235</v>
      </c>
      <c r="D39" s="1765">
        <v>1.5100000000000001E-2</v>
      </c>
      <c r="E39" s="1765">
        <v>0</v>
      </c>
      <c r="F39" s="341">
        <f t="shared" si="9"/>
        <v>1.5100000000000001E-2</v>
      </c>
      <c r="G39" s="1143">
        <f t="shared" si="2"/>
        <v>29</v>
      </c>
      <c r="H39" s="1149"/>
    </row>
    <row r="40" spans="1:8" x14ac:dyDescent="0.35">
      <c r="A40" s="1134">
        <f t="shared" si="1"/>
        <v>30</v>
      </c>
      <c r="B40" s="1147" t="s">
        <v>290</v>
      </c>
      <c r="C40" s="1148" t="s">
        <v>253</v>
      </c>
      <c r="D40" s="1765">
        <v>1.66E-2</v>
      </c>
      <c r="E40" s="1765">
        <v>0</v>
      </c>
      <c r="F40" s="341">
        <f t="shared" si="9"/>
        <v>1.66E-2</v>
      </c>
      <c r="G40" s="1143">
        <f t="shared" si="2"/>
        <v>30</v>
      </c>
      <c r="H40" s="1149"/>
    </row>
    <row r="41" spans="1:8" x14ac:dyDescent="0.35">
      <c r="A41" s="1134">
        <f t="shared" si="1"/>
        <v>31</v>
      </c>
      <c r="B41" s="1150" t="s">
        <v>291</v>
      </c>
      <c r="C41" s="1151" t="s">
        <v>94</v>
      </c>
      <c r="D41" s="1766">
        <v>1.665289952849431E-2</v>
      </c>
      <c r="E41" s="1766">
        <v>0</v>
      </c>
      <c r="F41" s="342">
        <f>D41+E41</f>
        <v>1.665289952849431E-2</v>
      </c>
      <c r="G41" s="1143">
        <f t="shared" si="2"/>
        <v>31</v>
      </c>
      <c r="H41" s="1149"/>
    </row>
    <row r="42" spans="1:8" x14ac:dyDescent="0.35">
      <c r="A42" s="1134">
        <f t="shared" si="1"/>
        <v>32</v>
      </c>
      <c r="B42" s="1152"/>
      <c r="C42" s="1153"/>
      <c r="D42" s="343"/>
      <c r="E42" s="343"/>
      <c r="F42" s="344"/>
      <c r="G42" s="1143">
        <f t="shared" si="2"/>
        <v>32</v>
      </c>
      <c r="H42" s="1149"/>
    </row>
    <row r="43" spans="1:8" x14ac:dyDescent="0.35">
      <c r="A43" s="1134">
        <f t="shared" si="1"/>
        <v>33</v>
      </c>
      <c r="B43" s="2301" t="s">
        <v>292</v>
      </c>
      <c r="C43" s="2302"/>
      <c r="D43" s="1766">
        <v>1.8045048689984067E-2</v>
      </c>
      <c r="E43" s="1766">
        <v>1.2110728961469936E-2</v>
      </c>
      <c r="F43" s="342">
        <f>D43+E43</f>
        <v>3.0155777651454004E-2</v>
      </c>
      <c r="G43" s="1143">
        <f t="shared" si="2"/>
        <v>33</v>
      </c>
      <c r="H43" s="1149"/>
    </row>
    <row r="44" spans="1:8" x14ac:dyDescent="0.35">
      <c r="A44" s="1134">
        <f t="shared" si="1"/>
        <v>34</v>
      </c>
      <c r="B44" s="1152"/>
      <c r="C44" s="1153"/>
      <c r="D44" s="343"/>
      <c r="E44" s="343"/>
      <c r="F44" s="344"/>
      <c r="G44" s="1143">
        <f t="shared" si="2"/>
        <v>34</v>
      </c>
      <c r="H44" s="1133"/>
    </row>
    <row r="45" spans="1:8" x14ac:dyDescent="0.35">
      <c r="B45" s="1133"/>
      <c r="C45" s="1133"/>
      <c r="D45" s="1154"/>
      <c r="E45" s="1154"/>
      <c r="F45" s="1154"/>
      <c r="G45" s="1154"/>
      <c r="H45" s="1133"/>
    </row>
    <row r="46" spans="1:8" ht="18" x14ac:dyDescent="0.35">
      <c r="A46" s="1155"/>
      <c r="B46" s="1133" t="s">
        <v>1424</v>
      </c>
    </row>
    <row r="47" spans="1:8" x14ac:dyDescent="0.35">
      <c r="B47" s="1132" t="s">
        <v>826</v>
      </c>
      <c r="D47" s="1157"/>
      <c r="E47" s="1157"/>
    </row>
    <row r="48" spans="1:8" x14ac:dyDescent="0.35">
      <c r="B48" s="1132" t="s">
        <v>1206</v>
      </c>
      <c r="D48" s="747"/>
      <c r="E48" s="1158"/>
    </row>
  </sheetData>
  <mergeCells count="6">
    <mergeCell ref="B43:C43"/>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Roman,Regular"&amp;10Transmission Plant Depreciation Rates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L37"/>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11" style="88" customWidth="1"/>
    <col min="7" max="7" width="7.08984375" style="88" customWidth="1"/>
    <col min="8" max="8" width="9.08984375" style="88" customWidth="1"/>
    <col min="9" max="9" width="14" style="88" customWidth="1"/>
    <col min="10" max="10" width="13.453125" style="88" customWidth="1"/>
    <col min="11" max="16384" width="9.08984375" style="88"/>
  </cols>
  <sheetData>
    <row r="2" spans="1:5" x14ac:dyDescent="0.35">
      <c r="B2" s="2289" t="s">
        <v>18</v>
      </c>
      <c r="C2" s="2289"/>
      <c r="D2" s="2289"/>
    </row>
    <row r="3" spans="1:5" x14ac:dyDescent="0.35">
      <c r="B3" s="2289" t="s">
        <v>226</v>
      </c>
      <c r="C3" s="2289"/>
      <c r="D3" s="2289"/>
    </row>
    <row r="4" spans="1:5" x14ac:dyDescent="0.35">
      <c r="B4" s="2289" t="s">
        <v>233</v>
      </c>
      <c r="C4" s="2289"/>
      <c r="D4" s="2289"/>
    </row>
    <row r="5" spans="1:5" x14ac:dyDescent="0.35">
      <c r="B5" s="2289" t="s">
        <v>1590</v>
      </c>
      <c r="C5" s="2289"/>
      <c r="D5" s="2289"/>
    </row>
    <row r="6" spans="1:5" x14ac:dyDescent="0.35">
      <c r="B6" s="2292" t="s">
        <v>2</v>
      </c>
      <c r="C6" s="2292"/>
      <c r="D6" s="2292"/>
    </row>
    <row r="7" spans="1:5" x14ac:dyDescent="0.35">
      <c r="B7" s="752"/>
      <c r="C7" s="752"/>
      <c r="D7" s="752"/>
    </row>
    <row r="8" spans="1:5" x14ac:dyDescent="0.35">
      <c r="B8" s="2289" t="s">
        <v>21</v>
      </c>
      <c r="C8" s="2289"/>
      <c r="D8" s="2289"/>
    </row>
    <row r="10" spans="1:5" x14ac:dyDescent="0.35">
      <c r="B10" s="756"/>
      <c r="C10" s="929" t="s">
        <v>164</v>
      </c>
      <c r="D10" s="896"/>
    </row>
    <row r="11" spans="1:5" ht="15.5" x14ac:dyDescent="0.35">
      <c r="A11" s="182"/>
      <c r="B11" s="799"/>
      <c r="C11" s="799" t="s">
        <v>293</v>
      </c>
      <c r="D11" s="844"/>
      <c r="E11" s="1563"/>
    </row>
    <row r="12" spans="1:5" ht="15.5" x14ac:dyDescent="0.35">
      <c r="A12" s="182" t="s">
        <v>3</v>
      </c>
      <c r="B12" s="799"/>
      <c r="C12" s="799" t="s">
        <v>58</v>
      </c>
      <c r="D12" s="844"/>
      <c r="E12" s="1563" t="s">
        <v>3</v>
      </c>
    </row>
    <row r="13" spans="1:5" ht="15.5" x14ac:dyDescent="0.35">
      <c r="A13" s="182" t="s">
        <v>25</v>
      </c>
      <c r="B13" s="766" t="s">
        <v>23</v>
      </c>
      <c r="C13" s="766" t="s">
        <v>228</v>
      </c>
      <c r="D13" s="766" t="s">
        <v>9</v>
      </c>
      <c r="E13" s="1563" t="s">
        <v>25</v>
      </c>
    </row>
    <row r="14" spans="1:5" ht="15.5" x14ac:dyDescent="0.35">
      <c r="A14" s="182"/>
      <c r="B14" s="1159"/>
      <c r="C14" s="886"/>
      <c r="D14" s="897"/>
      <c r="E14" s="1563"/>
    </row>
    <row r="15" spans="1:5" ht="15.5" x14ac:dyDescent="0.35">
      <c r="A15" s="182">
        <v>1</v>
      </c>
      <c r="B15" s="1160" t="str">
        <f>'AG-1'!B26</f>
        <v>Dec-21</v>
      </c>
      <c r="C15" s="1742">
        <v>15043.789330000001</v>
      </c>
      <c r="D15" s="770" t="s">
        <v>1778</v>
      </c>
      <c r="E15" s="1563">
        <f>A15</f>
        <v>1</v>
      </c>
    </row>
    <row r="16" spans="1:5" ht="15.5" x14ac:dyDescent="0.35">
      <c r="A16" s="182">
        <f>A15+1</f>
        <v>2</v>
      </c>
      <c r="B16" s="781"/>
      <c r="C16" s="809"/>
      <c r="D16" s="809"/>
      <c r="E16" s="1563">
        <f>E15+1</f>
        <v>2</v>
      </c>
    </row>
    <row r="17" spans="1:12" ht="15.5" x14ac:dyDescent="0.35">
      <c r="A17" s="182"/>
      <c r="B17" s="79"/>
      <c r="C17" s="895"/>
      <c r="D17" s="79"/>
    </row>
    <row r="18" spans="1:12" ht="15.5" x14ac:dyDescent="0.35">
      <c r="B18" s="79"/>
      <c r="C18" s="79"/>
      <c r="D18" s="79"/>
    </row>
    <row r="19" spans="1:12" ht="15.5" x14ac:dyDescent="0.35">
      <c r="B19" s="79"/>
      <c r="C19" s="79"/>
      <c r="D19" s="79"/>
      <c r="L19" s="90"/>
    </row>
    <row r="20" spans="1:12" ht="15.5" x14ac:dyDescent="0.35">
      <c r="B20" s="79"/>
      <c r="C20" s="79"/>
      <c r="D20" s="79"/>
    </row>
    <row r="21" spans="1:12" ht="15.5" x14ac:dyDescent="0.35">
      <c r="B21" s="79"/>
      <c r="C21" s="79"/>
      <c r="D21" s="79"/>
    </row>
    <row r="22" spans="1:12" ht="15.5" x14ac:dyDescent="0.35">
      <c r="B22" s="79"/>
      <c r="C22" s="79"/>
      <c r="D22" s="79"/>
    </row>
    <row r="23" spans="1:12" ht="15.5" x14ac:dyDescent="0.35">
      <c r="B23" s="79"/>
      <c r="C23" s="79"/>
      <c r="D23" s="79"/>
    </row>
    <row r="24" spans="1:12" ht="15.5" x14ac:dyDescent="0.35">
      <c r="B24" s="79"/>
      <c r="C24" s="79"/>
      <c r="D24" s="79"/>
    </row>
    <row r="25" spans="1:12" ht="15.5" x14ac:dyDescent="0.35">
      <c r="B25" s="79"/>
      <c r="C25" s="79"/>
      <c r="D25" s="79"/>
    </row>
    <row r="26" spans="1:12" ht="15.5" x14ac:dyDescent="0.35">
      <c r="B26" s="79"/>
      <c r="C26" s="79"/>
      <c r="D26" s="79"/>
    </row>
    <row r="27" spans="1:12" ht="15.5" x14ac:dyDescent="0.35">
      <c r="B27" s="79"/>
      <c r="C27" s="79"/>
      <c r="D27" s="79"/>
    </row>
    <row r="28" spans="1:12" ht="15.5" x14ac:dyDescent="0.35">
      <c r="B28" s="79"/>
      <c r="C28" s="79"/>
      <c r="D28" s="79"/>
    </row>
    <row r="29" spans="1:12" ht="15.5" x14ac:dyDescent="0.35">
      <c r="B29" s="79"/>
      <c r="C29" s="79"/>
      <c r="D29" s="79"/>
    </row>
    <row r="30" spans="1:12" ht="15.5" x14ac:dyDescent="0.35">
      <c r="B30" s="79"/>
      <c r="C30" s="79"/>
      <c r="D30" s="79"/>
    </row>
    <row r="31" spans="1:12" s="79" customFormat="1" ht="15.5" x14ac:dyDescent="0.35">
      <c r="A31" s="182"/>
      <c r="E31" s="1563"/>
    </row>
    <row r="32" spans="1:12" s="79" customFormat="1" ht="15.5" x14ac:dyDescent="0.35">
      <c r="A32" s="182"/>
      <c r="E32" s="1563"/>
    </row>
    <row r="33" spans="1:5" s="79" customFormat="1" ht="15.5" x14ac:dyDescent="0.35">
      <c r="A33" s="182"/>
      <c r="E33" s="1563"/>
    </row>
    <row r="34" spans="1:5" s="79" customFormat="1" ht="15.5" x14ac:dyDescent="0.35">
      <c r="A34" s="182"/>
      <c r="E34" s="1563"/>
    </row>
    <row r="35" spans="1:5" s="79" customFormat="1" ht="15.5" x14ac:dyDescent="0.35">
      <c r="A35" s="182"/>
      <c r="E35" s="1563"/>
    </row>
    <row r="36" spans="1:5" s="79" customFormat="1" ht="15.5" x14ac:dyDescent="0.35">
      <c r="A36" s="182"/>
      <c r="E36" s="1563"/>
    </row>
    <row r="37" spans="1:5" s="79" customFormat="1" ht="15.5" x14ac:dyDescent="0.35">
      <c r="A37" s="182"/>
      <c r="E37"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1"/>
  <sheetViews>
    <sheetView zoomScale="80" zoomScaleNormal="80" workbookViewId="0"/>
  </sheetViews>
  <sheetFormatPr defaultColWidth="8.90625" defaultRowHeight="15.5" x14ac:dyDescent="0.35"/>
  <cols>
    <col min="1" max="1" width="5.08984375" style="1563" customWidth="1"/>
    <col min="2" max="2" width="15.08984375" style="182" customWidth="1"/>
    <col min="3" max="3" width="50.90625" style="79" customWidth="1"/>
    <col min="4" max="4" width="16.90625" style="182" customWidth="1"/>
    <col min="5" max="5" width="5.08984375" style="79" customWidth="1"/>
    <col min="6" max="16384" width="8.90625" style="79"/>
  </cols>
  <sheetData>
    <row r="1" spans="1:8" x14ac:dyDescent="0.35">
      <c r="B1" s="728"/>
      <c r="C1" s="728"/>
      <c r="D1" s="728"/>
      <c r="E1" s="728"/>
      <c r="F1" s="728"/>
    </row>
    <row r="2" spans="1:8" x14ac:dyDescent="0.35">
      <c r="B2" s="2289" t="s">
        <v>18</v>
      </c>
      <c r="C2" s="2295"/>
      <c r="D2" s="2295"/>
      <c r="E2" s="728"/>
      <c r="F2" s="728"/>
      <c r="G2" s="728"/>
      <c r="H2" s="728"/>
    </row>
    <row r="3" spans="1:8" x14ac:dyDescent="0.35">
      <c r="B3" s="2289" t="s">
        <v>225</v>
      </c>
      <c r="C3" s="2295"/>
      <c r="D3" s="2295"/>
      <c r="E3" s="728"/>
      <c r="F3" s="728"/>
      <c r="G3" s="728"/>
      <c r="H3" s="728"/>
    </row>
    <row r="4" spans="1:8" x14ac:dyDescent="0.35">
      <c r="B4" s="2289" t="s">
        <v>1425</v>
      </c>
      <c r="C4" s="2295"/>
      <c r="D4" s="2295"/>
      <c r="E4" s="728"/>
      <c r="F4" s="728"/>
      <c r="G4" s="728"/>
      <c r="H4" s="728"/>
    </row>
    <row r="5" spans="1:8" x14ac:dyDescent="0.35">
      <c r="B5" s="2279" t="s">
        <v>1649</v>
      </c>
      <c r="C5" s="2303"/>
      <c r="D5" s="2303"/>
      <c r="E5" s="728"/>
      <c r="F5" s="728"/>
      <c r="G5" s="728"/>
      <c r="H5" s="728"/>
    </row>
    <row r="7" spans="1:8" x14ac:dyDescent="0.35">
      <c r="A7" s="1149" t="s">
        <v>3</v>
      </c>
      <c r="B7" s="840" t="s">
        <v>164</v>
      </c>
      <c r="C7" s="1161"/>
      <c r="D7" s="1162" t="s">
        <v>294</v>
      </c>
      <c r="E7" s="1149" t="s">
        <v>3</v>
      </c>
    </row>
    <row r="8" spans="1:8" s="88" customFormat="1" x14ac:dyDescent="0.35">
      <c r="A8" s="1149" t="s">
        <v>25</v>
      </c>
      <c r="B8" s="766" t="s">
        <v>295</v>
      </c>
      <c r="C8" s="1163" t="s">
        <v>296</v>
      </c>
      <c r="D8" s="1164" t="s">
        <v>784</v>
      </c>
      <c r="E8" s="1149" t="s">
        <v>25</v>
      </c>
    </row>
    <row r="9" spans="1:8" x14ac:dyDescent="0.35">
      <c r="A9" s="345"/>
      <c r="B9" s="525"/>
      <c r="C9" s="81"/>
      <c r="D9" s="525"/>
      <c r="E9" s="345"/>
    </row>
    <row r="10" spans="1:8" x14ac:dyDescent="0.35">
      <c r="A10" s="345">
        <v>1</v>
      </c>
      <c r="B10" s="1165"/>
      <c r="C10" s="1166" t="s">
        <v>297</v>
      </c>
      <c r="D10" s="1167"/>
      <c r="E10" s="345">
        <f>A10</f>
        <v>1</v>
      </c>
    </row>
    <row r="11" spans="1:8" x14ac:dyDescent="0.35">
      <c r="A11" s="345">
        <f>A10+1</f>
        <v>2</v>
      </c>
      <c r="B11" s="1168" t="s">
        <v>298</v>
      </c>
      <c r="C11" s="1169" t="s">
        <v>299</v>
      </c>
      <c r="D11" s="1170" t="s">
        <v>300</v>
      </c>
      <c r="E11" s="345">
        <f>E10+1</f>
        <v>2</v>
      </c>
    </row>
    <row r="12" spans="1:8" x14ac:dyDescent="0.35">
      <c r="A12" s="345">
        <f t="shared" ref="A12:A15" si="0">A11+1</f>
        <v>3</v>
      </c>
      <c r="B12" s="1171" t="s">
        <v>301</v>
      </c>
      <c r="C12" s="1172" t="s">
        <v>302</v>
      </c>
      <c r="D12" s="1173" t="s">
        <v>303</v>
      </c>
      <c r="E12" s="345">
        <f t="shared" ref="E12:E16" si="1">E11+1</f>
        <v>3</v>
      </c>
    </row>
    <row r="13" spans="1:8" x14ac:dyDescent="0.35">
      <c r="A13" s="345">
        <f t="shared" si="0"/>
        <v>4</v>
      </c>
      <c r="B13" s="525"/>
      <c r="C13" s="81"/>
      <c r="D13" s="525"/>
      <c r="E13" s="345">
        <f t="shared" si="1"/>
        <v>4</v>
      </c>
    </row>
    <row r="14" spans="1:8" x14ac:dyDescent="0.35">
      <c r="A14" s="345">
        <f t="shared" si="0"/>
        <v>5</v>
      </c>
      <c r="B14" s="876"/>
      <c r="C14" s="1174" t="s">
        <v>304</v>
      </c>
      <c r="D14" s="876"/>
      <c r="E14" s="345">
        <f t="shared" si="1"/>
        <v>5</v>
      </c>
    </row>
    <row r="15" spans="1:8" x14ac:dyDescent="0.35">
      <c r="A15" s="345">
        <f t="shared" si="0"/>
        <v>6</v>
      </c>
      <c r="B15" s="1171" t="s">
        <v>305</v>
      </c>
      <c r="C15" s="1172" t="s">
        <v>306</v>
      </c>
      <c r="D15" s="1173" t="s">
        <v>307</v>
      </c>
      <c r="E15" s="345">
        <f t="shared" si="1"/>
        <v>6</v>
      </c>
    </row>
    <row r="16" spans="1:8" x14ac:dyDescent="0.35">
      <c r="A16" s="345">
        <f>A15+1</f>
        <v>7</v>
      </c>
      <c r="B16" s="1175"/>
      <c r="C16" s="1176"/>
      <c r="D16" s="1177"/>
      <c r="E16" s="345">
        <f t="shared" si="1"/>
        <v>7</v>
      </c>
    </row>
    <row r="17" spans="1:5" x14ac:dyDescent="0.35">
      <c r="B17" s="1178"/>
      <c r="C17" s="1179"/>
      <c r="D17" s="1180"/>
    </row>
    <row r="18" spans="1:5" ht="18" x14ac:dyDescent="0.35">
      <c r="A18" s="750"/>
      <c r="B18" s="1767" t="s">
        <v>838</v>
      </c>
      <c r="C18" s="1724"/>
      <c r="D18" s="1768"/>
      <c r="E18" s="1724"/>
    </row>
    <row r="19" spans="1:5" x14ac:dyDescent="0.35">
      <c r="B19" s="1724" t="s">
        <v>841</v>
      </c>
      <c r="C19" s="1724"/>
      <c r="D19" s="1725"/>
      <c r="E19" s="1724"/>
    </row>
    <row r="20" spans="1:5" x14ac:dyDescent="0.35">
      <c r="B20" s="1723" t="s">
        <v>839</v>
      </c>
      <c r="C20" s="1724"/>
      <c r="D20" s="1725"/>
      <c r="E20" s="1724"/>
    </row>
    <row r="21" spans="1:5" x14ac:dyDescent="0.35">
      <c r="B21" s="85" t="s">
        <v>840</v>
      </c>
      <c r="C21" s="1724"/>
      <c r="D21" s="1725"/>
      <c r="E21" s="1724"/>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L37"/>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8.54296875" style="88" customWidth="1"/>
    <col min="4" max="4" width="62.54296875" style="88" customWidth="1"/>
    <col min="5" max="5" width="5.08984375" style="1561" customWidth="1"/>
    <col min="6" max="6" width="11" style="88" customWidth="1"/>
    <col min="7" max="7" width="7.08984375" style="88" customWidth="1"/>
    <col min="8" max="8" width="9.08984375" style="88" customWidth="1"/>
    <col min="9" max="9" width="14" style="88" customWidth="1"/>
    <col min="10" max="10" width="13.453125" style="88" customWidth="1"/>
    <col min="11" max="16384" width="9.08984375" style="88"/>
  </cols>
  <sheetData>
    <row r="2" spans="1:5" x14ac:dyDescent="0.35">
      <c r="B2" s="2289" t="s">
        <v>18</v>
      </c>
      <c r="C2" s="2289"/>
      <c r="D2" s="2289"/>
    </row>
    <row r="3" spans="1:5" x14ac:dyDescent="0.35">
      <c r="B3" s="2289" t="s">
        <v>226</v>
      </c>
      <c r="C3" s="2289"/>
      <c r="D3" s="2289"/>
    </row>
    <row r="4" spans="1:5" x14ac:dyDescent="0.35">
      <c r="B4" s="2289" t="s">
        <v>233</v>
      </c>
      <c r="C4" s="2289"/>
      <c r="D4" s="2289"/>
    </row>
    <row r="5" spans="1:5" x14ac:dyDescent="0.35">
      <c r="B5" s="2289" t="s">
        <v>1590</v>
      </c>
      <c r="C5" s="2289"/>
      <c r="D5" s="2289"/>
    </row>
    <row r="6" spans="1:5" x14ac:dyDescent="0.35">
      <c r="B6" s="2292" t="s">
        <v>2</v>
      </c>
      <c r="C6" s="2292"/>
      <c r="D6" s="2292"/>
    </row>
    <row r="7" spans="1:5" x14ac:dyDescent="0.35">
      <c r="B7" s="752"/>
      <c r="C7" s="752"/>
      <c r="D7" s="752"/>
    </row>
    <row r="8" spans="1:5" x14ac:dyDescent="0.35">
      <c r="B8" s="2289" t="s">
        <v>98</v>
      </c>
      <c r="C8" s="2289"/>
      <c r="D8" s="2289"/>
    </row>
    <row r="10" spans="1:5" ht="15.5" x14ac:dyDescent="0.35">
      <c r="B10" s="756"/>
      <c r="C10" s="929" t="s">
        <v>164</v>
      </c>
      <c r="D10" s="896"/>
      <c r="E10" s="1563"/>
    </row>
    <row r="11" spans="1:5" ht="15.5" x14ac:dyDescent="0.35">
      <c r="A11" s="182"/>
      <c r="B11" s="799"/>
      <c r="C11" s="799" t="s">
        <v>310</v>
      </c>
      <c r="D11" s="844"/>
      <c r="E11" s="1563"/>
    </row>
    <row r="12" spans="1:5" ht="15.5" x14ac:dyDescent="0.35">
      <c r="A12" s="182" t="s">
        <v>3</v>
      </c>
      <c r="B12" s="799"/>
      <c r="C12" s="799" t="s">
        <v>58</v>
      </c>
      <c r="D12" s="844"/>
      <c r="E12" s="1563" t="s">
        <v>3</v>
      </c>
    </row>
    <row r="13" spans="1:5" ht="15.5" x14ac:dyDescent="0.35">
      <c r="A13" s="182" t="s">
        <v>25</v>
      </c>
      <c r="B13" s="766" t="s">
        <v>23</v>
      </c>
      <c r="C13" s="766" t="s">
        <v>228</v>
      </c>
      <c r="D13" s="766" t="s">
        <v>9</v>
      </c>
      <c r="E13" s="1563" t="s">
        <v>25</v>
      </c>
    </row>
    <row r="14" spans="1:5" ht="15.5" x14ac:dyDescent="0.35">
      <c r="A14" s="182"/>
      <c r="B14" s="1159"/>
      <c r="C14" s="886"/>
      <c r="D14" s="897"/>
      <c r="E14" s="1563"/>
    </row>
    <row r="15" spans="1:5" ht="15.5" x14ac:dyDescent="0.35">
      <c r="A15" s="182">
        <v>1</v>
      </c>
      <c r="B15" s="1160" t="str">
        <f>'AJ-2'!B15</f>
        <v>Dec-21</v>
      </c>
      <c r="C15" s="1742">
        <v>22351.710289999999</v>
      </c>
      <c r="D15" s="823" t="s">
        <v>1779</v>
      </c>
      <c r="E15" s="1563">
        <f>A15</f>
        <v>1</v>
      </c>
    </row>
    <row r="16" spans="1:5" ht="15.5" x14ac:dyDescent="0.35">
      <c r="A16" s="182">
        <f>A15+1</f>
        <v>2</v>
      </c>
      <c r="B16" s="781"/>
      <c r="C16" s="809"/>
      <c r="D16" s="809"/>
      <c r="E16" s="1563">
        <f>E15+1</f>
        <v>2</v>
      </c>
    </row>
    <row r="17" spans="1:12" ht="15.5" x14ac:dyDescent="0.35">
      <c r="A17" s="182"/>
      <c r="B17" s="79"/>
      <c r="C17" s="895"/>
      <c r="D17" s="79"/>
      <c r="E17" s="1563"/>
    </row>
    <row r="18" spans="1:12" ht="15.5" x14ac:dyDescent="0.35">
      <c r="B18" s="79"/>
      <c r="C18" s="79"/>
      <c r="D18" s="79"/>
    </row>
    <row r="19" spans="1:12" ht="15.5" x14ac:dyDescent="0.35">
      <c r="B19" s="79"/>
      <c r="C19" s="79"/>
      <c r="D19" s="79"/>
      <c r="L19" s="90"/>
    </row>
    <row r="20" spans="1:12" ht="15.5" x14ac:dyDescent="0.35">
      <c r="B20" s="79"/>
      <c r="C20" s="79"/>
      <c r="D20" s="79"/>
    </row>
    <row r="21" spans="1:12" ht="15.5" x14ac:dyDescent="0.35">
      <c r="B21" s="79"/>
      <c r="C21" s="79"/>
      <c r="D21" s="79"/>
    </row>
    <row r="22" spans="1:12" ht="15.5" x14ac:dyDescent="0.35">
      <c r="B22" s="79"/>
      <c r="C22" s="79"/>
      <c r="D22" s="79"/>
    </row>
    <row r="23" spans="1:12" ht="15.5" x14ac:dyDescent="0.35">
      <c r="B23" s="79"/>
      <c r="C23" s="79"/>
      <c r="D23" s="79"/>
    </row>
    <row r="24" spans="1:12" ht="15.5" x14ac:dyDescent="0.35">
      <c r="B24" s="79"/>
      <c r="C24" s="79"/>
      <c r="D24" s="79"/>
    </row>
    <row r="25" spans="1:12" ht="15.5" x14ac:dyDescent="0.35">
      <c r="B25" s="79"/>
      <c r="C25" s="79"/>
      <c r="D25" s="79"/>
    </row>
    <row r="26" spans="1:12" ht="15.5" x14ac:dyDescent="0.35">
      <c r="B26" s="79"/>
      <c r="C26" s="79"/>
      <c r="D26" s="79"/>
    </row>
    <row r="27" spans="1:12" ht="15.5" x14ac:dyDescent="0.35">
      <c r="B27" s="79"/>
      <c r="C27" s="79"/>
      <c r="D27" s="79"/>
    </row>
    <row r="28" spans="1:12" ht="15.5" x14ac:dyDescent="0.35">
      <c r="B28" s="79"/>
      <c r="C28" s="79"/>
      <c r="D28" s="79"/>
    </row>
    <row r="29" spans="1:12" ht="15.5" x14ac:dyDescent="0.35">
      <c r="B29" s="79"/>
      <c r="C29" s="79"/>
      <c r="D29" s="79"/>
    </row>
    <row r="30" spans="1:12" ht="15.5" x14ac:dyDescent="0.35">
      <c r="B30" s="79"/>
      <c r="C30" s="79"/>
      <c r="D30" s="79"/>
    </row>
    <row r="31" spans="1:12" s="79" customFormat="1" ht="15.5" x14ac:dyDescent="0.35">
      <c r="A31" s="182"/>
      <c r="E31" s="1563"/>
    </row>
    <row r="32" spans="1:12" s="79" customFormat="1" ht="15.5" x14ac:dyDescent="0.35">
      <c r="A32" s="182"/>
      <c r="E32" s="1563"/>
    </row>
    <row r="33" spans="1:5" s="79" customFormat="1" ht="15.5" x14ac:dyDescent="0.35">
      <c r="A33" s="182"/>
      <c r="E33" s="1563"/>
    </row>
    <row r="34" spans="1:5" s="79" customFormat="1" ht="15.5" x14ac:dyDescent="0.35">
      <c r="A34" s="182"/>
      <c r="E34" s="1563"/>
    </row>
    <row r="35" spans="1:5" s="79" customFormat="1" ht="15.5" x14ac:dyDescent="0.35">
      <c r="A35" s="182"/>
      <c r="E35" s="1563"/>
    </row>
    <row r="36" spans="1:5" s="79" customFormat="1" ht="15.5" x14ac:dyDescent="0.35">
      <c r="A36" s="182"/>
      <c r="E36" s="1563"/>
    </row>
    <row r="37" spans="1:5" s="79" customFormat="1" ht="15.5" x14ac:dyDescent="0.35">
      <c r="A37" s="182"/>
      <c r="E37" s="1563"/>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8"/>
  <sheetViews>
    <sheetView zoomScale="80" zoomScaleNormal="80" workbookViewId="0"/>
  </sheetViews>
  <sheetFormatPr defaultColWidth="8.90625" defaultRowHeight="15.5" x14ac:dyDescent="0.35"/>
  <cols>
    <col min="1" max="1" width="5.08984375" style="694" customWidth="1"/>
    <col min="2" max="2" width="15.08984375" style="85" customWidth="1"/>
    <col min="3" max="3" width="25.90625" style="85" customWidth="1"/>
    <col min="4" max="6" width="16.90625" style="694" customWidth="1"/>
    <col min="7" max="7" width="5.08984375" style="694" customWidth="1"/>
    <col min="8" max="8" width="10.90625" style="85" customWidth="1"/>
    <col min="9" max="9" width="8.08984375" style="85" bestFit="1" customWidth="1"/>
    <col min="10" max="16384" width="8.90625" style="85"/>
  </cols>
  <sheetData>
    <row r="2" spans="1:9" x14ac:dyDescent="0.35">
      <c r="B2" s="2281" t="s">
        <v>18</v>
      </c>
      <c r="C2" s="2281"/>
      <c r="D2" s="2281"/>
      <c r="E2" s="2281"/>
      <c r="F2" s="2281"/>
      <c r="G2" s="1563"/>
    </row>
    <row r="3" spans="1:9" x14ac:dyDescent="0.35">
      <c r="B3" s="2281" t="s">
        <v>225</v>
      </c>
      <c r="C3" s="2281"/>
      <c r="D3" s="2281"/>
      <c r="E3" s="2281"/>
      <c r="F3" s="2281"/>
      <c r="G3" s="1563"/>
    </row>
    <row r="4" spans="1:9" x14ac:dyDescent="0.35">
      <c r="B4" s="2281" t="s">
        <v>1426</v>
      </c>
      <c r="C4" s="2281"/>
      <c r="D4" s="2281"/>
      <c r="E4" s="2281"/>
      <c r="F4" s="2281"/>
      <c r="G4" s="1563"/>
    </row>
    <row r="5" spans="1:9" x14ac:dyDescent="0.35">
      <c r="B5" s="2279" t="s">
        <v>1649</v>
      </c>
      <c r="C5" s="2279"/>
      <c r="D5" s="2279"/>
      <c r="E5" s="2279"/>
      <c r="F5" s="2279"/>
      <c r="G5" s="1563"/>
    </row>
    <row r="6" spans="1:9" x14ac:dyDescent="0.35">
      <c r="B6" s="2279" t="s">
        <v>1605</v>
      </c>
      <c r="C6" s="2279"/>
      <c r="D6" s="2279"/>
      <c r="E6" s="2279"/>
      <c r="F6" s="2279"/>
      <c r="G6" s="1563"/>
    </row>
    <row r="7" spans="1:9" x14ac:dyDescent="0.35">
      <c r="B7" s="694"/>
    </row>
    <row r="8" spans="1:9" x14ac:dyDescent="0.35">
      <c r="B8" s="2307" t="s">
        <v>1607</v>
      </c>
      <c r="C8" s="2307"/>
      <c r="D8" s="2307"/>
      <c r="E8" s="2307"/>
      <c r="F8" s="2307"/>
    </row>
    <row r="9" spans="1:9" x14ac:dyDescent="0.35">
      <c r="A9" s="1769"/>
      <c r="B9" s="2304" t="s">
        <v>1694</v>
      </c>
      <c r="C9" s="2305"/>
      <c r="D9" s="2305"/>
      <c r="E9" s="2305"/>
      <c r="F9" s="2306"/>
      <c r="G9" s="693"/>
    </row>
    <row r="10" spans="1:9" x14ac:dyDescent="0.35">
      <c r="A10" s="1769"/>
      <c r="B10" s="1182"/>
      <c r="C10" s="1182"/>
      <c r="D10" s="1183" t="s">
        <v>4</v>
      </c>
      <c r="E10" s="1182" t="s">
        <v>5</v>
      </c>
      <c r="F10" s="1770" t="s">
        <v>697</v>
      </c>
      <c r="G10" s="693"/>
    </row>
    <row r="11" spans="1:9" s="84" customFormat="1" x14ac:dyDescent="0.35">
      <c r="A11" s="1771" t="s">
        <v>3</v>
      </c>
      <c r="B11" s="1772" t="s">
        <v>164</v>
      </c>
      <c r="C11" s="1728"/>
      <c r="D11" s="1772" t="s">
        <v>247</v>
      </c>
      <c r="E11" s="1772" t="s">
        <v>248</v>
      </c>
      <c r="F11" s="1772" t="s">
        <v>31</v>
      </c>
      <c r="G11" s="1771" t="s">
        <v>3</v>
      </c>
    </row>
    <row r="12" spans="1:9" x14ac:dyDescent="0.35">
      <c r="A12" s="1773" t="s">
        <v>25</v>
      </c>
      <c r="B12" s="1105" t="s">
        <v>73</v>
      </c>
      <c r="C12" s="1105" t="s">
        <v>74</v>
      </c>
      <c r="D12" s="1185" t="s">
        <v>249</v>
      </c>
      <c r="E12" s="1774" t="s">
        <v>249</v>
      </c>
      <c r="F12" s="1105" t="s">
        <v>249</v>
      </c>
      <c r="G12" s="1773" t="s">
        <v>25</v>
      </c>
      <c r="I12" s="1184"/>
    </row>
    <row r="13" spans="1:9" x14ac:dyDescent="0.35">
      <c r="A13" s="693"/>
      <c r="B13" s="358"/>
      <c r="C13" s="358"/>
      <c r="D13" s="1728"/>
      <c r="E13" s="976"/>
      <c r="F13" s="976"/>
      <c r="G13" s="693"/>
    </row>
    <row r="14" spans="1:9" x14ac:dyDescent="0.35">
      <c r="A14" s="693">
        <v>1</v>
      </c>
      <c r="B14" s="1186" t="s">
        <v>311</v>
      </c>
      <c r="C14" s="1187" t="s">
        <v>312</v>
      </c>
      <c r="D14" s="349">
        <v>2.5899999999999999E-2</v>
      </c>
      <c r="E14" s="350">
        <v>0</v>
      </c>
      <c r="F14" s="351">
        <f>D14+E14</f>
        <v>2.5899999999999999E-2</v>
      </c>
      <c r="G14" s="693">
        <f>A14</f>
        <v>1</v>
      </c>
      <c r="I14" s="1188"/>
    </row>
    <row r="15" spans="1:9" s="1399" customFormat="1" x14ac:dyDescent="0.35">
      <c r="A15" s="1773">
        <f t="shared" ref="A15:A27" si="0">A14+1</f>
        <v>2</v>
      </c>
      <c r="B15" s="1186" t="s">
        <v>724</v>
      </c>
      <c r="C15" s="1187" t="s">
        <v>725</v>
      </c>
      <c r="D15" s="349">
        <v>0</v>
      </c>
      <c r="E15" s="350">
        <v>0</v>
      </c>
      <c r="F15" s="351">
        <f>D15+E15</f>
        <v>0</v>
      </c>
      <c r="G15" s="1773">
        <f t="shared" ref="G15:G27" si="1">G14+1</f>
        <v>2</v>
      </c>
      <c r="I15" s="1716"/>
    </row>
    <row r="16" spans="1:9" x14ac:dyDescent="0.35">
      <c r="A16" s="693">
        <f t="shared" si="0"/>
        <v>3</v>
      </c>
      <c r="B16" s="1186" t="s">
        <v>313</v>
      </c>
      <c r="C16" s="1187" t="s">
        <v>314</v>
      </c>
      <c r="D16" s="349">
        <v>4.3799999999999999E-2</v>
      </c>
      <c r="E16" s="350">
        <v>0</v>
      </c>
      <c r="F16" s="351">
        <f t="shared" ref="F16:F26" si="2">D16+E16</f>
        <v>4.3799999999999999E-2</v>
      </c>
      <c r="G16" s="693">
        <f t="shared" si="1"/>
        <v>3</v>
      </c>
      <c r="I16" s="1188"/>
    </row>
    <row r="17" spans="1:9" x14ac:dyDescent="0.35">
      <c r="A17" s="693">
        <f t="shared" si="0"/>
        <v>4</v>
      </c>
      <c r="B17" s="1186" t="s">
        <v>315</v>
      </c>
      <c r="C17" s="1187" t="s">
        <v>316</v>
      </c>
      <c r="D17" s="349">
        <v>4.0099999999999997E-2</v>
      </c>
      <c r="E17" s="350">
        <v>0</v>
      </c>
      <c r="F17" s="351">
        <f t="shared" si="2"/>
        <v>4.0099999999999997E-2</v>
      </c>
      <c r="G17" s="693">
        <f t="shared" si="1"/>
        <v>4</v>
      </c>
      <c r="I17" s="1188"/>
    </row>
    <row r="18" spans="1:9" x14ac:dyDescent="0.35">
      <c r="A18" s="693">
        <f t="shared" si="0"/>
        <v>5</v>
      </c>
      <c r="B18" s="909" t="s">
        <v>317</v>
      </c>
      <c r="C18" s="169" t="s">
        <v>318</v>
      </c>
      <c r="D18" s="349">
        <v>3.73E-2</v>
      </c>
      <c r="E18" s="350">
        <v>0</v>
      </c>
      <c r="F18" s="351">
        <f t="shared" si="2"/>
        <v>3.73E-2</v>
      </c>
      <c r="G18" s="693">
        <f t="shared" si="1"/>
        <v>5</v>
      </c>
      <c r="I18" s="1188"/>
    </row>
    <row r="19" spans="1:9" x14ac:dyDescent="0.35">
      <c r="A19" s="693">
        <f t="shared" si="0"/>
        <v>6</v>
      </c>
      <c r="B19" s="1186" t="s">
        <v>319</v>
      </c>
      <c r="C19" s="1187" t="s">
        <v>320</v>
      </c>
      <c r="D19" s="349">
        <v>2.76E-2</v>
      </c>
      <c r="E19" s="350">
        <v>0</v>
      </c>
      <c r="F19" s="351">
        <f t="shared" si="2"/>
        <v>2.76E-2</v>
      </c>
      <c r="G19" s="693">
        <f t="shared" si="1"/>
        <v>6</v>
      </c>
      <c r="I19" s="1188"/>
    </row>
    <row r="20" spans="1:9" x14ac:dyDescent="0.35">
      <c r="A20" s="693">
        <f t="shared" si="0"/>
        <v>7</v>
      </c>
      <c r="B20" s="909" t="s">
        <v>321</v>
      </c>
      <c r="C20" s="169" t="s">
        <v>322</v>
      </c>
      <c r="D20" s="349">
        <v>4.5999999999999999E-2</v>
      </c>
      <c r="E20" s="350">
        <v>0</v>
      </c>
      <c r="F20" s="351">
        <f t="shared" si="2"/>
        <v>4.5999999999999999E-2</v>
      </c>
      <c r="G20" s="693">
        <f t="shared" si="1"/>
        <v>7</v>
      </c>
      <c r="I20" s="1188"/>
    </row>
    <row r="21" spans="1:9" x14ac:dyDescent="0.35">
      <c r="A21" s="693">
        <f t="shared" si="0"/>
        <v>8</v>
      </c>
      <c r="B21" s="1186" t="s">
        <v>323</v>
      </c>
      <c r="C21" s="1187" t="s">
        <v>324</v>
      </c>
      <c r="D21" s="349">
        <v>3.1E-2</v>
      </c>
      <c r="E21" s="350">
        <v>1.7999999999999999E-2</v>
      </c>
      <c r="F21" s="351">
        <f t="shared" si="2"/>
        <v>4.9000000000000002E-2</v>
      </c>
      <c r="G21" s="693">
        <f t="shared" si="1"/>
        <v>8</v>
      </c>
      <c r="I21" s="1188"/>
    </row>
    <row r="22" spans="1:9" x14ac:dyDescent="0.35">
      <c r="A22" s="693">
        <f t="shared" si="0"/>
        <v>9</v>
      </c>
      <c r="B22" s="909" t="s">
        <v>325</v>
      </c>
      <c r="C22" s="169" t="s">
        <v>326</v>
      </c>
      <c r="D22" s="349">
        <v>2.81E-2</v>
      </c>
      <c r="E22" s="350">
        <v>1.66E-2</v>
      </c>
      <c r="F22" s="351">
        <f t="shared" si="2"/>
        <v>4.4700000000000004E-2</v>
      </c>
      <c r="G22" s="693">
        <f t="shared" si="1"/>
        <v>9</v>
      </c>
      <c r="I22" s="1188"/>
    </row>
    <row r="23" spans="1:9" x14ac:dyDescent="0.35">
      <c r="A23" s="693">
        <f t="shared" si="0"/>
        <v>10</v>
      </c>
      <c r="B23" s="1186" t="s">
        <v>327</v>
      </c>
      <c r="C23" s="1187" t="s">
        <v>328</v>
      </c>
      <c r="D23" s="349">
        <v>3.1600000000000003E-2</v>
      </c>
      <c r="E23" s="350">
        <v>0</v>
      </c>
      <c r="F23" s="351">
        <f t="shared" si="2"/>
        <v>3.1600000000000003E-2</v>
      </c>
      <c r="G23" s="693">
        <f t="shared" si="1"/>
        <v>10</v>
      </c>
      <c r="I23" s="1188"/>
    </row>
    <row r="24" spans="1:9" x14ac:dyDescent="0.35">
      <c r="A24" s="693">
        <f t="shared" si="0"/>
        <v>11</v>
      </c>
      <c r="B24" s="1186" t="s">
        <v>726</v>
      </c>
      <c r="C24" s="1187" t="s">
        <v>727</v>
      </c>
      <c r="D24" s="349">
        <v>3.3500000000000002E-2</v>
      </c>
      <c r="E24" s="350">
        <v>1.78E-2</v>
      </c>
      <c r="F24" s="351">
        <f t="shared" si="2"/>
        <v>5.1299999999999998E-2</v>
      </c>
      <c r="G24" s="693">
        <f t="shared" si="1"/>
        <v>11</v>
      </c>
      <c r="I24" s="1188"/>
    </row>
    <row r="25" spans="1:9" x14ac:dyDescent="0.35">
      <c r="A25" s="693">
        <f t="shared" si="0"/>
        <v>12</v>
      </c>
      <c r="B25" s="1186" t="s">
        <v>329</v>
      </c>
      <c r="C25" s="1187" t="s">
        <v>330</v>
      </c>
      <c r="D25" s="349">
        <v>6.3100000000000003E-2</v>
      </c>
      <c r="E25" s="350">
        <v>0</v>
      </c>
      <c r="F25" s="351">
        <f t="shared" si="2"/>
        <v>6.3100000000000003E-2</v>
      </c>
      <c r="G25" s="693">
        <f t="shared" si="1"/>
        <v>12</v>
      </c>
      <c r="I25" s="1188"/>
    </row>
    <row r="26" spans="1:9" x14ac:dyDescent="0.35">
      <c r="A26" s="693">
        <f t="shared" si="0"/>
        <v>13</v>
      </c>
      <c r="B26" s="1186" t="s">
        <v>1429</v>
      </c>
      <c r="C26" s="1187" t="s">
        <v>1430</v>
      </c>
      <c r="D26" s="349">
        <v>0</v>
      </c>
      <c r="E26" s="350">
        <v>0</v>
      </c>
      <c r="F26" s="351">
        <f t="shared" si="2"/>
        <v>0</v>
      </c>
      <c r="G26" s="693">
        <f t="shared" si="1"/>
        <v>13</v>
      </c>
    </row>
    <row r="27" spans="1:9" x14ac:dyDescent="0.35">
      <c r="A27" s="693">
        <f t="shared" si="0"/>
        <v>14</v>
      </c>
      <c r="B27" s="1190"/>
      <c r="C27" s="1187"/>
      <c r="D27" s="344"/>
      <c r="E27" s="351"/>
      <c r="F27" s="1186" t="s">
        <v>10</v>
      </c>
      <c r="G27" s="693">
        <f t="shared" si="1"/>
        <v>14</v>
      </c>
    </row>
    <row r="29" spans="1:9" ht="18" x14ac:dyDescent="0.35">
      <c r="A29" s="1112"/>
      <c r="B29" s="1191" t="s">
        <v>980</v>
      </c>
    </row>
    <row r="30" spans="1:9" x14ac:dyDescent="0.35">
      <c r="B30" s="1191" t="s">
        <v>828</v>
      </c>
    </row>
    <row r="31" spans="1:9" ht="18" x14ac:dyDescent="0.35">
      <c r="A31" s="1112"/>
      <c r="B31" s="85" t="s">
        <v>834</v>
      </c>
    </row>
    <row r="32" spans="1:9" x14ac:dyDescent="0.35">
      <c r="B32" s="85" t="s">
        <v>835</v>
      </c>
    </row>
    <row r="33" spans="2:2" x14ac:dyDescent="0.35">
      <c r="B33" s="85" t="s">
        <v>836</v>
      </c>
    </row>
    <row r="34" spans="2:2" x14ac:dyDescent="0.35">
      <c r="B34" s="85" t="s">
        <v>837</v>
      </c>
    </row>
    <row r="35" spans="2:2" x14ac:dyDescent="0.35">
      <c r="B35" s="79"/>
    </row>
    <row r="36" spans="2:2" x14ac:dyDescent="0.35">
      <c r="B36" s="695"/>
    </row>
    <row r="37" spans="2:2" x14ac:dyDescent="0.35">
      <c r="B37" s="1132"/>
    </row>
    <row r="38" spans="2:2" x14ac:dyDescent="0.35">
      <c r="B38" s="1132"/>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Roman,Regular"&amp;10General Plant Depreciation Rates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F20"/>
  <sheetViews>
    <sheetView zoomScale="80" zoomScaleNormal="80" workbookViewId="0"/>
  </sheetViews>
  <sheetFormatPr defaultColWidth="9.08984375" defaultRowHeight="15" x14ac:dyDescent="0.35"/>
  <cols>
    <col min="1" max="1" width="5.08984375" style="728" customWidth="1"/>
    <col min="2" max="2" width="8.54296875" style="88" customWidth="1"/>
    <col min="3" max="3" width="41.08984375" style="88" customWidth="1"/>
    <col min="4" max="4" width="18.54296875" style="88" customWidth="1"/>
    <col min="5" max="5" width="62.54296875" style="88" customWidth="1"/>
    <col min="6" max="6" width="5.08984375" style="1561" customWidth="1"/>
    <col min="7" max="7" width="24" style="88" customWidth="1"/>
    <col min="8" max="8" width="11" style="88" customWidth="1"/>
    <col min="9" max="9" width="7.08984375" style="88" customWidth="1"/>
    <col min="10" max="10" width="9.08984375" style="88" customWidth="1"/>
    <col min="11" max="11" width="14" style="88" customWidth="1"/>
    <col min="12" max="12" width="13.453125" style="88" customWidth="1"/>
    <col min="13" max="16384" width="9.08984375" style="88"/>
  </cols>
  <sheetData>
    <row r="2" spans="1:6" x14ac:dyDescent="0.35">
      <c r="B2" s="2289" t="s">
        <v>18</v>
      </c>
      <c r="C2" s="2289"/>
      <c r="D2" s="2289"/>
      <c r="E2" s="2289"/>
    </row>
    <row r="3" spans="1:6" x14ac:dyDescent="0.35">
      <c r="B3" s="2289" t="s">
        <v>226</v>
      </c>
      <c r="C3" s="2289"/>
      <c r="D3" s="2289"/>
      <c r="E3" s="2289"/>
    </row>
    <row r="4" spans="1:6" x14ac:dyDescent="0.35">
      <c r="B4" s="2289" t="s">
        <v>233</v>
      </c>
      <c r="C4" s="2289"/>
      <c r="D4" s="2289"/>
      <c r="E4" s="2289"/>
    </row>
    <row r="5" spans="1:6" x14ac:dyDescent="0.35">
      <c r="B5" s="2308" t="s">
        <v>1590</v>
      </c>
      <c r="C5" s="2308"/>
      <c r="D5" s="2308"/>
      <c r="E5" s="2308"/>
      <c r="F5" s="1568"/>
    </row>
    <row r="6" spans="1:6" x14ac:dyDescent="0.35">
      <c r="B6" s="2309" t="s">
        <v>2</v>
      </c>
      <c r="C6" s="2309"/>
      <c r="D6" s="2309"/>
      <c r="E6" s="2309"/>
      <c r="F6" s="1568"/>
    </row>
    <row r="7" spans="1:6" x14ac:dyDescent="0.35">
      <c r="B7" s="1193"/>
      <c r="C7" s="1193"/>
      <c r="D7" s="1193"/>
      <c r="E7" s="1193"/>
      <c r="F7" s="1568"/>
    </row>
    <row r="8" spans="1:6" x14ac:dyDescent="0.35">
      <c r="B8" s="2308" t="s">
        <v>100</v>
      </c>
      <c r="C8" s="2308"/>
      <c r="D8" s="2308"/>
      <c r="E8" s="2308"/>
      <c r="F8" s="1568"/>
    </row>
    <row r="9" spans="1:6" x14ac:dyDescent="0.35">
      <c r="B9" s="1192"/>
      <c r="C9" s="1192"/>
      <c r="D9" s="1192"/>
      <c r="E9" s="1192"/>
      <c r="F9" s="1568"/>
    </row>
    <row r="10" spans="1:6" ht="15.5" x14ac:dyDescent="0.35">
      <c r="A10" s="182" t="s">
        <v>3</v>
      </c>
      <c r="B10" s="899"/>
      <c r="C10" s="899"/>
      <c r="D10" s="900"/>
      <c r="E10" s="901"/>
      <c r="F10" s="1563" t="s">
        <v>3</v>
      </c>
    </row>
    <row r="11" spans="1:6" ht="15.5" x14ac:dyDescent="0.35">
      <c r="A11" s="182" t="s">
        <v>25</v>
      </c>
      <c r="B11" s="902" t="s">
        <v>23</v>
      </c>
      <c r="C11" s="902" t="s">
        <v>74</v>
      </c>
      <c r="D11" s="902" t="s">
        <v>135</v>
      </c>
      <c r="E11" s="1105" t="s">
        <v>9</v>
      </c>
      <c r="F11" s="1563" t="s">
        <v>25</v>
      </c>
    </row>
    <row r="12" spans="1:6" ht="15.5" x14ac:dyDescent="0.35">
      <c r="A12" s="182"/>
      <c r="B12" s="903"/>
      <c r="C12" s="903"/>
      <c r="D12" s="903"/>
      <c r="E12" s="656"/>
      <c r="F12" s="1181"/>
    </row>
    <row r="13" spans="1:6" ht="15.5" x14ac:dyDescent="0.35">
      <c r="A13" s="182">
        <v>1</v>
      </c>
      <c r="B13" s="1745" t="str">
        <f>'AJ-3'!B15</f>
        <v>Dec-21</v>
      </c>
      <c r="C13" s="905" t="s">
        <v>821</v>
      </c>
      <c r="D13" s="1194">
        <v>165900.16699999999</v>
      </c>
      <c r="E13" s="656" t="s">
        <v>1715</v>
      </c>
      <c r="F13" s="1563">
        <f>A13</f>
        <v>1</v>
      </c>
    </row>
    <row r="14" spans="1:6" ht="15.5" x14ac:dyDescent="0.35">
      <c r="A14" s="182">
        <f>A13+1</f>
        <v>2</v>
      </c>
      <c r="B14" s="905"/>
      <c r="C14" s="905" t="s">
        <v>822</v>
      </c>
      <c r="D14" s="655">
        <v>0.74670000000000003</v>
      </c>
      <c r="E14" s="906" t="s">
        <v>1711</v>
      </c>
      <c r="F14" s="1563">
        <f>F13+1</f>
        <v>2</v>
      </c>
    </row>
    <row r="15" spans="1:6" ht="15.5" x14ac:dyDescent="0.35">
      <c r="A15" s="182">
        <f t="shared" ref="A15:A16" si="0">A14+1</f>
        <v>3</v>
      </c>
      <c r="B15" s="905"/>
      <c r="C15" s="905" t="s">
        <v>512</v>
      </c>
      <c r="D15" s="659">
        <f>D13*D14</f>
        <v>123877.65469889999</v>
      </c>
      <c r="E15" s="823" t="s">
        <v>1780</v>
      </c>
      <c r="F15" s="1563">
        <f t="shared" ref="F15:F16" si="1">F14+1</f>
        <v>3</v>
      </c>
    </row>
    <row r="16" spans="1:6" ht="15.5" x14ac:dyDescent="0.35">
      <c r="A16" s="182">
        <f t="shared" si="0"/>
        <v>4</v>
      </c>
      <c r="B16" s="907"/>
      <c r="C16" s="902"/>
      <c r="D16" s="907"/>
      <c r="E16" s="833"/>
      <c r="F16" s="1563">
        <f t="shared" si="1"/>
        <v>4</v>
      </c>
    </row>
    <row r="17" spans="1:6" ht="15.5" x14ac:dyDescent="0.35">
      <c r="A17" s="182"/>
      <c r="B17" s="79"/>
      <c r="C17" s="79"/>
      <c r="D17" s="830"/>
      <c r="E17" s="79"/>
      <c r="F17" s="1563"/>
    </row>
    <row r="18" spans="1:6" ht="15.5" x14ac:dyDescent="0.35">
      <c r="B18" s="79"/>
      <c r="C18" s="79"/>
      <c r="D18" s="79"/>
      <c r="E18" s="79"/>
      <c r="F18" s="1563"/>
    </row>
    <row r="19" spans="1:6" ht="15.5" x14ac:dyDescent="0.35">
      <c r="B19" s="79"/>
      <c r="C19" s="79"/>
      <c r="D19" s="79"/>
      <c r="E19" s="79"/>
    </row>
    <row r="20" spans="1:6" ht="15.5" x14ac:dyDescent="0.35">
      <c r="B20" s="79"/>
      <c r="C20" s="79"/>
      <c r="D20" s="79"/>
      <c r="E20" s="79"/>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6"/>
  <sheetViews>
    <sheetView zoomScale="80" zoomScaleNormal="80" workbookViewId="0"/>
  </sheetViews>
  <sheetFormatPr defaultColWidth="8.90625" defaultRowHeight="15.5" x14ac:dyDescent="0.35"/>
  <cols>
    <col min="1" max="1" width="5.08984375" style="694" customWidth="1"/>
    <col min="2" max="2" width="15.08984375" style="85" customWidth="1"/>
    <col min="3" max="3" width="25.90625" style="85" customWidth="1"/>
    <col min="4" max="6" width="16.90625" style="694" customWidth="1"/>
    <col min="7" max="7" width="5.08984375" style="694" customWidth="1"/>
    <col min="8" max="8" width="10.90625" style="85" customWidth="1"/>
    <col min="9" max="9" width="8.08984375" style="85" bestFit="1" customWidth="1"/>
    <col min="10" max="16384" width="8.90625" style="85"/>
  </cols>
  <sheetData>
    <row r="2" spans="1:9" x14ac:dyDescent="0.35">
      <c r="B2" s="2281" t="s">
        <v>18</v>
      </c>
      <c r="C2" s="2281"/>
      <c r="D2" s="2281"/>
      <c r="E2" s="2281"/>
      <c r="F2" s="2281"/>
      <c r="G2" s="1563"/>
    </row>
    <row r="3" spans="1:9" x14ac:dyDescent="0.35">
      <c r="B3" s="2314" t="s">
        <v>225</v>
      </c>
      <c r="C3" s="2314"/>
      <c r="D3" s="2314"/>
      <c r="E3" s="2314"/>
      <c r="F3" s="2314"/>
      <c r="G3" s="1181"/>
    </row>
    <row r="4" spans="1:9" x14ac:dyDescent="0.35">
      <c r="B4" s="2314" t="s">
        <v>1427</v>
      </c>
      <c r="C4" s="2314"/>
      <c r="D4" s="2314"/>
      <c r="E4" s="2314"/>
      <c r="F4" s="2314"/>
      <c r="G4" s="1181"/>
    </row>
    <row r="5" spans="1:9" x14ac:dyDescent="0.35">
      <c r="B5" s="2315" t="s">
        <v>1649</v>
      </c>
      <c r="C5" s="2315"/>
      <c r="D5" s="2315"/>
      <c r="E5" s="2315"/>
      <c r="F5" s="2315"/>
      <c r="G5" s="1181"/>
    </row>
    <row r="6" spans="1:9" x14ac:dyDescent="0.35">
      <c r="B6" s="2315" t="s">
        <v>1605</v>
      </c>
      <c r="C6" s="2315"/>
      <c r="D6" s="2315"/>
      <c r="E6" s="2315"/>
      <c r="F6" s="2315"/>
      <c r="G6" s="1181"/>
    </row>
    <row r="7" spans="1:9" x14ac:dyDescent="0.35">
      <c r="A7" s="1195"/>
      <c r="B7" s="1195"/>
      <c r="C7" s="101"/>
      <c r="D7" s="1195"/>
      <c r="E7" s="1195"/>
      <c r="F7" s="1195"/>
      <c r="G7" s="1195"/>
    </row>
    <row r="8" spans="1:9" x14ac:dyDescent="0.35">
      <c r="A8" s="1195"/>
      <c r="B8" s="2313" t="s">
        <v>1606</v>
      </c>
      <c r="C8" s="2313"/>
      <c r="D8" s="2313"/>
      <c r="E8" s="2313"/>
      <c r="F8" s="2313"/>
      <c r="G8" s="1195"/>
    </row>
    <row r="9" spans="1:9" x14ac:dyDescent="0.35">
      <c r="A9" s="1775"/>
      <c r="B9" s="2310" t="s">
        <v>1694</v>
      </c>
      <c r="C9" s="2311"/>
      <c r="D9" s="2311"/>
      <c r="E9" s="2311"/>
      <c r="F9" s="2312"/>
      <c r="G9" s="1200"/>
    </row>
    <row r="10" spans="1:9" x14ac:dyDescent="0.35">
      <c r="A10" s="1775"/>
      <c r="B10" s="1196"/>
      <c r="C10" s="1196"/>
      <c r="D10" s="1197" t="s">
        <v>4</v>
      </c>
      <c r="E10" s="1196" t="s">
        <v>5</v>
      </c>
      <c r="F10" s="1776" t="s">
        <v>697</v>
      </c>
      <c r="G10" s="1200"/>
    </row>
    <row r="11" spans="1:9" s="84" customFormat="1" x14ac:dyDescent="0.35">
      <c r="A11" s="1777" t="s">
        <v>3</v>
      </c>
      <c r="B11" s="1778" t="s">
        <v>164</v>
      </c>
      <c r="C11" s="1729"/>
      <c r="D11" s="1778" t="s">
        <v>247</v>
      </c>
      <c r="E11" s="1778" t="s">
        <v>248</v>
      </c>
      <c r="F11" s="1778" t="s">
        <v>31</v>
      </c>
      <c r="G11" s="1777" t="s">
        <v>3</v>
      </c>
    </row>
    <row r="12" spans="1:9" x14ac:dyDescent="0.35">
      <c r="A12" s="1779" t="s">
        <v>25</v>
      </c>
      <c r="B12" s="1198" t="s">
        <v>73</v>
      </c>
      <c r="C12" s="1198" t="s">
        <v>74</v>
      </c>
      <c r="D12" s="1199" t="s">
        <v>249</v>
      </c>
      <c r="E12" s="1780" t="s">
        <v>249</v>
      </c>
      <c r="F12" s="1198" t="s">
        <v>249</v>
      </c>
      <c r="G12" s="1779" t="s">
        <v>25</v>
      </c>
      <c r="I12" s="1184"/>
    </row>
    <row r="13" spans="1:9" x14ac:dyDescent="0.35">
      <c r="A13" s="1200"/>
      <c r="B13" s="1201"/>
      <c r="C13" s="1201"/>
      <c r="D13" s="1729"/>
      <c r="E13" s="1202"/>
      <c r="F13" s="1202"/>
      <c r="G13" s="1200"/>
    </row>
    <row r="14" spans="1:9" x14ac:dyDescent="0.35">
      <c r="A14" s="1200">
        <v>1</v>
      </c>
      <c r="B14" s="1203" t="s">
        <v>331</v>
      </c>
      <c r="C14" s="1204" t="s">
        <v>332</v>
      </c>
      <c r="D14" s="352">
        <v>3.0599999999999999E-2</v>
      </c>
      <c r="E14" s="353">
        <v>4.8999999999999998E-3</v>
      </c>
      <c r="F14" s="354">
        <f>D14+E14</f>
        <v>3.5499999999999997E-2</v>
      </c>
      <c r="G14" s="1200">
        <f>A14</f>
        <v>1</v>
      </c>
      <c r="H14" s="84"/>
      <c r="I14" s="1188"/>
    </row>
    <row r="15" spans="1:9" x14ac:dyDescent="0.35">
      <c r="A15" s="1200">
        <f t="shared" ref="A15:A27" si="0">A14+1</f>
        <v>2</v>
      </c>
      <c r="B15" s="1205" t="s">
        <v>333</v>
      </c>
      <c r="C15" s="334" t="s">
        <v>334</v>
      </c>
      <c r="D15" s="352">
        <v>5.6599999999999998E-2</v>
      </c>
      <c r="E15" s="353">
        <v>0</v>
      </c>
      <c r="F15" s="354">
        <f t="shared" ref="F15:F26" si="1">D15+E15</f>
        <v>5.6599999999999998E-2</v>
      </c>
      <c r="G15" s="1200">
        <f t="shared" ref="G15:G27" si="2">G14+1</f>
        <v>2</v>
      </c>
      <c r="I15" s="1188"/>
    </row>
    <row r="16" spans="1:9" x14ac:dyDescent="0.35">
      <c r="A16" s="1200">
        <f t="shared" si="0"/>
        <v>3</v>
      </c>
      <c r="B16" s="1203" t="s">
        <v>335</v>
      </c>
      <c r="C16" s="1204" t="s">
        <v>336</v>
      </c>
      <c r="D16" s="352">
        <v>0.2218</v>
      </c>
      <c r="E16" s="353">
        <v>0</v>
      </c>
      <c r="F16" s="354">
        <f t="shared" si="1"/>
        <v>0.2218</v>
      </c>
      <c r="G16" s="1200">
        <f t="shared" si="2"/>
        <v>3</v>
      </c>
      <c r="I16" s="1188"/>
    </row>
    <row r="17" spans="1:9" x14ac:dyDescent="0.35">
      <c r="A17" s="1200">
        <f t="shared" si="0"/>
        <v>4</v>
      </c>
      <c r="B17" s="1203" t="s">
        <v>728</v>
      </c>
      <c r="C17" s="1204" t="s">
        <v>725</v>
      </c>
      <c r="D17" s="352">
        <v>7.0000000000000007E-2</v>
      </c>
      <c r="E17" s="353">
        <v>0</v>
      </c>
      <c r="F17" s="354">
        <f t="shared" si="1"/>
        <v>7.0000000000000007E-2</v>
      </c>
      <c r="G17" s="1200">
        <f t="shared" si="2"/>
        <v>4</v>
      </c>
      <c r="I17" s="1188"/>
    </row>
    <row r="18" spans="1:9" x14ac:dyDescent="0.35">
      <c r="A18" s="1200">
        <f t="shared" si="0"/>
        <v>5</v>
      </c>
      <c r="B18" s="1203" t="s">
        <v>337</v>
      </c>
      <c r="C18" s="1204" t="s">
        <v>314</v>
      </c>
      <c r="D18" s="352">
        <v>5.0900000000000001E-2</v>
      </c>
      <c r="E18" s="353">
        <v>0</v>
      </c>
      <c r="F18" s="354">
        <f t="shared" si="1"/>
        <v>5.0900000000000001E-2</v>
      </c>
      <c r="G18" s="1200">
        <f t="shared" si="2"/>
        <v>5</v>
      </c>
      <c r="I18" s="1188"/>
    </row>
    <row r="19" spans="1:9" x14ac:dyDescent="0.35">
      <c r="A19" s="1200">
        <f t="shared" si="0"/>
        <v>6</v>
      </c>
      <c r="B19" s="1205" t="s">
        <v>1431</v>
      </c>
      <c r="C19" s="334" t="s">
        <v>1432</v>
      </c>
      <c r="D19" s="1781">
        <v>9.4500000000000001E-2</v>
      </c>
      <c r="E19" s="1782">
        <v>0</v>
      </c>
      <c r="F19" s="354">
        <f t="shared" si="1"/>
        <v>9.4500000000000001E-2</v>
      </c>
      <c r="G19" s="1200">
        <f t="shared" si="2"/>
        <v>6</v>
      </c>
      <c r="I19" s="1188"/>
    </row>
    <row r="20" spans="1:9" x14ac:dyDescent="0.35">
      <c r="A20" s="1200">
        <f t="shared" si="0"/>
        <v>7</v>
      </c>
      <c r="B20" s="1203" t="s">
        <v>338</v>
      </c>
      <c r="C20" s="1204" t="s">
        <v>316</v>
      </c>
      <c r="D20" s="352">
        <v>0.05</v>
      </c>
      <c r="E20" s="353">
        <v>0</v>
      </c>
      <c r="F20" s="354">
        <f t="shared" si="1"/>
        <v>0.05</v>
      </c>
      <c r="G20" s="1200">
        <f t="shared" si="2"/>
        <v>7</v>
      </c>
      <c r="I20" s="1188"/>
    </row>
    <row r="21" spans="1:9" x14ac:dyDescent="0.35">
      <c r="A21" s="1200">
        <f t="shared" si="0"/>
        <v>8</v>
      </c>
      <c r="B21" s="1205" t="s">
        <v>339</v>
      </c>
      <c r="C21" s="334" t="s">
        <v>318</v>
      </c>
      <c r="D21" s="352">
        <v>4.1500000000000002E-2</v>
      </c>
      <c r="E21" s="353">
        <v>0</v>
      </c>
      <c r="F21" s="354">
        <f t="shared" si="1"/>
        <v>4.1500000000000002E-2</v>
      </c>
      <c r="G21" s="1200">
        <f t="shared" si="2"/>
        <v>8</v>
      </c>
      <c r="I21" s="1188"/>
    </row>
    <row r="22" spans="1:9" x14ac:dyDescent="0.35">
      <c r="A22" s="1200">
        <f t="shared" si="0"/>
        <v>9</v>
      </c>
      <c r="B22" s="1203" t="s">
        <v>340</v>
      </c>
      <c r="C22" s="1204" t="s">
        <v>341</v>
      </c>
      <c r="D22" s="352">
        <v>1.7500000000000002E-2</v>
      </c>
      <c r="E22" s="353">
        <v>0</v>
      </c>
      <c r="F22" s="354">
        <f t="shared" si="1"/>
        <v>1.7500000000000002E-2</v>
      </c>
      <c r="G22" s="1200">
        <f t="shared" si="2"/>
        <v>9</v>
      </c>
      <c r="I22" s="1188"/>
    </row>
    <row r="23" spans="1:9" x14ac:dyDescent="0.35">
      <c r="A23" s="1200">
        <f t="shared" si="0"/>
        <v>10</v>
      </c>
      <c r="B23" s="1205" t="s">
        <v>342</v>
      </c>
      <c r="C23" s="334" t="s">
        <v>343</v>
      </c>
      <c r="D23" s="352">
        <v>6.3500000000000001E-2</v>
      </c>
      <c r="E23" s="353">
        <v>0</v>
      </c>
      <c r="F23" s="354">
        <f t="shared" si="1"/>
        <v>6.3500000000000001E-2</v>
      </c>
      <c r="G23" s="1200">
        <f t="shared" si="2"/>
        <v>10</v>
      </c>
      <c r="I23" s="1188"/>
    </row>
    <row r="24" spans="1:9" x14ac:dyDescent="0.35">
      <c r="A24" s="1200">
        <f t="shared" si="0"/>
        <v>11</v>
      </c>
      <c r="B24" s="1203" t="s">
        <v>344</v>
      </c>
      <c r="C24" s="1204" t="s">
        <v>322</v>
      </c>
      <c r="D24" s="352">
        <v>4.3999999999999997E-2</v>
      </c>
      <c r="E24" s="353">
        <v>0</v>
      </c>
      <c r="F24" s="354">
        <f t="shared" si="1"/>
        <v>4.3999999999999997E-2</v>
      </c>
      <c r="G24" s="1200">
        <f t="shared" si="2"/>
        <v>11</v>
      </c>
      <c r="I24" s="1188"/>
    </row>
    <row r="25" spans="1:9" x14ac:dyDescent="0.35">
      <c r="A25" s="1200">
        <f t="shared" si="0"/>
        <v>12</v>
      </c>
      <c r="B25" s="1203" t="s">
        <v>345</v>
      </c>
      <c r="C25" s="1204" t="s">
        <v>324</v>
      </c>
      <c r="D25" s="352">
        <v>7.6700000000000004E-2</v>
      </c>
      <c r="E25" s="353">
        <v>0</v>
      </c>
      <c r="F25" s="354">
        <f t="shared" si="1"/>
        <v>7.6700000000000004E-2</v>
      </c>
      <c r="G25" s="1200">
        <f t="shared" si="2"/>
        <v>12</v>
      </c>
      <c r="I25" s="1188"/>
    </row>
    <row r="26" spans="1:9" x14ac:dyDescent="0.35">
      <c r="A26" s="1200">
        <f t="shared" si="0"/>
        <v>13</v>
      </c>
      <c r="B26" s="1205" t="s">
        <v>346</v>
      </c>
      <c r="C26" s="334" t="s">
        <v>330</v>
      </c>
      <c r="D26" s="352">
        <v>6.6600000000000006E-2</v>
      </c>
      <c r="E26" s="353">
        <v>0</v>
      </c>
      <c r="F26" s="354">
        <f t="shared" si="1"/>
        <v>6.6600000000000006E-2</v>
      </c>
      <c r="G26" s="1200">
        <f t="shared" si="2"/>
        <v>13</v>
      </c>
    </row>
    <row r="27" spans="1:9" x14ac:dyDescent="0.35">
      <c r="A27" s="1200">
        <f t="shared" si="0"/>
        <v>14</v>
      </c>
      <c r="B27" s="1206"/>
      <c r="C27" s="1204"/>
      <c r="D27" s="1207" t="s">
        <v>10</v>
      </c>
      <c r="E27" s="1203" t="s">
        <v>10</v>
      </c>
      <c r="F27" s="1203" t="s">
        <v>10</v>
      </c>
      <c r="G27" s="1200">
        <f t="shared" si="2"/>
        <v>14</v>
      </c>
    </row>
    <row r="28" spans="1:9" x14ac:dyDescent="0.35">
      <c r="A28" s="1195"/>
      <c r="B28" s="101"/>
      <c r="C28" s="101"/>
      <c r="D28" s="1195"/>
      <c r="E28" s="1195"/>
      <c r="F28" s="1195"/>
      <c r="G28" s="1195"/>
    </row>
    <row r="29" spans="1:9" ht="18" x14ac:dyDescent="0.35">
      <c r="A29" s="1112"/>
      <c r="B29" s="1191" t="s">
        <v>827</v>
      </c>
    </row>
    <row r="30" spans="1:9" x14ac:dyDescent="0.35">
      <c r="B30" s="1191" t="s">
        <v>828</v>
      </c>
    </row>
    <row r="31" spans="1:9" ht="18" x14ac:dyDescent="0.35">
      <c r="A31" s="1112"/>
      <c r="B31" s="85" t="s">
        <v>834</v>
      </c>
    </row>
    <row r="32" spans="1:9" x14ac:dyDescent="0.35">
      <c r="B32" s="85" t="s">
        <v>835</v>
      </c>
    </row>
    <row r="33" spans="2:6" x14ac:dyDescent="0.35">
      <c r="B33" s="85" t="s">
        <v>836</v>
      </c>
      <c r="D33" s="85"/>
      <c r="E33" s="85"/>
      <c r="F33" s="85"/>
    </row>
    <row r="34" spans="2:6" x14ac:dyDescent="0.35">
      <c r="B34" s="85" t="s">
        <v>837</v>
      </c>
      <c r="D34" s="85"/>
      <c r="E34" s="85"/>
      <c r="F34" s="85"/>
    </row>
    <row r="35" spans="2:6" x14ac:dyDescent="0.35">
      <c r="B35" s="1191"/>
    </row>
    <row r="36" spans="2:6" x14ac:dyDescent="0.35">
      <c r="B36" s="1191"/>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3" orientation="portrait" r:id="rId1"/>
  <headerFooter scaleWithDoc="0">
    <oddFooter>&amp;C&amp;"Times New Roman,Regular"&amp;10Common Plant Depreciation Rates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K28"/>
  <sheetViews>
    <sheetView zoomScale="80" zoomScaleNormal="80" workbookViewId="0"/>
  </sheetViews>
  <sheetFormatPr defaultColWidth="9.08984375" defaultRowHeight="15" x14ac:dyDescent="0.35"/>
  <cols>
    <col min="1" max="1" width="5.08984375" style="1561" customWidth="1"/>
    <col min="2" max="2" width="8.54296875" style="88" customWidth="1"/>
    <col min="3" max="3" width="53.08984375" style="88" customWidth="1"/>
    <col min="4" max="4" width="18.54296875" style="88" customWidth="1"/>
    <col min="5" max="5" width="27.90625" style="88" customWidth="1"/>
    <col min="6" max="6" width="18.54296875" style="88" customWidth="1"/>
    <col min="7" max="7" width="27.90625" style="88" customWidth="1"/>
    <col min="8" max="8" width="5.08984375" style="1561" customWidth="1"/>
    <col min="9" max="9" width="9.453125" style="88" bestFit="1" customWidth="1"/>
    <col min="10" max="16384" width="9.08984375" style="88"/>
  </cols>
  <sheetData>
    <row r="2" spans="1:11" x14ac:dyDescent="0.35">
      <c r="B2" s="2289" t="s">
        <v>18</v>
      </c>
      <c r="C2" s="2289"/>
      <c r="D2" s="2289"/>
      <c r="E2" s="2289"/>
      <c r="F2" s="2289"/>
      <c r="G2" s="2289"/>
    </row>
    <row r="3" spans="1:11" x14ac:dyDescent="0.35">
      <c r="B3" s="2289" t="s">
        <v>226</v>
      </c>
      <c r="C3" s="2289"/>
      <c r="D3" s="2289"/>
      <c r="E3" s="2289"/>
      <c r="F3" s="2289"/>
      <c r="G3" s="2289"/>
    </row>
    <row r="4" spans="1:11" x14ac:dyDescent="0.35">
      <c r="B4" s="2289" t="s">
        <v>347</v>
      </c>
      <c r="C4" s="2289"/>
      <c r="D4" s="2289"/>
      <c r="E4" s="2289"/>
      <c r="F4" s="2289"/>
      <c r="G4" s="2289"/>
    </row>
    <row r="5" spans="1:11" x14ac:dyDescent="0.35">
      <c r="B5" s="2289" t="s">
        <v>1608</v>
      </c>
      <c r="C5" s="2289"/>
      <c r="D5" s="2289"/>
      <c r="E5" s="2289"/>
      <c r="F5" s="2289"/>
      <c r="G5" s="2289"/>
    </row>
    <row r="6" spans="1:11" x14ac:dyDescent="0.35">
      <c r="B6" s="2289" t="s">
        <v>2</v>
      </c>
      <c r="C6" s="2289"/>
      <c r="D6" s="2289"/>
      <c r="E6" s="2289"/>
      <c r="F6" s="2289"/>
      <c r="G6" s="2289"/>
    </row>
    <row r="7" spans="1:11" x14ac:dyDescent="0.35">
      <c r="B7" s="728"/>
      <c r="C7" s="728"/>
      <c r="D7" s="728"/>
      <c r="E7" s="728"/>
      <c r="F7" s="728"/>
      <c r="G7" s="728"/>
    </row>
    <row r="8" spans="1:11" x14ac:dyDescent="0.35">
      <c r="B8" s="2289" t="s">
        <v>96</v>
      </c>
      <c r="C8" s="2289"/>
      <c r="D8" s="2289"/>
      <c r="E8" s="2289"/>
      <c r="F8" s="2289"/>
      <c r="G8" s="2289"/>
    </row>
    <row r="9" spans="1:11" x14ac:dyDescent="0.35">
      <c r="B9" s="1099"/>
      <c r="C9" s="1100"/>
      <c r="D9" s="1100"/>
      <c r="E9" s="1208"/>
      <c r="F9" s="1100"/>
      <c r="G9" s="109"/>
    </row>
    <row r="10" spans="1:11" ht="15.5" x14ac:dyDescent="0.35">
      <c r="B10" s="1102"/>
      <c r="C10" s="756"/>
      <c r="D10" s="798" t="s">
        <v>97</v>
      </c>
      <c r="E10" s="798"/>
      <c r="F10" s="798" t="s">
        <v>97</v>
      </c>
      <c r="G10" s="798"/>
      <c r="H10" s="1563"/>
    </row>
    <row r="11" spans="1:11" s="728" customFormat="1" ht="15.5" x14ac:dyDescent="0.35">
      <c r="A11" s="1563"/>
      <c r="B11" s="799"/>
      <c r="C11" s="799"/>
      <c r="D11" s="799" t="s">
        <v>61</v>
      </c>
      <c r="E11" s="799"/>
      <c r="F11" s="799" t="s">
        <v>61</v>
      </c>
      <c r="G11" s="799"/>
      <c r="H11" s="1563"/>
      <c r="J11" s="88"/>
      <c r="K11" s="88"/>
    </row>
    <row r="12" spans="1:11" ht="15.5" x14ac:dyDescent="0.35">
      <c r="A12" s="1563" t="s">
        <v>3</v>
      </c>
      <c r="B12" s="799" t="s">
        <v>73</v>
      </c>
      <c r="C12" s="799"/>
      <c r="D12" s="799" t="s">
        <v>228</v>
      </c>
      <c r="E12" s="799"/>
      <c r="F12" s="799" t="s">
        <v>228</v>
      </c>
      <c r="G12" s="799"/>
      <c r="H12" s="1563" t="s">
        <v>3</v>
      </c>
    </row>
    <row r="13" spans="1:11" ht="15.5" x14ac:dyDescent="0.35">
      <c r="A13" s="1563" t="s">
        <v>25</v>
      </c>
      <c r="B13" s="854" t="s">
        <v>25</v>
      </c>
      <c r="C13" s="766" t="s">
        <v>74</v>
      </c>
      <c r="D13" s="766" t="s">
        <v>36</v>
      </c>
      <c r="E13" s="766" t="s">
        <v>9</v>
      </c>
      <c r="F13" s="766" t="s">
        <v>348</v>
      </c>
      <c r="G13" s="766" t="s">
        <v>9</v>
      </c>
      <c r="H13" s="1563" t="s">
        <v>25</v>
      </c>
    </row>
    <row r="14" spans="1:11" ht="15.5" x14ac:dyDescent="0.35">
      <c r="A14" s="1563">
        <v>1</v>
      </c>
      <c r="B14" s="525">
        <v>303</v>
      </c>
      <c r="C14" s="1106" t="s">
        <v>82</v>
      </c>
      <c r="D14" s="165">
        <v>0</v>
      </c>
      <c r="E14" s="1604" t="s">
        <v>647</v>
      </c>
      <c r="F14" s="165">
        <v>0</v>
      </c>
      <c r="G14" s="193" t="s">
        <v>647</v>
      </c>
      <c r="H14" s="1563">
        <f>A14</f>
        <v>1</v>
      </c>
    </row>
    <row r="15" spans="1:11" ht="15.5" x14ac:dyDescent="0.35">
      <c r="A15" s="1563">
        <f>A14+1</f>
        <v>2</v>
      </c>
      <c r="B15" s="525">
        <v>350</v>
      </c>
      <c r="C15" s="1106" t="s">
        <v>229</v>
      </c>
      <c r="D15" s="167">
        <v>0</v>
      </c>
      <c r="E15" s="1210"/>
      <c r="F15" s="167">
        <v>0</v>
      </c>
      <c r="G15" s="4"/>
      <c r="H15" s="1563">
        <f>H14+1</f>
        <v>2</v>
      </c>
    </row>
    <row r="16" spans="1:11" ht="15.5" x14ac:dyDescent="0.35">
      <c r="A16" s="1563">
        <f t="shared" ref="A16:A26" si="0">A15+1</f>
        <v>3</v>
      </c>
      <c r="B16" s="525">
        <v>352</v>
      </c>
      <c r="C16" s="170" t="s">
        <v>103</v>
      </c>
      <c r="D16" s="167">
        <v>0</v>
      </c>
      <c r="E16" s="1210"/>
      <c r="F16" s="167">
        <v>0</v>
      </c>
      <c r="G16" s="4"/>
      <c r="H16" s="1563">
        <f t="shared" ref="H16:H26" si="1">H15+1</f>
        <v>3</v>
      </c>
    </row>
    <row r="17" spans="1:9" ht="15.5" x14ac:dyDescent="0.35">
      <c r="A17" s="1563">
        <f t="shared" si="0"/>
        <v>4</v>
      </c>
      <c r="B17" s="525">
        <v>353</v>
      </c>
      <c r="C17" s="170" t="s">
        <v>88</v>
      </c>
      <c r="D17" s="167">
        <v>0</v>
      </c>
      <c r="E17" s="1210"/>
      <c r="F17" s="167">
        <v>0</v>
      </c>
      <c r="G17" s="4"/>
      <c r="H17" s="1563">
        <f t="shared" si="1"/>
        <v>4</v>
      </c>
    </row>
    <row r="18" spans="1:9" ht="15.5" x14ac:dyDescent="0.35">
      <c r="A18" s="1563">
        <f t="shared" si="0"/>
        <v>5</v>
      </c>
      <c r="B18" s="525">
        <v>354</v>
      </c>
      <c r="C18" s="170" t="s">
        <v>89</v>
      </c>
      <c r="D18" s="167">
        <v>0</v>
      </c>
      <c r="E18" s="1210"/>
      <c r="F18" s="167">
        <v>0</v>
      </c>
      <c r="G18" s="4"/>
      <c r="H18" s="1563">
        <f t="shared" si="1"/>
        <v>5</v>
      </c>
    </row>
    <row r="19" spans="1:9" ht="15.5" x14ac:dyDescent="0.35">
      <c r="A19" s="1563">
        <f t="shared" si="0"/>
        <v>6</v>
      </c>
      <c r="B19" s="525">
        <v>355</v>
      </c>
      <c r="C19" s="170" t="s">
        <v>90</v>
      </c>
      <c r="D19" s="167">
        <v>0</v>
      </c>
      <c r="E19" s="1210"/>
      <c r="F19" s="167">
        <v>0</v>
      </c>
      <c r="G19" s="4"/>
      <c r="H19" s="1563">
        <f t="shared" si="1"/>
        <v>6</v>
      </c>
    </row>
    <row r="20" spans="1:9" ht="15.5" x14ac:dyDescent="0.35">
      <c r="A20" s="1563">
        <f t="shared" si="0"/>
        <v>7</v>
      </c>
      <c r="B20" s="525">
        <v>356</v>
      </c>
      <c r="C20" s="170" t="s">
        <v>230</v>
      </c>
      <c r="D20" s="167">
        <v>0</v>
      </c>
      <c r="E20" s="1210"/>
      <c r="F20" s="167">
        <v>0</v>
      </c>
      <c r="G20" s="4"/>
      <c r="H20" s="1563">
        <f t="shared" si="1"/>
        <v>7</v>
      </c>
    </row>
    <row r="21" spans="1:9" ht="15.5" x14ac:dyDescent="0.35">
      <c r="A21" s="1563">
        <f t="shared" si="0"/>
        <v>8</v>
      </c>
      <c r="B21" s="525">
        <v>357</v>
      </c>
      <c r="C21" s="170" t="s">
        <v>92</v>
      </c>
      <c r="D21" s="167">
        <v>0</v>
      </c>
      <c r="E21" s="1210"/>
      <c r="F21" s="167">
        <v>0</v>
      </c>
      <c r="G21" s="4"/>
      <c r="H21" s="1563">
        <f t="shared" si="1"/>
        <v>8</v>
      </c>
    </row>
    <row r="22" spans="1:9" ht="15.5" x14ac:dyDescent="0.35">
      <c r="A22" s="1563">
        <f t="shared" si="0"/>
        <v>9</v>
      </c>
      <c r="B22" s="525">
        <v>358</v>
      </c>
      <c r="C22" s="170" t="s">
        <v>231</v>
      </c>
      <c r="D22" s="167">
        <v>0</v>
      </c>
      <c r="E22" s="1210"/>
      <c r="F22" s="167">
        <v>0</v>
      </c>
      <c r="G22" s="4"/>
      <c r="H22" s="1563">
        <f t="shared" si="1"/>
        <v>9</v>
      </c>
    </row>
    <row r="23" spans="1:9" ht="15.5" x14ac:dyDescent="0.35">
      <c r="A23" s="1563">
        <f t="shared" si="0"/>
        <v>10</v>
      </c>
      <c r="B23" s="855">
        <v>359</v>
      </c>
      <c r="C23" s="1108" t="s">
        <v>104</v>
      </c>
      <c r="D23" s="355">
        <v>0</v>
      </c>
      <c r="E23" s="1783" t="s">
        <v>647</v>
      </c>
      <c r="F23" s="355">
        <v>0</v>
      </c>
      <c r="G23" s="1605" t="s">
        <v>647</v>
      </c>
      <c r="H23" s="1563">
        <f t="shared" si="1"/>
        <v>10</v>
      </c>
    </row>
    <row r="24" spans="1:9" ht="15.5" x14ac:dyDescent="0.35">
      <c r="A24" s="1563">
        <f t="shared" si="0"/>
        <v>11</v>
      </c>
      <c r="B24" s="827"/>
      <c r="C24" s="827"/>
      <c r="D24" s="356"/>
      <c r="E24" s="356"/>
      <c r="F24" s="358"/>
      <c r="G24" s="356"/>
      <c r="H24" s="1563">
        <f t="shared" si="1"/>
        <v>11</v>
      </c>
    </row>
    <row r="25" spans="1:9" ht="15.5" x14ac:dyDescent="0.35">
      <c r="A25" s="1563">
        <f t="shared" si="0"/>
        <v>12</v>
      </c>
      <c r="B25" s="827"/>
      <c r="C25" s="827" t="s">
        <v>349</v>
      </c>
      <c r="D25" s="357">
        <f>SUM(D14:D23)</f>
        <v>0</v>
      </c>
      <c r="E25" s="1606" t="s">
        <v>1205</v>
      </c>
      <c r="F25" s="357">
        <f>SUM(F14:F23)</f>
        <v>0</v>
      </c>
      <c r="G25" s="1606" t="s">
        <v>1205</v>
      </c>
      <c r="H25" s="1563">
        <f t="shared" si="1"/>
        <v>12</v>
      </c>
      <c r="I25" s="1212"/>
    </row>
    <row r="26" spans="1:9" ht="15.5" x14ac:dyDescent="0.35">
      <c r="A26" s="1563">
        <f t="shared" si="0"/>
        <v>13</v>
      </c>
      <c r="B26" s="1110"/>
      <c r="C26" s="781"/>
      <c r="D26" s="1213"/>
      <c r="E26" s="1213"/>
      <c r="F26" s="359"/>
      <c r="G26" s="1213"/>
      <c r="H26" s="1563">
        <f t="shared" si="1"/>
        <v>13</v>
      </c>
    </row>
    <row r="27" spans="1:9" ht="15.5" x14ac:dyDescent="0.35">
      <c r="A27" s="1563"/>
    </row>
    <row r="28" spans="1:9" ht="15.5" x14ac:dyDescent="0.35">
      <c r="A28" s="1563"/>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9.08984375" style="88" customWidth="1"/>
    <col min="4" max="4" width="62.54296875" style="88" customWidth="1"/>
    <col min="5" max="5" width="5.08984375" style="1561" customWidth="1"/>
    <col min="6" max="6" width="24" style="88" customWidth="1"/>
    <col min="7" max="7" width="11" style="88" customWidth="1"/>
    <col min="8" max="8" width="7.08984375" style="88" customWidth="1"/>
    <col min="9" max="9" width="9.08984375" style="88" customWidth="1"/>
    <col min="10" max="10" width="14" style="88" customWidth="1"/>
    <col min="11" max="11" width="13.453125" style="88" customWidth="1"/>
    <col min="12" max="16384" width="9.08984375" style="88"/>
  </cols>
  <sheetData>
    <row r="2" spans="1:5" x14ac:dyDescent="0.35">
      <c r="B2" s="2289" t="s">
        <v>18</v>
      </c>
      <c r="C2" s="2289"/>
      <c r="D2" s="2289"/>
    </row>
    <row r="3" spans="1:5" x14ac:dyDescent="0.35">
      <c r="B3" s="2289" t="s">
        <v>226</v>
      </c>
      <c r="C3" s="2289"/>
      <c r="D3" s="2289"/>
    </row>
    <row r="4" spans="1:5" x14ac:dyDescent="0.35">
      <c r="B4" s="2289" t="s">
        <v>233</v>
      </c>
      <c r="C4" s="2289"/>
      <c r="D4" s="2289"/>
    </row>
    <row r="5" spans="1:5" x14ac:dyDescent="0.35">
      <c r="B5" s="2289" t="s">
        <v>1590</v>
      </c>
      <c r="C5" s="2289"/>
      <c r="D5" s="2289"/>
    </row>
    <row r="6" spans="1:5" x14ac:dyDescent="0.35">
      <c r="B6" s="2292" t="s">
        <v>2</v>
      </c>
      <c r="C6" s="2292"/>
      <c r="D6" s="2292"/>
    </row>
    <row r="7" spans="1:5" x14ac:dyDescent="0.35">
      <c r="B7" s="752"/>
      <c r="C7" s="752"/>
      <c r="D7" s="752"/>
    </row>
    <row r="8" spans="1:5" x14ac:dyDescent="0.35">
      <c r="B8" s="2289" t="s">
        <v>354</v>
      </c>
      <c r="C8" s="2289"/>
      <c r="D8" s="2289"/>
    </row>
    <row r="10" spans="1:5" x14ac:dyDescent="0.35">
      <c r="B10" s="756"/>
      <c r="C10" s="798" t="s">
        <v>121</v>
      </c>
      <c r="D10" s="798"/>
    </row>
    <row r="11" spans="1:5" x14ac:dyDescent="0.35">
      <c r="B11" s="827"/>
      <c r="C11" s="799" t="s">
        <v>132</v>
      </c>
      <c r="D11" s="799"/>
    </row>
    <row r="12" spans="1:5" x14ac:dyDescent="0.35">
      <c r="B12" s="799"/>
      <c r="C12" s="799" t="s">
        <v>351</v>
      </c>
      <c r="D12" s="799"/>
    </row>
    <row r="13" spans="1:5" ht="15.5" x14ac:dyDescent="0.35">
      <c r="A13" s="182"/>
      <c r="B13" s="799"/>
      <c r="C13" s="799" t="s">
        <v>352</v>
      </c>
      <c r="D13" s="799"/>
      <c r="E13" s="1563"/>
    </row>
    <row r="14" spans="1:5" ht="15.5" x14ac:dyDescent="0.35">
      <c r="A14" s="182" t="s">
        <v>3</v>
      </c>
      <c r="B14" s="1159"/>
      <c r="C14" s="799" t="s">
        <v>353</v>
      </c>
      <c r="D14" s="799"/>
      <c r="E14" s="1563" t="s">
        <v>3</v>
      </c>
    </row>
    <row r="15" spans="1:5" ht="15.5" x14ac:dyDescent="0.35">
      <c r="A15" s="182" t="s">
        <v>25</v>
      </c>
      <c r="B15" s="766" t="s">
        <v>23</v>
      </c>
      <c r="C15" s="766" t="s">
        <v>36</v>
      </c>
      <c r="D15" s="766" t="s">
        <v>9</v>
      </c>
      <c r="E15" s="1563" t="s">
        <v>25</v>
      </c>
    </row>
    <row r="16" spans="1:5" ht="15.5" x14ac:dyDescent="0.35">
      <c r="A16" s="182"/>
      <c r="B16" s="1214"/>
      <c r="C16" s="846"/>
      <c r="D16" s="1215"/>
      <c r="E16" s="1563"/>
    </row>
    <row r="17" spans="1:5" ht="15.5" x14ac:dyDescent="0.35">
      <c r="A17" s="182">
        <v>1</v>
      </c>
      <c r="B17" s="1160" t="str">
        <f>'AJ-4'!B13</f>
        <v>Dec-21</v>
      </c>
      <c r="C17" s="360">
        <v>0</v>
      </c>
      <c r="D17" s="1234" t="s">
        <v>647</v>
      </c>
      <c r="E17" s="1563">
        <f>A17</f>
        <v>1</v>
      </c>
    </row>
    <row r="18" spans="1:5" ht="15.5" x14ac:dyDescent="0.35">
      <c r="A18" s="182">
        <f>A17+1</f>
        <v>2</v>
      </c>
      <c r="B18" s="781"/>
      <c r="C18" s="809"/>
      <c r="D18" s="781"/>
      <c r="E18" s="1563">
        <f>E17+1</f>
        <v>2</v>
      </c>
    </row>
    <row r="19" spans="1:5" ht="15.5" x14ac:dyDescent="0.35">
      <c r="A19" s="182"/>
      <c r="B19" s="79"/>
      <c r="C19" s="830"/>
      <c r="D19" s="79"/>
      <c r="E19" s="1563"/>
    </row>
    <row r="20" spans="1:5" ht="15.5" x14ac:dyDescent="0.35">
      <c r="A20" s="182"/>
      <c r="B20" s="79"/>
      <c r="C20" s="79"/>
      <c r="D20" s="79"/>
      <c r="E20" s="1563"/>
    </row>
    <row r="21" spans="1:5" ht="15.5" x14ac:dyDescent="0.35">
      <c r="B21" s="79"/>
      <c r="C21" s="79"/>
      <c r="D21" s="79"/>
    </row>
    <row r="22" spans="1:5" ht="15.5" x14ac:dyDescent="0.35">
      <c r="B22" s="79"/>
      <c r="C22" s="79"/>
      <c r="D22" s="79"/>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zoomScale="80" zoomScaleNormal="80" workbookViewId="0"/>
  </sheetViews>
  <sheetFormatPr defaultColWidth="9.08984375" defaultRowHeight="15" x14ac:dyDescent="0.35"/>
  <cols>
    <col min="1" max="1" width="5.08984375" style="728" customWidth="1"/>
    <col min="2" max="2" width="35.08984375" style="88" customWidth="1"/>
    <col min="3" max="3" width="19.08984375" style="88" bestFit="1" customWidth="1"/>
    <col min="4" max="4" width="62.54296875" style="88" customWidth="1"/>
    <col min="5" max="5" width="5.08984375" style="1561" customWidth="1"/>
    <col min="6" max="6" width="24" style="88" customWidth="1"/>
    <col min="7" max="7" width="11" style="88" customWidth="1"/>
    <col min="8" max="8" width="7.08984375" style="88" customWidth="1"/>
    <col min="9" max="9" width="9.08984375" style="88" customWidth="1"/>
    <col min="10" max="10" width="14" style="88" customWidth="1"/>
    <col min="11" max="11" width="13.453125" style="88" customWidth="1"/>
    <col min="12" max="16384" width="9.08984375" style="88"/>
  </cols>
  <sheetData>
    <row r="2" spans="1:5" x14ac:dyDescent="0.35">
      <c r="B2" s="2289" t="s">
        <v>18</v>
      </c>
      <c r="C2" s="2289"/>
      <c r="D2" s="2289"/>
    </row>
    <row r="3" spans="1:5" x14ac:dyDescent="0.35">
      <c r="B3" s="2289" t="s">
        <v>226</v>
      </c>
      <c r="C3" s="2289"/>
      <c r="D3" s="2289"/>
    </row>
    <row r="4" spans="1:5" x14ac:dyDescent="0.35">
      <c r="B4" s="2289" t="s">
        <v>233</v>
      </c>
      <c r="C4" s="2289"/>
      <c r="D4" s="2289"/>
    </row>
    <row r="5" spans="1:5" x14ac:dyDescent="0.35">
      <c r="B5" s="2289" t="s">
        <v>1590</v>
      </c>
      <c r="C5" s="2289"/>
      <c r="D5" s="2289"/>
    </row>
    <row r="6" spans="1:5" x14ac:dyDescent="0.35">
      <c r="B6" s="2292" t="s">
        <v>2</v>
      </c>
      <c r="C6" s="2292"/>
      <c r="D6" s="2292"/>
    </row>
    <row r="7" spans="1:5" x14ac:dyDescent="0.35">
      <c r="B7" s="752"/>
      <c r="C7" s="752"/>
      <c r="D7" s="752"/>
    </row>
    <row r="8" spans="1:5" x14ac:dyDescent="0.35">
      <c r="B8" s="2289" t="s">
        <v>350</v>
      </c>
      <c r="C8" s="2289"/>
      <c r="D8" s="2289"/>
    </row>
    <row r="10" spans="1:5" ht="15.5" x14ac:dyDescent="0.35">
      <c r="B10" s="756"/>
      <c r="C10" s="798" t="s">
        <v>31</v>
      </c>
      <c r="D10" s="798"/>
      <c r="E10" s="1563"/>
    </row>
    <row r="11" spans="1:5" ht="15.5" x14ac:dyDescent="0.35">
      <c r="B11" s="827"/>
      <c r="C11" s="799" t="s">
        <v>132</v>
      </c>
      <c r="D11" s="799"/>
      <c r="E11" s="1563"/>
    </row>
    <row r="12" spans="1:5" ht="15.5" x14ac:dyDescent="0.35">
      <c r="B12" s="799"/>
      <c r="C12" s="799" t="s">
        <v>351</v>
      </c>
      <c r="D12" s="799"/>
      <c r="E12" s="1563"/>
    </row>
    <row r="13" spans="1:5" ht="15.5" x14ac:dyDescent="0.35">
      <c r="A13" s="182"/>
      <c r="B13" s="799"/>
      <c r="C13" s="799" t="s">
        <v>352</v>
      </c>
      <c r="D13" s="799"/>
      <c r="E13" s="1563"/>
    </row>
    <row r="14" spans="1:5" ht="15.5" x14ac:dyDescent="0.35">
      <c r="A14" s="182" t="s">
        <v>3</v>
      </c>
      <c r="B14" s="1159"/>
      <c r="C14" s="799" t="s">
        <v>353</v>
      </c>
      <c r="D14" s="799"/>
      <c r="E14" s="1563" t="s">
        <v>3</v>
      </c>
    </row>
    <row r="15" spans="1:5" ht="15.5" x14ac:dyDescent="0.35">
      <c r="A15" s="182" t="s">
        <v>25</v>
      </c>
      <c r="B15" s="766" t="s">
        <v>23</v>
      </c>
      <c r="C15" s="766" t="s">
        <v>36</v>
      </c>
      <c r="D15" s="766" t="s">
        <v>9</v>
      </c>
      <c r="E15" s="1563" t="s">
        <v>25</v>
      </c>
    </row>
    <row r="16" spans="1:5" ht="15.5" x14ac:dyDescent="0.35">
      <c r="A16" s="182"/>
      <c r="B16" s="1214"/>
      <c r="C16" s="846"/>
      <c r="D16" s="1215"/>
      <c r="E16" s="1563"/>
    </row>
    <row r="17" spans="1:5" ht="15.5" x14ac:dyDescent="0.35">
      <c r="A17" s="182">
        <v>1</v>
      </c>
      <c r="B17" s="1160" t="str">
        <f>'AJ-6'!B17</f>
        <v>Dec-21</v>
      </c>
      <c r="C17" s="360">
        <v>0</v>
      </c>
      <c r="D17" s="1607" t="s">
        <v>647</v>
      </c>
      <c r="E17" s="1563">
        <f>A17</f>
        <v>1</v>
      </c>
    </row>
    <row r="18" spans="1:5" ht="15.5" x14ac:dyDescent="0.35">
      <c r="A18" s="182">
        <f>A17+1</f>
        <v>2</v>
      </c>
      <c r="B18" s="781"/>
      <c r="C18" s="809"/>
      <c r="D18" s="781"/>
      <c r="E18" s="1563">
        <f>E17+1</f>
        <v>2</v>
      </c>
    </row>
    <row r="19" spans="1:5" ht="15.5" x14ac:dyDescent="0.35">
      <c r="A19" s="182"/>
      <c r="B19" s="79"/>
      <c r="C19" s="830"/>
      <c r="D19" s="79"/>
      <c r="E19" s="1563"/>
    </row>
    <row r="20" spans="1:5" ht="15.5" x14ac:dyDescent="0.35">
      <c r="B20" s="79"/>
      <c r="C20" s="79"/>
      <c r="D20" s="79"/>
      <c r="E20" s="1563"/>
    </row>
    <row r="21" spans="1:5" ht="15.5" x14ac:dyDescent="0.35">
      <c r="A21" s="838"/>
      <c r="B21" s="79"/>
      <c r="C21" s="79"/>
      <c r="D21" s="79"/>
      <c r="E21" s="1563"/>
    </row>
    <row r="22" spans="1:5" ht="15.5" x14ac:dyDescent="0.35">
      <c r="B22" s="79"/>
      <c r="C22" s="79"/>
      <c r="D22" s="79"/>
    </row>
    <row r="23" spans="1:5" ht="15.5" x14ac:dyDescent="0.35">
      <c r="B23" s="79"/>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38"/>
  <sheetViews>
    <sheetView zoomScale="80" zoomScaleNormal="80" workbookViewId="0"/>
  </sheetViews>
  <sheetFormatPr defaultColWidth="8.90625" defaultRowHeight="15.5" x14ac:dyDescent="0.35"/>
  <cols>
    <col min="1" max="1" width="5.08984375" style="182" bestFit="1" customWidth="1"/>
    <col min="2" max="2" width="55.08984375" style="79" customWidth="1"/>
    <col min="3" max="3" width="24" style="79" customWidth="1"/>
    <col min="4" max="4" width="1.54296875" style="79" customWidth="1"/>
    <col min="5" max="5" width="16.90625" style="79" customWidth="1"/>
    <col min="6" max="6" width="1.54296875" style="79" customWidth="1"/>
    <col min="7" max="7" width="34.54296875" style="79" customWidth="1"/>
    <col min="8" max="8" width="5.08984375" style="79" bestFit="1" customWidth="1"/>
    <col min="9" max="9" width="8.90625" style="79"/>
    <col min="10" max="10" width="19.08984375" style="79" customWidth="1"/>
    <col min="11" max="11" width="17.90625" style="79" customWidth="1"/>
    <col min="12" max="12" width="17.54296875" style="79" customWidth="1"/>
    <col min="13" max="16384" width="8.90625" style="79"/>
  </cols>
  <sheetData>
    <row r="1" spans="1:11" x14ac:dyDescent="0.35">
      <c r="A1" s="367" t="s">
        <v>10</v>
      </c>
      <c r="G1" s="182"/>
      <c r="H1" s="367"/>
    </row>
    <row r="2" spans="1:11" x14ac:dyDescent="0.35">
      <c r="B2" s="2288" t="s">
        <v>18</v>
      </c>
      <c r="C2" s="2288"/>
      <c r="D2" s="2288"/>
      <c r="E2" s="2288"/>
      <c r="F2" s="2288"/>
      <c r="G2" s="2289"/>
      <c r="H2" s="182"/>
    </row>
    <row r="3" spans="1:11" x14ac:dyDescent="0.35">
      <c r="B3" s="2288" t="s">
        <v>1329</v>
      </c>
      <c r="C3" s="2288"/>
      <c r="D3" s="2288"/>
      <c r="E3" s="2288"/>
      <c r="F3" s="2288"/>
      <c r="G3" s="2289"/>
      <c r="H3" s="182"/>
    </row>
    <row r="4" spans="1:11" x14ac:dyDescent="0.35">
      <c r="B4" s="2288" t="s">
        <v>355</v>
      </c>
      <c r="C4" s="2288"/>
      <c r="D4" s="2288"/>
      <c r="E4" s="2288"/>
      <c r="F4" s="2288"/>
      <c r="G4" s="2289"/>
      <c r="H4" s="182"/>
    </row>
    <row r="5" spans="1:11" x14ac:dyDescent="0.35">
      <c r="B5" s="2293" t="str">
        <f>'Stmt AD'!B5</f>
        <v>Base Period &amp; True-Up Period 12 - Months Ending December 31, 2021</v>
      </c>
      <c r="C5" s="2293"/>
      <c r="D5" s="2293"/>
      <c r="E5" s="2293"/>
      <c r="F5" s="2293"/>
      <c r="G5" s="2293"/>
      <c r="H5" s="182"/>
    </row>
    <row r="6" spans="1:11" x14ac:dyDescent="0.35">
      <c r="B6" s="2291" t="s">
        <v>2</v>
      </c>
      <c r="C6" s="2278"/>
      <c r="D6" s="2278"/>
      <c r="E6" s="2278"/>
      <c r="F6" s="2278"/>
      <c r="G6" s="2278"/>
      <c r="H6" s="182"/>
    </row>
    <row r="7" spans="1:11" x14ac:dyDescent="0.35">
      <c r="B7" s="367"/>
      <c r="C7" s="367"/>
      <c r="D7" s="367"/>
      <c r="E7" s="367"/>
      <c r="F7" s="367"/>
      <c r="G7" s="182"/>
      <c r="H7" s="182"/>
    </row>
    <row r="8" spans="1:11" x14ac:dyDescent="0.35">
      <c r="A8" s="182" t="s">
        <v>3</v>
      </c>
      <c r="B8" s="729"/>
      <c r="C8" s="236" t="s">
        <v>648</v>
      </c>
      <c r="D8" s="729"/>
      <c r="E8" s="729"/>
      <c r="F8" s="729"/>
      <c r="G8" s="182"/>
      <c r="H8" s="182" t="s">
        <v>3</v>
      </c>
    </row>
    <row r="9" spans="1:11" x14ac:dyDescent="0.35">
      <c r="A9" s="345" t="s">
        <v>25</v>
      </c>
      <c r="B9" s="729"/>
      <c r="C9" s="732" t="s">
        <v>646</v>
      </c>
      <c r="D9" s="729"/>
      <c r="E9" s="735" t="s">
        <v>135</v>
      </c>
      <c r="F9" s="729"/>
      <c r="G9" s="89" t="s">
        <v>9</v>
      </c>
      <c r="H9" s="345" t="s">
        <v>25</v>
      </c>
    </row>
    <row r="10" spans="1:11" x14ac:dyDescent="0.35">
      <c r="B10" s="367"/>
      <c r="C10" s="367"/>
      <c r="D10" s="367"/>
      <c r="E10" s="367"/>
      <c r="F10" s="729"/>
      <c r="G10" s="182"/>
      <c r="H10" s="182"/>
    </row>
    <row r="11" spans="1:11" ht="18" x14ac:dyDescent="0.35">
      <c r="A11" s="367">
        <v>1</v>
      </c>
      <c r="B11" s="79" t="s">
        <v>762</v>
      </c>
      <c r="C11" s="234" t="s">
        <v>1781</v>
      </c>
      <c r="E11" s="1858">
        <v>158074.37579999998</v>
      </c>
      <c r="F11" s="729"/>
      <c r="G11" s="123"/>
      <c r="H11" s="367">
        <f>A11</f>
        <v>1</v>
      </c>
      <c r="K11" s="705"/>
    </row>
    <row r="12" spans="1:11" ht="15.9" customHeight="1" x14ac:dyDescent="0.35">
      <c r="A12" s="367">
        <f>+A11+1</f>
        <v>2</v>
      </c>
      <c r="E12" s="362"/>
      <c r="F12" s="729"/>
      <c r="G12" s="1216"/>
      <c r="H12" s="367">
        <f>+H11+1</f>
        <v>2</v>
      </c>
      <c r="K12" s="877"/>
    </row>
    <row r="13" spans="1:11" ht="18" x14ac:dyDescent="0.35">
      <c r="A13" s="367">
        <f t="shared" ref="A13:A30" si="0">+A12+1</f>
        <v>3</v>
      </c>
      <c r="B13" s="79" t="s">
        <v>867</v>
      </c>
      <c r="C13" s="234"/>
      <c r="E13" s="270">
        <v>0</v>
      </c>
      <c r="F13" s="729"/>
      <c r="G13" s="123" t="s">
        <v>1602</v>
      </c>
      <c r="H13" s="367">
        <f t="shared" ref="H13:H30" si="1">+H12+1</f>
        <v>3</v>
      </c>
      <c r="K13" s="877"/>
    </row>
    <row r="14" spans="1:11" x14ac:dyDescent="0.35">
      <c r="A14" s="367">
        <f t="shared" si="0"/>
        <v>4</v>
      </c>
      <c r="E14" s="363"/>
      <c r="F14" s="729"/>
      <c r="H14" s="367">
        <f t="shared" si="1"/>
        <v>4</v>
      </c>
    </row>
    <row r="15" spans="1:11" x14ac:dyDescent="0.35">
      <c r="A15" s="367">
        <f t="shared" si="0"/>
        <v>5</v>
      </c>
      <c r="B15" s="79" t="s">
        <v>356</v>
      </c>
      <c r="E15" s="362">
        <f>E11+E13</f>
        <v>158074.37579999998</v>
      </c>
      <c r="F15" s="729"/>
      <c r="G15" s="123" t="s">
        <v>1022</v>
      </c>
      <c r="H15" s="367">
        <f t="shared" si="1"/>
        <v>5</v>
      </c>
      <c r="K15" s="877"/>
    </row>
    <row r="16" spans="1:11" x14ac:dyDescent="0.35">
      <c r="A16" s="367">
        <f t="shared" si="0"/>
        <v>6</v>
      </c>
      <c r="E16" s="362"/>
      <c r="F16" s="729"/>
      <c r="H16" s="367">
        <f t="shared" si="1"/>
        <v>6</v>
      </c>
      <c r="K16" s="877"/>
    </row>
    <row r="17" spans="1:10" ht="18" x14ac:dyDescent="0.35">
      <c r="A17" s="367">
        <f t="shared" si="0"/>
        <v>7</v>
      </c>
      <c r="B17" s="79" t="s">
        <v>1609</v>
      </c>
      <c r="C17" s="234"/>
      <c r="E17" s="270">
        <v>0</v>
      </c>
      <c r="F17" s="729"/>
      <c r="G17" s="2121" t="s">
        <v>1602</v>
      </c>
      <c r="H17" s="367">
        <f t="shared" si="1"/>
        <v>7</v>
      </c>
      <c r="J17" s="242"/>
    </row>
    <row r="18" spans="1:10" x14ac:dyDescent="0.35">
      <c r="A18" s="367">
        <f t="shared" si="0"/>
        <v>8</v>
      </c>
      <c r="E18" s="364"/>
      <c r="F18" s="729"/>
      <c r="G18" s="123"/>
      <c r="H18" s="367">
        <f t="shared" si="1"/>
        <v>8</v>
      </c>
    </row>
    <row r="19" spans="1:10" x14ac:dyDescent="0.35">
      <c r="A19" s="367">
        <f>+A18+1</f>
        <v>9</v>
      </c>
      <c r="B19" s="79" t="s">
        <v>357</v>
      </c>
      <c r="C19" s="234"/>
      <c r="D19" s="895"/>
      <c r="E19" s="128">
        <f>E15+E17</f>
        <v>158074.37579999998</v>
      </c>
      <c r="F19" s="729"/>
      <c r="G19" s="123" t="s">
        <v>1108</v>
      </c>
      <c r="H19" s="367">
        <f>+H18+1</f>
        <v>9</v>
      </c>
      <c r="J19" s="1535"/>
    </row>
    <row r="20" spans="1:10" x14ac:dyDescent="0.35">
      <c r="A20" s="367">
        <f t="shared" si="0"/>
        <v>10</v>
      </c>
      <c r="C20" s="895"/>
      <c r="D20" s="895"/>
      <c r="F20" s="729"/>
      <c r="G20" s="182"/>
      <c r="H20" s="367">
        <f t="shared" si="1"/>
        <v>10</v>
      </c>
    </row>
    <row r="21" spans="1:10" x14ac:dyDescent="0.35">
      <c r="A21" s="367">
        <f t="shared" si="0"/>
        <v>11</v>
      </c>
      <c r="B21" s="79" t="s">
        <v>806</v>
      </c>
      <c r="C21" s="895"/>
      <c r="D21" s="895"/>
      <c r="E21" s="125">
        <f>'Stmt AH'!E60</f>
        <v>0.4027390734401835</v>
      </c>
      <c r="F21" s="1091"/>
      <c r="G21" s="182" t="s">
        <v>996</v>
      </c>
      <c r="H21" s="367">
        <f t="shared" si="1"/>
        <v>11</v>
      </c>
      <c r="I21" s="1217"/>
    </row>
    <row r="22" spans="1:10" x14ac:dyDescent="0.35">
      <c r="A22" s="367">
        <f t="shared" si="0"/>
        <v>12</v>
      </c>
      <c r="C22" s="895"/>
      <c r="D22" s="895"/>
      <c r="F22" s="729"/>
      <c r="G22" s="182"/>
      <c r="H22" s="367">
        <f t="shared" si="1"/>
        <v>12</v>
      </c>
      <c r="I22" s="701"/>
    </row>
    <row r="23" spans="1:10" ht="16" thickBot="1" x14ac:dyDescent="0.4">
      <c r="A23" s="367">
        <f t="shared" si="0"/>
        <v>13</v>
      </c>
      <c r="B23" s="79" t="s">
        <v>885</v>
      </c>
      <c r="C23" s="895"/>
      <c r="D23" s="895"/>
      <c r="E23" s="365">
        <f>E19*E21</f>
        <v>63662.727644327359</v>
      </c>
      <c r="F23" s="729"/>
      <c r="G23" s="694" t="s">
        <v>1109</v>
      </c>
      <c r="H23" s="367">
        <f t="shared" si="1"/>
        <v>13</v>
      </c>
    </row>
    <row r="24" spans="1:10" ht="16.5" thickTop="1" thickBot="1" x14ac:dyDescent="0.4">
      <c r="A24" s="367">
        <f t="shared" si="0"/>
        <v>14</v>
      </c>
      <c r="B24" s="366"/>
      <c r="C24" s="1218"/>
      <c r="D24" s="1218"/>
      <c r="E24" s="366"/>
      <c r="F24" s="366"/>
      <c r="G24" s="366"/>
      <c r="H24" s="367">
        <f t="shared" si="1"/>
        <v>14</v>
      </c>
    </row>
    <row r="25" spans="1:10" x14ac:dyDescent="0.35">
      <c r="A25" s="367">
        <f>+A24+1</f>
        <v>15</v>
      </c>
      <c r="B25" s="81"/>
      <c r="C25" s="1219"/>
      <c r="D25" s="1219"/>
      <c r="E25" s="81"/>
      <c r="F25" s="81"/>
      <c r="G25" s="81"/>
      <c r="H25" s="367">
        <f>+H24+1</f>
        <v>15</v>
      </c>
    </row>
    <row r="26" spans="1:10" ht="18" x14ac:dyDescent="0.35">
      <c r="A26" s="367">
        <f t="shared" ref="A26:A27" si="2">+A25+1</f>
        <v>16</v>
      </c>
      <c r="B26" s="79" t="s">
        <v>1610</v>
      </c>
      <c r="C26" s="234" t="s">
        <v>1782</v>
      </c>
      <c r="E26" s="1858">
        <v>16778.780699999999</v>
      </c>
      <c r="F26" s="729"/>
      <c r="G26" s="689"/>
      <c r="H26" s="367">
        <f t="shared" si="1"/>
        <v>16</v>
      </c>
    </row>
    <row r="27" spans="1:10" x14ac:dyDescent="0.35">
      <c r="A27" s="367">
        <f t="shared" si="2"/>
        <v>17</v>
      </c>
      <c r="E27" s="199"/>
      <c r="F27" s="729"/>
      <c r="G27" s="123"/>
      <c r="H27" s="367">
        <f t="shared" si="1"/>
        <v>17</v>
      </c>
    </row>
    <row r="28" spans="1:10" x14ac:dyDescent="0.35">
      <c r="A28" s="367">
        <f t="shared" ref="A28" si="3">+A27+1</f>
        <v>18</v>
      </c>
      <c r="B28" s="79" t="s">
        <v>12</v>
      </c>
      <c r="E28" s="125">
        <f>'Stmt AI'!E25</f>
        <v>0.20229837689326716</v>
      </c>
      <c r="F28" s="729"/>
      <c r="G28" s="182" t="s">
        <v>1110</v>
      </c>
      <c r="H28" s="367">
        <f t="shared" si="1"/>
        <v>18</v>
      </c>
    </row>
    <row r="29" spans="1:10" x14ac:dyDescent="0.35">
      <c r="A29" s="367">
        <f t="shared" ref="A29" si="4">+A28+1</f>
        <v>19</v>
      </c>
      <c r="E29" s="206"/>
      <c r="F29" s="729"/>
      <c r="G29" s="182"/>
      <c r="H29" s="367">
        <f t="shared" si="1"/>
        <v>19</v>
      </c>
    </row>
    <row r="30" spans="1:10" ht="16" thickBot="1" x14ac:dyDescent="0.4">
      <c r="A30" s="367">
        <f t="shared" si="0"/>
        <v>20</v>
      </c>
      <c r="B30" s="79" t="s">
        <v>886</v>
      </c>
      <c r="E30" s="365">
        <f>E26*E28</f>
        <v>3394.3201018580767</v>
      </c>
      <c r="F30" s="729"/>
      <c r="G30" s="689" t="s">
        <v>1111</v>
      </c>
      <c r="H30" s="367">
        <f t="shared" si="1"/>
        <v>20</v>
      </c>
    </row>
    <row r="31" spans="1:10" ht="16" thickTop="1" x14ac:dyDescent="0.35">
      <c r="A31" s="367"/>
      <c r="E31" s="1220"/>
      <c r="F31" s="729"/>
      <c r="G31" s="1221"/>
      <c r="H31" s="367"/>
      <c r="J31" s="991"/>
    </row>
    <row r="32" spans="1:10" x14ac:dyDescent="0.35">
      <c r="B32" s="79" t="s">
        <v>10</v>
      </c>
      <c r="E32" s="199"/>
      <c r="F32" s="199"/>
      <c r="J32" s="1222"/>
    </row>
    <row r="33" spans="1:10" ht="18" x14ac:dyDescent="0.35">
      <c r="A33" s="1223">
        <v>1</v>
      </c>
      <c r="B33" s="1724" t="s">
        <v>1783</v>
      </c>
      <c r="C33" s="85"/>
      <c r="D33" s="85"/>
      <c r="E33" s="85"/>
      <c r="F33" s="85"/>
      <c r="G33" s="85"/>
      <c r="J33" s="991"/>
    </row>
    <row r="34" spans="1:10" s="1533" customFormat="1" ht="18" x14ac:dyDescent="0.35">
      <c r="A34" s="1223">
        <v>2</v>
      </c>
      <c r="B34" s="1724" t="s">
        <v>1784</v>
      </c>
      <c r="C34" s="85"/>
      <c r="D34" s="85"/>
      <c r="E34" s="85"/>
      <c r="F34" s="85"/>
      <c r="G34" s="85"/>
      <c r="J34" s="991"/>
    </row>
    <row r="35" spans="1:10" ht="18" x14ac:dyDescent="0.35">
      <c r="A35" s="1223">
        <v>3</v>
      </c>
      <c r="B35" s="2123" t="s">
        <v>1611</v>
      </c>
      <c r="C35" s="85"/>
      <c r="D35" s="85"/>
      <c r="E35" s="85"/>
      <c r="F35" s="1724"/>
      <c r="G35" s="1724"/>
      <c r="J35" s="991"/>
    </row>
    <row r="36" spans="1:10" ht="18" x14ac:dyDescent="0.35">
      <c r="A36" s="2122">
        <v>4</v>
      </c>
      <c r="B36" s="1724" t="s">
        <v>1785</v>
      </c>
    </row>
    <row r="37" spans="1:10" x14ac:dyDescent="0.35">
      <c r="J37" s="1224"/>
    </row>
    <row r="38" spans="1:10" x14ac:dyDescent="0.35">
      <c r="J38" s="1224"/>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Roman,Regular"&amp;10AK</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51"/>
  <sheetViews>
    <sheetView zoomScale="80" zoomScaleNormal="80" workbookViewId="0"/>
  </sheetViews>
  <sheetFormatPr defaultColWidth="8.90625" defaultRowHeight="15.5" x14ac:dyDescent="0.35"/>
  <cols>
    <col min="1" max="1" width="5.08984375" style="182" bestFit="1" customWidth="1"/>
    <col min="2" max="2" width="79.453125" style="79" customWidth="1"/>
    <col min="3" max="3" width="25.54296875" style="1092" bestFit="1" customWidth="1"/>
    <col min="4" max="4" width="1.54296875" style="79" customWidth="1"/>
    <col min="5" max="5" width="16.90625" style="79" customWidth="1"/>
    <col min="6" max="6" width="1.54296875" style="79" customWidth="1"/>
    <col min="7" max="7" width="16.90625" style="79" customWidth="1"/>
    <col min="8" max="8" width="1.54296875" style="79" customWidth="1"/>
    <col min="9" max="9" width="39.453125" style="79" bestFit="1" customWidth="1"/>
    <col min="10" max="10" width="5.08984375" style="79" customWidth="1"/>
    <col min="11" max="16384" width="8.90625" style="79"/>
  </cols>
  <sheetData>
    <row r="1" spans="1:10" x14ac:dyDescent="0.35">
      <c r="A1" s="367"/>
      <c r="H1" s="182"/>
      <c r="I1" s="182"/>
      <c r="J1" s="182"/>
    </row>
    <row r="2" spans="1:10" x14ac:dyDescent="0.35">
      <c r="B2" s="2288" t="s">
        <v>18</v>
      </c>
      <c r="C2" s="2295"/>
      <c r="D2" s="2295"/>
      <c r="E2" s="2295"/>
      <c r="F2" s="2295"/>
      <c r="G2" s="2295"/>
      <c r="H2" s="2295"/>
      <c r="I2" s="2295"/>
      <c r="J2" s="728"/>
    </row>
    <row r="3" spans="1:10" x14ac:dyDescent="0.35">
      <c r="B3" s="2288" t="s">
        <v>1330</v>
      </c>
      <c r="C3" s="2295"/>
      <c r="D3" s="2295"/>
      <c r="E3" s="2295"/>
      <c r="F3" s="2295"/>
      <c r="G3" s="2295"/>
      <c r="H3" s="2295"/>
      <c r="I3" s="2295"/>
      <c r="J3" s="728"/>
    </row>
    <row r="4" spans="1:10" x14ac:dyDescent="0.35">
      <c r="B4" s="2288" t="s">
        <v>360</v>
      </c>
      <c r="C4" s="2295"/>
      <c r="D4" s="2295"/>
      <c r="E4" s="2295"/>
      <c r="F4" s="2295"/>
      <c r="G4" s="2295"/>
      <c r="H4" s="2295"/>
      <c r="I4" s="2295"/>
      <c r="J4" s="728"/>
    </row>
    <row r="5" spans="1:10" x14ac:dyDescent="0.35">
      <c r="B5" s="2293" t="str">
        <f>'Stmt AD'!B5</f>
        <v>Base Period &amp; True-Up Period 12 - Months Ending December 31, 2021</v>
      </c>
      <c r="C5" s="2293"/>
      <c r="D5" s="2293"/>
      <c r="E5" s="2293"/>
      <c r="F5" s="2293"/>
      <c r="G5" s="2293"/>
      <c r="H5" s="2293"/>
      <c r="I5" s="2293"/>
      <c r="J5" s="728"/>
    </row>
    <row r="6" spans="1:10" x14ac:dyDescent="0.35">
      <c r="B6" s="2291" t="s">
        <v>2</v>
      </c>
      <c r="C6" s="2291"/>
      <c r="D6" s="2291"/>
      <c r="E6" s="2291"/>
      <c r="F6" s="2291"/>
      <c r="G6" s="2291"/>
      <c r="H6" s="2291"/>
      <c r="I6" s="2291"/>
      <c r="J6" s="88"/>
    </row>
    <row r="7" spans="1:10" x14ac:dyDescent="0.35">
      <c r="B7" s="367"/>
      <c r="C7" s="1090"/>
      <c r="D7" s="367"/>
      <c r="E7" s="367"/>
      <c r="F7" s="367"/>
      <c r="G7" s="367"/>
      <c r="H7" s="729"/>
      <c r="I7" s="729"/>
      <c r="J7" s="729"/>
    </row>
    <row r="8" spans="1:10" x14ac:dyDescent="0.35">
      <c r="A8" s="182" t="s">
        <v>3</v>
      </c>
      <c r="B8" s="729"/>
      <c r="C8" s="236" t="s">
        <v>648</v>
      </c>
      <c r="D8" s="367"/>
      <c r="E8" s="367" t="s">
        <v>361</v>
      </c>
      <c r="F8" s="367"/>
      <c r="G8" s="367" t="s">
        <v>710</v>
      </c>
      <c r="H8" s="729"/>
      <c r="I8" s="595"/>
      <c r="J8" s="182" t="s">
        <v>3</v>
      </c>
    </row>
    <row r="9" spans="1:10" x14ac:dyDescent="0.35">
      <c r="A9" s="345" t="s">
        <v>25</v>
      </c>
      <c r="B9" s="729"/>
      <c r="C9" s="732" t="s">
        <v>646</v>
      </c>
      <c r="D9" s="729"/>
      <c r="E9" s="735" t="s">
        <v>362</v>
      </c>
      <c r="F9" s="729"/>
      <c r="G9" s="735" t="s">
        <v>8</v>
      </c>
      <c r="H9" s="729"/>
      <c r="I9" s="89" t="s">
        <v>9</v>
      </c>
      <c r="J9" s="345" t="s">
        <v>25</v>
      </c>
    </row>
    <row r="10" spans="1:10" x14ac:dyDescent="0.35">
      <c r="B10" s="367"/>
      <c r="C10" s="1090"/>
      <c r="D10" s="367"/>
      <c r="E10" s="367"/>
      <c r="F10" s="367"/>
      <c r="G10" s="367"/>
      <c r="H10" s="367"/>
      <c r="I10" s="182"/>
      <c r="J10" s="182"/>
    </row>
    <row r="11" spans="1:10" ht="18" x14ac:dyDescent="0.35">
      <c r="A11" s="367">
        <v>1</v>
      </c>
      <c r="B11" s="79" t="s">
        <v>785</v>
      </c>
      <c r="C11" s="182"/>
      <c r="D11" s="81"/>
      <c r="E11" s="215"/>
      <c r="F11" s="201"/>
      <c r="G11" s="361">
        <f>'AL-1'!C32</f>
        <v>121247.3026923077</v>
      </c>
      <c r="H11" s="201"/>
      <c r="I11" s="123" t="s">
        <v>1098</v>
      </c>
      <c r="J11" s="367">
        <f>A11</f>
        <v>1</v>
      </c>
    </row>
    <row r="12" spans="1:10" x14ac:dyDescent="0.35">
      <c r="A12" s="367">
        <f>+A11+1</f>
        <v>2</v>
      </c>
      <c r="C12" s="182"/>
      <c r="D12" s="81"/>
      <c r="E12" s="202"/>
      <c r="F12" s="106"/>
      <c r="G12" s="106"/>
      <c r="H12" s="106"/>
      <c r="I12" s="123"/>
      <c r="J12" s="367">
        <f>+J11+1</f>
        <v>2</v>
      </c>
    </row>
    <row r="13" spans="1:10" x14ac:dyDescent="0.35">
      <c r="A13" s="367">
        <f t="shared" ref="A13:A44" si="0">+A12+1</f>
        <v>3</v>
      </c>
      <c r="B13" s="79" t="s">
        <v>363</v>
      </c>
      <c r="C13" s="182"/>
      <c r="D13" s="81"/>
      <c r="E13" s="203"/>
      <c r="F13" s="1225"/>
      <c r="G13" s="205">
        <f>'Stmt AD'!I45</f>
        <v>0.40069030700734176</v>
      </c>
      <c r="H13" s="201"/>
      <c r="I13" s="1003" t="s">
        <v>1099</v>
      </c>
      <c r="J13" s="367">
        <f t="shared" ref="J13:J44" si="1">+J12+1</f>
        <v>3</v>
      </c>
    </row>
    <row r="14" spans="1:10" x14ac:dyDescent="0.35">
      <c r="A14" s="367">
        <f t="shared" si="0"/>
        <v>4</v>
      </c>
      <c r="C14" s="182"/>
      <c r="D14" s="81"/>
      <c r="E14" s="202"/>
      <c r="F14" s="106"/>
      <c r="G14" s="199"/>
      <c r="H14" s="106"/>
      <c r="I14" s="123"/>
      <c r="J14" s="367">
        <f t="shared" si="1"/>
        <v>4</v>
      </c>
    </row>
    <row r="15" spans="1:10" ht="16" thickBot="1" x14ac:dyDescent="0.4">
      <c r="A15" s="367">
        <f t="shared" si="0"/>
        <v>5</v>
      </c>
      <c r="B15" s="79" t="s">
        <v>852</v>
      </c>
      <c r="C15" s="182"/>
      <c r="D15" s="81"/>
      <c r="E15" s="213"/>
      <c r="F15" s="106"/>
      <c r="G15" s="214">
        <f>G11*G13</f>
        <v>48582.618939592867</v>
      </c>
      <c r="H15" s="201"/>
      <c r="I15" s="123" t="s">
        <v>1091</v>
      </c>
      <c r="J15" s="367">
        <f t="shared" si="1"/>
        <v>5</v>
      </c>
    </row>
    <row r="16" spans="1:10" ht="16" thickTop="1" x14ac:dyDescent="0.35">
      <c r="A16" s="367">
        <f t="shared" si="0"/>
        <v>6</v>
      </c>
      <c r="C16" s="182"/>
      <c r="D16" s="81"/>
      <c r="E16" s="126"/>
      <c r="F16" s="182"/>
      <c r="G16" s="182"/>
      <c r="H16" s="182"/>
      <c r="I16" s="123"/>
      <c r="J16" s="367">
        <f t="shared" si="1"/>
        <v>6</v>
      </c>
    </row>
    <row r="17" spans="1:11" ht="18" x14ac:dyDescent="0.35">
      <c r="A17" s="367">
        <f t="shared" si="0"/>
        <v>7</v>
      </c>
      <c r="B17" s="79" t="s">
        <v>1690</v>
      </c>
      <c r="C17" s="182" t="s">
        <v>1786</v>
      </c>
      <c r="D17" s="118"/>
      <c r="E17" s="215"/>
      <c r="F17" s="106"/>
      <c r="G17" s="368">
        <f>'AL-2'!C30</f>
        <v>104600.50423076922</v>
      </c>
      <c r="H17" s="201"/>
      <c r="I17" s="123" t="s">
        <v>1100</v>
      </c>
      <c r="J17" s="367">
        <f t="shared" si="1"/>
        <v>7</v>
      </c>
    </row>
    <row r="18" spans="1:11" x14ac:dyDescent="0.35">
      <c r="A18" s="367">
        <f t="shared" si="0"/>
        <v>8</v>
      </c>
      <c r="C18" s="182"/>
      <c r="D18" s="81"/>
      <c r="E18" s="108"/>
      <c r="F18" s="106"/>
      <c r="G18" s="106"/>
      <c r="H18" s="106"/>
      <c r="I18" s="123"/>
      <c r="J18" s="367">
        <f t="shared" si="1"/>
        <v>8</v>
      </c>
    </row>
    <row r="19" spans="1:11" ht="16" thickBot="1" x14ac:dyDescent="0.4">
      <c r="A19" s="367">
        <f t="shared" si="0"/>
        <v>9</v>
      </c>
      <c r="B19" s="79" t="s">
        <v>853</v>
      </c>
      <c r="D19" s="81"/>
      <c r="E19" s="215"/>
      <c r="F19" s="106"/>
      <c r="G19" s="214">
        <f>G13*G17</f>
        <v>41912.408153349672</v>
      </c>
      <c r="H19" s="201"/>
      <c r="I19" s="123" t="s">
        <v>1101</v>
      </c>
      <c r="J19" s="367">
        <f t="shared" si="1"/>
        <v>9</v>
      </c>
    </row>
    <row r="20" spans="1:11" ht="16" thickTop="1" x14ac:dyDescent="0.35">
      <c r="A20" s="367">
        <f t="shared" si="0"/>
        <v>10</v>
      </c>
      <c r="E20" s="103"/>
      <c r="F20" s="106"/>
      <c r="G20" s="106"/>
      <c r="H20" s="106"/>
      <c r="I20" s="123"/>
      <c r="J20" s="367">
        <f t="shared" si="1"/>
        <v>10</v>
      </c>
    </row>
    <row r="21" spans="1:11" x14ac:dyDescent="0.35">
      <c r="A21" s="367">
        <f t="shared" si="0"/>
        <v>11</v>
      </c>
      <c r="B21" s="1226" t="s">
        <v>364</v>
      </c>
      <c r="E21" s="103"/>
      <c r="F21" s="106"/>
      <c r="G21" s="106"/>
      <c r="H21" s="106"/>
      <c r="I21" s="123"/>
      <c r="J21" s="367">
        <f t="shared" si="1"/>
        <v>11</v>
      </c>
    </row>
    <row r="22" spans="1:11" s="85" customFormat="1" x14ac:dyDescent="0.35">
      <c r="A22" s="1227">
        <f t="shared" si="0"/>
        <v>12</v>
      </c>
      <c r="B22" s="85" t="s">
        <v>868</v>
      </c>
      <c r="C22" s="1228"/>
      <c r="E22" s="369">
        <f>'Stmt AH'!E19</f>
        <v>100282.34526999999</v>
      </c>
      <c r="F22" s="1229"/>
      <c r="G22" s="128"/>
      <c r="H22" s="1229"/>
      <c r="I22" s="1003" t="s">
        <v>1049</v>
      </c>
      <c r="J22" s="1227">
        <f t="shared" si="1"/>
        <v>12</v>
      </c>
    </row>
    <row r="23" spans="1:11" s="85" customFormat="1" x14ac:dyDescent="0.35">
      <c r="A23" s="1227">
        <f t="shared" si="0"/>
        <v>13</v>
      </c>
      <c r="B23" s="85" t="s">
        <v>869</v>
      </c>
      <c r="C23" s="1228"/>
      <c r="E23" s="370">
        <f>'Stmt AH'!E41</f>
        <v>98092.337878637874</v>
      </c>
      <c r="F23" s="88"/>
      <c r="G23" s="324"/>
      <c r="H23" s="1229"/>
      <c r="I23" s="1003" t="s">
        <v>1050</v>
      </c>
      <c r="J23" s="1227">
        <f t="shared" si="1"/>
        <v>13</v>
      </c>
    </row>
    <row r="24" spans="1:11" s="85" customFormat="1" x14ac:dyDescent="0.35">
      <c r="A24" s="1227">
        <f t="shared" si="0"/>
        <v>14</v>
      </c>
      <c r="B24" s="79" t="s">
        <v>870</v>
      </c>
      <c r="C24" s="1228"/>
      <c r="E24" s="371">
        <f>-'Stmt AH'!E26</f>
        <v>0</v>
      </c>
      <c r="F24" s="1230"/>
      <c r="G24" s="324"/>
      <c r="H24" s="1230"/>
      <c r="I24" s="1003" t="s">
        <v>1051</v>
      </c>
      <c r="J24" s="1227">
        <f t="shared" si="1"/>
        <v>14</v>
      </c>
    </row>
    <row r="25" spans="1:11" x14ac:dyDescent="0.35">
      <c r="A25" s="367">
        <f t="shared" si="0"/>
        <v>15</v>
      </c>
      <c r="B25" s="79" t="s">
        <v>871</v>
      </c>
      <c r="E25" s="372">
        <f>SUM(E22:E24)</f>
        <v>198374.68314863788</v>
      </c>
      <c r="F25" s="88"/>
      <c r="G25" s="118"/>
      <c r="H25" s="123"/>
      <c r="I25" s="123" t="s">
        <v>1102</v>
      </c>
      <c r="J25" s="367">
        <f t="shared" si="1"/>
        <v>15</v>
      </c>
    </row>
    <row r="26" spans="1:11" x14ac:dyDescent="0.35">
      <c r="A26" s="367">
        <f t="shared" si="0"/>
        <v>16</v>
      </c>
      <c r="F26" s="182"/>
      <c r="G26" s="81"/>
      <c r="H26" s="182"/>
      <c r="I26" s="123"/>
      <c r="J26" s="367">
        <f t="shared" si="1"/>
        <v>16</v>
      </c>
    </row>
    <row r="27" spans="1:11" x14ac:dyDescent="0.35">
      <c r="A27" s="367">
        <f t="shared" si="0"/>
        <v>17</v>
      </c>
      <c r="B27" s="79" t="s">
        <v>872</v>
      </c>
      <c r="E27" s="373">
        <f>1/8</f>
        <v>0.125</v>
      </c>
      <c r="F27" s="182"/>
      <c r="G27" s="376"/>
      <c r="H27" s="182"/>
      <c r="I27" s="123" t="s">
        <v>365</v>
      </c>
      <c r="J27" s="367">
        <f t="shared" si="1"/>
        <v>17</v>
      </c>
      <c r="K27" s="85"/>
    </row>
    <row r="28" spans="1:11" x14ac:dyDescent="0.35">
      <c r="A28" s="367">
        <f t="shared" si="0"/>
        <v>18</v>
      </c>
      <c r="E28" s="199" t="s">
        <v>10</v>
      </c>
      <c r="F28" s="106"/>
      <c r="G28" s="202"/>
      <c r="H28" s="106"/>
      <c r="I28" s="123"/>
      <c r="J28" s="367">
        <f t="shared" si="1"/>
        <v>18</v>
      </c>
    </row>
    <row r="29" spans="1:11" ht="16" thickBot="1" x14ac:dyDescent="0.4">
      <c r="A29" s="367">
        <f t="shared" si="0"/>
        <v>19</v>
      </c>
      <c r="B29" s="79" t="s">
        <v>873</v>
      </c>
      <c r="E29" s="214">
        <f>E25*E27</f>
        <v>24796.835393579735</v>
      </c>
      <c r="F29" s="88"/>
      <c r="G29" s="213"/>
      <c r="H29" s="106"/>
      <c r="I29" s="182" t="s">
        <v>1103</v>
      </c>
      <c r="J29" s="367">
        <f t="shared" si="1"/>
        <v>19</v>
      </c>
    </row>
    <row r="30" spans="1:11" ht="16" thickTop="1" x14ac:dyDescent="0.35">
      <c r="A30" s="367">
        <f t="shared" si="0"/>
        <v>20</v>
      </c>
      <c r="E30" s="213"/>
      <c r="F30" s="201"/>
      <c r="G30" s="213"/>
      <c r="H30" s="106"/>
      <c r="I30" s="182"/>
      <c r="J30" s="367">
        <f t="shared" si="1"/>
        <v>20</v>
      </c>
    </row>
    <row r="31" spans="1:11" x14ac:dyDescent="0.35">
      <c r="A31" s="367">
        <f t="shared" si="0"/>
        <v>21</v>
      </c>
      <c r="B31" s="1226" t="s">
        <v>366</v>
      </c>
      <c r="E31" s="103"/>
      <c r="F31" s="106"/>
      <c r="G31" s="106"/>
      <c r="H31" s="106"/>
      <c r="I31" s="123"/>
      <c r="J31" s="367">
        <f t="shared" si="1"/>
        <v>21</v>
      </c>
    </row>
    <row r="32" spans="1:11" s="85" customFormat="1" x14ac:dyDescent="0.35">
      <c r="A32" s="367">
        <f t="shared" si="0"/>
        <v>22</v>
      </c>
      <c r="B32" s="79" t="s">
        <v>870</v>
      </c>
      <c r="C32" s="1228"/>
      <c r="E32" s="267">
        <f>E24</f>
        <v>0</v>
      </c>
      <c r="F32" s="1229"/>
      <c r="G32" s="128"/>
      <c r="H32" s="1229"/>
      <c r="I32" s="1003" t="s">
        <v>1104</v>
      </c>
      <c r="J32" s="367">
        <f t="shared" si="1"/>
        <v>22</v>
      </c>
    </row>
    <row r="33" spans="1:11" s="85" customFormat="1" x14ac:dyDescent="0.35">
      <c r="A33" s="367">
        <f t="shared" si="0"/>
        <v>23</v>
      </c>
      <c r="C33" s="1228"/>
      <c r="E33" s="374"/>
      <c r="F33" s="1229"/>
      <c r="G33" s="128"/>
      <c r="H33" s="1229"/>
      <c r="I33" s="1003"/>
      <c r="J33" s="367">
        <f t="shared" si="1"/>
        <v>23</v>
      </c>
    </row>
    <row r="34" spans="1:11" x14ac:dyDescent="0.35">
      <c r="A34" s="367">
        <f t="shared" si="0"/>
        <v>24</v>
      </c>
      <c r="B34" s="79" t="s">
        <v>872</v>
      </c>
      <c r="E34" s="375">
        <f>E27</f>
        <v>0.125</v>
      </c>
      <c r="F34" s="182"/>
      <c r="G34" s="376"/>
      <c r="H34" s="182"/>
      <c r="I34" s="1003" t="s">
        <v>1105</v>
      </c>
      <c r="J34" s="367">
        <f t="shared" si="1"/>
        <v>24</v>
      </c>
      <c r="K34" s="85"/>
    </row>
    <row r="35" spans="1:11" x14ac:dyDescent="0.35">
      <c r="A35" s="367">
        <f t="shared" si="0"/>
        <v>25</v>
      </c>
      <c r="E35" s="376"/>
      <c r="F35" s="182"/>
      <c r="G35" s="376"/>
      <c r="H35" s="182"/>
      <c r="I35" s="123"/>
      <c r="J35" s="367">
        <f t="shared" si="1"/>
        <v>25</v>
      </c>
      <c r="K35" s="85"/>
    </row>
    <row r="36" spans="1:11" x14ac:dyDescent="0.35">
      <c r="A36" s="367">
        <f t="shared" si="0"/>
        <v>26</v>
      </c>
      <c r="B36" s="79" t="s">
        <v>367</v>
      </c>
      <c r="E36" s="235">
        <f>E32*E34</f>
        <v>0</v>
      </c>
      <c r="F36" s="182"/>
      <c r="G36" s="376"/>
      <c r="H36" s="182"/>
      <c r="I36" s="1946" t="s">
        <v>1106</v>
      </c>
      <c r="J36" s="367">
        <f t="shared" si="1"/>
        <v>26</v>
      </c>
    </row>
    <row r="37" spans="1:11" x14ac:dyDescent="0.35">
      <c r="A37" s="367">
        <f t="shared" si="0"/>
        <v>27</v>
      </c>
      <c r="G37" s="81"/>
      <c r="I37" s="1945"/>
      <c r="J37" s="367">
        <f t="shared" si="1"/>
        <v>27</v>
      </c>
    </row>
    <row r="38" spans="1:11" ht="17.5" x14ac:dyDescent="0.35">
      <c r="A38" s="367">
        <f t="shared" si="0"/>
        <v>28</v>
      </c>
      <c r="B38" s="80" t="s">
        <v>1396</v>
      </c>
      <c r="C38" s="1692"/>
      <c r="D38" s="1691"/>
      <c r="E38" s="1706">
        <f>'Stmt AV'!G148</f>
        <v>9.5314045924090818E-2</v>
      </c>
      <c r="F38" s="1689"/>
      <c r="G38" s="81"/>
      <c r="H38" s="1691"/>
      <c r="I38" s="367" t="s">
        <v>1496</v>
      </c>
      <c r="J38" s="367">
        <f t="shared" si="1"/>
        <v>28</v>
      </c>
    </row>
    <row r="39" spans="1:11" x14ac:dyDescent="0.35">
      <c r="A39" s="367">
        <f t="shared" si="0"/>
        <v>29</v>
      </c>
      <c r="B39" s="1691"/>
      <c r="C39" s="1692"/>
      <c r="D39" s="1691"/>
      <c r="E39" s="1691"/>
      <c r="F39" s="1691"/>
      <c r="G39" s="81"/>
      <c r="H39" s="1691"/>
      <c r="I39" s="1945"/>
      <c r="J39" s="367">
        <f t="shared" si="1"/>
        <v>29</v>
      </c>
    </row>
    <row r="40" spans="1:11" ht="18.5" thickBot="1" x14ac:dyDescent="0.4">
      <c r="A40" s="367">
        <f t="shared" si="0"/>
        <v>30</v>
      </c>
      <c r="B40" s="85" t="s">
        <v>1691</v>
      </c>
      <c r="C40" s="1692"/>
      <c r="D40" s="1691"/>
      <c r="E40" s="377">
        <f>E36*E38</f>
        <v>0</v>
      </c>
      <c r="F40" s="1691"/>
      <c r="G40" s="81"/>
      <c r="H40" s="1691"/>
      <c r="I40" s="1946" t="s">
        <v>1107</v>
      </c>
      <c r="J40" s="367">
        <f t="shared" si="1"/>
        <v>30</v>
      </c>
    </row>
    <row r="41" spans="1:11" s="1656" customFormat="1" ht="16" thickTop="1" x14ac:dyDescent="0.35">
      <c r="A41" s="367">
        <f t="shared" si="0"/>
        <v>31</v>
      </c>
      <c r="B41" s="85"/>
      <c r="C41" s="1692"/>
      <c r="D41" s="1691"/>
      <c r="E41" s="207"/>
      <c r="F41" s="1691"/>
      <c r="G41" s="81"/>
      <c r="H41" s="1691"/>
      <c r="I41" s="1946"/>
      <c r="J41" s="367">
        <f t="shared" si="1"/>
        <v>31</v>
      </c>
    </row>
    <row r="42" spans="1:11" s="1656" customFormat="1" ht="17.5" x14ac:dyDescent="0.35">
      <c r="A42" s="367">
        <f t="shared" si="0"/>
        <v>32</v>
      </c>
      <c r="B42" s="80" t="s">
        <v>1397</v>
      </c>
      <c r="C42" s="1692"/>
      <c r="D42" s="1691"/>
      <c r="E42" s="1706">
        <f>'Stmt AV'!G182</f>
        <v>3.9113461135350091E-3</v>
      </c>
      <c r="F42" s="1691"/>
      <c r="G42" s="81"/>
      <c r="H42" s="1691"/>
      <c r="I42" s="367" t="s">
        <v>1497</v>
      </c>
      <c r="J42" s="367">
        <f t="shared" si="1"/>
        <v>32</v>
      </c>
    </row>
    <row r="43" spans="1:11" s="1656" customFormat="1" x14ac:dyDescent="0.35">
      <c r="A43" s="367">
        <f t="shared" si="0"/>
        <v>33</v>
      </c>
      <c r="B43" s="1691"/>
      <c r="C43" s="1692"/>
      <c r="D43" s="1691"/>
      <c r="E43" s="207"/>
      <c r="F43" s="1691"/>
      <c r="G43" s="81"/>
      <c r="H43" s="1691"/>
      <c r="I43" s="1692"/>
      <c r="J43" s="367">
        <f t="shared" si="1"/>
        <v>33</v>
      </c>
    </row>
    <row r="44" spans="1:11" s="1656" customFormat="1" ht="18.5" thickBot="1" x14ac:dyDescent="0.4">
      <c r="A44" s="367">
        <f t="shared" si="0"/>
        <v>34</v>
      </c>
      <c r="B44" s="85" t="s">
        <v>1693</v>
      </c>
      <c r="C44" s="1692"/>
      <c r="D44" s="1691"/>
      <c r="E44" s="377">
        <f>E36*E42</f>
        <v>0</v>
      </c>
      <c r="F44" s="1691"/>
      <c r="G44" s="81"/>
      <c r="H44" s="1691"/>
      <c r="I44" s="1692" t="s">
        <v>1297</v>
      </c>
      <c r="J44" s="367">
        <f t="shared" si="1"/>
        <v>34</v>
      </c>
    </row>
    <row r="45" spans="1:11" s="2257" customFormat="1" ht="16" thickTop="1" x14ac:dyDescent="0.35">
      <c r="A45" s="367"/>
      <c r="B45" s="1399"/>
      <c r="C45" s="2258"/>
      <c r="E45" s="1004"/>
      <c r="G45" s="1494"/>
      <c r="I45" s="2258"/>
      <c r="J45" s="367"/>
    </row>
    <row r="46" spans="1:11" x14ac:dyDescent="0.35">
      <c r="B46" s="1691"/>
      <c r="C46" s="1692"/>
      <c r="D46" s="1691"/>
      <c r="E46" s="1691"/>
      <c r="F46" s="1691"/>
      <c r="G46" s="81"/>
      <c r="H46" s="1691"/>
      <c r="I46" s="1691"/>
    </row>
    <row r="47" spans="1:11" ht="18" x14ac:dyDescent="0.35">
      <c r="A47" s="749">
        <v>1</v>
      </c>
      <c r="B47" s="1691" t="s">
        <v>368</v>
      </c>
      <c r="C47" s="1692"/>
      <c r="D47" s="1691"/>
      <c r="E47" s="1691"/>
      <c r="F47" s="1691"/>
      <c r="G47" s="1691"/>
      <c r="H47" s="1691"/>
      <c r="I47" s="1691"/>
    </row>
    <row r="48" spans="1:11" s="2257" customFormat="1" ht="18" x14ac:dyDescent="0.35">
      <c r="A48" s="749">
        <v>2</v>
      </c>
      <c r="B48" s="2123" t="s">
        <v>1787</v>
      </c>
      <c r="C48" s="2258"/>
    </row>
    <row r="49" spans="1:9" s="2257" customFormat="1" ht="18" x14ac:dyDescent="0.35">
      <c r="A49" s="749"/>
      <c r="B49" s="2123" t="s">
        <v>1692</v>
      </c>
      <c r="C49" s="2258"/>
    </row>
    <row r="50" spans="1:9" ht="18" x14ac:dyDescent="0.35">
      <c r="A50" s="749">
        <v>3</v>
      </c>
      <c r="B50" s="1691" t="s">
        <v>1320</v>
      </c>
      <c r="C50" s="1692"/>
      <c r="D50" s="1691"/>
      <c r="E50" s="1691"/>
      <c r="F50" s="1691"/>
      <c r="G50" s="1691"/>
      <c r="H50" s="1691"/>
      <c r="I50" s="1691"/>
    </row>
    <row r="51" spans="1:9" x14ac:dyDescent="0.35">
      <c r="A51" s="728"/>
      <c r="B51" s="88"/>
    </row>
  </sheetData>
  <mergeCells count="5">
    <mergeCell ref="B2:I2"/>
    <mergeCell ref="B3:I3"/>
    <mergeCell ref="B4:I4"/>
    <mergeCell ref="B5:I5"/>
    <mergeCell ref="B6:I6"/>
  </mergeCells>
  <printOptions horizontalCentered="1"/>
  <pageMargins left="0.5" right="0.5" top="0.5" bottom="0.5" header="0.25" footer="0.25"/>
  <pageSetup scale="49" orientation="portrait" r:id="rId1"/>
  <headerFooter scaleWithDoc="0">
    <oddFooter>&amp;C&amp;"Times New Roman,Regular"&amp;10AL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zoomScale="80" zoomScaleNormal="80" workbookViewId="0"/>
  </sheetViews>
  <sheetFormatPr defaultColWidth="9.08984375" defaultRowHeight="15" x14ac:dyDescent="0.35"/>
  <cols>
    <col min="1" max="1" width="5.08984375" style="1561" customWidth="1"/>
    <col min="2" max="2" width="35.08984375" style="88" customWidth="1"/>
    <col min="3" max="3" width="18.54296875" style="793" customWidth="1"/>
    <col min="4" max="4" width="62.54296875" style="853" customWidth="1"/>
    <col min="5" max="5" width="5.08984375" style="1562" customWidth="1"/>
    <col min="6" max="6" width="21.08984375" style="793" customWidth="1"/>
    <col min="7" max="7" width="20.08984375" style="793" customWidth="1"/>
    <col min="8" max="8" width="17.453125" style="793" customWidth="1"/>
    <col min="9" max="9" width="16.90625" style="793" customWidth="1"/>
    <col min="10" max="10" width="21.08984375" style="88" customWidth="1"/>
    <col min="11" max="11" width="15" style="88" customWidth="1"/>
    <col min="12" max="12" width="11" style="88" customWidth="1"/>
    <col min="13" max="13" width="7.08984375" style="88" customWidth="1"/>
    <col min="14" max="14" width="9.08984375" style="88" customWidth="1"/>
    <col min="15" max="15" width="14" style="88" customWidth="1"/>
    <col min="16" max="16" width="13.453125" style="88" customWidth="1"/>
    <col min="17" max="16384" width="9.08984375" style="88"/>
  </cols>
  <sheetData>
    <row r="2" spans="1:6" x14ac:dyDescent="0.35">
      <c r="B2" s="2289" t="s">
        <v>18</v>
      </c>
      <c r="C2" s="2289"/>
      <c r="D2" s="2289"/>
      <c r="E2" s="1562" t="s">
        <v>10</v>
      </c>
      <c r="F2" s="88"/>
    </row>
    <row r="3" spans="1:6" x14ac:dyDescent="0.35">
      <c r="B3" s="2289" t="s">
        <v>369</v>
      </c>
      <c r="C3" s="2289"/>
      <c r="D3" s="2289"/>
      <c r="E3" s="1562" t="s">
        <v>10</v>
      </c>
      <c r="F3" s="88"/>
    </row>
    <row r="4" spans="1:6" x14ac:dyDescent="0.35">
      <c r="B4" s="2289" t="s">
        <v>370</v>
      </c>
      <c r="C4" s="2289"/>
      <c r="D4" s="2289"/>
      <c r="E4" s="1562" t="s">
        <v>10</v>
      </c>
      <c r="F4" s="88"/>
    </row>
    <row r="5" spans="1:6" x14ac:dyDescent="0.35">
      <c r="B5" s="2289" t="s">
        <v>1590</v>
      </c>
      <c r="C5" s="2289"/>
      <c r="D5" s="2289"/>
      <c r="E5" s="1561"/>
      <c r="F5" s="88"/>
    </row>
    <row r="6" spans="1:6" x14ac:dyDescent="0.35">
      <c r="B6" s="2316" t="s">
        <v>2</v>
      </c>
      <c r="C6" s="2316"/>
      <c r="D6" s="2316"/>
      <c r="E6" s="1562" t="s">
        <v>10</v>
      </c>
      <c r="F6" s="753"/>
    </row>
    <row r="7" spans="1:6" x14ac:dyDescent="0.35">
      <c r="B7" s="1231"/>
      <c r="C7" s="753"/>
      <c r="F7" s="753"/>
    </row>
    <row r="8" spans="1:6" x14ac:dyDescent="0.35">
      <c r="B8" s="2289" t="s">
        <v>928</v>
      </c>
      <c r="C8" s="2289"/>
      <c r="D8" s="2289"/>
      <c r="E8" s="1561"/>
      <c r="F8" s="753"/>
    </row>
    <row r="9" spans="1:6" x14ac:dyDescent="0.35">
      <c r="B9" s="2289" t="s">
        <v>371</v>
      </c>
      <c r="C9" s="2289"/>
      <c r="D9" s="2289"/>
      <c r="E9" s="1561"/>
    </row>
    <row r="10" spans="1:6" ht="15.5" x14ac:dyDescent="0.35">
      <c r="B10" s="1101"/>
      <c r="C10" s="1232"/>
      <c r="D10" s="928"/>
      <c r="E10" s="1562" t="s">
        <v>10</v>
      </c>
    </row>
    <row r="11" spans="1:6" ht="15.5" x14ac:dyDescent="0.35">
      <c r="B11" s="756"/>
      <c r="C11" s="840" t="s">
        <v>31</v>
      </c>
      <c r="D11" s="798"/>
      <c r="E11" s="1563"/>
      <c r="F11" s="79"/>
    </row>
    <row r="12" spans="1:6" ht="15.5" x14ac:dyDescent="0.35">
      <c r="B12" s="1159"/>
      <c r="C12" s="799" t="s">
        <v>372</v>
      </c>
      <c r="D12" s="799"/>
      <c r="E12" s="1563"/>
      <c r="F12" s="79"/>
    </row>
    <row r="13" spans="1:6" ht="15.5" x14ac:dyDescent="0.35">
      <c r="A13" s="1563" t="s">
        <v>3</v>
      </c>
      <c r="B13" s="799"/>
      <c r="C13" s="799" t="s">
        <v>373</v>
      </c>
      <c r="D13" s="799"/>
      <c r="E13" s="1563" t="s">
        <v>3</v>
      </c>
      <c r="F13" s="79"/>
    </row>
    <row r="14" spans="1:6" ht="15.5" x14ac:dyDescent="0.35">
      <c r="A14" s="1563" t="s">
        <v>25</v>
      </c>
      <c r="B14" s="766" t="s">
        <v>23</v>
      </c>
      <c r="C14" s="799" t="s">
        <v>374</v>
      </c>
      <c r="D14" s="766" t="s">
        <v>9</v>
      </c>
      <c r="E14" s="1563" t="s">
        <v>25</v>
      </c>
      <c r="F14" s="79"/>
    </row>
    <row r="15" spans="1:6" ht="15.5" x14ac:dyDescent="0.35">
      <c r="A15" s="1233">
        <v>1</v>
      </c>
      <c r="B15" s="1747" t="str">
        <f>'AG-1'!B14</f>
        <v>Dec-20</v>
      </c>
      <c r="C15" s="1784">
        <v>131606.07199999999</v>
      </c>
      <c r="D15" s="1234" t="s">
        <v>647</v>
      </c>
      <c r="E15" s="1233">
        <f>A15</f>
        <v>1</v>
      </c>
      <c r="F15" s="1235"/>
    </row>
    <row r="16" spans="1:6" ht="15.5" x14ac:dyDescent="0.35">
      <c r="A16" s="1233">
        <f>A15+1</f>
        <v>2</v>
      </c>
      <c r="B16" s="1747" t="str">
        <f>'AG-1'!B15</f>
        <v>Jan-21</v>
      </c>
      <c r="C16" s="1741">
        <v>139649.198</v>
      </c>
      <c r="D16" s="1234"/>
      <c r="E16" s="1233">
        <f>E15+1</f>
        <v>2</v>
      </c>
      <c r="F16" s="1235"/>
    </row>
    <row r="17" spans="1:6" ht="15.5" x14ac:dyDescent="0.35">
      <c r="A17" s="1233">
        <f t="shared" ref="A17:A32" si="0">A16+1</f>
        <v>3</v>
      </c>
      <c r="B17" s="959" t="s">
        <v>37</v>
      </c>
      <c r="C17" s="1741">
        <v>144590.571</v>
      </c>
      <c r="D17" s="1234"/>
      <c r="E17" s="1233">
        <f t="shared" ref="E17:E32" si="1">E16+1</f>
        <v>3</v>
      </c>
      <c r="F17" s="1235"/>
    </row>
    <row r="18" spans="1:6" ht="15.5" x14ac:dyDescent="0.35">
      <c r="A18" s="1233">
        <f t="shared" si="0"/>
        <v>4</v>
      </c>
      <c r="B18" s="959" t="s">
        <v>38</v>
      </c>
      <c r="C18" s="1741">
        <v>149414.24900000001</v>
      </c>
      <c r="D18" s="1234"/>
      <c r="E18" s="1233">
        <f t="shared" si="1"/>
        <v>4</v>
      </c>
      <c r="F18" s="1235"/>
    </row>
    <row r="19" spans="1:6" ht="15.5" x14ac:dyDescent="0.35">
      <c r="A19" s="1233">
        <f t="shared" si="0"/>
        <v>5</v>
      </c>
      <c r="B19" s="959" t="s">
        <v>39</v>
      </c>
      <c r="C19" s="1741">
        <v>117894.083</v>
      </c>
      <c r="D19" s="1234"/>
      <c r="E19" s="1233">
        <f t="shared" si="1"/>
        <v>5</v>
      </c>
      <c r="F19" s="1235"/>
    </row>
    <row r="20" spans="1:6" ht="15.5" x14ac:dyDescent="0.35">
      <c r="A20" s="1233">
        <f t="shared" si="0"/>
        <v>6</v>
      </c>
      <c r="B20" s="959" t="s">
        <v>40</v>
      </c>
      <c r="C20" s="1741">
        <v>117240.819</v>
      </c>
      <c r="D20" s="1234"/>
      <c r="E20" s="1233">
        <f t="shared" si="1"/>
        <v>6</v>
      </c>
      <c r="F20" s="1235"/>
    </row>
    <row r="21" spans="1:6" ht="15.5" x14ac:dyDescent="0.35">
      <c r="A21" s="1233">
        <f t="shared" si="0"/>
        <v>7</v>
      </c>
      <c r="B21" s="959" t="s">
        <v>41</v>
      </c>
      <c r="C21" s="1741">
        <v>106839.871</v>
      </c>
      <c r="D21" s="1236"/>
      <c r="E21" s="1233">
        <f t="shared" si="1"/>
        <v>7</v>
      </c>
      <c r="F21" s="1235"/>
    </row>
    <row r="22" spans="1:6" ht="15.5" x14ac:dyDescent="0.35">
      <c r="A22" s="1233">
        <f t="shared" si="0"/>
        <v>8</v>
      </c>
      <c r="B22" s="959" t="s">
        <v>42</v>
      </c>
      <c r="C22" s="1741">
        <v>106403.99800000001</v>
      </c>
      <c r="D22" s="1236"/>
      <c r="E22" s="1233">
        <f t="shared" si="1"/>
        <v>8</v>
      </c>
      <c r="F22" s="1235"/>
    </row>
    <row r="23" spans="1:6" ht="15.5" x14ac:dyDescent="0.35">
      <c r="A23" s="1233">
        <f t="shared" si="0"/>
        <v>9</v>
      </c>
      <c r="B23" s="959" t="s">
        <v>43</v>
      </c>
      <c r="C23" s="1741">
        <v>108528.48</v>
      </c>
      <c r="D23" s="1236"/>
      <c r="E23" s="1233">
        <f t="shared" si="1"/>
        <v>9</v>
      </c>
      <c r="F23" s="1235"/>
    </row>
    <row r="24" spans="1:6" ht="15.5" x14ac:dyDescent="0.35">
      <c r="A24" s="1233">
        <f t="shared" si="0"/>
        <v>10</v>
      </c>
      <c r="B24" s="959" t="s">
        <v>44</v>
      </c>
      <c r="C24" s="1741">
        <v>110265.859</v>
      </c>
      <c r="D24" s="1236"/>
      <c r="E24" s="1233">
        <f t="shared" si="1"/>
        <v>10</v>
      </c>
      <c r="F24" s="1235"/>
    </row>
    <row r="25" spans="1:6" ht="15.5" x14ac:dyDescent="0.35">
      <c r="A25" s="1233">
        <f t="shared" si="0"/>
        <v>11</v>
      </c>
      <c r="B25" s="959" t="s">
        <v>45</v>
      </c>
      <c r="C25" s="1741">
        <v>112223.11199999999</v>
      </c>
      <c r="D25" s="1236"/>
      <c r="E25" s="1233">
        <f t="shared" si="1"/>
        <v>11</v>
      </c>
      <c r="F25" s="1235"/>
    </row>
    <row r="26" spans="1:6" ht="15.5" x14ac:dyDescent="0.35">
      <c r="A26" s="1233">
        <f t="shared" si="0"/>
        <v>12</v>
      </c>
      <c r="B26" s="959" t="s">
        <v>46</v>
      </c>
      <c r="C26" s="1741">
        <v>114283.05899999999</v>
      </c>
      <c r="D26" s="194"/>
      <c r="E26" s="1233">
        <f t="shared" si="1"/>
        <v>12</v>
      </c>
      <c r="F26" s="1235"/>
    </row>
    <row r="27" spans="1:6" ht="15.5" x14ac:dyDescent="0.35">
      <c r="A27" s="1233">
        <f t="shared" si="0"/>
        <v>13</v>
      </c>
      <c r="B27" s="1748" t="str">
        <f>'AG-1'!B26</f>
        <v>Dec-21</v>
      </c>
      <c r="C27" s="1785">
        <v>117275.564</v>
      </c>
      <c r="D27" s="1237" t="s">
        <v>647</v>
      </c>
      <c r="E27" s="1233">
        <f t="shared" si="1"/>
        <v>13</v>
      </c>
      <c r="F27" s="1235"/>
    </row>
    <row r="28" spans="1:6" ht="15.5" x14ac:dyDescent="0.35">
      <c r="A28" s="1233">
        <f t="shared" si="0"/>
        <v>14</v>
      </c>
      <c r="B28" s="1238"/>
      <c r="C28" s="378"/>
      <c r="D28" s="1239"/>
      <c r="E28" s="1233">
        <f t="shared" si="1"/>
        <v>14</v>
      </c>
      <c r="F28" s="79"/>
    </row>
    <row r="29" spans="1:6" ht="15.5" x14ac:dyDescent="0.35">
      <c r="A29" s="1233">
        <f t="shared" si="0"/>
        <v>15</v>
      </c>
      <c r="B29" s="827" t="s">
        <v>47</v>
      </c>
      <c r="C29" s="260">
        <f>SUM(C15:C27)</f>
        <v>1576214.9350000001</v>
      </c>
      <c r="D29" s="524" t="s">
        <v>1146</v>
      </c>
      <c r="E29" s="1233">
        <f t="shared" si="1"/>
        <v>15</v>
      </c>
      <c r="F29" s="79"/>
    </row>
    <row r="30" spans="1:6" ht="15.5" x14ac:dyDescent="0.35">
      <c r="A30" s="1233">
        <f t="shared" si="0"/>
        <v>16</v>
      </c>
      <c r="B30" s="781"/>
      <c r="C30" s="379"/>
      <c r="D30" s="1237"/>
      <c r="E30" s="1233">
        <f t="shared" si="1"/>
        <v>16</v>
      </c>
      <c r="F30" s="79"/>
    </row>
    <row r="31" spans="1:6" ht="15.5" x14ac:dyDescent="0.35">
      <c r="A31" s="1233">
        <f t="shared" si="0"/>
        <v>17</v>
      </c>
      <c r="B31" s="756"/>
      <c r="C31" s="380"/>
      <c r="D31" s="1240"/>
      <c r="E31" s="1233">
        <f t="shared" si="1"/>
        <v>17</v>
      </c>
      <c r="F31" s="79"/>
    </row>
    <row r="32" spans="1:6" ht="15.5" x14ac:dyDescent="0.35">
      <c r="A32" s="1233">
        <f t="shared" si="0"/>
        <v>18</v>
      </c>
      <c r="B32" s="827" t="s">
        <v>48</v>
      </c>
      <c r="C32" s="189">
        <f>C29/13</f>
        <v>121247.3026923077</v>
      </c>
      <c r="D32" s="193" t="s">
        <v>647</v>
      </c>
      <c r="E32" s="1233">
        <f t="shared" si="1"/>
        <v>18</v>
      </c>
      <c r="F32" s="79"/>
    </row>
    <row r="33" spans="1:6" ht="15.5" x14ac:dyDescent="0.35">
      <c r="A33" s="1233">
        <f>A32+1</f>
        <v>19</v>
      </c>
      <c r="B33" s="781"/>
      <c r="C33" s="190"/>
      <c r="D33" s="1241"/>
      <c r="E33" s="1233">
        <f>E32+1</f>
        <v>19</v>
      </c>
      <c r="F33" s="79"/>
    </row>
    <row r="34" spans="1:6" ht="15.5" x14ac:dyDescent="0.35">
      <c r="A34" s="1563"/>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H142"/>
  <sheetViews>
    <sheetView zoomScale="80" zoomScaleNormal="80" workbookViewId="0"/>
  </sheetViews>
  <sheetFormatPr defaultColWidth="9.08984375" defaultRowHeight="15" x14ac:dyDescent="0.35"/>
  <cols>
    <col min="1" max="1" width="5.08984375" style="1561" customWidth="1"/>
    <col min="2" max="2" width="35.08984375" style="88" customWidth="1"/>
    <col min="3" max="3" width="18.54296875" style="793" customWidth="1"/>
    <col min="4" max="4" width="62.54296875" style="793" customWidth="1"/>
    <col min="5" max="5" width="5.08984375" style="853" customWidth="1"/>
    <col min="6" max="6" width="9.453125" style="88" bestFit="1" customWidth="1"/>
    <col min="7" max="16384" width="9.08984375" style="88"/>
  </cols>
  <sheetData>
    <row r="2" spans="1:6" s="79" customFormat="1" ht="15.5" x14ac:dyDescent="0.35">
      <c r="A2" s="1563"/>
      <c r="B2" s="2289" t="s">
        <v>18</v>
      </c>
      <c r="C2" s="2289"/>
      <c r="D2" s="2289"/>
      <c r="E2" s="182"/>
      <c r="F2" s="88"/>
    </row>
    <row r="3" spans="1:6" s="79" customFormat="1" ht="15.5" x14ac:dyDescent="0.35">
      <c r="A3" s="1563"/>
      <c r="B3" s="2289" t="s">
        <v>369</v>
      </c>
      <c r="C3" s="2289"/>
      <c r="D3" s="2289"/>
      <c r="E3" s="182"/>
      <c r="F3" s="88"/>
    </row>
    <row r="4" spans="1:6" s="79" customFormat="1" ht="15.5" x14ac:dyDescent="0.35">
      <c r="A4" s="1563"/>
      <c r="B4" s="2289" t="s">
        <v>370</v>
      </c>
      <c r="C4" s="2289"/>
      <c r="D4" s="2289"/>
      <c r="E4" s="182"/>
      <c r="F4" s="88"/>
    </row>
    <row r="5" spans="1:6" s="79" customFormat="1" ht="15.5" x14ac:dyDescent="0.35">
      <c r="A5" s="1563"/>
      <c r="B5" s="2289" t="s">
        <v>1590</v>
      </c>
      <c r="C5" s="2289"/>
      <c r="D5" s="2289"/>
      <c r="E5" s="182"/>
      <c r="F5" s="88"/>
    </row>
    <row r="6" spans="1:6" s="79" customFormat="1" ht="15.5" x14ac:dyDescent="0.35">
      <c r="A6" s="1563"/>
      <c r="B6" s="2316" t="s">
        <v>2</v>
      </c>
      <c r="C6" s="2316"/>
      <c r="D6" s="2316"/>
      <c r="E6" s="853" t="s">
        <v>10</v>
      </c>
    </row>
    <row r="7" spans="1:6" s="79" customFormat="1" ht="15.5" x14ac:dyDescent="0.35">
      <c r="A7" s="1563"/>
      <c r="B7" s="1242"/>
      <c r="C7" s="1242"/>
      <c r="D7" s="1242"/>
      <c r="E7" s="853"/>
    </row>
    <row r="8" spans="1:6" s="79" customFormat="1" ht="15.5" x14ac:dyDescent="0.35">
      <c r="A8" s="1563"/>
      <c r="B8" s="2289" t="s">
        <v>929</v>
      </c>
      <c r="C8" s="2289"/>
      <c r="D8" s="2289"/>
      <c r="E8" s="853" t="s">
        <v>10</v>
      </c>
    </row>
    <row r="9" spans="1:6" s="79" customFormat="1" ht="15.5" x14ac:dyDescent="0.35">
      <c r="A9" s="1563"/>
      <c r="B9" s="1243"/>
      <c r="C9" s="1232"/>
      <c r="D9" s="1244"/>
      <c r="E9" s="853"/>
    </row>
    <row r="10" spans="1:6" s="79" customFormat="1" ht="15.5" x14ac:dyDescent="0.35">
      <c r="A10" s="1563"/>
      <c r="B10" s="1245"/>
      <c r="C10" s="840" t="s">
        <v>31</v>
      </c>
      <c r="D10" s="798"/>
    </row>
    <row r="11" spans="1:6" s="79" customFormat="1" ht="15.5" x14ac:dyDescent="0.35">
      <c r="A11" s="1563" t="s">
        <v>3</v>
      </c>
      <c r="B11" s="799"/>
      <c r="C11" s="799" t="s">
        <v>372</v>
      </c>
      <c r="D11" s="799"/>
      <c r="E11" s="182" t="s">
        <v>3</v>
      </c>
    </row>
    <row r="12" spans="1:6" s="79" customFormat="1" ht="15.5" x14ac:dyDescent="0.35">
      <c r="A12" s="1563" t="s">
        <v>25</v>
      </c>
      <c r="B12" s="766" t="s">
        <v>23</v>
      </c>
      <c r="C12" s="799" t="s">
        <v>375</v>
      </c>
      <c r="D12" s="766" t="s">
        <v>9</v>
      </c>
      <c r="E12" s="182" t="s">
        <v>25</v>
      </c>
    </row>
    <row r="13" spans="1:6" s="79" customFormat="1" ht="15.5" x14ac:dyDescent="0.35">
      <c r="A13" s="1233">
        <v>1</v>
      </c>
      <c r="B13" s="1747" t="str">
        <f>'AL-1'!B15</f>
        <v>Dec-20</v>
      </c>
      <c r="C13" s="1784">
        <v>91401.304000000004</v>
      </c>
      <c r="D13" s="1234" t="s">
        <v>647</v>
      </c>
      <c r="E13" s="1233">
        <f>A13</f>
        <v>1</v>
      </c>
      <c r="F13" s="1246"/>
    </row>
    <row r="14" spans="1:6" s="79" customFormat="1" ht="15.5" x14ac:dyDescent="0.35">
      <c r="A14" s="1233">
        <f>A13+1</f>
        <v>2</v>
      </c>
      <c r="B14" s="1747" t="str">
        <f>'AL-1'!B16</f>
        <v>Jan-21</v>
      </c>
      <c r="C14" s="333">
        <v>103851.845</v>
      </c>
      <c r="D14" s="1234"/>
      <c r="E14" s="1233">
        <f>E13+1</f>
        <v>2</v>
      </c>
      <c r="F14" s="1246"/>
    </row>
    <row r="15" spans="1:6" s="79" customFormat="1" ht="15.5" x14ac:dyDescent="0.35">
      <c r="A15" s="1233">
        <f t="shared" ref="A15:A30" si="0">A14+1</f>
        <v>3</v>
      </c>
      <c r="B15" s="959" t="s">
        <v>37</v>
      </c>
      <c r="C15" s="333">
        <v>87141.620999999999</v>
      </c>
      <c r="D15" s="1234"/>
      <c r="E15" s="1233">
        <f t="shared" ref="E15:E30" si="1">E14+1</f>
        <v>3</v>
      </c>
      <c r="F15" s="1246"/>
    </row>
    <row r="16" spans="1:6" s="79" customFormat="1" ht="15.5" x14ac:dyDescent="0.35">
      <c r="A16" s="1233">
        <f t="shared" si="0"/>
        <v>4</v>
      </c>
      <c r="B16" s="959" t="s">
        <v>38</v>
      </c>
      <c r="C16" s="333">
        <v>88332.019</v>
      </c>
      <c r="D16" s="1234"/>
      <c r="E16" s="1233">
        <f t="shared" si="1"/>
        <v>4</v>
      </c>
      <c r="F16" s="1246"/>
    </row>
    <row r="17" spans="1:6" s="79" customFormat="1" ht="15.5" x14ac:dyDescent="0.35">
      <c r="A17" s="1233">
        <f t="shared" si="0"/>
        <v>5</v>
      </c>
      <c r="B17" s="959" t="s">
        <v>39</v>
      </c>
      <c r="C17" s="167">
        <v>113531.70299999999</v>
      </c>
      <c r="D17" s="1234"/>
      <c r="E17" s="1233">
        <f t="shared" si="1"/>
        <v>5</v>
      </c>
      <c r="F17" s="1246"/>
    </row>
    <row r="18" spans="1:6" s="79" customFormat="1" ht="15.5" x14ac:dyDescent="0.35">
      <c r="A18" s="1233">
        <f t="shared" si="0"/>
        <v>6</v>
      </c>
      <c r="B18" s="959" t="s">
        <v>40</v>
      </c>
      <c r="C18" s="167">
        <v>81673.771999999997</v>
      </c>
      <c r="D18" s="1234"/>
      <c r="E18" s="1233">
        <f t="shared" si="1"/>
        <v>6</v>
      </c>
      <c r="F18" s="1246"/>
    </row>
    <row r="19" spans="1:6" s="79" customFormat="1" ht="15.5" x14ac:dyDescent="0.35">
      <c r="A19" s="1233">
        <f t="shared" si="0"/>
        <v>7</v>
      </c>
      <c r="B19" s="959" t="s">
        <v>41</v>
      </c>
      <c r="C19" s="167">
        <v>55798.012999999999</v>
      </c>
      <c r="D19" s="1234"/>
      <c r="E19" s="1233">
        <f t="shared" si="1"/>
        <v>7</v>
      </c>
      <c r="F19" s="1246"/>
    </row>
    <row r="20" spans="1:6" s="79" customFormat="1" ht="15.5" x14ac:dyDescent="0.35">
      <c r="A20" s="1233">
        <f t="shared" si="0"/>
        <v>8</v>
      </c>
      <c r="B20" s="959" t="s">
        <v>42</v>
      </c>
      <c r="C20" s="167">
        <v>145494.73300000001</v>
      </c>
      <c r="D20" s="1236"/>
      <c r="E20" s="1233">
        <f t="shared" si="1"/>
        <v>8</v>
      </c>
      <c r="F20" s="1246"/>
    </row>
    <row r="21" spans="1:6" s="79" customFormat="1" ht="15.5" x14ac:dyDescent="0.35">
      <c r="A21" s="1233">
        <f t="shared" si="0"/>
        <v>9</v>
      </c>
      <c r="B21" s="959" t="s">
        <v>43</v>
      </c>
      <c r="C21" s="167">
        <v>125678.87300000001</v>
      </c>
      <c r="D21" s="1236"/>
      <c r="E21" s="1233">
        <f t="shared" si="1"/>
        <v>9</v>
      </c>
      <c r="F21" s="1246"/>
    </row>
    <row r="22" spans="1:6" s="79" customFormat="1" ht="15.5" x14ac:dyDescent="0.35">
      <c r="A22" s="1233">
        <f t="shared" si="0"/>
        <v>10</v>
      </c>
      <c r="B22" s="959" t="s">
        <v>44</v>
      </c>
      <c r="C22" s="167">
        <v>122220.693</v>
      </c>
      <c r="D22" s="1236"/>
      <c r="E22" s="1233">
        <f t="shared" si="1"/>
        <v>10</v>
      </c>
      <c r="F22" s="1246"/>
    </row>
    <row r="23" spans="1:6" s="79" customFormat="1" ht="15.5" x14ac:dyDescent="0.35">
      <c r="A23" s="1233">
        <f t="shared" si="0"/>
        <v>11</v>
      </c>
      <c r="B23" s="959" t="s">
        <v>45</v>
      </c>
      <c r="C23" s="167">
        <v>126991.948</v>
      </c>
      <c r="D23" s="1236"/>
      <c r="E23" s="1233">
        <f t="shared" si="1"/>
        <v>11</v>
      </c>
      <c r="F23" s="1246"/>
    </row>
    <row r="24" spans="1:6" s="79" customFormat="1" ht="15.5" x14ac:dyDescent="0.35">
      <c r="A24" s="1233">
        <f t="shared" si="0"/>
        <v>12</v>
      </c>
      <c r="B24" s="959" t="s">
        <v>46</v>
      </c>
      <c r="C24" s="167">
        <v>110444.406</v>
      </c>
      <c r="D24" s="1236"/>
      <c r="E24" s="1233">
        <f t="shared" si="1"/>
        <v>12</v>
      </c>
      <c r="F24" s="1246"/>
    </row>
    <row r="25" spans="1:6" s="79" customFormat="1" ht="15.5" x14ac:dyDescent="0.35">
      <c r="A25" s="1233">
        <f t="shared" si="0"/>
        <v>13</v>
      </c>
      <c r="B25" s="1748" t="str">
        <f>'AL-1'!B27</f>
        <v>Dec-21</v>
      </c>
      <c r="C25" s="355">
        <v>107245.625</v>
      </c>
      <c r="D25" s="1237" t="s">
        <v>647</v>
      </c>
      <c r="E25" s="1233">
        <f t="shared" si="1"/>
        <v>13</v>
      </c>
      <c r="F25" s="1246"/>
    </row>
    <row r="26" spans="1:6" s="79" customFormat="1" ht="15.5" x14ac:dyDescent="0.35">
      <c r="A26" s="1233">
        <f t="shared" si="0"/>
        <v>14</v>
      </c>
      <c r="B26" s="1238"/>
      <c r="C26" s="381"/>
      <c r="D26" s="1239"/>
      <c r="E26" s="1233">
        <f t="shared" si="1"/>
        <v>14</v>
      </c>
      <c r="F26" s="1246"/>
    </row>
    <row r="27" spans="1:6" s="79" customFormat="1" ht="15.5" x14ac:dyDescent="0.35">
      <c r="A27" s="1233">
        <f t="shared" si="0"/>
        <v>15</v>
      </c>
      <c r="B27" s="827" t="s">
        <v>47</v>
      </c>
      <c r="C27" s="260">
        <f>SUM(C13:C25)</f>
        <v>1359806.5549999999</v>
      </c>
      <c r="D27" s="524" t="s">
        <v>1146</v>
      </c>
      <c r="E27" s="1233">
        <f t="shared" si="1"/>
        <v>15</v>
      </c>
    </row>
    <row r="28" spans="1:6" s="79" customFormat="1" ht="15.5" x14ac:dyDescent="0.35">
      <c r="A28" s="1233">
        <f t="shared" si="0"/>
        <v>16</v>
      </c>
      <c r="B28" s="781"/>
      <c r="C28" s="379"/>
      <c r="D28" s="1237"/>
      <c r="E28" s="1233">
        <f t="shared" si="1"/>
        <v>16</v>
      </c>
    </row>
    <row r="29" spans="1:6" s="79" customFormat="1" ht="15.5" x14ac:dyDescent="0.35">
      <c r="A29" s="1233">
        <f t="shared" si="0"/>
        <v>17</v>
      </c>
      <c r="B29" s="756"/>
      <c r="C29" s="380"/>
      <c r="D29" s="1240"/>
      <c r="E29" s="1233">
        <f t="shared" si="1"/>
        <v>17</v>
      </c>
    </row>
    <row r="30" spans="1:6" s="79" customFormat="1" ht="18" x14ac:dyDescent="0.35">
      <c r="A30" s="1233">
        <f t="shared" si="0"/>
        <v>18</v>
      </c>
      <c r="B30" s="827" t="s">
        <v>133</v>
      </c>
      <c r="C30" s="189">
        <f>C27/13</f>
        <v>104600.50423076922</v>
      </c>
      <c r="D30" s="2202" t="s">
        <v>1653</v>
      </c>
      <c r="E30" s="1233">
        <f t="shared" si="1"/>
        <v>18</v>
      </c>
      <c r="F30" s="1246"/>
    </row>
    <row r="31" spans="1:6" s="79" customFormat="1" ht="15.5" x14ac:dyDescent="0.35">
      <c r="A31" s="1233">
        <f>A30+1</f>
        <v>19</v>
      </c>
      <c r="B31" s="781"/>
      <c r="C31" s="190"/>
      <c r="D31" s="1247"/>
      <c r="E31" s="1233">
        <f>E30+1</f>
        <v>19</v>
      </c>
    </row>
    <row r="32" spans="1:6" s="79" customFormat="1" ht="15.5" x14ac:dyDescent="0.35">
      <c r="A32" s="1563"/>
      <c r="C32" s="130"/>
      <c r="D32" s="130"/>
      <c r="E32" s="1248"/>
    </row>
    <row r="33" spans="1:8" s="79" customFormat="1" ht="15.5" x14ac:dyDescent="0.35">
      <c r="A33" s="87"/>
      <c r="E33" s="1248"/>
    </row>
    <row r="34" spans="1:8" s="79" customFormat="1" ht="18" x14ac:dyDescent="0.35">
      <c r="A34" s="2203">
        <v>1</v>
      </c>
      <c r="B34" s="2261" t="s">
        <v>1788</v>
      </c>
      <c r="C34" s="130"/>
      <c r="D34" s="130"/>
      <c r="E34" s="1248"/>
    </row>
    <row r="35" spans="1:8" s="79" customFormat="1" ht="15.5" x14ac:dyDescent="0.35">
      <c r="A35" s="2204"/>
      <c r="B35" s="2261" t="s">
        <v>1689</v>
      </c>
      <c r="C35" s="130"/>
      <c r="D35" s="130"/>
      <c r="E35" s="1248"/>
      <c r="H35" s="951"/>
    </row>
    <row r="36" spans="1:8" s="79" customFormat="1" ht="15.5" x14ac:dyDescent="0.35">
      <c r="A36" s="2204"/>
      <c r="B36" s="2262" t="s">
        <v>1688</v>
      </c>
      <c r="C36" s="130"/>
      <c r="D36" s="130"/>
      <c r="E36" s="1248"/>
    </row>
    <row r="37" spans="1:8" s="79" customFormat="1" ht="15.5" x14ac:dyDescent="0.35">
      <c r="A37" s="1563"/>
      <c r="C37" s="130"/>
      <c r="D37" s="130"/>
      <c r="E37" s="1248"/>
    </row>
    <row r="38" spans="1:8" s="79" customFormat="1" ht="15.5" x14ac:dyDescent="0.35">
      <c r="A38" s="1563"/>
      <c r="C38" s="130"/>
      <c r="D38" s="130"/>
      <c r="E38" s="1248"/>
    </row>
    <row r="39" spans="1:8" s="79" customFormat="1" ht="15.5" x14ac:dyDescent="0.35">
      <c r="A39" s="1563"/>
      <c r="C39" s="130"/>
      <c r="D39" s="130"/>
      <c r="E39" s="1248"/>
    </row>
    <row r="40" spans="1:8" s="79" customFormat="1" ht="15.5" x14ac:dyDescent="0.35">
      <c r="A40" s="1563"/>
      <c r="C40" s="130"/>
      <c r="D40" s="130"/>
      <c r="E40" s="1248"/>
    </row>
    <row r="41" spans="1:8" s="79" customFormat="1" ht="15.5" x14ac:dyDescent="0.35">
      <c r="A41" s="1563"/>
      <c r="C41" s="130"/>
      <c r="D41" s="130"/>
      <c r="E41" s="1248"/>
    </row>
    <row r="42" spans="1:8" s="79" customFormat="1" ht="15.5" x14ac:dyDescent="0.35">
      <c r="A42" s="1563"/>
      <c r="C42" s="130"/>
      <c r="D42" s="130"/>
      <c r="E42" s="1248"/>
    </row>
    <row r="43" spans="1:8" s="79" customFormat="1" ht="15.5" x14ac:dyDescent="0.35">
      <c r="A43" s="1563"/>
      <c r="C43" s="130"/>
      <c r="D43" s="130"/>
      <c r="E43" s="1248"/>
    </row>
    <row r="44" spans="1:8" s="79" customFormat="1" ht="15.5" x14ac:dyDescent="0.35">
      <c r="A44" s="1563"/>
      <c r="C44" s="130"/>
      <c r="D44" s="130"/>
      <c r="E44" s="1248"/>
    </row>
    <row r="45" spans="1:8" s="79" customFormat="1" ht="15.5" x14ac:dyDescent="0.35">
      <c r="A45" s="1563"/>
      <c r="C45" s="130"/>
      <c r="D45" s="130"/>
      <c r="E45" s="1248"/>
    </row>
    <row r="46" spans="1:8" s="79" customFormat="1" ht="15.5" x14ac:dyDescent="0.35">
      <c r="A46" s="1563"/>
      <c r="C46" s="130"/>
      <c r="D46" s="130"/>
      <c r="E46" s="1248"/>
    </row>
    <row r="47" spans="1:8" s="79" customFormat="1" ht="15.5" x14ac:dyDescent="0.35">
      <c r="A47" s="1563"/>
      <c r="C47" s="130"/>
      <c r="D47" s="130"/>
      <c r="E47" s="1248"/>
    </row>
    <row r="48" spans="1:8" s="79" customFormat="1" ht="15.5" x14ac:dyDescent="0.35">
      <c r="A48" s="1563"/>
      <c r="C48" s="130"/>
      <c r="D48" s="130"/>
      <c r="E48" s="1248"/>
    </row>
    <row r="49" spans="1:5" s="79" customFormat="1" ht="15.5" x14ac:dyDescent="0.35">
      <c r="A49" s="1563"/>
      <c r="C49" s="130"/>
      <c r="D49" s="130"/>
      <c r="E49" s="1248"/>
    </row>
    <row r="50" spans="1:5" s="79" customFormat="1" ht="15.5" x14ac:dyDescent="0.35">
      <c r="A50" s="1563"/>
      <c r="C50" s="130"/>
      <c r="D50" s="130"/>
      <c r="E50" s="1248"/>
    </row>
    <row r="51" spans="1:5" s="79" customFormat="1" ht="15.5" x14ac:dyDescent="0.35">
      <c r="A51" s="1563"/>
      <c r="C51" s="130"/>
      <c r="D51" s="130"/>
      <c r="E51" s="1248"/>
    </row>
    <row r="52" spans="1:5" s="79" customFormat="1" ht="15.5" x14ac:dyDescent="0.35">
      <c r="A52" s="1563"/>
      <c r="C52" s="130"/>
      <c r="D52" s="130"/>
      <c r="E52" s="1248"/>
    </row>
    <row r="53" spans="1:5" s="79" customFormat="1" ht="15.5" x14ac:dyDescent="0.35">
      <c r="A53" s="1563"/>
      <c r="C53" s="130"/>
      <c r="D53" s="130"/>
      <c r="E53" s="1248"/>
    </row>
    <row r="54" spans="1:5" s="79" customFormat="1" ht="15.5" x14ac:dyDescent="0.35">
      <c r="A54" s="1563"/>
      <c r="C54" s="130"/>
      <c r="D54" s="130"/>
      <c r="E54" s="1248"/>
    </row>
    <row r="55" spans="1:5" s="79" customFormat="1" ht="15.5" x14ac:dyDescent="0.35">
      <c r="A55" s="1563"/>
      <c r="C55" s="130"/>
      <c r="D55" s="130"/>
      <c r="E55" s="1248"/>
    </row>
    <row r="56" spans="1:5" s="79" customFormat="1" ht="15.5" x14ac:dyDescent="0.35">
      <c r="A56" s="1563"/>
      <c r="C56" s="130"/>
      <c r="D56" s="130"/>
      <c r="E56" s="1248"/>
    </row>
    <row r="57" spans="1:5" s="79" customFormat="1" ht="15.5" x14ac:dyDescent="0.35">
      <c r="A57" s="1563"/>
      <c r="C57" s="130"/>
      <c r="D57" s="130"/>
      <c r="E57" s="1248"/>
    </row>
    <row r="58" spans="1:5" s="79" customFormat="1" ht="15.5" x14ac:dyDescent="0.35">
      <c r="A58" s="1563"/>
      <c r="C58" s="130"/>
      <c r="D58" s="130"/>
      <c r="E58" s="1248"/>
    </row>
    <row r="59" spans="1:5" s="79" customFormat="1" ht="15.5" x14ac:dyDescent="0.35">
      <c r="A59" s="1563"/>
      <c r="C59" s="130"/>
      <c r="D59" s="130"/>
      <c r="E59" s="1248"/>
    </row>
    <row r="60" spans="1:5" s="79" customFormat="1" ht="15.5" x14ac:dyDescent="0.35">
      <c r="A60" s="1563"/>
      <c r="C60" s="130"/>
      <c r="D60" s="130"/>
      <c r="E60" s="1248"/>
    </row>
    <row r="61" spans="1:5" s="79" customFormat="1" ht="15.5" x14ac:dyDescent="0.35">
      <c r="A61" s="1563"/>
      <c r="C61" s="130"/>
      <c r="D61" s="130"/>
      <c r="E61" s="1248"/>
    </row>
    <row r="62" spans="1:5" s="79" customFormat="1" ht="15.5" x14ac:dyDescent="0.35">
      <c r="A62" s="1563"/>
      <c r="C62" s="130"/>
      <c r="D62" s="130"/>
      <c r="E62" s="1248"/>
    </row>
    <row r="63" spans="1:5" s="79" customFormat="1" ht="15.5" x14ac:dyDescent="0.35">
      <c r="A63" s="1563"/>
      <c r="C63" s="130"/>
      <c r="D63" s="130"/>
      <c r="E63" s="1248"/>
    </row>
    <row r="64" spans="1:5" s="79" customFormat="1" ht="15.5" x14ac:dyDescent="0.35">
      <c r="A64" s="1563"/>
      <c r="C64" s="130"/>
      <c r="D64" s="130"/>
      <c r="E64" s="1248"/>
    </row>
    <row r="65" spans="1:5" s="79" customFormat="1" ht="15.5" x14ac:dyDescent="0.35">
      <c r="A65" s="1563"/>
      <c r="C65" s="130"/>
      <c r="D65" s="130"/>
      <c r="E65" s="1248"/>
    </row>
    <row r="66" spans="1:5" s="79" customFormat="1" ht="15.5" x14ac:dyDescent="0.35">
      <c r="A66" s="1563"/>
      <c r="C66" s="130"/>
      <c r="D66" s="130"/>
      <c r="E66" s="1248"/>
    </row>
    <row r="67" spans="1:5" s="79" customFormat="1" ht="15.5" x14ac:dyDescent="0.35">
      <c r="A67" s="1563"/>
      <c r="C67" s="130"/>
      <c r="D67" s="130"/>
      <c r="E67" s="1248"/>
    </row>
    <row r="68" spans="1:5" s="79" customFormat="1" ht="15.5" x14ac:dyDescent="0.35">
      <c r="A68" s="1563"/>
      <c r="C68" s="130"/>
      <c r="D68" s="130"/>
      <c r="E68" s="1248"/>
    </row>
    <row r="69" spans="1:5" s="79" customFormat="1" ht="15.5" x14ac:dyDescent="0.35">
      <c r="A69" s="1563"/>
      <c r="C69" s="130"/>
      <c r="D69" s="130"/>
      <c r="E69" s="1248"/>
    </row>
    <row r="70" spans="1:5" s="79" customFormat="1" ht="15.5" x14ac:dyDescent="0.35">
      <c r="A70" s="1563"/>
      <c r="C70" s="130"/>
      <c r="D70" s="130"/>
      <c r="E70" s="1248"/>
    </row>
    <row r="71" spans="1:5" s="79" customFormat="1" ht="15.5" x14ac:dyDescent="0.35">
      <c r="A71" s="1563"/>
      <c r="C71" s="130"/>
      <c r="D71" s="130"/>
      <c r="E71" s="1248"/>
    </row>
    <row r="72" spans="1:5" s="79" customFormat="1" ht="15.5" x14ac:dyDescent="0.35">
      <c r="A72" s="1563"/>
      <c r="C72" s="130"/>
      <c r="D72" s="130"/>
      <c r="E72" s="1248"/>
    </row>
    <row r="73" spans="1:5" s="79" customFormat="1" ht="15.5" x14ac:dyDescent="0.35">
      <c r="A73" s="1563"/>
      <c r="C73" s="130"/>
      <c r="D73" s="130"/>
      <c r="E73" s="1248"/>
    </row>
    <row r="74" spans="1:5" s="79" customFormat="1" ht="15.5" x14ac:dyDescent="0.35">
      <c r="A74" s="1563"/>
      <c r="C74" s="130"/>
      <c r="D74" s="130"/>
      <c r="E74" s="1248"/>
    </row>
    <row r="75" spans="1:5" s="79" customFormat="1" ht="15.5" x14ac:dyDescent="0.35">
      <c r="A75" s="1563"/>
      <c r="C75" s="130"/>
      <c r="D75" s="130"/>
      <c r="E75" s="1248"/>
    </row>
    <row r="76" spans="1:5" s="79" customFormat="1" ht="15.5" x14ac:dyDescent="0.35">
      <c r="A76" s="1563"/>
      <c r="C76" s="130"/>
      <c r="D76" s="130"/>
      <c r="E76" s="1248"/>
    </row>
    <row r="77" spans="1:5" s="79" customFormat="1" ht="15.5" x14ac:dyDescent="0.35">
      <c r="A77" s="1563"/>
      <c r="C77" s="130"/>
      <c r="D77" s="130"/>
      <c r="E77" s="1248"/>
    </row>
    <row r="78" spans="1:5" s="79" customFormat="1" ht="15.5" x14ac:dyDescent="0.35">
      <c r="A78" s="1563"/>
      <c r="C78" s="130"/>
      <c r="D78" s="130"/>
      <c r="E78" s="1248"/>
    </row>
    <row r="79" spans="1:5" s="79" customFormat="1" ht="15.5" x14ac:dyDescent="0.35">
      <c r="A79" s="1563"/>
      <c r="C79" s="130"/>
      <c r="D79" s="130"/>
      <c r="E79" s="1248"/>
    </row>
    <row r="80" spans="1:5" s="79" customFormat="1" ht="15.5" x14ac:dyDescent="0.35">
      <c r="A80" s="1563"/>
      <c r="C80" s="130"/>
      <c r="D80" s="130"/>
      <c r="E80" s="1248"/>
    </row>
    <row r="81" spans="1:5" s="79" customFormat="1" ht="15.5" x14ac:dyDescent="0.35">
      <c r="A81" s="1563"/>
      <c r="C81" s="130"/>
      <c r="D81" s="130"/>
      <c r="E81" s="1248"/>
    </row>
    <row r="82" spans="1:5" s="79" customFormat="1" ht="15.5" x14ac:dyDescent="0.35">
      <c r="A82" s="1563"/>
      <c r="C82" s="130"/>
      <c r="D82" s="130"/>
      <c r="E82" s="1248"/>
    </row>
    <row r="83" spans="1:5" s="79" customFormat="1" ht="15.5" x14ac:dyDescent="0.35">
      <c r="A83" s="1563"/>
      <c r="C83" s="130"/>
      <c r="D83" s="130"/>
      <c r="E83" s="1248"/>
    </row>
    <row r="84" spans="1:5" s="79" customFormat="1" ht="15.5" x14ac:dyDescent="0.35">
      <c r="A84" s="1563"/>
      <c r="C84" s="130"/>
      <c r="D84" s="130"/>
      <c r="E84" s="1248"/>
    </row>
    <row r="85" spans="1:5" s="79" customFormat="1" ht="15.5" x14ac:dyDescent="0.35">
      <c r="A85" s="1563"/>
      <c r="C85" s="130"/>
      <c r="D85" s="130"/>
      <c r="E85" s="1248"/>
    </row>
    <row r="86" spans="1:5" s="79" customFormat="1" ht="15.5" x14ac:dyDescent="0.35">
      <c r="A86" s="1563"/>
      <c r="C86" s="130"/>
      <c r="D86" s="130"/>
      <c r="E86" s="1248"/>
    </row>
    <row r="87" spans="1:5" s="79" customFormat="1" ht="15.5" x14ac:dyDescent="0.35">
      <c r="A87" s="1563"/>
      <c r="C87" s="130"/>
      <c r="D87" s="130"/>
      <c r="E87" s="1248"/>
    </row>
    <row r="88" spans="1:5" s="79" customFormat="1" ht="15.5" x14ac:dyDescent="0.35">
      <c r="A88" s="1563"/>
      <c r="C88" s="130"/>
      <c r="D88" s="130"/>
      <c r="E88" s="1248"/>
    </row>
    <row r="89" spans="1:5" s="79" customFormat="1" ht="15.5" x14ac:dyDescent="0.35">
      <c r="A89" s="1563"/>
      <c r="C89" s="130"/>
      <c r="D89" s="130"/>
      <c r="E89" s="1248"/>
    </row>
    <row r="90" spans="1:5" s="79" customFormat="1" ht="15.5" x14ac:dyDescent="0.35">
      <c r="A90" s="1563"/>
      <c r="C90" s="130"/>
      <c r="D90" s="130"/>
      <c r="E90" s="1248"/>
    </row>
    <row r="91" spans="1:5" s="79" customFormat="1" ht="15.5" x14ac:dyDescent="0.35">
      <c r="A91" s="1563"/>
      <c r="C91" s="130"/>
      <c r="D91" s="130"/>
      <c r="E91" s="1248"/>
    </row>
    <row r="92" spans="1:5" s="79" customFormat="1" ht="15.5" x14ac:dyDescent="0.35">
      <c r="A92" s="1563"/>
      <c r="C92" s="130"/>
      <c r="D92" s="130"/>
      <c r="E92" s="1248"/>
    </row>
    <row r="93" spans="1:5" s="79" customFormat="1" ht="15.5" x14ac:dyDescent="0.35">
      <c r="A93" s="1563"/>
      <c r="C93" s="130"/>
      <c r="D93" s="130"/>
      <c r="E93" s="1248"/>
    </row>
    <row r="94" spans="1:5" s="79" customFormat="1" ht="15.5" x14ac:dyDescent="0.35">
      <c r="A94" s="1563"/>
      <c r="C94" s="130"/>
      <c r="D94" s="130"/>
      <c r="E94" s="1248"/>
    </row>
    <row r="95" spans="1:5" s="79" customFormat="1" ht="15.5" x14ac:dyDescent="0.35">
      <c r="A95" s="1563"/>
      <c r="C95" s="130"/>
      <c r="D95" s="130"/>
      <c r="E95" s="1248"/>
    </row>
    <row r="96" spans="1:5" s="79" customFormat="1" ht="15.5" x14ac:dyDescent="0.35">
      <c r="A96" s="1563"/>
      <c r="C96" s="130"/>
      <c r="D96" s="130"/>
      <c r="E96" s="1248"/>
    </row>
    <row r="97" spans="1:5" s="79" customFormat="1" ht="15.5" x14ac:dyDescent="0.35">
      <c r="A97" s="1563"/>
      <c r="C97" s="130"/>
      <c r="D97" s="130"/>
      <c r="E97" s="1248"/>
    </row>
    <row r="98" spans="1:5" s="79" customFormat="1" ht="15.5" x14ac:dyDescent="0.35">
      <c r="A98" s="1563"/>
      <c r="C98" s="130"/>
      <c r="D98" s="130"/>
      <c r="E98" s="1248"/>
    </row>
    <row r="99" spans="1:5" s="79" customFormat="1" ht="15.5" x14ac:dyDescent="0.35">
      <c r="A99" s="1563"/>
      <c r="C99" s="130"/>
      <c r="D99" s="130"/>
      <c r="E99" s="1248"/>
    </row>
    <row r="100" spans="1:5" s="79" customFormat="1" ht="15.5" x14ac:dyDescent="0.35">
      <c r="A100" s="1563"/>
      <c r="C100" s="130"/>
      <c r="D100" s="130"/>
      <c r="E100" s="1248"/>
    </row>
    <row r="101" spans="1:5" s="79" customFormat="1" ht="15.5" x14ac:dyDescent="0.35">
      <c r="A101" s="1563"/>
      <c r="C101" s="130"/>
      <c r="D101" s="130"/>
      <c r="E101" s="1248"/>
    </row>
    <row r="102" spans="1:5" s="79" customFormat="1" ht="15.5" x14ac:dyDescent="0.35">
      <c r="A102" s="1563"/>
      <c r="C102" s="130"/>
      <c r="D102" s="130"/>
      <c r="E102" s="1248"/>
    </row>
    <row r="103" spans="1:5" s="79" customFormat="1" ht="15.5" x14ac:dyDescent="0.35">
      <c r="A103" s="1563"/>
      <c r="C103" s="130"/>
      <c r="D103" s="130"/>
      <c r="E103" s="1248"/>
    </row>
    <row r="104" spans="1:5" s="79" customFormat="1" ht="15.5" x14ac:dyDescent="0.35">
      <c r="A104" s="1563"/>
      <c r="C104" s="130"/>
      <c r="D104" s="130"/>
      <c r="E104" s="1248"/>
    </row>
    <row r="105" spans="1:5" s="79" customFormat="1" ht="15.5" x14ac:dyDescent="0.35">
      <c r="A105" s="1563"/>
      <c r="C105" s="130"/>
      <c r="D105" s="130"/>
      <c r="E105" s="1248"/>
    </row>
    <row r="106" spans="1:5" s="79" customFormat="1" ht="15.5" x14ac:dyDescent="0.35">
      <c r="A106" s="1563"/>
      <c r="C106" s="130"/>
      <c r="D106" s="130"/>
      <c r="E106" s="1248"/>
    </row>
    <row r="107" spans="1:5" s="79" customFormat="1" ht="15.5" x14ac:dyDescent="0.35">
      <c r="A107" s="1563"/>
      <c r="C107" s="130"/>
      <c r="D107" s="130"/>
      <c r="E107" s="1248"/>
    </row>
    <row r="108" spans="1:5" s="79" customFormat="1" ht="15.5" x14ac:dyDescent="0.35">
      <c r="A108" s="1563"/>
      <c r="C108" s="130"/>
      <c r="D108" s="130"/>
      <c r="E108" s="1248"/>
    </row>
    <row r="109" spans="1:5" s="79" customFormat="1" ht="15.5" x14ac:dyDescent="0.35">
      <c r="A109" s="1563"/>
      <c r="C109" s="130"/>
      <c r="D109" s="130"/>
      <c r="E109" s="1248"/>
    </row>
    <row r="110" spans="1:5" s="79" customFormat="1" ht="15.5" x14ac:dyDescent="0.35">
      <c r="A110" s="1563"/>
      <c r="C110" s="130"/>
      <c r="D110" s="130"/>
      <c r="E110" s="1248"/>
    </row>
    <row r="111" spans="1:5" s="79" customFormat="1" ht="15.5" x14ac:dyDescent="0.35">
      <c r="A111" s="1563"/>
      <c r="C111" s="130"/>
      <c r="D111" s="130"/>
      <c r="E111" s="1248"/>
    </row>
    <row r="112" spans="1:5" s="79" customFormat="1" ht="15.5" x14ac:dyDescent="0.35">
      <c r="A112" s="1563"/>
      <c r="C112" s="130"/>
      <c r="D112" s="130"/>
      <c r="E112" s="1248"/>
    </row>
    <row r="113" spans="1:5" s="79" customFormat="1" ht="15.5" x14ac:dyDescent="0.35">
      <c r="A113" s="1563"/>
      <c r="C113" s="130"/>
      <c r="D113" s="130"/>
      <c r="E113" s="1248"/>
    </row>
    <row r="114" spans="1:5" s="79" customFormat="1" ht="15.5" x14ac:dyDescent="0.35">
      <c r="A114" s="1563"/>
      <c r="C114" s="130"/>
      <c r="D114" s="130"/>
      <c r="E114" s="1248"/>
    </row>
    <row r="115" spans="1:5" s="79" customFormat="1" ht="15.5" x14ac:dyDescent="0.35">
      <c r="A115" s="1563"/>
      <c r="C115" s="130"/>
      <c r="D115" s="130"/>
      <c r="E115" s="1248"/>
    </row>
    <row r="116" spans="1:5" s="79" customFormat="1" ht="15.5" x14ac:dyDescent="0.35">
      <c r="A116" s="1563"/>
      <c r="C116" s="130"/>
      <c r="D116" s="130"/>
      <c r="E116" s="1248"/>
    </row>
    <row r="117" spans="1:5" s="79" customFormat="1" ht="15.5" x14ac:dyDescent="0.35">
      <c r="A117" s="1563"/>
      <c r="C117" s="130"/>
      <c r="D117" s="130"/>
      <c r="E117" s="1248"/>
    </row>
    <row r="118" spans="1:5" s="79" customFormat="1" ht="15.5" x14ac:dyDescent="0.35">
      <c r="A118" s="1563"/>
      <c r="C118" s="130"/>
      <c r="D118" s="130"/>
      <c r="E118" s="1248"/>
    </row>
    <row r="119" spans="1:5" s="79" customFormat="1" ht="15.5" x14ac:dyDescent="0.35">
      <c r="A119" s="1563"/>
      <c r="C119" s="130"/>
      <c r="D119" s="130"/>
      <c r="E119" s="1248"/>
    </row>
    <row r="120" spans="1:5" s="79" customFormat="1" ht="15.5" x14ac:dyDescent="0.35">
      <c r="A120" s="1563"/>
      <c r="C120" s="130"/>
      <c r="D120" s="130"/>
      <c r="E120" s="1248"/>
    </row>
    <row r="121" spans="1:5" s="79" customFormat="1" ht="15.5" x14ac:dyDescent="0.35">
      <c r="A121" s="1563"/>
      <c r="C121" s="130"/>
      <c r="D121" s="130"/>
      <c r="E121" s="1248"/>
    </row>
    <row r="122" spans="1:5" s="79" customFormat="1" ht="15.5" x14ac:dyDescent="0.35">
      <c r="A122" s="1563"/>
      <c r="C122" s="130"/>
      <c r="D122" s="130"/>
      <c r="E122" s="1248"/>
    </row>
    <row r="123" spans="1:5" s="79" customFormat="1" ht="15.5" x14ac:dyDescent="0.35">
      <c r="A123" s="1563"/>
      <c r="C123" s="130"/>
      <c r="D123" s="130"/>
      <c r="E123" s="1248"/>
    </row>
    <row r="124" spans="1:5" s="79" customFormat="1" ht="15.5" x14ac:dyDescent="0.35">
      <c r="A124" s="1563"/>
      <c r="C124" s="130"/>
      <c r="D124" s="130"/>
      <c r="E124" s="1248"/>
    </row>
    <row r="125" spans="1:5" s="79" customFormat="1" ht="15.5" x14ac:dyDescent="0.35">
      <c r="A125" s="1563"/>
      <c r="C125" s="130"/>
      <c r="D125" s="130"/>
      <c r="E125" s="1248"/>
    </row>
    <row r="126" spans="1:5" s="79" customFormat="1" ht="15.5" x14ac:dyDescent="0.35">
      <c r="A126" s="1563"/>
      <c r="C126" s="130"/>
      <c r="D126" s="130"/>
      <c r="E126" s="1248"/>
    </row>
    <row r="127" spans="1:5" s="79" customFormat="1" ht="15.5" x14ac:dyDescent="0.35">
      <c r="A127" s="1563"/>
      <c r="C127" s="130"/>
      <c r="D127" s="130"/>
      <c r="E127" s="1248"/>
    </row>
    <row r="128" spans="1:5" s="79" customFormat="1" ht="15.5" x14ac:dyDescent="0.35">
      <c r="A128" s="1563"/>
      <c r="C128" s="130"/>
      <c r="D128" s="130"/>
      <c r="E128" s="1248"/>
    </row>
    <row r="129" spans="1:5" s="79" customFormat="1" ht="15.5" x14ac:dyDescent="0.35">
      <c r="A129" s="1563"/>
      <c r="C129" s="130"/>
      <c r="D129" s="130"/>
      <c r="E129" s="1248"/>
    </row>
    <row r="130" spans="1:5" s="79" customFormat="1" ht="15.5" x14ac:dyDescent="0.35">
      <c r="A130" s="1563"/>
      <c r="C130" s="130"/>
      <c r="D130" s="130"/>
      <c r="E130" s="1248"/>
    </row>
    <row r="131" spans="1:5" s="79" customFormat="1" ht="15.5" x14ac:dyDescent="0.35">
      <c r="A131" s="1563"/>
      <c r="C131" s="130"/>
      <c r="D131" s="130"/>
      <c r="E131" s="1248"/>
    </row>
    <row r="132" spans="1:5" s="79" customFormat="1" ht="15.5" x14ac:dyDescent="0.35">
      <c r="A132" s="1563"/>
      <c r="C132" s="130"/>
      <c r="D132" s="130"/>
      <c r="E132" s="1248"/>
    </row>
    <row r="133" spans="1:5" s="79" customFormat="1" ht="15.5" x14ac:dyDescent="0.35">
      <c r="A133" s="1563"/>
      <c r="C133" s="130"/>
      <c r="D133" s="130"/>
      <c r="E133" s="1248"/>
    </row>
    <row r="134" spans="1:5" s="79" customFormat="1" ht="15.5" x14ac:dyDescent="0.35">
      <c r="A134" s="1563"/>
      <c r="C134" s="130"/>
      <c r="D134" s="130"/>
      <c r="E134" s="1248"/>
    </row>
    <row r="135" spans="1:5" s="79" customFormat="1" ht="15.5" x14ac:dyDescent="0.35">
      <c r="A135" s="1563"/>
      <c r="C135" s="130"/>
      <c r="D135" s="130"/>
      <c r="E135" s="1248"/>
    </row>
    <row r="136" spans="1:5" s="79" customFormat="1" ht="15.5" x14ac:dyDescent="0.35">
      <c r="A136" s="1563"/>
      <c r="C136" s="130"/>
      <c r="D136" s="130"/>
      <c r="E136" s="1248"/>
    </row>
    <row r="137" spans="1:5" s="79" customFormat="1" ht="15.5" x14ac:dyDescent="0.35">
      <c r="A137" s="1563"/>
      <c r="C137" s="130"/>
      <c r="D137" s="130"/>
      <c r="E137" s="1248"/>
    </row>
    <row r="138" spans="1:5" s="79" customFormat="1" ht="15.5" x14ac:dyDescent="0.35">
      <c r="A138" s="1563"/>
      <c r="C138" s="130"/>
      <c r="D138" s="130"/>
      <c r="E138" s="1248"/>
    </row>
    <row r="139" spans="1:5" s="79" customFormat="1" ht="15.5" x14ac:dyDescent="0.35">
      <c r="A139" s="1563"/>
      <c r="C139" s="130"/>
      <c r="D139" s="130"/>
      <c r="E139" s="1248"/>
    </row>
    <row r="140" spans="1:5" s="79" customFormat="1" ht="15.5" x14ac:dyDescent="0.35">
      <c r="A140" s="1563"/>
      <c r="C140" s="130"/>
      <c r="D140" s="130"/>
      <c r="E140" s="1248"/>
    </row>
    <row r="141" spans="1:5" s="79" customFormat="1" ht="15.5" x14ac:dyDescent="0.35">
      <c r="A141" s="1563"/>
      <c r="C141" s="130"/>
      <c r="D141" s="130"/>
      <c r="E141" s="1248"/>
    </row>
    <row r="142" spans="1:5" s="79" customFormat="1" ht="15.5" x14ac:dyDescent="0.35">
      <c r="A142" s="1563"/>
      <c r="C142" s="130"/>
      <c r="D142" s="130"/>
      <c r="E142" s="1248"/>
    </row>
  </sheetData>
  <mergeCells count="6">
    <mergeCell ref="B8:D8"/>
    <mergeCell ref="B2:D2"/>
    <mergeCell ref="B3:D3"/>
    <mergeCell ref="B4:D4"/>
    <mergeCell ref="B5:D5"/>
    <mergeCell ref="B6:D6"/>
  </mergeCells>
  <printOptions horizontalCentered="1"/>
  <pageMargins left="0.5" right="0.5" top="0.5" bottom="0.5" header="0.25" footer="0.25"/>
  <pageSetup scale="95" orientation="landscape" r:id="rId1"/>
  <headerFooter scaleWithDoc="0">
    <oddFooter>&amp;C&amp;"Times New Roman,Regular"&amp;10&amp;A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zoomScale="80" zoomScaleNormal="80" workbookViewId="0"/>
  </sheetViews>
  <sheetFormatPr defaultColWidth="8.90625" defaultRowHeight="15.5" x14ac:dyDescent="0.35"/>
  <cols>
    <col min="1" max="1" width="5.08984375" style="234" customWidth="1"/>
    <col min="2" max="2" width="52.54296875" style="220" customWidth="1"/>
    <col min="3" max="3" width="21.08984375" style="220" customWidth="1"/>
    <col min="4" max="4" width="1.54296875" style="220" customWidth="1"/>
    <col min="5" max="5" width="16.90625" style="220" customWidth="1"/>
    <col min="6" max="6" width="1.54296875" style="220" customWidth="1"/>
    <col min="7" max="7" width="34.54296875" style="220" customWidth="1"/>
    <col min="8" max="8" width="5.08984375" style="1569" customWidth="1"/>
    <col min="9" max="16384" width="8.90625" style="220"/>
  </cols>
  <sheetData>
    <row r="1" spans="1:8" x14ac:dyDescent="0.35">
      <c r="A1" s="236"/>
      <c r="C1" s="234"/>
      <c r="D1" s="236"/>
    </row>
    <row r="2" spans="1:8" x14ac:dyDescent="0.35">
      <c r="B2" s="2288" t="s">
        <v>18</v>
      </c>
      <c r="C2" s="2295"/>
      <c r="D2" s="2295"/>
      <c r="E2" s="2295"/>
      <c r="F2" s="2295"/>
      <c r="G2" s="2295"/>
    </row>
    <row r="3" spans="1:8" x14ac:dyDescent="0.35">
      <c r="B3" s="2288" t="s">
        <v>1331</v>
      </c>
      <c r="C3" s="2282"/>
      <c r="D3" s="2282"/>
      <c r="E3" s="2282"/>
      <c r="F3" s="2282"/>
      <c r="G3" s="2282"/>
    </row>
    <row r="4" spans="1:8" x14ac:dyDescent="0.35">
      <c r="B4" s="2288" t="s">
        <v>376</v>
      </c>
      <c r="C4" s="2282"/>
      <c r="D4" s="2282"/>
      <c r="E4" s="2282"/>
      <c r="F4" s="2282"/>
      <c r="G4" s="2282"/>
    </row>
    <row r="5" spans="1:8" x14ac:dyDescent="0.35">
      <c r="B5" s="2293" t="str">
        <f>'Stmt AD'!B5</f>
        <v>Base Period &amp; True-Up Period 12 - Months Ending December 31, 2021</v>
      </c>
      <c r="C5" s="2293"/>
      <c r="D5" s="2284"/>
      <c r="E5" s="2284"/>
      <c r="F5" s="2284"/>
      <c r="G5" s="2284"/>
    </row>
    <row r="6" spans="1:8" x14ac:dyDescent="0.35">
      <c r="B6" s="2291" t="s">
        <v>2</v>
      </c>
      <c r="C6" s="2282"/>
      <c r="D6" s="2282"/>
      <c r="E6" s="2282"/>
      <c r="F6" s="2282"/>
      <c r="G6" s="2282"/>
    </row>
    <row r="7" spans="1:8" x14ac:dyDescent="0.35">
      <c r="B7" s="236"/>
      <c r="C7" s="234"/>
      <c r="D7" s="234"/>
    </row>
    <row r="8" spans="1:8" x14ac:dyDescent="0.35">
      <c r="A8" s="236" t="s">
        <v>3</v>
      </c>
      <c r="B8" s="932"/>
      <c r="C8" s="236" t="s">
        <v>648</v>
      </c>
      <c r="D8" s="236"/>
      <c r="E8" s="236" t="s">
        <v>710</v>
      </c>
      <c r="F8" s="932"/>
      <c r="H8" s="236" t="s">
        <v>3</v>
      </c>
    </row>
    <row r="9" spans="1:8" x14ac:dyDescent="0.35">
      <c r="A9" s="934" t="s">
        <v>25</v>
      </c>
      <c r="B9" s="932"/>
      <c r="C9" s="732" t="s">
        <v>646</v>
      </c>
      <c r="D9" s="932"/>
      <c r="E9" s="935" t="s">
        <v>8</v>
      </c>
      <c r="F9" s="932"/>
      <c r="G9" s="415" t="s">
        <v>9</v>
      </c>
      <c r="H9" s="934" t="s">
        <v>25</v>
      </c>
    </row>
    <row r="10" spans="1:8" x14ac:dyDescent="0.35">
      <c r="A10" s="236"/>
      <c r="B10" s="989"/>
      <c r="C10" s="1249"/>
      <c r="D10" s="1250"/>
      <c r="E10" s="1250"/>
      <c r="F10" s="1250"/>
      <c r="G10" s="1250"/>
      <c r="H10" s="236"/>
    </row>
    <row r="11" spans="1:8" ht="18.5" thickBot="1" x14ac:dyDescent="0.4">
      <c r="A11" s="236">
        <v>1</v>
      </c>
      <c r="B11" s="220" t="s">
        <v>786</v>
      </c>
      <c r="C11" s="271"/>
      <c r="D11" s="1084"/>
      <c r="E11" s="216">
        <f>'AM-1'!E31</f>
        <v>0</v>
      </c>
      <c r="F11" s="1084"/>
      <c r="G11" s="937" t="s">
        <v>1097</v>
      </c>
      <c r="H11" s="236">
        <f>A11</f>
        <v>1</v>
      </c>
    </row>
    <row r="12" spans="1:8" ht="16" thickTop="1" x14ac:dyDescent="0.35">
      <c r="A12" s="236"/>
      <c r="C12" s="234"/>
      <c r="D12" s="236"/>
    </row>
    <row r="13" spans="1:8" x14ac:dyDescent="0.35">
      <c r="A13" s="236"/>
      <c r="C13" s="234"/>
      <c r="D13" s="236"/>
    </row>
    <row r="14" spans="1:8" ht="18" x14ac:dyDescent="0.35">
      <c r="A14" s="1251">
        <v>1</v>
      </c>
      <c r="B14" s="220" t="s">
        <v>830</v>
      </c>
      <c r="C14" s="234"/>
      <c r="D14" s="236"/>
    </row>
    <row r="15" spans="1:8" ht="18" x14ac:dyDescent="0.35">
      <c r="A15" s="1251"/>
      <c r="B15" s="220" t="s">
        <v>829</v>
      </c>
      <c r="C15" s="234"/>
      <c r="D15" s="236"/>
    </row>
    <row r="16" spans="1:8" x14ac:dyDescent="0.35">
      <c r="A16" s="236"/>
      <c r="C16" s="234"/>
      <c r="D16" s="236"/>
    </row>
    <row r="17" spans="1:4" x14ac:dyDescent="0.35">
      <c r="A17" s="236"/>
      <c r="C17" s="234"/>
      <c r="D17" s="236"/>
    </row>
    <row r="18" spans="1:4" x14ac:dyDescent="0.35">
      <c r="A18" s="236"/>
      <c r="C18" s="234"/>
      <c r="D18" s="236"/>
    </row>
  </sheetData>
  <mergeCells count="5">
    <mergeCell ref="B2:G2"/>
    <mergeCell ref="B3:G3"/>
    <mergeCell ref="B4:G4"/>
    <mergeCell ref="B5:G5"/>
    <mergeCell ref="B6:G6"/>
  </mergeCells>
  <printOptions horizontalCentered="1"/>
  <pageMargins left="0.5" right="0.5" top="0.5" bottom="0.5" header="0.25" footer="0.25"/>
  <pageSetup scale="69" orientation="portrait" r:id="rId1"/>
  <headerFooter scaleWithDoc="0">
    <oddFooter>&amp;C&amp;"Times New Roman,Regular"&amp;10AM</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Z38"/>
  <sheetViews>
    <sheetView zoomScale="80" zoomScaleNormal="80" workbookViewId="0"/>
  </sheetViews>
  <sheetFormatPr defaultColWidth="9.08984375" defaultRowHeight="15" x14ac:dyDescent="0.35"/>
  <cols>
    <col min="1" max="1" width="5.08984375" style="661" customWidth="1"/>
    <col min="2" max="2" width="35.08984375" style="1" customWidth="1"/>
    <col min="3" max="3" width="18.54296875" style="248" customWidth="1"/>
    <col min="4" max="4" width="25.08984375" style="248" customWidth="1"/>
    <col min="5" max="5" width="18.54296875" style="1" customWidth="1"/>
    <col min="6" max="6" width="62.54296875" style="1" customWidth="1"/>
    <col min="7" max="7" width="5.08984375" style="1564" customWidth="1"/>
    <col min="8" max="8" width="24" style="1" customWidth="1"/>
    <col min="9" max="9" width="11" style="1" customWidth="1"/>
    <col min="10" max="10" width="7.08984375" style="1" customWidth="1"/>
    <col min="11" max="11" width="9.08984375" style="1" customWidth="1"/>
    <col min="12" max="12" width="14" style="1" customWidth="1"/>
    <col min="13" max="13" width="13.453125" style="1" customWidth="1"/>
    <col min="14" max="16384" width="9.08984375" style="1"/>
  </cols>
  <sheetData>
    <row r="2" spans="1:8" x14ac:dyDescent="0.35">
      <c r="B2" s="2289" t="s">
        <v>18</v>
      </c>
      <c r="C2" s="2289"/>
      <c r="D2" s="2289"/>
      <c r="E2" s="2289"/>
      <c r="F2" s="2289"/>
    </row>
    <row r="3" spans="1:8" x14ac:dyDescent="0.35">
      <c r="B3" s="2289" t="s">
        <v>379</v>
      </c>
      <c r="C3" s="2289"/>
      <c r="D3" s="2289"/>
      <c r="E3" s="2289"/>
      <c r="F3" s="2289"/>
    </row>
    <row r="4" spans="1:8" x14ac:dyDescent="0.35">
      <c r="B4" s="2289" t="s">
        <v>20</v>
      </c>
      <c r="C4" s="2289"/>
      <c r="D4" s="2289"/>
      <c r="E4" s="2289"/>
      <c r="F4" s="2289"/>
    </row>
    <row r="5" spans="1:8" x14ac:dyDescent="0.35">
      <c r="B5" s="2289" t="s">
        <v>1590</v>
      </c>
      <c r="C5" s="2289"/>
      <c r="D5" s="2289"/>
      <c r="E5" s="2289"/>
      <c r="F5" s="2289"/>
    </row>
    <row r="6" spans="1:8" x14ac:dyDescent="0.35">
      <c r="B6" s="2292" t="s">
        <v>2</v>
      </c>
      <c r="C6" s="2292"/>
      <c r="D6" s="2292"/>
      <c r="E6" s="2292"/>
      <c r="F6" s="2292"/>
    </row>
    <row r="7" spans="1:8" x14ac:dyDescent="0.35">
      <c r="B7" s="1007"/>
      <c r="C7" s="1252"/>
      <c r="D7" s="1252"/>
      <c r="E7" s="1007"/>
      <c r="F7" s="1007"/>
    </row>
    <row r="8" spans="1:8" x14ac:dyDescent="0.35">
      <c r="B8" s="2289" t="s">
        <v>378</v>
      </c>
      <c r="C8" s="2289"/>
      <c r="D8" s="2289"/>
      <c r="E8" s="2289"/>
      <c r="F8" s="2289"/>
    </row>
    <row r="10" spans="1:8" x14ac:dyDescent="0.35">
      <c r="B10" s="1253"/>
      <c r="C10" s="1254" t="s">
        <v>121</v>
      </c>
      <c r="D10" s="1255"/>
      <c r="E10" s="1254" t="s">
        <v>97</v>
      </c>
      <c r="F10" s="1255"/>
    </row>
    <row r="11" spans="1:8" ht="15.5" x14ac:dyDescent="0.35">
      <c r="A11" s="234"/>
      <c r="B11" s="1256"/>
      <c r="C11" s="1257" t="s">
        <v>61</v>
      </c>
      <c r="D11" s="1017"/>
      <c r="E11" s="1257" t="s">
        <v>61</v>
      </c>
      <c r="F11" s="1017"/>
      <c r="G11" s="1569"/>
    </row>
    <row r="12" spans="1:8" ht="15.5" x14ac:dyDescent="0.35">
      <c r="A12" s="234" t="s">
        <v>3</v>
      </c>
      <c r="B12" s="1258"/>
      <c r="C12" s="1259" t="s">
        <v>377</v>
      </c>
      <c r="D12" s="1017"/>
      <c r="E12" s="1260" t="s">
        <v>377</v>
      </c>
      <c r="F12" s="1017"/>
      <c r="G12" s="1569" t="s">
        <v>3</v>
      </c>
    </row>
    <row r="13" spans="1:8" ht="15.5" x14ac:dyDescent="0.35">
      <c r="A13" s="234" t="s">
        <v>25</v>
      </c>
      <c r="B13" s="1021" t="s">
        <v>23</v>
      </c>
      <c r="C13" s="1020" t="s">
        <v>36</v>
      </c>
      <c r="D13" s="1021" t="s">
        <v>9</v>
      </c>
      <c r="E13" s="1261" t="s">
        <v>35</v>
      </c>
      <c r="F13" s="1021" t="s">
        <v>9</v>
      </c>
      <c r="G13" s="1569" t="s">
        <v>25</v>
      </c>
    </row>
    <row r="14" spans="1:8" ht="15.5" x14ac:dyDescent="0.35">
      <c r="A14" s="234">
        <v>1</v>
      </c>
      <c r="B14" s="1747" t="str">
        <f>'AL-2'!B13</f>
        <v>Dec-20</v>
      </c>
      <c r="C14" s="151">
        <v>0</v>
      </c>
      <c r="D14" s="1608" t="s">
        <v>647</v>
      </c>
      <c r="E14" s="151">
        <v>0</v>
      </c>
      <c r="F14" s="1263" t="s">
        <v>647</v>
      </c>
      <c r="G14" s="1569">
        <f>A14</f>
        <v>1</v>
      </c>
      <c r="H14" s="1264"/>
    </row>
    <row r="15" spans="1:8" ht="15.5" x14ac:dyDescent="0.35">
      <c r="A15" s="234">
        <f>A14+1</f>
        <v>2</v>
      </c>
      <c r="B15" s="1747" t="str">
        <f>'AL-2'!B14</f>
        <v>Jan-21</v>
      </c>
      <c r="C15" s="152">
        <v>0</v>
      </c>
      <c r="D15" s="1262"/>
      <c r="E15" s="184">
        <v>0</v>
      </c>
      <c r="F15" s="1263"/>
      <c r="G15" s="1569">
        <f>G14+1</f>
        <v>2</v>
      </c>
      <c r="H15" s="1264"/>
    </row>
    <row r="16" spans="1:8" ht="15.5" x14ac:dyDescent="0.35">
      <c r="A16" s="234">
        <f t="shared" ref="A16:A32" si="0">A15+1</f>
        <v>3</v>
      </c>
      <c r="B16" s="959" t="s">
        <v>37</v>
      </c>
      <c r="C16" s="152">
        <v>0</v>
      </c>
      <c r="D16" s="1262"/>
      <c r="E16" s="184">
        <v>0</v>
      </c>
      <c r="F16" s="1263"/>
      <c r="G16" s="1569">
        <f t="shared" ref="G16:G32" si="1">G15+1</f>
        <v>3</v>
      </c>
      <c r="H16" s="1264"/>
    </row>
    <row r="17" spans="1:26" ht="15.5" x14ac:dyDescent="0.35">
      <c r="A17" s="234">
        <f t="shared" si="0"/>
        <v>4</v>
      </c>
      <c r="B17" s="959" t="s">
        <v>38</v>
      </c>
      <c r="C17" s="152">
        <v>0</v>
      </c>
      <c r="D17" s="1262"/>
      <c r="E17" s="184">
        <v>0</v>
      </c>
      <c r="F17" s="1263"/>
      <c r="G17" s="1569">
        <f t="shared" si="1"/>
        <v>4</v>
      </c>
      <c r="H17" s="1264"/>
    </row>
    <row r="18" spans="1:26" ht="15.5" x14ac:dyDescent="0.35">
      <c r="A18" s="234">
        <f t="shared" si="0"/>
        <v>5</v>
      </c>
      <c r="B18" s="959" t="s">
        <v>39</v>
      </c>
      <c r="C18" s="152">
        <v>0</v>
      </c>
      <c r="D18" s="1262"/>
      <c r="E18" s="184">
        <v>0</v>
      </c>
      <c r="F18" s="1263"/>
      <c r="G18" s="1569">
        <f t="shared" si="1"/>
        <v>5</v>
      </c>
      <c r="H18" s="1264"/>
    </row>
    <row r="19" spans="1:26" ht="15.5" x14ac:dyDescent="0.35">
      <c r="A19" s="234">
        <f t="shared" si="0"/>
        <v>6</v>
      </c>
      <c r="B19" s="959" t="s">
        <v>40</v>
      </c>
      <c r="C19" s="152">
        <v>0</v>
      </c>
      <c r="D19" s="1262"/>
      <c r="E19" s="184">
        <v>0</v>
      </c>
      <c r="F19" s="1263"/>
      <c r="G19" s="1569">
        <f t="shared" si="1"/>
        <v>6</v>
      </c>
      <c r="H19" s="1264"/>
    </row>
    <row r="20" spans="1:26" ht="15.5" x14ac:dyDescent="0.35">
      <c r="A20" s="234">
        <f t="shared" si="0"/>
        <v>7</v>
      </c>
      <c r="B20" s="959" t="s">
        <v>41</v>
      </c>
      <c r="C20" s="152">
        <v>0</v>
      </c>
      <c r="D20" s="1262"/>
      <c r="E20" s="184">
        <v>0</v>
      </c>
      <c r="F20" s="1263"/>
      <c r="G20" s="1569">
        <f t="shared" si="1"/>
        <v>7</v>
      </c>
      <c r="H20" s="1264"/>
    </row>
    <row r="21" spans="1:26" ht="15.5" x14ac:dyDescent="0.35">
      <c r="A21" s="234">
        <f t="shared" si="0"/>
        <v>8</v>
      </c>
      <c r="B21" s="959" t="s">
        <v>42</v>
      </c>
      <c r="C21" s="152">
        <v>0</v>
      </c>
      <c r="D21" s="1262"/>
      <c r="E21" s="184">
        <v>0</v>
      </c>
      <c r="F21" s="1263"/>
      <c r="G21" s="1569">
        <f t="shared" si="1"/>
        <v>8</v>
      </c>
      <c r="H21" s="1264"/>
    </row>
    <row r="22" spans="1:26" ht="15.5" x14ac:dyDescent="0.35">
      <c r="A22" s="234">
        <f t="shared" si="0"/>
        <v>9</v>
      </c>
      <c r="B22" s="959" t="s">
        <v>43</v>
      </c>
      <c r="C22" s="152">
        <v>0</v>
      </c>
      <c r="D22" s="1262"/>
      <c r="E22" s="184">
        <v>0</v>
      </c>
      <c r="F22" s="1263"/>
      <c r="G22" s="1569">
        <f t="shared" si="1"/>
        <v>9</v>
      </c>
      <c r="H22" s="1264"/>
      <c r="N22" s="246"/>
      <c r="O22" s="246"/>
      <c r="P22" s="246"/>
      <c r="Q22" s="246"/>
      <c r="R22" s="246"/>
      <c r="S22" s="246"/>
      <c r="T22" s="246"/>
      <c r="U22" s="246"/>
      <c r="V22" s="246"/>
      <c r="W22" s="246"/>
      <c r="X22" s="246"/>
      <c r="Y22" s="246"/>
      <c r="Z22" s="246"/>
    </row>
    <row r="23" spans="1:26" ht="15.5" x14ac:dyDescent="0.35">
      <c r="A23" s="234">
        <f t="shared" si="0"/>
        <v>10</v>
      </c>
      <c r="B23" s="959" t="s">
        <v>44</v>
      </c>
      <c r="C23" s="152">
        <v>0</v>
      </c>
      <c r="D23" s="1262"/>
      <c r="E23" s="184">
        <v>0</v>
      </c>
      <c r="F23" s="1263"/>
      <c r="G23" s="1569">
        <f t="shared" si="1"/>
        <v>10</v>
      </c>
      <c r="H23" s="1264"/>
    </row>
    <row r="24" spans="1:26" ht="15.5" x14ac:dyDescent="0.35">
      <c r="A24" s="234">
        <f t="shared" si="0"/>
        <v>11</v>
      </c>
      <c r="B24" s="959" t="s">
        <v>45</v>
      </c>
      <c r="C24" s="152">
        <v>0</v>
      </c>
      <c r="D24" s="1262"/>
      <c r="E24" s="184">
        <v>0</v>
      </c>
      <c r="F24" s="1263"/>
      <c r="G24" s="1569">
        <f t="shared" si="1"/>
        <v>11</v>
      </c>
      <c r="H24" s="1264"/>
    </row>
    <row r="25" spans="1:26" ht="15.5" x14ac:dyDescent="0.35">
      <c r="A25" s="234">
        <f t="shared" si="0"/>
        <v>12</v>
      </c>
      <c r="B25" s="959" t="s">
        <v>46</v>
      </c>
      <c r="C25" s="152">
        <v>0</v>
      </c>
      <c r="D25" s="1262"/>
      <c r="E25" s="184">
        <v>0</v>
      </c>
      <c r="F25" s="1263"/>
      <c r="G25" s="1569">
        <f t="shared" si="1"/>
        <v>12</v>
      </c>
      <c r="H25" s="1265"/>
    </row>
    <row r="26" spans="1:26" ht="15.5" x14ac:dyDescent="0.35">
      <c r="A26" s="234">
        <f t="shared" si="0"/>
        <v>13</v>
      </c>
      <c r="B26" s="1748" t="str">
        <f>'AL-2'!B25</f>
        <v>Dec-21</v>
      </c>
      <c r="C26" s="154">
        <v>0</v>
      </c>
      <c r="D26" s="1610" t="s">
        <v>647</v>
      </c>
      <c r="E26" s="154">
        <v>0</v>
      </c>
      <c r="F26" s="1609" t="s">
        <v>647</v>
      </c>
      <c r="G26" s="1569">
        <f t="shared" si="1"/>
        <v>13</v>
      </c>
      <c r="H26" s="1265"/>
    </row>
    <row r="27" spans="1:26" ht="15.5" x14ac:dyDescent="0.35">
      <c r="A27" s="234">
        <f t="shared" si="0"/>
        <v>14</v>
      </c>
      <c r="B27" s="1266"/>
      <c r="C27" s="382"/>
      <c r="D27" s="1267"/>
      <c r="E27" s="382"/>
      <c r="F27" s="1268"/>
      <c r="G27" s="1569">
        <f t="shared" si="1"/>
        <v>14</v>
      </c>
      <c r="H27" s="220"/>
    </row>
    <row r="28" spans="1:26" ht="15.5" x14ac:dyDescent="0.35">
      <c r="A28" s="234">
        <f t="shared" si="0"/>
        <v>15</v>
      </c>
      <c r="B28" s="1269" t="s">
        <v>47</v>
      </c>
      <c r="C28" s="156">
        <f>SUM(C14:C26)</f>
        <v>0</v>
      </c>
      <c r="D28" s="1608" t="s">
        <v>1146</v>
      </c>
      <c r="E28" s="156">
        <f>SUM(E14:E26)</f>
        <v>0</v>
      </c>
      <c r="F28" s="1611" t="s">
        <v>1146</v>
      </c>
      <c r="G28" s="1569">
        <f t="shared" si="1"/>
        <v>15</v>
      </c>
      <c r="H28" s="1265"/>
    </row>
    <row r="29" spans="1:26" ht="15.5" x14ac:dyDescent="0.35">
      <c r="A29" s="234">
        <f t="shared" si="0"/>
        <v>16</v>
      </c>
      <c r="B29" s="1272"/>
      <c r="C29" s="383"/>
      <c r="D29" s="1273"/>
      <c r="E29" s="383"/>
      <c r="F29" s="1274"/>
      <c r="G29" s="1569">
        <f t="shared" si="1"/>
        <v>16</v>
      </c>
      <c r="H29" s="1265"/>
    </row>
    <row r="30" spans="1:26" ht="15.5" x14ac:dyDescent="0.35">
      <c r="A30" s="234">
        <f t="shared" si="0"/>
        <v>17</v>
      </c>
      <c r="B30" s="1269"/>
      <c r="C30" s="382"/>
      <c r="D30" s="1270"/>
      <c r="E30" s="382"/>
      <c r="F30" s="1271"/>
      <c r="G30" s="1569">
        <f t="shared" si="1"/>
        <v>17</v>
      </c>
      <c r="H30" s="1264"/>
    </row>
    <row r="31" spans="1:26" ht="15.5" x14ac:dyDescent="0.35">
      <c r="A31" s="234">
        <f t="shared" si="0"/>
        <v>18</v>
      </c>
      <c r="B31" s="1269" t="s">
        <v>48</v>
      </c>
      <c r="C31" s="159">
        <f>C28/13</f>
        <v>0</v>
      </c>
      <c r="D31" s="1612" t="s">
        <v>1148</v>
      </c>
      <c r="E31" s="159">
        <f>E28/13</f>
        <v>0</v>
      </c>
      <c r="F31" s="1611" t="s">
        <v>1148</v>
      </c>
      <c r="G31" s="1569">
        <f t="shared" si="1"/>
        <v>18</v>
      </c>
      <c r="H31" s="1264"/>
    </row>
    <row r="32" spans="1:26" ht="15.5" x14ac:dyDescent="0.35">
      <c r="A32" s="234">
        <f t="shared" si="0"/>
        <v>19</v>
      </c>
      <c r="B32" s="1272"/>
      <c r="C32" s="383"/>
      <c r="D32" s="1275"/>
      <c r="E32" s="383"/>
      <c r="F32" s="1276"/>
      <c r="G32" s="1569">
        <f t="shared" si="1"/>
        <v>19</v>
      </c>
      <c r="H32" s="1264"/>
    </row>
    <row r="33" spans="2:8" ht="15.5" x14ac:dyDescent="0.35">
      <c r="B33" s="220"/>
      <c r="C33" s="952"/>
      <c r="D33" s="952"/>
      <c r="E33" s="952"/>
      <c r="F33" s="1265"/>
      <c r="G33" s="1585"/>
      <c r="H33" s="1264"/>
    </row>
    <row r="34" spans="2:8" ht="15.5" x14ac:dyDescent="0.35">
      <c r="B34" s="1277"/>
      <c r="C34" s="1265"/>
      <c r="D34" s="1265"/>
      <c r="E34" s="1265"/>
      <c r="F34" s="1265"/>
      <c r="G34" s="1585"/>
      <c r="H34" s="1264"/>
    </row>
    <row r="35" spans="2:8" ht="15.5" x14ac:dyDescent="0.35">
      <c r="B35" s="220"/>
      <c r="C35" s="1265"/>
      <c r="D35" s="1265"/>
      <c r="E35" s="1265"/>
      <c r="F35" s="1265"/>
      <c r="G35" s="1585"/>
      <c r="H35" s="1264"/>
    </row>
    <row r="36" spans="2:8" ht="15.5" x14ac:dyDescent="0.35">
      <c r="B36" s="220"/>
      <c r="C36" s="1265"/>
      <c r="D36" s="1265"/>
      <c r="E36" s="1265"/>
      <c r="F36" s="1265"/>
      <c r="G36" s="1585"/>
      <c r="H36" s="1264"/>
    </row>
    <row r="37" spans="2:8" ht="15.5" x14ac:dyDescent="0.35">
      <c r="B37" s="220"/>
      <c r="C37" s="1265"/>
      <c r="D37" s="1265"/>
      <c r="E37" s="1265"/>
      <c r="F37" s="1265"/>
      <c r="G37" s="1585"/>
      <c r="H37" s="1264"/>
    </row>
    <row r="38" spans="2:8" x14ac:dyDescent="0.35">
      <c r="C38" s="1278"/>
      <c r="D38" s="1278"/>
      <c r="E38" s="1264"/>
      <c r="F38" s="1264"/>
      <c r="G38" s="1585"/>
      <c r="H38" s="1264"/>
    </row>
  </sheetData>
  <mergeCells count="6">
    <mergeCell ref="B8:F8"/>
    <mergeCell ref="B2:F2"/>
    <mergeCell ref="B3:F3"/>
    <mergeCell ref="B4:F4"/>
    <mergeCell ref="B5:F5"/>
    <mergeCell ref="B6:F6"/>
  </mergeCells>
  <printOptions horizontalCentered="1"/>
  <pageMargins left="0.5" right="0.5" top="0.5" bottom="0.5" header="0.25" footer="0.25"/>
  <pageSetup scale="74" orientation="landscape" r:id="rId1"/>
  <headerFooter scaleWithDoc="0">
    <oddFooter>&amp;C&amp;"Times New Roman,Regular"&amp;10&amp;A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zoomScale="80" zoomScaleNormal="80" workbookViewId="0"/>
  </sheetViews>
  <sheetFormatPr defaultColWidth="8.90625" defaultRowHeight="15.5" x14ac:dyDescent="0.35"/>
  <cols>
    <col min="1" max="1" width="5.08984375" style="79" customWidth="1"/>
    <col min="2" max="2" width="55.08984375" style="79" customWidth="1"/>
    <col min="3" max="3" width="24" style="79" customWidth="1"/>
    <col min="4" max="4" width="1.54296875" style="79" customWidth="1"/>
    <col min="5" max="5" width="16.90625" style="79" customWidth="1"/>
    <col min="6" max="6" width="1.54296875" style="79" customWidth="1"/>
    <col min="7" max="7" width="34.54296875" style="79" customWidth="1"/>
    <col min="8" max="8" width="5.08984375" style="79" customWidth="1"/>
    <col min="9" max="16384" width="8.90625" style="79"/>
  </cols>
  <sheetData>
    <row r="1" spans="1:8" x14ac:dyDescent="0.35">
      <c r="A1" s="367"/>
      <c r="E1" s="199"/>
      <c r="F1" s="199"/>
      <c r="G1" s="182"/>
      <c r="H1" s="367"/>
    </row>
    <row r="2" spans="1:8" x14ac:dyDescent="0.35">
      <c r="A2" s="367"/>
      <c r="B2" s="2288" t="s">
        <v>18</v>
      </c>
      <c r="C2" s="2288"/>
      <c r="D2" s="2288"/>
      <c r="E2" s="2288"/>
      <c r="F2" s="2288"/>
      <c r="G2" s="2289"/>
      <c r="H2" s="367"/>
    </row>
    <row r="3" spans="1:8" x14ac:dyDescent="0.35">
      <c r="A3" s="367"/>
      <c r="B3" s="2288" t="s">
        <v>1332</v>
      </c>
      <c r="C3" s="2288"/>
      <c r="D3" s="2288"/>
      <c r="E3" s="2288"/>
      <c r="F3" s="2288"/>
      <c r="G3" s="2289"/>
      <c r="H3" s="367"/>
    </row>
    <row r="4" spans="1:8" x14ac:dyDescent="0.35">
      <c r="A4" s="367"/>
      <c r="B4" s="2288" t="s">
        <v>380</v>
      </c>
      <c r="C4" s="2288"/>
      <c r="D4" s="2288"/>
      <c r="E4" s="2288"/>
      <c r="F4" s="2288"/>
      <c r="G4" s="2289"/>
      <c r="H4" s="367"/>
    </row>
    <row r="5" spans="1:8" x14ac:dyDescent="0.35">
      <c r="A5" s="182"/>
      <c r="B5" s="2293" t="str">
        <f>'Stmt AD'!B5</f>
        <v>Base Period &amp; True-Up Period 12 - Months Ending December 31, 2021</v>
      </c>
      <c r="C5" s="2293"/>
      <c r="D5" s="2293"/>
      <c r="E5" s="2293"/>
      <c r="F5" s="2293"/>
      <c r="G5" s="2283"/>
      <c r="H5" s="182"/>
    </row>
    <row r="6" spans="1:8" x14ac:dyDescent="0.35">
      <c r="A6" s="182"/>
      <c r="B6" s="2291" t="s">
        <v>2</v>
      </c>
      <c r="C6" s="2278"/>
      <c r="D6" s="2278"/>
      <c r="E6" s="2278"/>
      <c r="F6" s="2278"/>
      <c r="G6" s="2278"/>
      <c r="H6" s="182"/>
    </row>
    <row r="7" spans="1:8" x14ac:dyDescent="0.35">
      <c r="A7" s="182"/>
      <c r="B7" s="367"/>
      <c r="C7" s="367"/>
      <c r="D7" s="367"/>
      <c r="E7" s="367"/>
      <c r="F7" s="367"/>
      <c r="G7" s="182"/>
      <c r="H7" s="182"/>
    </row>
    <row r="8" spans="1:8" x14ac:dyDescent="0.35">
      <c r="A8" s="182" t="s">
        <v>3</v>
      </c>
      <c r="B8" s="367"/>
      <c r="C8" s="236" t="s">
        <v>648</v>
      </c>
      <c r="D8" s="367"/>
      <c r="E8" s="367"/>
      <c r="F8" s="367"/>
      <c r="G8" s="182"/>
      <c r="H8" s="182" t="s">
        <v>3</v>
      </c>
    </row>
    <row r="9" spans="1:8" x14ac:dyDescent="0.35">
      <c r="A9" s="345" t="s">
        <v>25</v>
      </c>
      <c r="C9" s="732" t="s">
        <v>646</v>
      </c>
      <c r="E9" s="89" t="s">
        <v>135</v>
      </c>
      <c r="F9" s="384"/>
      <c r="G9" s="89" t="s">
        <v>9</v>
      </c>
      <c r="H9" s="345" t="s">
        <v>25</v>
      </c>
    </row>
    <row r="10" spans="1:8" x14ac:dyDescent="0.35">
      <c r="A10" s="182"/>
      <c r="E10" s="199"/>
      <c r="F10" s="384"/>
      <c r="G10" s="182"/>
      <c r="H10" s="182"/>
    </row>
    <row r="11" spans="1:8" x14ac:dyDescent="0.35">
      <c r="A11" s="367">
        <f>+A10+1</f>
        <v>1</v>
      </c>
      <c r="B11" s="136" t="s">
        <v>381</v>
      </c>
      <c r="C11" s="234" t="s">
        <v>1789</v>
      </c>
      <c r="E11" s="1882">
        <v>1304.0991895338727</v>
      </c>
      <c r="F11" s="384"/>
      <c r="G11" s="1279"/>
      <c r="H11" s="367">
        <f>A11</f>
        <v>1</v>
      </c>
    </row>
    <row r="12" spans="1:8" x14ac:dyDescent="0.35">
      <c r="A12" s="367">
        <f>+A11+1</f>
        <v>2</v>
      </c>
      <c r="E12" s="199"/>
      <c r="F12" s="384"/>
      <c r="G12" s="182"/>
      <c r="H12" s="367">
        <f>+H11+1</f>
        <v>2</v>
      </c>
    </row>
    <row r="13" spans="1:8" ht="16" thickBot="1" x14ac:dyDescent="0.4">
      <c r="A13" s="367">
        <f>+A12+1</f>
        <v>3</v>
      </c>
      <c r="B13" s="1720" t="s">
        <v>854</v>
      </c>
      <c r="C13" s="85"/>
      <c r="D13" s="85"/>
      <c r="E13" s="121">
        <f>E11</f>
        <v>1304.0991895338727</v>
      </c>
      <c r="F13" s="118"/>
      <c r="G13" s="1721" t="s">
        <v>1354</v>
      </c>
      <c r="H13" s="367">
        <f>+H12+1</f>
        <v>3</v>
      </c>
    </row>
    <row r="14" spans="1:8" ht="16" thickTop="1" x14ac:dyDescent="0.35">
      <c r="C14" s="85"/>
      <c r="D14" s="85"/>
      <c r="E14" s="85"/>
      <c r="F14" s="85"/>
    </row>
    <row r="15" spans="1:8" x14ac:dyDescent="0.35">
      <c r="C15" s="85"/>
      <c r="D15" s="85"/>
      <c r="E15" s="85"/>
      <c r="F15" s="85"/>
    </row>
    <row r="18" spans="2:2" x14ac:dyDescent="0.35">
      <c r="B18" s="95"/>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Roman,Regular"&amp;10AQ</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zoomScale="80" zoomScaleNormal="80" workbookViewId="0"/>
  </sheetViews>
  <sheetFormatPr defaultColWidth="8.90625" defaultRowHeight="15.5" x14ac:dyDescent="0.35"/>
  <cols>
    <col min="1" max="1" width="5.08984375" style="182" bestFit="1" customWidth="1"/>
    <col min="2" max="2" width="68.90625" style="79" customWidth="1"/>
    <col min="3" max="3" width="25.453125" style="79" bestFit="1" customWidth="1"/>
    <col min="4" max="4" width="1.54296875" style="79" customWidth="1"/>
    <col min="5" max="5" width="16.90625" style="79" customWidth="1"/>
    <col min="6" max="6" width="1.54296875" style="79" customWidth="1"/>
    <col min="7" max="7" width="34.54296875" style="79" customWidth="1"/>
    <col min="8" max="8" width="5.08984375" style="79" customWidth="1"/>
    <col min="9" max="9" width="8.90625" style="79"/>
    <col min="10" max="10" width="20.453125" style="79" bestFit="1" customWidth="1"/>
    <col min="11" max="16384" width="8.90625" style="79"/>
  </cols>
  <sheetData>
    <row r="1" spans="1:8" x14ac:dyDescent="0.35">
      <c r="A1" s="367"/>
      <c r="E1" s="199"/>
      <c r="F1" s="199"/>
      <c r="G1" s="182"/>
      <c r="H1" s="367"/>
    </row>
    <row r="2" spans="1:8" x14ac:dyDescent="0.35">
      <c r="A2" s="367"/>
      <c r="B2" s="2288" t="s">
        <v>18</v>
      </c>
      <c r="C2" s="2288"/>
      <c r="D2" s="2288"/>
      <c r="E2" s="2288"/>
      <c r="F2" s="2288"/>
      <c r="G2" s="2289"/>
      <c r="H2" s="367"/>
    </row>
    <row r="3" spans="1:8" x14ac:dyDescent="0.35">
      <c r="A3" s="367"/>
      <c r="B3" s="2288" t="s">
        <v>1333</v>
      </c>
      <c r="C3" s="2288"/>
      <c r="D3" s="2288"/>
      <c r="E3" s="2288"/>
      <c r="F3" s="2288"/>
      <c r="G3" s="2289"/>
      <c r="H3" s="367"/>
    </row>
    <row r="4" spans="1:8" x14ac:dyDescent="0.35">
      <c r="A4" s="367"/>
      <c r="B4" s="2288" t="s">
        <v>382</v>
      </c>
      <c r="C4" s="2288"/>
      <c r="D4" s="2288"/>
      <c r="E4" s="2288"/>
      <c r="F4" s="2288"/>
      <c r="G4" s="2289"/>
      <c r="H4" s="367"/>
    </row>
    <row r="5" spans="1:8" x14ac:dyDescent="0.35">
      <c r="A5" s="367"/>
      <c r="B5" s="2293" t="str">
        <f>'Stmt AD'!B5</f>
        <v>Base Period &amp; True-Up Period 12 - Months Ending December 31, 2021</v>
      </c>
      <c r="C5" s="2293"/>
      <c r="D5" s="2293"/>
      <c r="E5" s="2293"/>
      <c r="F5" s="2293"/>
      <c r="G5" s="2293"/>
      <c r="H5" s="367"/>
    </row>
    <row r="6" spans="1:8" x14ac:dyDescent="0.35">
      <c r="A6" s="367"/>
      <c r="B6" s="2291" t="s">
        <v>2</v>
      </c>
      <c r="C6" s="2278"/>
      <c r="D6" s="2278"/>
      <c r="E6" s="2278"/>
      <c r="F6" s="2278"/>
      <c r="G6" s="2278"/>
      <c r="H6" s="367"/>
    </row>
    <row r="7" spans="1:8" x14ac:dyDescent="0.35">
      <c r="A7" s="367"/>
      <c r="B7" s="367"/>
      <c r="C7" s="367"/>
      <c r="D7" s="367"/>
      <c r="E7" s="367"/>
      <c r="F7" s="367"/>
      <c r="G7" s="1692"/>
      <c r="H7" s="367"/>
    </row>
    <row r="8" spans="1:8" x14ac:dyDescent="0.35">
      <c r="A8" s="367" t="s">
        <v>3</v>
      </c>
      <c r="B8" s="1691"/>
      <c r="C8" s="236" t="s">
        <v>648</v>
      </c>
      <c r="D8" s="1691"/>
      <c r="E8" s="345"/>
      <c r="F8" s="345"/>
      <c r="G8" s="345"/>
      <c r="H8" s="367" t="s">
        <v>3</v>
      </c>
    </row>
    <row r="9" spans="1:8" x14ac:dyDescent="0.35">
      <c r="A9" s="731" t="s">
        <v>25</v>
      </c>
      <c r="B9" s="1691" t="s">
        <v>10</v>
      </c>
      <c r="C9" s="732" t="s">
        <v>646</v>
      </c>
      <c r="D9" s="1691"/>
      <c r="E9" s="89" t="s">
        <v>135</v>
      </c>
      <c r="F9" s="1707"/>
      <c r="G9" s="89" t="s">
        <v>9</v>
      </c>
      <c r="H9" s="731" t="s">
        <v>25</v>
      </c>
    </row>
    <row r="10" spans="1:8" x14ac:dyDescent="0.35">
      <c r="A10" s="367"/>
      <c r="B10" s="1691"/>
      <c r="C10" s="1691"/>
      <c r="D10" s="1691"/>
      <c r="E10" s="199"/>
      <c r="F10" s="199"/>
      <c r="G10" s="1692"/>
      <c r="H10" s="367"/>
    </row>
    <row r="11" spans="1:8" s="85" customFormat="1" ht="18" x14ac:dyDescent="0.35">
      <c r="A11" s="1227">
        <f>+A10+1</f>
        <v>1</v>
      </c>
      <c r="B11" s="85" t="s">
        <v>1825</v>
      </c>
      <c r="C11" s="1304" t="s">
        <v>1790</v>
      </c>
      <c r="E11" s="233">
        <v>-264.76299999999998</v>
      </c>
      <c r="F11" s="1707"/>
      <c r="G11" s="1707"/>
      <c r="H11" s="1227">
        <f>A11</f>
        <v>1</v>
      </c>
    </row>
    <row r="12" spans="1:8" x14ac:dyDescent="0.35">
      <c r="A12" s="367">
        <f>+A11+1</f>
        <v>2</v>
      </c>
      <c r="B12" s="1945"/>
      <c r="C12" s="1691"/>
      <c r="D12" s="1691"/>
      <c r="E12" s="199"/>
      <c r="F12" s="199"/>
      <c r="G12" s="1707"/>
      <c r="H12" s="367">
        <f>+H11+1</f>
        <v>2</v>
      </c>
    </row>
    <row r="13" spans="1:8" x14ac:dyDescent="0.35">
      <c r="A13" s="367">
        <f>+A12+1</f>
        <v>3</v>
      </c>
      <c r="B13" s="1945" t="s">
        <v>1485</v>
      </c>
      <c r="C13" s="1691"/>
      <c r="D13" s="1691"/>
      <c r="E13" s="199"/>
      <c r="F13" s="1707"/>
      <c r="G13" s="1707"/>
      <c r="H13" s="367">
        <f>+H12+1</f>
        <v>3</v>
      </c>
    </row>
    <row r="14" spans="1:8" x14ac:dyDescent="0.35">
      <c r="A14" s="367">
        <f t="shared" ref="A14:A19" si="0">+A13+1</f>
        <v>4</v>
      </c>
      <c r="B14" s="1943" t="s">
        <v>874</v>
      </c>
      <c r="C14" s="1696"/>
      <c r="D14" s="1691"/>
      <c r="E14" s="116">
        <f>'AR-1'!G18</f>
        <v>1768.4804308767493</v>
      </c>
      <c r="F14" s="1707"/>
      <c r="G14" s="694" t="s">
        <v>1226</v>
      </c>
      <c r="H14" s="367">
        <f t="shared" ref="H14:H19" si="1">+H13+1</f>
        <v>4</v>
      </c>
    </row>
    <row r="15" spans="1:8" x14ac:dyDescent="0.35">
      <c r="A15" s="367">
        <f t="shared" si="0"/>
        <v>5</v>
      </c>
      <c r="B15" s="1943" t="s">
        <v>875</v>
      </c>
      <c r="C15" s="1696"/>
      <c r="D15" s="1691"/>
      <c r="E15" s="116">
        <f>'AR-1'!G25</f>
        <v>-5048.7844990380754</v>
      </c>
      <c r="F15" s="1707"/>
      <c r="G15" s="694" t="s">
        <v>1227</v>
      </c>
      <c r="H15" s="367">
        <f t="shared" si="1"/>
        <v>5</v>
      </c>
    </row>
    <row r="16" spans="1:8" x14ac:dyDescent="0.35">
      <c r="A16" s="367">
        <f t="shared" si="0"/>
        <v>6</v>
      </c>
      <c r="B16" s="1943" t="s">
        <v>876</v>
      </c>
      <c r="C16" s="1696"/>
      <c r="D16" s="1691"/>
      <c r="E16" s="660">
        <f>'AR-1'!G33</f>
        <v>0</v>
      </c>
      <c r="F16" s="1707"/>
      <c r="G16" s="694" t="s">
        <v>1228</v>
      </c>
      <c r="H16" s="367">
        <f t="shared" si="1"/>
        <v>6</v>
      </c>
    </row>
    <row r="17" spans="1:8" x14ac:dyDescent="0.35">
      <c r="A17" s="367">
        <f t="shared" si="0"/>
        <v>7</v>
      </c>
      <c r="B17" s="1191" t="s">
        <v>1484</v>
      </c>
      <c r="C17" s="1696"/>
      <c r="D17" s="1691"/>
      <c r="E17" s="1685">
        <f>SUM(E14:E16)</f>
        <v>-3280.3040681613261</v>
      </c>
      <c r="F17" s="1707"/>
      <c r="G17" s="694" t="s">
        <v>1096</v>
      </c>
      <c r="H17" s="367">
        <f t="shared" si="1"/>
        <v>7</v>
      </c>
    </row>
    <row r="18" spans="1:8" x14ac:dyDescent="0.35">
      <c r="A18" s="367">
        <f t="shared" si="0"/>
        <v>8</v>
      </c>
      <c r="B18" s="1945"/>
      <c r="C18" s="1691"/>
      <c r="D18" s="1691"/>
      <c r="E18" s="130"/>
      <c r="F18" s="130"/>
      <c r="G18" s="120"/>
      <c r="H18" s="367">
        <f t="shared" si="1"/>
        <v>8</v>
      </c>
    </row>
    <row r="19" spans="1:8" ht="16" thickBot="1" x14ac:dyDescent="0.4">
      <c r="A19" s="367">
        <f t="shared" si="0"/>
        <v>9</v>
      </c>
      <c r="B19" s="1945" t="s">
        <v>1357</v>
      </c>
      <c r="C19" s="1691"/>
      <c r="D19" s="1691"/>
      <c r="E19" s="121">
        <f>E11+E17</f>
        <v>-3545.067068161326</v>
      </c>
      <c r="F19" s="118"/>
      <c r="G19" s="694" t="s">
        <v>1356</v>
      </c>
      <c r="H19" s="367">
        <f t="shared" si="1"/>
        <v>9</v>
      </c>
    </row>
    <row r="20" spans="1:8" s="1687" customFormat="1" ht="16" thickTop="1" x14ac:dyDescent="0.35">
      <c r="A20" s="367"/>
      <c r="B20" s="1945"/>
      <c r="C20" s="1691"/>
      <c r="D20" s="1691"/>
      <c r="E20" s="118"/>
      <c r="F20" s="118"/>
      <c r="G20" s="694"/>
      <c r="H20" s="367"/>
    </row>
    <row r="21" spans="1:8" x14ac:dyDescent="0.35">
      <c r="A21" s="367"/>
      <c r="B21" s="1945"/>
      <c r="C21" s="1691"/>
      <c r="D21" s="1691"/>
      <c r="E21" s="1691"/>
      <c r="F21" s="1691"/>
      <c r="G21" s="1691"/>
      <c r="H21" s="367"/>
    </row>
    <row r="22" spans="1:8" ht="18" x14ac:dyDescent="0.35">
      <c r="A22" s="1223">
        <v>1</v>
      </c>
      <c r="B22" s="1945" t="s">
        <v>1392</v>
      </c>
      <c r="C22" s="1691"/>
      <c r="D22" s="1691"/>
      <c r="E22" s="1691"/>
      <c r="F22" s="1691"/>
      <c r="G22" s="1691"/>
      <c r="H22" s="367"/>
    </row>
    <row r="23" spans="1:8" ht="18" x14ac:dyDescent="0.35">
      <c r="A23" s="751"/>
      <c r="B23" s="1191"/>
      <c r="H23" s="367"/>
    </row>
    <row r="24" spans="1:8" x14ac:dyDescent="0.35">
      <c r="A24" s="367"/>
      <c r="B24" s="1191"/>
      <c r="H24" s="367"/>
    </row>
    <row r="25" spans="1:8" x14ac:dyDescent="0.35">
      <c r="B25" s="1939"/>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Roman,Regular"&amp;10AR</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J42"/>
  <sheetViews>
    <sheetView zoomScale="80" zoomScaleNormal="80" workbookViewId="0"/>
  </sheetViews>
  <sheetFormatPr defaultColWidth="8.54296875" defaultRowHeight="15.5" x14ac:dyDescent="0.35"/>
  <cols>
    <col min="1" max="1" width="5.453125" style="1950" customWidth="1"/>
    <col min="2" max="2" width="50.90625" style="1951" customWidth="1"/>
    <col min="3" max="3" width="20.08984375" style="227" customWidth="1"/>
    <col min="4" max="4" width="1.54296875" style="227" customWidth="1"/>
    <col min="5" max="5" width="21.08984375" style="227" bestFit="1" customWidth="1"/>
    <col min="6" max="6" width="1.54296875" style="1951" customWidth="1"/>
    <col min="7" max="7" width="23.453125" style="1951" bestFit="1" customWidth="1"/>
    <col min="8" max="8" width="62.54296875" style="1951" customWidth="1"/>
    <col min="9" max="9" width="5.453125" style="1950" customWidth="1"/>
    <col min="10" max="10" width="9.90625" style="1951" bestFit="1" customWidth="1"/>
    <col min="11" max="11" width="10.453125" style="1951" customWidth="1"/>
    <col min="12" max="16384" width="8.54296875" style="1951"/>
  </cols>
  <sheetData>
    <row r="2" spans="1:9" x14ac:dyDescent="0.35">
      <c r="B2" s="2289" t="s">
        <v>18</v>
      </c>
      <c r="C2" s="2289"/>
      <c r="D2" s="2289"/>
      <c r="E2" s="2289"/>
      <c r="F2" s="2289"/>
      <c r="G2" s="2289"/>
      <c r="H2" s="2289"/>
    </row>
    <row r="3" spans="1:9" x14ac:dyDescent="0.35">
      <c r="B3" s="2289" t="s">
        <v>1224</v>
      </c>
      <c r="C3" s="2289"/>
      <c r="D3" s="2289"/>
      <c r="E3" s="2289"/>
      <c r="F3" s="2289"/>
      <c r="G3" s="2289"/>
      <c r="H3" s="2289"/>
    </row>
    <row r="4" spans="1:9" x14ac:dyDescent="0.35">
      <c r="B4" s="2289" t="s">
        <v>1486</v>
      </c>
      <c r="C4" s="2289"/>
      <c r="D4" s="2289"/>
      <c r="E4" s="2289"/>
      <c r="F4" s="2289"/>
      <c r="G4" s="2289"/>
      <c r="H4" s="2289"/>
    </row>
    <row r="5" spans="1:9" x14ac:dyDescent="0.35">
      <c r="B5" s="2289" t="s">
        <v>1600</v>
      </c>
      <c r="C5" s="2289"/>
      <c r="D5" s="2289"/>
      <c r="E5" s="2289"/>
      <c r="F5" s="2289"/>
      <c r="G5" s="2289"/>
      <c r="H5" s="2289"/>
    </row>
    <row r="6" spans="1:9" ht="15.75" customHeight="1" x14ac:dyDescent="0.35">
      <c r="B6" s="2291" t="s">
        <v>2</v>
      </c>
      <c r="C6" s="2291"/>
      <c r="D6" s="2291"/>
      <c r="E6" s="2291"/>
      <c r="F6" s="2291"/>
      <c r="G6" s="2291"/>
      <c r="H6" s="2291"/>
    </row>
    <row r="8" spans="1:9" x14ac:dyDescent="0.35">
      <c r="B8" s="1949"/>
      <c r="C8" s="1624" t="s">
        <v>4</v>
      </c>
      <c r="D8" s="1624"/>
      <c r="E8" s="1624" t="s">
        <v>5</v>
      </c>
      <c r="F8" s="1948"/>
      <c r="G8" s="1624" t="s">
        <v>1225</v>
      </c>
      <c r="H8" s="1948"/>
    </row>
    <row r="9" spans="1:9" ht="18" x14ac:dyDescent="0.35">
      <c r="A9" s="1950" t="s">
        <v>3</v>
      </c>
      <c r="B9" s="1949"/>
      <c r="C9" s="1624" t="s">
        <v>1824</v>
      </c>
      <c r="D9" s="2264"/>
      <c r="E9" s="1624" t="s">
        <v>1823</v>
      </c>
      <c r="F9" s="1948"/>
      <c r="G9" s="1948"/>
      <c r="H9" s="1948"/>
      <c r="I9" s="1950" t="s">
        <v>3</v>
      </c>
    </row>
    <row r="10" spans="1:9" x14ac:dyDescent="0.35">
      <c r="A10" s="6" t="s">
        <v>25</v>
      </c>
      <c r="B10" s="1020" t="s">
        <v>74</v>
      </c>
      <c r="C10" s="1955" t="s">
        <v>1488</v>
      </c>
      <c r="D10" s="1956"/>
      <c r="E10" s="1955" t="s">
        <v>1487</v>
      </c>
      <c r="F10" s="1625"/>
      <c r="G10" s="1020" t="s">
        <v>31</v>
      </c>
      <c r="H10" s="1020" t="s">
        <v>9</v>
      </c>
      <c r="I10" s="6" t="s">
        <v>25</v>
      </c>
    </row>
    <row r="11" spans="1:9" x14ac:dyDescent="0.35">
      <c r="A11" s="6"/>
      <c r="B11" s="246"/>
      <c r="C11" s="1957"/>
      <c r="D11" s="1957"/>
      <c r="E11" s="1957"/>
      <c r="F11" s="942"/>
      <c r="G11" s="1879"/>
      <c r="H11" s="1879"/>
      <c r="I11" s="6"/>
    </row>
    <row r="12" spans="1:9" x14ac:dyDescent="0.35">
      <c r="A12" s="1950">
        <v>1</v>
      </c>
      <c r="B12" s="2098" t="s">
        <v>654</v>
      </c>
      <c r="C12" s="1958"/>
      <c r="D12" s="1958"/>
      <c r="E12" s="1958"/>
      <c r="F12" s="254"/>
      <c r="G12" s="1878"/>
      <c r="H12" s="1878"/>
      <c r="I12" s="1950">
        <f>A12</f>
        <v>1</v>
      </c>
    </row>
    <row r="13" spans="1:9" x14ac:dyDescent="0.35">
      <c r="A13" s="1950">
        <f t="shared" ref="A13:A18" si="0">A12+1</f>
        <v>2</v>
      </c>
      <c r="B13" s="2098" t="s">
        <v>1582</v>
      </c>
      <c r="C13" s="1297">
        <f>-SUM('Order 864-3'!I15:I16)</f>
        <v>0</v>
      </c>
      <c r="D13" s="1297"/>
      <c r="E13" s="1297">
        <f>-SUM('Order 864-3'!H15:H17,'Order 864-3'!H19)-0.5</f>
        <v>394.9</v>
      </c>
      <c r="F13" s="250"/>
      <c r="G13" s="1425">
        <f>SUM(C13:E13)</f>
        <v>394.9</v>
      </c>
      <c r="H13" s="1718" t="s">
        <v>647</v>
      </c>
      <c r="I13" s="1950">
        <f t="shared" ref="I13:I18" si="1">I12+1</f>
        <v>2</v>
      </c>
    </row>
    <row r="14" spans="1:9" x14ac:dyDescent="0.35">
      <c r="A14" s="2089">
        <f t="shared" si="0"/>
        <v>3</v>
      </c>
      <c r="B14" s="2098" t="s">
        <v>1658</v>
      </c>
      <c r="C14" s="1130">
        <f>-'Order 864-3'!I27</f>
        <v>0</v>
      </c>
      <c r="D14" s="1130"/>
      <c r="E14" s="1130">
        <f>-SUM('Order 864-3'!H27,'Order 864-3'!F27)</f>
        <v>1373.5804308767492</v>
      </c>
      <c r="F14" s="1130"/>
      <c r="G14" s="1875">
        <f>SUM(C14:E14)</f>
        <v>1373.5804308767492</v>
      </c>
      <c r="H14" s="1718" t="s">
        <v>647</v>
      </c>
      <c r="I14" s="2089">
        <f t="shared" si="1"/>
        <v>3</v>
      </c>
    </row>
    <row r="15" spans="1:9" s="2087" customFormat="1" x14ac:dyDescent="0.35">
      <c r="A15" s="2089">
        <f t="shared" si="0"/>
        <v>4</v>
      </c>
      <c r="B15" s="2100"/>
      <c r="C15" s="1130">
        <v>0</v>
      </c>
      <c r="D15" s="1130"/>
      <c r="E15" s="1130">
        <v>0</v>
      </c>
      <c r="F15" s="1875"/>
      <c r="G15" s="1875">
        <f>SUM(C15:E15)</f>
        <v>0</v>
      </c>
      <c r="H15" s="2101"/>
      <c r="I15" s="2089">
        <f t="shared" si="1"/>
        <v>4</v>
      </c>
    </row>
    <row r="16" spans="1:9" x14ac:dyDescent="0.35">
      <c r="A16" s="2089">
        <f t="shared" si="0"/>
        <v>5</v>
      </c>
      <c r="B16" s="2098"/>
      <c r="C16" s="1130">
        <v>0</v>
      </c>
      <c r="D16" s="1130"/>
      <c r="E16" s="1130">
        <v>0</v>
      </c>
      <c r="F16" s="1875"/>
      <c r="G16" s="1875">
        <f>SUM(C16:E16)</f>
        <v>0</v>
      </c>
      <c r="H16" s="1875"/>
      <c r="I16" s="2089">
        <f t="shared" si="1"/>
        <v>5</v>
      </c>
    </row>
    <row r="17" spans="1:10" x14ac:dyDescent="0.35">
      <c r="A17" s="2089">
        <f t="shared" si="0"/>
        <v>6</v>
      </c>
      <c r="B17" s="2097"/>
      <c r="C17" s="1130">
        <v>0</v>
      </c>
      <c r="D17" s="1130"/>
      <c r="E17" s="1130">
        <v>0</v>
      </c>
      <c r="F17" s="1875"/>
      <c r="G17" s="1875">
        <f>SUM(C17:E17)</f>
        <v>0</v>
      </c>
      <c r="H17" s="1875"/>
      <c r="I17" s="2089">
        <f t="shared" si="1"/>
        <v>6</v>
      </c>
    </row>
    <row r="18" spans="1:10" ht="18.5" thickBot="1" x14ac:dyDescent="0.4">
      <c r="A18" s="2089">
        <f t="shared" si="0"/>
        <v>7</v>
      </c>
      <c r="B18" s="944" t="s">
        <v>1657</v>
      </c>
      <c r="C18" s="1959">
        <f>SUM(C13:C17)</f>
        <v>0</v>
      </c>
      <c r="D18" s="1960"/>
      <c r="E18" s="1959">
        <f>SUM(E13:E17)</f>
        <v>1768.4804308767493</v>
      </c>
      <c r="F18" s="1875"/>
      <c r="G18" s="252">
        <f>SUM(G13:G17)</f>
        <v>1768.4804308767493</v>
      </c>
      <c r="H18" s="1881" t="s">
        <v>1031</v>
      </c>
      <c r="I18" s="2089">
        <f t="shared" si="1"/>
        <v>7</v>
      </c>
      <c r="J18" s="1126"/>
    </row>
    <row r="19" spans="1:10" ht="16" thickTop="1" x14ac:dyDescent="0.35">
      <c r="A19" s="1950">
        <f t="shared" ref="A19:A35" si="2">A18+1</f>
        <v>8</v>
      </c>
      <c r="B19" s="2097"/>
      <c r="C19" s="1961"/>
      <c r="D19" s="1961"/>
      <c r="E19" s="1961"/>
      <c r="F19" s="1877"/>
      <c r="G19" s="2208"/>
      <c r="H19" s="1877"/>
      <c r="I19" s="1950">
        <f t="shared" ref="I19:I35" si="3">I18+1</f>
        <v>8</v>
      </c>
    </row>
    <row r="20" spans="1:10" x14ac:dyDescent="0.35">
      <c r="A20" s="1950">
        <f t="shared" si="2"/>
        <v>9</v>
      </c>
      <c r="B20" s="2098" t="s">
        <v>655</v>
      </c>
      <c r="C20" s="1958"/>
      <c r="D20" s="1958"/>
      <c r="E20" s="1958"/>
      <c r="F20" s="254"/>
      <c r="G20" s="1878"/>
      <c r="H20" s="1878"/>
      <c r="I20" s="1950">
        <f t="shared" si="3"/>
        <v>9</v>
      </c>
    </row>
    <row r="21" spans="1:10" x14ac:dyDescent="0.35">
      <c r="A21" s="1950">
        <f t="shared" si="2"/>
        <v>10</v>
      </c>
      <c r="B21" s="1936" t="s">
        <v>1581</v>
      </c>
      <c r="C21" s="1297">
        <f>-SUM('Order 864-3'!I29:I31,'Order 864-3'!I38,'Order 864-3'!I41)</f>
        <v>-5561.5716530612253</v>
      </c>
      <c r="D21" s="1297"/>
      <c r="E21" s="1297">
        <f>-SUM('Order 864-3'!H29:H31,'Order 864-3'!H38,'Order 864-3'!H41)</f>
        <v>512.78715402314992</v>
      </c>
      <c r="F21" s="1425"/>
      <c r="G21" s="1425">
        <f>SUM(C21:E21)</f>
        <v>-5048.7844990380754</v>
      </c>
      <c r="H21" s="1718" t="s">
        <v>647</v>
      </c>
      <c r="I21" s="1950">
        <f t="shared" si="3"/>
        <v>10</v>
      </c>
    </row>
    <row r="22" spans="1:10" x14ac:dyDescent="0.35">
      <c r="A22" s="1950">
        <f t="shared" si="2"/>
        <v>11</v>
      </c>
      <c r="B22" s="2097"/>
      <c r="C22" s="1130">
        <v>0</v>
      </c>
      <c r="D22" s="1130"/>
      <c r="E22" s="1130">
        <v>0</v>
      </c>
      <c r="F22" s="1875"/>
      <c r="G22" s="1875">
        <f>SUM(C22:E22)</f>
        <v>0</v>
      </c>
      <c r="H22" s="1875"/>
      <c r="I22" s="1950">
        <f t="shared" si="3"/>
        <v>11</v>
      </c>
    </row>
    <row r="23" spans="1:10" x14ac:dyDescent="0.35">
      <c r="A23" s="1950">
        <f t="shared" si="2"/>
        <v>12</v>
      </c>
      <c r="B23" s="2097"/>
      <c r="C23" s="1130">
        <v>0</v>
      </c>
      <c r="D23" s="1130"/>
      <c r="E23" s="1130">
        <v>0</v>
      </c>
      <c r="F23" s="1875"/>
      <c r="G23" s="1875">
        <f>SUM(C23:E23)</f>
        <v>0</v>
      </c>
      <c r="H23" s="1875"/>
      <c r="I23" s="1950">
        <f t="shared" si="3"/>
        <v>12</v>
      </c>
    </row>
    <row r="24" spans="1:10" x14ac:dyDescent="0.35">
      <c r="A24" s="1950">
        <f t="shared" si="2"/>
        <v>13</v>
      </c>
      <c r="B24" s="2097"/>
      <c r="C24" s="1130">
        <v>0</v>
      </c>
      <c r="D24" s="1130"/>
      <c r="E24" s="1130">
        <v>0</v>
      </c>
      <c r="F24" s="1875"/>
      <c r="G24" s="1875">
        <f>SUM(C24:E24)</f>
        <v>0</v>
      </c>
      <c r="H24" s="1875"/>
      <c r="I24" s="1950">
        <f t="shared" si="3"/>
        <v>13</v>
      </c>
    </row>
    <row r="25" spans="1:10" ht="16" thickBot="1" x14ac:dyDescent="0.4">
      <c r="A25" s="1950">
        <f t="shared" si="2"/>
        <v>14</v>
      </c>
      <c r="B25" s="944" t="s">
        <v>847</v>
      </c>
      <c r="C25" s="1959">
        <f>SUM(C21:C24)</f>
        <v>-5561.5716530612253</v>
      </c>
      <c r="D25" s="1960"/>
      <c r="E25" s="1959">
        <f>SUM(E21:E24)</f>
        <v>512.78715402314992</v>
      </c>
      <c r="F25" s="1875"/>
      <c r="G25" s="252">
        <f>SUM(G21:G24)</f>
        <v>-5048.7844990380754</v>
      </c>
      <c r="H25" s="1881" t="s">
        <v>1216</v>
      </c>
      <c r="I25" s="1950">
        <f t="shared" si="3"/>
        <v>14</v>
      </c>
    </row>
    <row r="26" spans="1:10" ht="16" thickTop="1" x14ac:dyDescent="0.35">
      <c r="A26" s="1950">
        <f t="shared" si="2"/>
        <v>15</v>
      </c>
      <c r="B26" s="2097"/>
      <c r="C26" s="1399"/>
      <c r="D26" s="1399"/>
      <c r="E26" s="1399"/>
      <c r="F26" s="2097"/>
      <c r="G26" s="2097"/>
      <c r="H26" s="2097"/>
      <c r="I26" s="1950">
        <f t="shared" si="3"/>
        <v>15</v>
      </c>
    </row>
    <row r="27" spans="1:10" x14ac:dyDescent="0.35">
      <c r="A27" s="1950">
        <f t="shared" si="2"/>
        <v>16</v>
      </c>
      <c r="B27" s="2098" t="s">
        <v>656</v>
      </c>
      <c r="C27" s="1958"/>
      <c r="D27" s="1958"/>
      <c r="E27" s="1958"/>
      <c r="F27" s="254"/>
      <c r="G27" s="1878"/>
      <c r="H27" s="2099"/>
      <c r="I27" s="1950">
        <f t="shared" si="3"/>
        <v>16</v>
      </c>
    </row>
    <row r="28" spans="1:10" x14ac:dyDescent="0.35">
      <c r="A28" s="1950">
        <f t="shared" si="2"/>
        <v>17</v>
      </c>
      <c r="B28" s="2098" t="s">
        <v>1582</v>
      </c>
      <c r="C28" s="1297">
        <f>-SUM('Order 864-3'!I21:I22)</f>
        <v>0</v>
      </c>
      <c r="D28" s="1297"/>
      <c r="E28" s="1297">
        <f>-SUM('Order 864-3'!H21:H22)</f>
        <v>0</v>
      </c>
      <c r="F28" s="250"/>
      <c r="G28" s="1425">
        <f>SUM(C28:E28)</f>
        <v>0</v>
      </c>
      <c r="H28" s="1718" t="s">
        <v>647</v>
      </c>
      <c r="I28" s="1950">
        <f t="shared" si="3"/>
        <v>17</v>
      </c>
    </row>
    <row r="29" spans="1:10" x14ac:dyDescent="0.35">
      <c r="A29" s="1950">
        <f t="shared" si="2"/>
        <v>18</v>
      </c>
      <c r="B29" s="2098"/>
      <c r="C29" s="1130">
        <v>0</v>
      </c>
      <c r="D29" s="1130"/>
      <c r="E29" s="1130">
        <v>0</v>
      </c>
      <c r="F29" s="1875"/>
      <c r="G29" s="1875">
        <f>SUM(C29:E29)</f>
        <v>0</v>
      </c>
      <c r="H29" s="2099"/>
      <c r="I29" s="1950">
        <f t="shared" si="3"/>
        <v>18</v>
      </c>
    </row>
    <row r="30" spans="1:10" x14ac:dyDescent="0.35">
      <c r="A30" s="1950">
        <f t="shared" si="2"/>
        <v>19</v>
      </c>
      <c r="B30" s="2098"/>
      <c r="C30" s="1130">
        <v>0</v>
      </c>
      <c r="D30" s="1130"/>
      <c r="E30" s="1130">
        <v>0</v>
      </c>
      <c r="F30" s="1875"/>
      <c r="G30" s="1875">
        <f>SUM(C30:E30)</f>
        <v>0</v>
      </c>
      <c r="H30" s="1875"/>
      <c r="I30" s="1950">
        <f t="shared" si="3"/>
        <v>19</v>
      </c>
    </row>
    <row r="31" spans="1:10" x14ac:dyDescent="0.35">
      <c r="A31" s="1950">
        <f t="shared" si="2"/>
        <v>20</v>
      </c>
      <c r="B31" s="939"/>
      <c r="C31" s="251">
        <v>0</v>
      </c>
      <c r="D31" s="251"/>
      <c r="E31" s="251">
        <v>0</v>
      </c>
      <c r="F31" s="1875"/>
      <c r="G31" s="1875">
        <f>SUM(C31:E31)</f>
        <v>0</v>
      </c>
      <c r="H31" s="1875"/>
      <c r="I31" s="1950">
        <f t="shared" si="3"/>
        <v>20</v>
      </c>
    </row>
    <row r="32" spans="1:10" x14ac:dyDescent="0.35">
      <c r="A32" s="1950">
        <f t="shared" si="2"/>
        <v>21</v>
      </c>
      <c r="B32" s="939"/>
      <c r="C32" s="251">
        <v>0</v>
      </c>
      <c r="D32" s="251"/>
      <c r="E32" s="251">
        <v>0</v>
      </c>
      <c r="F32" s="1875"/>
      <c r="G32" s="1875">
        <f>SUM(C32:E32)</f>
        <v>0</v>
      </c>
      <c r="H32" s="1875"/>
      <c r="I32" s="1950">
        <f t="shared" si="3"/>
        <v>21</v>
      </c>
    </row>
    <row r="33" spans="1:9" ht="16" thickBot="1" x14ac:dyDescent="0.4">
      <c r="A33" s="1950">
        <f t="shared" si="2"/>
        <v>22</v>
      </c>
      <c r="B33" s="944" t="s">
        <v>848</v>
      </c>
      <c r="C33" s="1959">
        <f>SUM(C28:C32)</f>
        <v>0</v>
      </c>
      <c r="D33" s="1960"/>
      <c r="E33" s="1959">
        <f>SUM(E28:E32)</f>
        <v>0</v>
      </c>
      <c r="F33" s="1875"/>
      <c r="G33" s="252">
        <f>SUM(G28:G32)</f>
        <v>0</v>
      </c>
      <c r="H33" s="1881" t="s">
        <v>1217</v>
      </c>
      <c r="I33" s="1950">
        <f t="shared" si="3"/>
        <v>22</v>
      </c>
    </row>
    <row r="34" spans="1:9" ht="16" thickTop="1" x14ac:dyDescent="0.35">
      <c r="A34" s="1950">
        <f t="shared" si="2"/>
        <v>23</v>
      </c>
      <c r="I34" s="1950">
        <f t="shared" si="3"/>
        <v>23</v>
      </c>
    </row>
    <row r="35" spans="1:9" ht="16" thickBot="1" x14ac:dyDescent="0.4">
      <c r="A35" s="1950">
        <f t="shared" si="2"/>
        <v>24</v>
      </c>
      <c r="B35" s="1949" t="s">
        <v>1477</v>
      </c>
      <c r="C35" s="1959">
        <f>+C18+C25+C33</f>
        <v>-5561.5716530612253</v>
      </c>
      <c r="D35" s="1960"/>
      <c r="E35" s="1959">
        <f>+E18+E25+E33</f>
        <v>2281.2675848998992</v>
      </c>
      <c r="G35" s="252">
        <f>+G18+G25+G33</f>
        <v>-3280.3040681613261</v>
      </c>
      <c r="H35" s="1881" t="s">
        <v>1479</v>
      </c>
      <c r="I35" s="1950">
        <f t="shared" si="3"/>
        <v>24</v>
      </c>
    </row>
    <row r="36" spans="1:9" s="2270" customFormat="1" ht="16" thickTop="1" x14ac:dyDescent="0.35">
      <c r="A36" s="2271"/>
      <c r="B36" s="2269"/>
      <c r="C36" s="1960"/>
      <c r="D36" s="1960"/>
      <c r="E36" s="1960"/>
      <c r="G36" s="1876"/>
      <c r="H36" s="1881"/>
      <c r="I36" s="2271"/>
    </row>
    <row r="38" spans="1:9" ht="18" x14ac:dyDescent="0.35">
      <c r="A38" s="749">
        <v>1</v>
      </c>
      <c r="B38" s="1951" t="s">
        <v>1492</v>
      </c>
    </row>
    <row r="39" spans="1:9" s="2266" customFormat="1" ht="18" x14ac:dyDescent="0.35">
      <c r="A39" s="749">
        <v>2</v>
      </c>
      <c r="B39" s="2266" t="s">
        <v>1828</v>
      </c>
      <c r="C39" s="1399"/>
      <c r="D39" s="1399"/>
      <c r="E39" s="1399"/>
      <c r="I39" s="2267"/>
    </row>
    <row r="40" spans="1:9" s="2266" customFormat="1" ht="18" x14ac:dyDescent="0.35">
      <c r="A40" s="749">
        <v>3</v>
      </c>
      <c r="B40" s="2266" t="s">
        <v>1829</v>
      </c>
      <c r="C40" s="1399"/>
      <c r="D40" s="1399"/>
      <c r="E40" s="1399"/>
      <c r="I40" s="2267"/>
    </row>
    <row r="41" spans="1:9" ht="18" x14ac:dyDescent="0.35">
      <c r="A41" s="1412">
        <v>4</v>
      </c>
      <c r="B41" s="2209" t="s">
        <v>1791</v>
      </c>
      <c r="C41" s="1399"/>
      <c r="D41" s="1399"/>
      <c r="E41" s="1399"/>
      <c r="F41" s="1399"/>
      <c r="G41" s="1399"/>
      <c r="H41" s="1399"/>
    </row>
    <row r="42" spans="1:9" x14ac:dyDescent="0.35">
      <c r="A42" s="2207"/>
      <c r="B42" s="2209" t="s">
        <v>1659</v>
      </c>
      <c r="C42" s="1399"/>
      <c r="D42" s="1399"/>
      <c r="E42" s="1399"/>
      <c r="F42" s="1399"/>
      <c r="G42" s="1399"/>
      <c r="H42" s="1399"/>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zoomScale="80" zoomScaleNormal="80" workbookViewId="0"/>
  </sheetViews>
  <sheetFormatPr defaultColWidth="8.90625" defaultRowHeight="15.5" x14ac:dyDescent="0.35"/>
  <cols>
    <col min="1" max="1" width="5.08984375" style="1946" bestFit="1" customWidth="1"/>
    <col min="2" max="2" width="68.90625" style="1945" customWidth="1"/>
    <col min="3" max="3" width="24" style="1945" customWidth="1"/>
    <col min="4" max="4" width="1.54296875" style="1945" customWidth="1"/>
    <col min="5" max="5" width="16.90625" style="1945" customWidth="1"/>
    <col min="6" max="6" width="1.54296875" style="1945" customWidth="1"/>
    <col min="7" max="7" width="34.54296875" style="1945" customWidth="1"/>
    <col min="8" max="8" width="5.08984375" style="1945" customWidth="1"/>
    <col min="9" max="9" width="8.90625" style="1945"/>
    <col min="10" max="10" width="20.453125" style="1945" bestFit="1" customWidth="1"/>
    <col min="11" max="16384" width="8.90625" style="1945"/>
  </cols>
  <sheetData>
    <row r="1" spans="1:8" x14ac:dyDescent="0.35">
      <c r="A1" s="367"/>
      <c r="E1" s="199"/>
      <c r="F1" s="199"/>
      <c r="G1" s="1946"/>
      <c r="H1" s="367"/>
    </row>
    <row r="2" spans="1:8" x14ac:dyDescent="0.35">
      <c r="A2" s="367"/>
      <c r="B2" s="2288" t="s">
        <v>18</v>
      </c>
      <c r="C2" s="2288"/>
      <c r="D2" s="2288"/>
      <c r="E2" s="2288"/>
      <c r="F2" s="2288"/>
      <c r="G2" s="2289"/>
      <c r="H2" s="367"/>
    </row>
    <row r="3" spans="1:8" x14ac:dyDescent="0.35">
      <c r="A3" s="367"/>
      <c r="B3" s="2288" t="s">
        <v>1473</v>
      </c>
      <c r="C3" s="2288"/>
      <c r="D3" s="2288"/>
      <c r="E3" s="2288"/>
      <c r="F3" s="2288"/>
      <c r="G3" s="2289"/>
      <c r="H3" s="367"/>
    </row>
    <row r="4" spans="1:8" x14ac:dyDescent="0.35">
      <c r="A4" s="367"/>
      <c r="B4" s="2317" t="s">
        <v>1494</v>
      </c>
      <c r="C4" s="2317"/>
      <c r="D4" s="2317"/>
      <c r="E4" s="2317"/>
      <c r="F4" s="2317"/>
      <c r="G4" s="2281"/>
      <c r="H4" s="367"/>
    </row>
    <row r="5" spans="1:8" x14ac:dyDescent="0.35">
      <c r="A5" s="367"/>
      <c r="B5" s="2293" t="str">
        <f>'Stmt AD'!B5</f>
        <v>Base Period &amp; True-Up Period 12 - Months Ending December 31, 2021</v>
      </c>
      <c r="C5" s="2293"/>
      <c r="D5" s="2293"/>
      <c r="E5" s="2293"/>
      <c r="F5" s="2293"/>
      <c r="G5" s="2293"/>
      <c r="H5" s="367"/>
    </row>
    <row r="6" spans="1:8" x14ac:dyDescent="0.35">
      <c r="A6" s="367"/>
      <c r="B6" s="2291" t="s">
        <v>2</v>
      </c>
      <c r="C6" s="2278"/>
      <c r="D6" s="2278"/>
      <c r="E6" s="2278"/>
      <c r="F6" s="2278"/>
      <c r="G6" s="2278"/>
      <c r="H6" s="367"/>
    </row>
    <row r="7" spans="1:8" x14ac:dyDescent="0.35">
      <c r="A7" s="367"/>
      <c r="B7" s="367"/>
      <c r="C7" s="367"/>
      <c r="D7" s="367"/>
      <c r="E7" s="367"/>
      <c r="F7" s="367"/>
      <c r="G7" s="1946"/>
      <c r="H7" s="367"/>
    </row>
    <row r="8" spans="1:8" x14ac:dyDescent="0.35">
      <c r="A8" s="367" t="s">
        <v>3</v>
      </c>
      <c r="C8" s="236" t="s">
        <v>648</v>
      </c>
      <c r="E8" s="345"/>
      <c r="F8" s="345"/>
      <c r="G8" s="345"/>
      <c r="H8" s="367" t="s">
        <v>3</v>
      </c>
    </row>
    <row r="9" spans="1:8" x14ac:dyDescent="0.35">
      <c r="A9" s="731" t="s">
        <v>25</v>
      </c>
      <c r="B9" s="1945" t="s">
        <v>10</v>
      </c>
      <c r="C9" s="732" t="s">
        <v>646</v>
      </c>
      <c r="E9" s="89" t="s">
        <v>135</v>
      </c>
      <c r="F9" s="1707"/>
      <c r="G9" s="89" t="s">
        <v>9</v>
      </c>
      <c r="H9" s="731" t="s">
        <v>25</v>
      </c>
    </row>
    <row r="10" spans="1:8" x14ac:dyDescent="0.35">
      <c r="A10" s="367"/>
      <c r="E10" s="199"/>
      <c r="F10" s="199"/>
      <c r="G10" s="1946"/>
      <c r="H10" s="367"/>
    </row>
    <row r="11" spans="1:8" ht="18" x14ac:dyDescent="0.35">
      <c r="A11" s="367">
        <f>+A10+1</f>
        <v>1</v>
      </c>
      <c r="B11" s="1945" t="s">
        <v>1825</v>
      </c>
      <c r="C11" s="1950"/>
      <c r="E11" s="233">
        <v>0</v>
      </c>
      <c r="F11" s="1707"/>
      <c r="G11" s="1707"/>
      <c r="H11" s="367">
        <f>A11</f>
        <v>1</v>
      </c>
    </row>
    <row r="12" spans="1:8" x14ac:dyDescent="0.35">
      <c r="A12" s="367">
        <f>+A11+1</f>
        <v>2</v>
      </c>
      <c r="E12" s="199"/>
      <c r="F12" s="199"/>
      <c r="G12" s="1707"/>
      <c r="H12" s="367">
        <f>+H11+1</f>
        <v>2</v>
      </c>
    </row>
    <row r="13" spans="1:8" x14ac:dyDescent="0.35">
      <c r="A13" s="367">
        <f>+A12+1</f>
        <v>3</v>
      </c>
      <c r="B13" s="1945" t="s">
        <v>1485</v>
      </c>
      <c r="E13" s="199"/>
      <c r="F13" s="1707"/>
      <c r="G13" s="1707"/>
      <c r="H13" s="367">
        <f>+H12+1</f>
        <v>3</v>
      </c>
    </row>
    <row r="14" spans="1:8" x14ac:dyDescent="0.35">
      <c r="A14" s="367">
        <f t="shared" ref="A14:A19" si="0">+A13+1</f>
        <v>4</v>
      </c>
      <c r="B14" s="1943" t="s">
        <v>874</v>
      </c>
      <c r="C14" s="1950"/>
      <c r="E14" s="116">
        <f>'AT-1'!G18</f>
        <v>0</v>
      </c>
      <c r="F14" s="1707"/>
      <c r="G14" s="694" t="s">
        <v>1474</v>
      </c>
      <c r="H14" s="367">
        <f t="shared" ref="H14:H19" si="1">+H13+1</f>
        <v>4</v>
      </c>
    </row>
    <row r="15" spans="1:8" x14ac:dyDescent="0.35">
      <c r="A15" s="367">
        <f t="shared" si="0"/>
        <v>5</v>
      </c>
      <c r="B15" s="1943" t="s">
        <v>875</v>
      </c>
      <c r="C15" s="1950"/>
      <c r="E15" s="116">
        <f>'AT-1'!G25</f>
        <v>0</v>
      </c>
      <c r="F15" s="1707"/>
      <c r="G15" s="694" t="s">
        <v>1475</v>
      </c>
      <c r="H15" s="367">
        <f t="shared" si="1"/>
        <v>5</v>
      </c>
    </row>
    <row r="16" spans="1:8" x14ac:dyDescent="0.35">
      <c r="A16" s="367">
        <f t="shared" si="0"/>
        <v>6</v>
      </c>
      <c r="B16" s="1943" t="s">
        <v>876</v>
      </c>
      <c r="C16" s="1950"/>
      <c r="E16" s="660">
        <f>'AT-1'!G33</f>
        <v>0</v>
      </c>
      <c r="F16" s="1707"/>
      <c r="G16" s="694" t="s">
        <v>1476</v>
      </c>
      <c r="H16" s="367">
        <f t="shared" si="1"/>
        <v>6</v>
      </c>
    </row>
    <row r="17" spans="1:8" x14ac:dyDescent="0.35">
      <c r="A17" s="367">
        <f t="shared" si="0"/>
        <v>7</v>
      </c>
      <c r="B17" s="1191" t="s">
        <v>1484</v>
      </c>
      <c r="C17" s="1950"/>
      <c r="E17" s="1685">
        <f>SUM(E14:E16)</f>
        <v>0</v>
      </c>
      <c r="F17" s="1707"/>
      <c r="G17" s="694" t="s">
        <v>1096</v>
      </c>
      <c r="H17" s="367">
        <f t="shared" si="1"/>
        <v>7</v>
      </c>
    </row>
    <row r="18" spans="1:8" x14ac:dyDescent="0.35">
      <c r="A18" s="367">
        <f t="shared" si="0"/>
        <v>8</v>
      </c>
      <c r="E18" s="130"/>
      <c r="F18" s="130"/>
      <c r="G18" s="120"/>
      <c r="H18" s="367">
        <f t="shared" si="1"/>
        <v>8</v>
      </c>
    </row>
    <row r="19" spans="1:8" ht="16" thickBot="1" x14ac:dyDescent="0.4">
      <c r="A19" s="367">
        <f t="shared" si="0"/>
        <v>9</v>
      </c>
      <c r="B19" s="1945" t="s">
        <v>1495</v>
      </c>
      <c r="E19" s="121">
        <f>E11+E17</f>
        <v>0</v>
      </c>
      <c r="F19" s="118"/>
      <c r="G19" s="694" t="s">
        <v>1356</v>
      </c>
      <c r="H19" s="367">
        <f t="shared" si="1"/>
        <v>9</v>
      </c>
    </row>
    <row r="20" spans="1:8" ht="16" thickTop="1" x14ac:dyDescent="0.35">
      <c r="A20" s="367"/>
      <c r="E20" s="118"/>
      <c r="F20" s="118"/>
      <c r="G20" s="694"/>
      <c r="H20" s="367"/>
    </row>
    <row r="21" spans="1:8" x14ac:dyDescent="0.35">
      <c r="A21" s="367"/>
      <c r="H21" s="367"/>
    </row>
    <row r="22" spans="1:8" ht="18" x14ac:dyDescent="0.35">
      <c r="A22" s="1223">
        <v>1</v>
      </c>
      <c r="B22" s="1945" t="s">
        <v>1392</v>
      </c>
      <c r="H22" s="367"/>
    </row>
    <row r="23" spans="1:8" ht="18" x14ac:dyDescent="0.35">
      <c r="A23" s="751"/>
      <c r="B23" s="1191"/>
      <c r="H23" s="367"/>
    </row>
    <row r="24" spans="1:8" x14ac:dyDescent="0.35">
      <c r="A24" s="367"/>
      <c r="B24" s="1191"/>
      <c r="H24" s="367"/>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zoomScale="80" zoomScaleNormal="80" workbookViewId="0"/>
  </sheetViews>
  <sheetFormatPr defaultColWidth="8.54296875" defaultRowHeight="15.5" x14ac:dyDescent="0.35"/>
  <cols>
    <col min="1" max="1" width="5.453125" style="1950" customWidth="1"/>
    <col min="2" max="2" width="50.90625" style="1951" customWidth="1"/>
    <col min="3" max="3" width="20.08984375" style="1951" customWidth="1"/>
    <col min="4" max="4" width="1.54296875" style="1951" customWidth="1"/>
    <col min="5" max="5" width="20.08984375" style="1951" customWidth="1"/>
    <col min="6" max="6" width="1.54296875" style="1951" customWidth="1"/>
    <col min="7" max="7" width="23.453125" style="1951" bestFit="1" customWidth="1"/>
    <col min="8" max="8" width="62.54296875" style="1951" customWidth="1"/>
    <col min="9" max="9" width="5.453125" style="1950" customWidth="1"/>
    <col min="10" max="16384" width="8.54296875" style="1951"/>
  </cols>
  <sheetData>
    <row r="2" spans="1:9" x14ac:dyDescent="0.35">
      <c r="B2" s="2289" t="s">
        <v>18</v>
      </c>
      <c r="C2" s="2289"/>
      <c r="D2" s="2289"/>
      <c r="E2" s="2289"/>
      <c r="F2" s="2289"/>
      <c r="G2" s="2289"/>
      <c r="H2" s="2289"/>
    </row>
    <row r="3" spans="1:9" x14ac:dyDescent="0.35">
      <c r="B3" s="2289" t="s">
        <v>1472</v>
      </c>
      <c r="C3" s="2289"/>
      <c r="D3" s="2289"/>
      <c r="E3" s="2289"/>
      <c r="F3" s="2289"/>
      <c r="G3" s="2289"/>
      <c r="H3" s="2289"/>
    </row>
    <row r="4" spans="1:9" x14ac:dyDescent="0.35">
      <c r="B4" s="2289" t="s">
        <v>1486</v>
      </c>
      <c r="C4" s="2289"/>
      <c r="D4" s="2289"/>
      <c r="E4" s="2289"/>
      <c r="F4" s="2289"/>
      <c r="G4" s="2289"/>
      <c r="H4" s="2289"/>
    </row>
    <row r="5" spans="1:9" x14ac:dyDescent="0.35">
      <c r="B5" s="2289" t="s">
        <v>1600</v>
      </c>
      <c r="C5" s="2289"/>
      <c r="D5" s="2289"/>
      <c r="E5" s="2289"/>
      <c r="F5" s="2289"/>
      <c r="G5" s="2289"/>
      <c r="H5" s="2289"/>
    </row>
    <row r="6" spans="1:9" ht="15.75" customHeight="1" x14ac:dyDescent="0.35">
      <c r="B6" s="2291" t="s">
        <v>2</v>
      </c>
      <c r="C6" s="2291"/>
      <c r="D6" s="2291"/>
      <c r="E6" s="2291"/>
      <c r="F6" s="2291"/>
      <c r="G6" s="2291"/>
      <c r="H6" s="2291"/>
    </row>
    <row r="8" spans="1:9" x14ac:dyDescent="0.35">
      <c r="B8" s="1949"/>
      <c r="C8" s="1624" t="s">
        <v>4</v>
      </c>
      <c r="D8" s="1624"/>
      <c r="E8" s="1624" t="s">
        <v>5</v>
      </c>
      <c r="F8" s="1948"/>
      <c r="G8" s="1624" t="s">
        <v>1225</v>
      </c>
      <c r="H8" s="1948"/>
    </row>
    <row r="9" spans="1:9" ht="18" x14ac:dyDescent="0.35">
      <c r="A9" s="1950" t="s">
        <v>3</v>
      </c>
      <c r="B9" s="1949"/>
      <c r="C9" s="1624" t="s">
        <v>1826</v>
      </c>
      <c r="D9" s="1624"/>
      <c r="E9" s="1624" t="s">
        <v>1827</v>
      </c>
      <c r="F9" s="1948"/>
      <c r="G9" s="1948"/>
      <c r="H9" s="1948"/>
      <c r="I9" s="1950" t="s">
        <v>3</v>
      </c>
    </row>
    <row r="10" spans="1:9" x14ac:dyDescent="0.35">
      <c r="A10" s="6" t="s">
        <v>25</v>
      </c>
      <c r="B10" s="1020" t="s">
        <v>74</v>
      </c>
      <c r="C10" s="1955" t="s">
        <v>1487</v>
      </c>
      <c r="D10" s="1956"/>
      <c r="E10" s="1955" t="s">
        <v>1488</v>
      </c>
      <c r="F10" s="1625"/>
      <c r="G10" s="1020" t="s">
        <v>31</v>
      </c>
      <c r="H10" s="1020" t="s">
        <v>9</v>
      </c>
      <c r="I10" s="6" t="s">
        <v>25</v>
      </c>
    </row>
    <row r="11" spans="1:9" x14ac:dyDescent="0.35">
      <c r="A11" s="6"/>
      <c r="B11" s="246"/>
      <c r="C11" s="942"/>
      <c r="D11" s="942"/>
      <c r="E11" s="942"/>
      <c r="F11" s="942"/>
      <c r="G11" s="1879"/>
      <c r="H11" s="1879"/>
      <c r="I11" s="6"/>
    </row>
    <row r="12" spans="1:9" x14ac:dyDescent="0.35">
      <c r="A12" s="1950">
        <v>1</v>
      </c>
      <c r="B12" s="939" t="s">
        <v>654</v>
      </c>
      <c r="C12" s="254"/>
      <c r="D12" s="254"/>
      <c r="E12" s="254"/>
      <c r="F12" s="254"/>
      <c r="G12" s="1878"/>
      <c r="H12" s="1881"/>
      <c r="I12" s="1950">
        <f>A12</f>
        <v>1</v>
      </c>
    </row>
    <row r="13" spans="1:9" x14ac:dyDescent="0.35">
      <c r="A13" s="1950">
        <f>A12+1</f>
        <v>2</v>
      </c>
      <c r="B13" s="2098" t="s">
        <v>1582</v>
      </c>
      <c r="C13" s="1297">
        <v>0</v>
      </c>
      <c r="D13" s="1297"/>
      <c r="E13" s="1297">
        <v>0</v>
      </c>
      <c r="F13" s="250"/>
      <c r="G13" s="1425">
        <f>SUM(C13:E13)</f>
        <v>0</v>
      </c>
      <c r="H13" s="1881" t="s">
        <v>1602</v>
      </c>
      <c r="I13" s="1950">
        <f>I12+1</f>
        <v>2</v>
      </c>
    </row>
    <row r="14" spans="1:9" x14ac:dyDescent="0.35">
      <c r="A14" s="2089">
        <f>A13+1</f>
        <v>3</v>
      </c>
      <c r="B14" s="2098" t="s">
        <v>1581</v>
      </c>
      <c r="C14" s="1130">
        <v>0</v>
      </c>
      <c r="D14" s="1130"/>
      <c r="E14" s="1130">
        <v>0</v>
      </c>
      <c r="F14" s="1130"/>
      <c r="G14" s="1875">
        <f>SUM(C14:E14)</f>
        <v>0</v>
      </c>
      <c r="H14" s="1881" t="s">
        <v>1602</v>
      </c>
      <c r="I14" s="2089">
        <f>I13+1</f>
        <v>3</v>
      </c>
    </row>
    <row r="15" spans="1:9" s="2087" customFormat="1" x14ac:dyDescent="0.35">
      <c r="A15" s="2089">
        <f>A14+1</f>
        <v>4</v>
      </c>
      <c r="B15" s="2100"/>
      <c r="C15" s="1130">
        <v>0</v>
      </c>
      <c r="D15" s="1130"/>
      <c r="E15" s="1130">
        <v>0</v>
      </c>
      <c r="F15" s="1130"/>
      <c r="G15" s="1875">
        <f>SUM(C15:E15)</f>
        <v>0</v>
      </c>
      <c r="H15" s="2095"/>
      <c r="I15" s="2089">
        <f>I14+1</f>
        <v>4</v>
      </c>
    </row>
    <row r="16" spans="1:9" x14ac:dyDescent="0.35">
      <c r="A16" s="2089">
        <f>A15+1</f>
        <v>5</v>
      </c>
      <c r="B16" s="939"/>
      <c r="C16" s="1130">
        <v>0</v>
      </c>
      <c r="D16" s="1130"/>
      <c r="E16" s="1130">
        <v>0</v>
      </c>
      <c r="F16" s="1875"/>
      <c r="G16" s="1875">
        <f>SUM(C16:E16)</f>
        <v>0</v>
      </c>
      <c r="H16" s="1881"/>
      <c r="I16" s="2089">
        <f>I15+1</f>
        <v>5</v>
      </c>
    </row>
    <row r="17" spans="1:9" x14ac:dyDescent="0.35">
      <c r="A17" s="1950">
        <f t="shared" ref="A17:A35" si="0">A16+1</f>
        <v>6</v>
      </c>
      <c r="C17" s="1875">
        <v>0</v>
      </c>
      <c r="D17" s="1875"/>
      <c r="E17" s="1875">
        <v>0</v>
      </c>
      <c r="F17" s="1875"/>
      <c r="G17" s="1875">
        <f>SUM(C17:E17)</f>
        <v>0</v>
      </c>
      <c r="H17" s="1881"/>
      <c r="I17" s="1950">
        <f t="shared" ref="I17:I35" si="1">I16+1</f>
        <v>6</v>
      </c>
    </row>
    <row r="18" spans="1:9" ht="16" thickBot="1" x14ac:dyDescent="0.4">
      <c r="A18" s="1950">
        <f t="shared" si="0"/>
        <v>7</v>
      </c>
      <c r="B18" s="944" t="s">
        <v>846</v>
      </c>
      <c r="C18" s="252">
        <f>SUM(C13:C17)</f>
        <v>0</v>
      </c>
      <c r="D18" s="1876"/>
      <c r="E18" s="252">
        <f>SUM(E13:E17)</f>
        <v>0</v>
      </c>
      <c r="F18" s="1875"/>
      <c r="G18" s="252">
        <f>SUM(G13:G17)</f>
        <v>0</v>
      </c>
      <c r="H18" s="1881" t="s">
        <v>1031</v>
      </c>
      <c r="I18" s="1950">
        <f t="shared" si="1"/>
        <v>7</v>
      </c>
    </row>
    <row r="19" spans="1:9" ht="16" thickTop="1" x14ac:dyDescent="0.35">
      <c r="A19" s="1950">
        <f t="shared" si="0"/>
        <v>8</v>
      </c>
      <c r="C19" s="1877"/>
      <c r="D19" s="1877"/>
      <c r="E19" s="1877"/>
      <c r="F19" s="1877"/>
      <c r="G19" s="1877"/>
      <c r="H19" s="1881"/>
      <c r="I19" s="1950">
        <f t="shared" si="1"/>
        <v>8</v>
      </c>
    </row>
    <row r="20" spans="1:9" x14ac:dyDescent="0.35">
      <c r="A20" s="1950">
        <f t="shared" si="0"/>
        <v>9</v>
      </c>
      <c r="B20" s="939" t="s">
        <v>655</v>
      </c>
      <c r="C20" s="254"/>
      <c r="D20" s="254"/>
      <c r="E20" s="254"/>
      <c r="F20" s="254"/>
      <c r="G20" s="1878"/>
      <c r="H20" s="1881"/>
      <c r="I20" s="1950">
        <f t="shared" si="1"/>
        <v>9</v>
      </c>
    </row>
    <row r="21" spans="1:9" x14ac:dyDescent="0.35">
      <c r="A21" s="1950">
        <f t="shared" si="0"/>
        <v>10</v>
      </c>
      <c r="B21" s="1936" t="s">
        <v>1581</v>
      </c>
      <c r="C21" s="242">
        <v>0</v>
      </c>
      <c r="D21" s="242"/>
      <c r="E21" s="242">
        <v>0</v>
      </c>
      <c r="F21" s="242"/>
      <c r="G21" s="242">
        <f>SUM(C21:E21)</f>
        <v>0</v>
      </c>
      <c r="H21" s="1881" t="s">
        <v>1602</v>
      </c>
      <c r="I21" s="1950">
        <f t="shared" si="1"/>
        <v>10</v>
      </c>
    </row>
    <row r="22" spans="1:9" x14ac:dyDescent="0.35">
      <c r="A22" s="1950">
        <f t="shared" si="0"/>
        <v>11</v>
      </c>
      <c r="C22" s="1875">
        <v>0</v>
      </c>
      <c r="D22" s="1875"/>
      <c r="E22" s="1875">
        <v>0</v>
      </c>
      <c r="F22" s="1875"/>
      <c r="G22" s="1875">
        <f>SUM(C22:E22)</f>
        <v>0</v>
      </c>
      <c r="H22" s="1881"/>
      <c r="I22" s="1950">
        <f t="shared" si="1"/>
        <v>11</v>
      </c>
    </row>
    <row r="23" spans="1:9" x14ac:dyDescent="0.35">
      <c r="A23" s="1950">
        <f t="shared" si="0"/>
        <v>12</v>
      </c>
      <c r="C23" s="1875">
        <v>0</v>
      </c>
      <c r="D23" s="1875"/>
      <c r="E23" s="1875">
        <v>0</v>
      </c>
      <c r="F23" s="1875"/>
      <c r="G23" s="1875">
        <f>SUM(C23:E23)</f>
        <v>0</v>
      </c>
      <c r="H23" s="1881"/>
      <c r="I23" s="1950">
        <f t="shared" si="1"/>
        <v>12</v>
      </c>
    </row>
    <row r="24" spans="1:9" x14ac:dyDescent="0.35">
      <c r="A24" s="1950">
        <f t="shared" si="0"/>
        <v>13</v>
      </c>
      <c r="C24" s="1875">
        <v>0</v>
      </c>
      <c r="D24" s="1875"/>
      <c r="E24" s="1875">
        <v>0</v>
      </c>
      <c r="F24" s="1875"/>
      <c r="G24" s="1875">
        <f>SUM(C24:E24)</f>
        <v>0</v>
      </c>
      <c r="H24" s="1881"/>
      <c r="I24" s="1950">
        <f t="shared" si="1"/>
        <v>13</v>
      </c>
    </row>
    <row r="25" spans="1:9" ht="16" thickBot="1" x14ac:dyDescent="0.4">
      <c r="A25" s="1950">
        <f t="shared" si="0"/>
        <v>14</v>
      </c>
      <c r="B25" s="944" t="s">
        <v>847</v>
      </c>
      <c r="C25" s="252">
        <f>SUM(C21:C24)</f>
        <v>0</v>
      </c>
      <c r="D25" s="1876"/>
      <c r="E25" s="252">
        <f>SUM(E21:E24)</f>
        <v>0</v>
      </c>
      <c r="F25" s="1875"/>
      <c r="G25" s="252">
        <f>SUM(G21:G24)</f>
        <v>0</v>
      </c>
      <c r="H25" s="1881" t="s">
        <v>1216</v>
      </c>
      <c r="I25" s="1950">
        <f t="shared" si="1"/>
        <v>14</v>
      </c>
    </row>
    <row r="26" spans="1:9" ht="16" thickTop="1" x14ac:dyDescent="0.35">
      <c r="A26" s="1950">
        <f t="shared" si="0"/>
        <v>15</v>
      </c>
      <c r="H26" s="1881"/>
      <c r="I26" s="1950">
        <f t="shared" si="1"/>
        <v>15</v>
      </c>
    </row>
    <row r="27" spans="1:9" x14ac:dyDescent="0.35">
      <c r="A27" s="1950">
        <f t="shared" si="0"/>
        <v>16</v>
      </c>
      <c r="B27" s="939" t="s">
        <v>656</v>
      </c>
      <c r="C27" s="254"/>
      <c r="D27" s="254"/>
      <c r="E27" s="254"/>
      <c r="F27" s="254"/>
      <c r="G27" s="1878"/>
      <c r="H27" s="1881"/>
      <c r="I27" s="1950">
        <f t="shared" si="1"/>
        <v>16</v>
      </c>
    </row>
    <row r="28" spans="1:9" x14ac:dyDescent="0.35">
      <c r="A28" s="1950">
        <f t="shared" si="0"/>
        <v>17</v>
      </c>
      <c r="B28" s="2098" t="s">
        <v>1582</v>
      </c>
      <c r="C28" s="249">
        <v>0</v>
      </c>
      <c r="D28" s="249"/>
      <c r="E28" s="249">
        <v>0</v>
      </c>
      <c r="F28" s="250"/>
      <c r="G28" s="242">
        <f>SUM(C28:E28)</f>
        <v>0</v>
      </c>
      <c r="H28" s="1881" t="s">
        <v>1602</v>
      </c>
      <c r="I28" s="1950">
        <f t="shared" si="1"/>
        <v>17</v>
      </c>
    </row>
    <row r="29" spans="1:9" x14ac:dyDescent="0.35">
      <c r="A29" s="1950">
        <f t="shared" si="0"/>
        <v>18</v>
      </c>
      <c r="B29" s="939"/>
      <c r="C29" s="251">
        <v>0</v>
      </c>
      <c r="D29" s="251"/>
      <c r="E29" s="251">
        <v>0</v>
      </c>
      <c r="F29" s="1875"/>
      <c r="G29" s="1875">
        <f>SUM(C29:E29)</f>
        <v>0</v>
      </c>
      <c r="H29" s="1950"/>
      <c r="I29" s="1950">
        <f t="shared" si="1"/>
        <v>18</v>
      </c>
    </row>
    <row r="30" spans="1:9" x14ac:dyDescent="0.35">
      <c r="A30" s="1950">
        <f t="shared" si="0"/>
        <v>19</v>
      </c>
      <c r="B30" s="939"/>
      <c r="C30" s="1875">
        <v>0</v>
      </c>
      <c r="D30" s="1875"/>
      <c r="E30" s="1875">
        <v>0</v>
      </c>
      <c r="F30" s="1875"/>
      <c r="G30" s="1875">
        <f>SUM(C30:E30)</f>
        <v>0</v>
      </c>
      <c r="H30" s="1875"/>
      <c r="I30" s="1950">
        <f t="shared" si="1"/>
        <v>19</v>
      </c>
    </row>
    <row r="31" spans="1:9" x14ac:dyDescent="0.35">
      <c r="A31" s="1950">
        <f t="shared" si="0"/>
        <v>20</v>
      </c>
      <c r="B31" s="939"/>
      <c r="C31" s="1875">
        <v>0</v>
      </c>
      <c r="D31" s="1875"/>
      <c r="E31" s="1875">
        <v>0</v>
      </c>
      <c r="F31" s="1875"/>
      <c r="G31" s="1875">
        <f>SUM(C31:E31)</f>
        <v>0</v>
      </c>
      <c r="H31" s="1875"/>
      <c r="I31" s="1950">
        <f t="shared" si="1"/>
        <v>20</v>
      </c>
    </row>
    <row r="32" spans="1:9" x14ac:dyDescent="0.35">
      <c r="A32" s="1950">
        <f t="shared" si="0"/>
        <v>21</v>
      </c>
      <c r="B32" s="939"/>
      <c r="C32" s="1875">
        <v>0</v>
      </c>
      <c r="D32" s="1875"/>
      <c r="E32" s="1875">
        <v>0</v>
      </c>
      <c r="F32" s="1875"/>
      <c r="G32" s="1875">
        <f>SUM(C32:E32)</f>
        <v>0</v>
      </c>
      <c r="H32" s="1875"/>
      <c r="I32" s="1950">
        <f t="shared" si="1"/>
        <v>21</v>
      </c>
    </row>
    <row r="33" spans="1:9" ht="16" thickBot="1" x14ac:dyDescent="0.4">
      <c r="A33" s="1950">
        <f t="shared" si="0"/>
        <v>22</v>
      </c>
      <c r="B33" s="944" t="s">
        <v>848</v>
      </c>
      <c r="C33" s="252">
        <f>SUM(C28:C32)</f>
        <v>0</v>
      </c>
      <c r="D33" s="1876"/>
      <c r="E33" s="252">
        <f>SUM(E28:E32)</f>
        <v>0</v>
      </c>
      <c r="F33" s="1875"/>
      <c r="G33" s="252">
        <f>SUM(G28:G32)</f>
        <v>0</v>
      </c>
      <c r="H33" s="1881" t="s">
        <v>1217</v>
      </c>
      <c r="I33" s="1950">
        <f t="shared" si="1"/>
        <v>22</v>
      </c>
    </row>
    <row r="34" spans="1:9" ht="16" thickTop="1" x14ac:dyDescent="0.35">
      <c r="A34" s="1950">
        <f t="shared" si="0"/>
        <v>23</v>
      </c>
      <c r="C34" s="227"/>
      <c r="D34" s="227"/>
      <c r="E34" s="227"/>
      <c r="H34" s="1881"/>
      <c r="I34" s="1950">
        <f t="shared" si="1"/>
        <v>23</v>
      </c>
    </row>
    <row r="35" spans="1:9" ht="16" thickBot="1" x14ac:dyDescent="0.4">
      <c r="A35" s="1950">
        <f t="shared" si="0"/>
        <v>24</v>
      </c>
      <c r="B35" s="1949" t="s">
        <v>1478</v>
      </c>
      <c r="C35" s="1959">
        <f>+C18+C25+C33</f>
        <v>0</v>
      </c>
      <c r="D35" s="1960"/>
      <c r="E35" s="1959">
        <f>+E18+E25+E33</f>
        <v>0</v>
      </c>
      <c r="G35" s="252">
        <f>+G18+G25+G33</f>
        <v>0</v>
      </c>
      <c r="H35" s="1881" t="s">
        <v>1479</v>
      </c>
      <c r="I35" s="1950">
        <f t="shared" si="1"/>
        <v>24</v>
      </c>
    </row>
    <row r="36" spans="1:9" s="2270" customFormat="1" ht="16" thickTop="1" x14ac:dyDescent="0.35">
      <c r="A36" s="2271"/>
      <c r="B36" s="2269"/>
      <c r="C36" s="1960"/>
      <c r="D36" s="1960"/>
      <c r="E36" s="1960"/>
      <c r="G36" s="1876"/>
      <c r="H36" s="1881"/>
      <c r="I36" s="2271"/>
    </row>
    <row r="38" spans="1:9" ht="18" x14ac:dyDescent="0.35">
      <c r="A38" s="749">
        <v>1</v>
      </c>
      <c r="B38" s="1951" t="s">
        <v>1492</v>
      </c>
    </row>
    <row r="39" spans="1:9" ht="18" x14ac:dyDescent="0.35">
      <c r="A39" s="749"/>
    </row>
    <row r="40" spans="1:9" ht="18" x14ac:dyDescent="0.35">
      <c r="A40" s="749"/>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31"/>
  <sheetViews>
    <sheetView zoomScale="80" zoomScaleNormal="80" workbookViewId="0"/>
  </sheetViews>
  <sheetFormatPr defaultColWidth="8.90625" defaultRowHeight="15.5" x14ac:dyDescent="0.35"/>
  <cols>
    <col min="1" max="1" width="5.08984375" style="234" customWidth="1"/>
    <col min="2" max="2" width="63.453125" style="220" customWidth="1"/>
    <col min="3" max="3" width="25.54296875" style="220" bestFit="1" customWidth="1"/>
    <col min="4" max="4" width="1.54296875" style="220" customWidth="1"/>
    <col min="5" max="5" width="16.90625" style="220" customWidth="1"/>
    <col min="6" max="6" width="1.54296875" style="220" customWidth="1"/>
    <col min="7" max="7" width="38.08984375" style="993" customWidth="1"/>
    <col min="8" max="8" width="5.08984375" style="220" customWidth="1"/>
    <col min="9" max="9" width="8.90625" style="220"/>
    <col min="10" max="10" width="20.453125" style="220" bestFit="1" customWidth="1"/>
    <col min="11" max="16384" width="8.90625" style="220"/>
  </cols>
  <sheetData>
    <row r="1" spans="1:8" x14ac:dyDescent="0.35">
      <c r="A1" s="236"/>
      <c r="E1" s="310"/>
      <c r="F1" s="310"/>
      <c r="G1" s="982"/>
      <c r="H1" s="236"/>
    </row>
    <row r="2" spans="1:8" x14ac:dyDescent="0.35">
      <c r="B2" s="2288" t="s">
        <v>18</v>
      </c>
      <c r="C2" s="2288"/>
      <c r="D2" s="2288"/>
      <c r="E2" s="2288"/>
      <c r="F2" s="2288"/>
      <c r="G2" s="2289"/>
      <c r="H2" s="234"/>
    </row>
    <row r="3" spans="1:8" x14ac:dyDescent="0.35">
      <c r="B3" s="2288" t="s">
        <v>388</v>
      </c>
      <c r="C3" s="2288"/>
      <c r="D3" s="2288"/>
      <c r="E3" s="2288"/>
      <c r="F3" s="2288"/>
      <c r="G3" s="2289"/>
      <c r="H3" s="234"/>
    </row>
    <row r="4" spans="1:8" x14ac:dyDescent="0.35">
      <c r="B4" s="2288" t="s">
        <v>384</v>
      </c>
      <c r="C4" s="2288"/>
      <c r="D4" s="2288"/>
      <c r="E4" s="2288"/>
      <c r="F4" s="2288"/>
      <c r="G4" s="2289"/>
      <c r="H4" s="234"/>
    </row>
    <row r="5" spans="1:8" x14ac:dyDescent="0.35">
      <c r="B5" s="2293" t="str">
        <f>'Stmt AD'!B5</f>
        <v>Base Period &amp; True-Up Period 12 - Months Ending December 31, 2021</v>
      </c>
      <c r="C5" s="2293"/>
      <c r="D5" s="2293"/>
      <c r="E5" s="2293"/>
      <c r="F5" s="2293"/>
      <c r="G5" s="2283"/>
      <c r="H5" s="234"/>
    </row>
    <row r="6" spans="1:8" x14ac:dyDescent="0.35">
      <c r="B6" s="2291" t="s">
        <v>2</v>
      </c>
      <c r="C6" s="2278"/>
      <c r="D6" s="2278"/>
      <c r="E6" s="2278"/>
      <c r="F6" s="2278"/>
      <c r="G6" s="2278"/>
      <c r="H6" s="234"/>
    </row>
    <row r="7" spans="1:8" x14ac:dyDescent="0.35">
      <c r="B7" s="236"/>
      <c r="C7" s="236"/>
      <c r="D7" s="236"/>
      <c r="E7" s="236"/>
      <c r="F7" s="236"/>
      <c r="G7" s="982"/>
      <c r="H7" s="234"/>
    </row>
    <row r="8" spans="1:8" x14ac:dyDescent="0.35">
      <c r="A8" s="234" t="s">
        <v>3</v>
      </c>
      <c r="B8" s="932"/>
      <c r="C8" s="236" t="s">
        <v>648</v>
      </c>
      <c r="D8" s="932"/>
      <c r="E8" s="932"/>
      <c r="F8" s="932"/>
      <c r="G8" s="982"/>
      <c r="H8" s="234" t="s">
        <v>3</v>
      </c>
    </row>
    <row r="9" spans="1:8" x14ac:dyDescent="0.35">
      <c r="A9" s="6" t="s">
        <v>25</v>
      </c>
      <c r="B9" s="932"/>
      <c r="C9" s="732" t="s">
        <v>646</v>
      </c>
      <c r="D9" s="932"/>
      <c r="E9" s="935" t="s">
        <v>135</v>
      </c>
      <c r="F9" s="932"/>
      <c r="G9" s="985" t="s">
        <v>9</v>
      </c>
      <c r="H9" s="6" t="s">
        <v>25</v>
      </c>
    </row>
    <row r="10" spans="1:8" x14ac:dyDescent="0.35">
      <c r="B10" s="236"/>
      <c r="C10" s="236"/>
      <c r="D10" s="236"/>
      <c r="E10" s="236"/>
      <c r="F10" s="236"/>
      <c r="G10" s="1280"/>
      <c r="H10" s="234"/>
    </row>
    <row r="11" spans="1:8" ht="18" x14ac:dyDescent="0.35">
      <c r="A11" s="236">
        <v>1</v>
      </c>
      <c r="B11" s="220" t="s">
        <v>807</v>
      </c>
      <c r="C11" s="234" t="s">
        <v>1792</v>
      </c>
      <c r="E11" s="113">
        <v>0</v>
      </c>
      <c r="F11" s="932"/>
      <c r="G11" s="739"/>
      <c r="H11" s="236">
        <f>A11</f>
        <v>1</v>
      </c>
    </row>
    <row r="12" spans="1:8" x14ac:dyDescent="0.35">
      <c r="A12" s="236">
        <f>+A11+1</f>
        <v>2</v>
      </c>
      <c r="E12" s="103"/>
      <c r="F12" s="932"/>
      <c r="G12" s="982"/>
      <c r="H12" s="236">
        <f>+H11+1</f>
        <v>2</v>
      </c>
    </row>
    <row r="13" spans="1:8" x14ac:dyDescent="0.35">
      <c r="A13" s="236">
        <f t="shared" ref="A13:A25" si="0">+A12+1</f>
        <v>3</v>
      </c>
      <c r="B13" s="220" t="s">
        <v>385</v>
      </c>
      <c r="C13" s="234" t="s">
        <v>1793</v>
      </c>
      <c r="E13" s="107">
        <v>0</v>
      </c>
      <c r="F13" s="932"/>
      <c r="G13" s="739"/>
      <c r="H13" s="236">
        <f t="shared" ref="H13:H25" si="1">+H12+1</f>
        <v>3</v>
      </c>
    </row>
    <row r="14" spans="1:8" x14ac:dyDescent="0.35">
      <c r="A14" s="236">
        <f t="shared" si="0"/>
        <v>4</v>
      </c>
      <c r="E14" s="103"/>
      <c r="F14" s="932"/>
      <c r="G14" s="982"/>
      <c r="H14" s="236">
        <f t="shared" si="1"/>
        <v>4</v>
      </c>
    </row>
    <row r="15" spans="1:8" x14ac:dyDescent="0.35">
      <c r="A15" s="236">
        <f t="shared" si="0"/>
        <v>5</v>
      </c>
      <c r="B15" s="220" t="s">
        <v>708</v>
      </c>
      <c r="C15" s="1534" t="s">
        <v>1794</v>
      </c>
      <c r="E15" s="115">
        <f>'AU-1'!V13/1000</f>
        <v>-447</v>
      </c>
      <c r="F15" s="932"/>
      <c r="G15" s="740" t="s">
        <v>1094</v>
      </c>
      <c r="H15" s="236">
        <f t="shared" si="1"/>
        <v>5</v>
      </c>
    </row>
    <row r="16" spans="1:8" x14ac:dyDescent="0.35">
      <c r="A16" s="236">
        <f t="shared" si="0"/>
        <v>6</v>
      </c>
      <c r="E16" s="103"/>
      <c r="F16" s="932"/>
      <c r="G16" s="992"/>
      <c r="H16" s="236">
        <f t="shared" si="1"/>
        <v>6</v>
      </c>
    </row>
    <row r="17" spans="1:9" x14ac:dyDescent="0.35">
      <c r="A17" s="236">
        <f t="shared" si="0"/>
        <v>7</v>
      </c>
      <c r="B17" s="220" t="s">
        <v>386</v>
      </c>
      <c r="C17" s="234" t="s">
        <v>1795</v>
      </c>
      <c r="E17" s="107">
        <v>0</v>
      </c>
      <c r="F17" s="932"/>
      <c r="G17" s="740"/>
      <c r="H17" s="236">
        <f t="shared" si="1"/>
        <v>7</v>
      </c>
    </row>
    <row r="18" spans="1:9" x14ac:dyDescent="0.35">
      <c r="A18" s="236">
        <f t="shared" si="0"/>
        <v>8</v>
      </c>
      <c r="E18" s="103"/>
      <c r="F18" s="932"/>
      <c r="G18" s="992"/>
      <c r="H18" s="236">
        <f t="shared" si="1"/>
        <v>8</v>
      </c>
    </row>
    <row r="19" spans="1:9" x14ac:dyDescent="0.35">
      <c r="A19" s="236">
        <f t="shared" si="0"/>
        <v>9</v>
      </c>
      <c r="B19" s="220" t="s">
        <v>709</v>
      </c>
      <c r="C19" s="1534" t="s">
        <v>1796</v>
      </c>
      <c r="E19" s="111">
        <f>'AU-1'!V27/1000</f>
        <v>-4630.3320000000003</v>
      </c>
      <c r="F19" s="932"/>
      <c r="G19" s="740" t="s">
        <v>1684</v>
      </c>
      <c r="H19" s="236">
        <f t="shared" si="1"/>
        <v>9</v>
      </c>
    </row>
    <row r="20" spans="1:9" x14ac:dyDescent="0.35">
      <c r="A20" s="236">
        <f t="shared" si="0"/>
        <v>10</v>
      </c>
      <c r="E20" s="103"/>
      <c r="F20" s="932"/>
      <c r="G20" s="982"/>
      <c r="H20" s="236">
        <f t="shared" si="1"/>
        <v>10</v>
      </c>
    </row>
    <row r="21" spans="1:9" x14ac:dyDescent="0.35">
      <c r="A21" s="236">
        <f t="shared" si="0"/>
        <v>11</v>
      </c>
      <c r="B21" s="220" t="s">
        <v>808</v>
      </c>
      <c r="E21" s="385">
        <f>'AU-1'!V32/1000</f>
        <v>-697.077</v>
      </c>
      <c r="F21" s="932"/>
      <c r="G21" s="740" t="s">
        <v>1685</v>
      </c>
      <c r="H21" s="236">
        <f t="shared" si="1"/>
        <v>11</v>
      </c>
    </row>
    <row r="22" spans="1:9" x14ac:dyDescent="0.35">
      <c r="A22" s="236">
        <f t="shared" si="0"/>
        <v>12</v>
      </c>
      <c r="E22" s="103"/>
      <c r="F22" s="932"/>
      <c r="G22" s="982"/>
      <c r="H22" s="236">
        <f t="shared" si="1"/>
        <v>12</v>
      </c>
    </row>
    <row r="23" spans="1:9" ht="16" thickBot="1" x14ac:dyDescent="0.4">
      <c r="A23" s="236">
        <f t="shared" si="0"/>
        <v>13</v>
      </c>
      <c r="B23" s="220" t="s">
        <v>855</v>
      </c>
      <c r="E23" s="386">
        <f>SUM(E11:E21)</f>
        <v>-5774.4090000000006</v>
      </c>
      <c r="F23" s="932"/>
      <c r="G23" s="739" t="s">
        <v>1095</v>
      </c>
      <c r="H23" s="236">
        <f t="shared" si="1"/>
        <v>13</v>
      </c>
    </row>
    <row r="24" spans="1:9" ht="16" thickTop="1" x14ac:dyDescent="0.35">
      <c r="A24" s="236">
        <f t="shared" si="0"/>
        <v>14</v>
      </c>
      <c r="E24" s="310" t="s">
        <v>10</v>
      </c>
      <c r="F24" s="932"/>
      <c r="G24" s="982"/>
      <c r="H24" s="236">
        <f t="shared" si="1"/>
        <v>14</v>
      </c>
    </row>
    <row r="25" spans="1:9" ht="16" thickBot="1" x14ac:dyDescent="0.4">
      <c r="A25" s="236">
        <f t="shared" si="0"/>
        <v>15</v>
      </c>
      <c r="B25" s="220" t="s">
        <v>387</v>
      </c>
      <c r="E25" s="216">
        <v>0</v>
      </c>
      <c r="F25" s="932"/>
      <c r="G25" s="739" t="s">
        <v>809</v>
      </c>
      <c r="H25" s="236">
        <f t="shared" si="1"/>
        <v>15</v>
      </c>
    </row>
    <row r="26" spans="1:9" ht="16" thickTop="1" x14ac:dyDescent="0.35">
      <c r="F26" s="932"/>
    </row>
    <row r="27" spans="1:9" x14ac:dyDescent="0.35">
      <c r="F27" s="932"/>
    </row>
    <row r="28" spans="1:9" ht="18" x14ac:dyDescent="0.35">
      <c r="A28" s="1251">
        <v>1</v>
      </c>
      <c r="B28" s="227" t="s">
        <v>1797</v>
      </c>
      <c r="C28" s="1731"/>
      <c r="D28" s="1731"/>
      <c r="E28" s="1731"/>
      <c r="F28" s="1731"/>
      <c r="H28" s="1731"/>
      <c r="I28" s="1731"/>
    </row>
    <row r="29" spans="1:9" ht="18" x14ac:dyDescent="0.35">
      <c r="A29" s="1251"/>
      <c r="B29" s="227" t="s">
        <v>831</v>
      </c>
      <c r="C29" s="1731"/>
      <c r="D29" s="1731"/>
      <c r="E29" s="1731"/>
      <c r="F29" s="1731"/>
      <c r="H29" s="1731"/>
      <c r="I29" s="1731"/>
    </row>
    <row r="30" spans="1:9" x14ac:dyDescent="0.35">
      <c r="A30" s="1730"/>
      <c r="B30" s="227" t="s">
        <v>832</v>
      </c>
      <c r="C30" s="1731"/>
      <c r="D30" s="1731"/>
      <c r="E30" s="1731"/>
      <c r="F30" s="1731"/>
      <c r="H30" s="1731"/>
      <c r="I30" s="1731"/>
    </row>
    <row r="31" spans="1:9" x14ac:dyDescent="0.35">
      <c r="B31" s="227"/>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Roman,Regular"&amp;10AU</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44"/>
  <sheetViews>
    <sheetView zoomScale="80" zoomScaleNormal="80" workbookViewId="0"/>
  </sheetViews>
  <sheetFormatPr defaultColWidth="9.08984375" defaultRowHeight="15.5" x14ac:dyDescent="0.35"/>
  <cols>
    <col min="1" max="1" width="5.08984375" style="1569" customWidth="1"/>
    <col min="2" max="3" width="11.453125" style="220" customWidth="1"/>
    <col min="4" max="4" width="50.08984375" style="220" customWidth="1"/>
    <col min="5" max="11" width="14.90625" style="220" customWidth="1"/>
    <col min="12" max="13" width="5.08984375" style="1569" customWidth="1"/>
    <col min="14" max="15" width="11.453125" style="220" customWidth="1"/>
    <col min="16" max="16" width="50.08984375" style="220" customWidth="1"/>
    <col min="17" max="22" width="14.90625" style="220" customWidth="1"/>
    <col min="23" max="23" width="5.08984375" style="1569" customWidth="1"/>
    <col min="24" max="24" width="13" style="220" bestFit="1" customWidth="1"/>
    <col min="25" max="32" width="9.08984375" style="220"/>
    <col min="33" max="33" width="9.90625" style="220" bestFit="1" customWidth="1"/>
    <col min="34" max="16384" width="9.08984375" style="220"/>
  </cols>
  <sheetData>
    <row r="2" spans="1:25" s="1" customFormat="1" ht="15" x14ac:dyDescent="0.35">
      <c r="A2" s="1564"/>
      <c r="B2" s="2289" t="s">
        <v>18</v>
      </c>
      <c r="C2" s="2289"/>
      <c r="D2" s="2289"/>
      <c r="E2" s="2289"/>
      <c r="F2" s="2289"/>
      <c r="G2" s="2289"/>
      <c r="H2" s="2289"/>
      <c r="I2" s="2289"/>
      <c r="J2" s="2289"/>
      <c r="K2" s="2289"/>
      <c r="L2" s="1561"/>
      <c r="M2" s="1564"/>
      <c r="N2" s="2289" t="str">
        <f>B2</f>
        <v>SAN DIEGO GAS &amp; ELECTRIC COMPANY</v>
      </c>
      <c r="O2" s="2289"/>
      <c r="P2" s="2289"/>
      <c r="Q2" s="2289"/>
      <c r="R2" s="2289"/>
      <c r="S2" s="2289"/>
      <c r="T2" s="2289"/>
      <c r="U2" s="2289"/>
      <c r="V2" s="2289"/>
      <c r="W2" s="1561"/>
      <c r="X2" s="88"/>
      <c r="Y2" s="88"/>
    </row>
    <row r="3" spans="1:25" s="1" customFormat="1" ht="15" x14ac:dyDescent="0.35">
      <c r="A3" s="1564"/>
      <c r="B3" s="2318" t="s">
        <v>388</v>
      </c>
      <c r="C3" s="2318"/>
      <c r="D3" s="2318"/>
      <c r="E3" s="2318"/>
      <c r="F3" s="2318"/>
      <c r="G3" s="2318"/>
      <c r="H3" s="2318"/>
      <c r="I3" s="2318"/>
      <c r="J3" s="2318"/>
      <c r="K3" s="2318"/>
      <c r="L3" s="1570"/>
      <c r="M3" s="1564"/>
      <c r="N3" s="2318" t="str">
        <f>B3</f>
        <v>Statement AU</v>
      </c>
      <c r="O3" s="2318"/>
      <c r="P3" s="2318"/>
      <c r="Q3" s="2318"/>
      <c r="R3" s="2318"/>
      <c r="S3" s="2318"/>
      <c r="T3" s="2318"/>
      <c r="U3" s="2318"/>
      <c r="V3" s="2318"/>
      <c r="W3" s="1570"/>
      <c r="X3" s="246"/>
      <c r="Y3" s="246"/>
    </row>
    <row r="4" spans="1:25" s="1" customFormat="1" ht="15" x14ac:dyDescent="0.35">
      <c r="A4" s="1564"/>
      <c r="B4" s="2318" t="s">
        <v>384</v>
      </c>
      <c r="C4" s="2318"/>
      <c r="D4" s="2318"/>
      <c r="E4" s="2318"/>
      <c r="F4" s="2318"/>
      <c r="G4" s="2318"/>
      <c r="H4" s="2318"/>
      <c r="I4" s="2318"/>
      <c r="J4" s="2318"/>
      <c r="K4" s="2318"/>
      <c r="L4" s="1570"/>
      <c r="M4" s="1564"/>
      <c r="N4" s="2318" t="str">
        <f>B4</f>
        <v>Revenue Credits</v>
      </c>
      <c r="O4" s="2318"/>
      <c r="P4" s="2318"/>
      <c r="Q4" s="2318"/>
      <c r="R4" s="2318"/>
      <c r="S4" s="2318"/>
      <c r="T4" s="2318"/>
      <c r="U4" s="2318"/>
      <c r="V4" s="2318"/>
      <c r="W4" s="1570"/>
      <c r="X4" s="246"/>
      <c r="Y4" s="246"/>
    </row>
    <row r="5" spans="1:25" s="1" customFormat="1" ht="15" x14ac:dyDescent="0.35">
      <c r="A5" s="1564"/>
      <c r="B5" s="2318" t="s">
        <v>1612</v>
      </c>
      <c r="C5" s="2318"/>
      <c r="D5" s="2318"/>
      <c r="E5" s="2318"/>
      <c r="F5" s="2318"/>
      <c r="G5" s="2318"/>
      <c r="H5" s="2318"/>
      <c r="I5" s="2318"/>
      <c r="J5" s="2318"/>
      <c r="K5" s="2318"/>
      <c r="L5" s="1570"/>
      <c r="M5" s="1564"/>
      <c r="N5" s="2318" t="str">
        <f>B5</f>
        <v>12 Months Ending December 31, 2021</v>
      </c>
      <c r="O5" s="2318"/>
      <c r="P5" s="2318"/>
      <c r="Q5" s="2318"/>
      <c r="R5" s="2318"/>
      <c r="S5" s="2318"/>
      <c r="T5" s="2318"/>
      <c r="U5" s="2318"/>
      <c r="V5" s="2318"/>
      <c r="W5" s="1570"/>
      <c r="X5" s="246"/>
      <c r="Y5" s="246"/>
    </row>
    <row r="6" spans="1:25" ht="16" thickBot="1" x14ac:dyDescent="0.4">
      <c r="A6" s="6"/>
      <c r="B6" s="1281"/>
      <c r="C6" s="1281"/>
      <c r="D6" s="1281"/>
      <c r="E6" s="297"/>
      <c r="F6" s="297"/>
      <c r="G6" s="297"/>
      <c r="H6" s="297"/>
      <c r="I6" s="297"/>
      <c r="J6" s="297"/>
      <c r="K6" s="297"/>
      <c r="L6" s="6"/>
      <c r="M6" s="6"/>
      <c r="N6" s="297"/>
      <c r="O6" s="297"/>
      <c r="P6" s="297"/>
      <c r="Q6" s="297"/>
      <c r="R6" s="297"/>
      <c r="S6" s="297"/>
      <c r="T6" s="297"/>
      <c r="U6" s="297"/>
      <c r="V6" s="6"/>
    </row>
    <row r="7" spans="1:25" s="1" customFormat="1" x14ac:dyDescent="0.35">
      <c r="A7" s="6" t="s">
        <v>3</v>
      </c>
      <c r="B7" s="1282" t="s">
        <v>389</v>
      </c>
      <c r="C7" s="1283" t="s">
        <v>164</v>
      </c>
      <c r="D7" s="1284"/>
      <c r="E7" s="1285" t="s">
        <v>4</v>
      </c>
      <c r="F7" s="1286" t="s">
        <v>5</v>
      </c>
      <c r="G7" s="1286" t="s">
        <v>390</v>
      </c>
      <c r="H7" s="1286" t="s">
        <v>391</v>
      </c>
      <c r="I7" s="1286" t="s">
        <v>392</v>
      </c>
      <c r="J7" s="1286" t="s">
        <v>393</v>
      </c>
      <c r="K7" s="1287" t="s">
        <v>394</v>
      </c>
      <c r="L7" s="6" t="s">
        <v>3</v>
      </c>
      <c r="M7" s="6" t="str">
        <f t="shared" ref="M7:P22" si="0">A7</f>
        <v>Line</v>
      </c>
      <c r="N7" s="1282" t="str">
        <f t="shared" si="0"/>
        <v>SAP</v>
      </c>
      <c r="O7" s="1283" t="str">
        <f t="shared" si="0"/>
        <v>FERC</v>
      </c>
      <c r="P7" s="1284"/>
      <c r="Q7" s="1483" t="s">
        <v>395</v>
      </c>
      <c r="R7" s="1483" t="s">
        <v>396</v>
      </c>
      <c r="S7" s="1483" t="s">
        <v>397</v>
      </c>
      <c r="T7" s="1483" t="s">
        <v>398</v>
      </c>
      <c r="U7" s="1483" t="s">
        <v>399</v>
      </c>
      <c r="V7" s="1288" t="s">
        <v>400</v>
      </c>
      <c r="W7" s="6" t="str">
        <f>L7</f>
        <v>Line</v>
      </c>
      <c r="X7" s="1727"/>
    </row>
    <row r="8" spans="1:25" s="1" customFormat="1" ht="16" thickBot="1" x14ac:dyDescent="0.4">
      <c r="A8" s="6" t="s">
        <v>25</v>
      </c>
      <c r="B8" s="1633" t="s">
        <v>401</v>
      </c>
      <c r="C8" s="1634" t="s">
        <v>401</v>
      </c>
      <c r="D8" s="1635" t="s">
        <v>402</v>
      </c>
      <c r="E8" s="1786" t="s">
        <v>1591</v>
      </c>
      <c r="F8" s="1787" t="s">
        <v>1613</v>
      </c>
      <c r="G8" s="1786" t="s">
        <v>1614</v>
      </c>
      <c r="H8" s="1786" t="s">
        <v>1615</v>
      </c>
      <c r="I8" s="1786" t="s">
        <v>1616</v>
      </c>
      <c r="J8" s="1786" t="s">
        <v>1617</v>
      </c>
      <c r="K8" s="1788" t="s">
        <v>1618</v>
      </c>
      <c r="L8" s="6" t="s">
        <v>7</v>
      </c>
      <c r="M8" s="6" t="str">
        <f t="shared" si="0"/>
        <v>No.</v>
      </c>
      <c r="N8" s="1633" t="str">
        <f t="shared" si="0"/>
        <v>Account #</v>
      </c>
      <c r="O8" s="2247" t="str">
        <f t="shared" si="0"/>
        <v>Account #</v>
      </c>
      <c r="P8" s="1635" t="str">
        <f t="shared" si="0"/>
        <v>SAP Account Description</v>
      </c>
      <c r="Q8" s="1786" t="s">
        <v>1619</v>
      </c>
      <c r="R8" s="1786" t="s">
        <v>1620</v>
      </c>
      <c r="S8" s="1786" t="s">
        <v>1621</v>
      </c>
      <c r="T8" s="1786" t="s">
        <v>1622</v>
      </c>
      <c r="U8" s="1786" t="s">
        <v>1592</v>
      </c>
      <c r="V8" s="1640" t="s">
        <v>31</v>
      </c>
      <c r="W8" s="6" t="str">
        <f t="shared" ref="W8:W36" si="1">L8</f>
        <v>No</v>
      </c>
      <c r="X8" s="1727"/>
    </row>
    <row r="9" spans="1:25" x14ac:dyDescent="0.35">
      <c r="A9" s="6"/>
      <c r="B9" s="1289"/>
      <c r="C9" s="1290"/>
      <c r="D9" s="1291"/>
      <c r="E9" s="1789"/>
      <c r="F9" s="1790"/>
      <c r="G9" s="1789"/>
      <c r="H9" s="1790"/>
      <c r="I9" s="1789"/>
      <c r="J9" s="1790"/>
      <c r="K9" s="1791"/>
      <c r="L9" s="6"/>
      <c r="M9" s="6"/>
      <c r="N9" s="1289"/>
      <c r="O9" s="1795"/>
      <c r="P9" s="1291"/>
      <c r="Q9" s="2248"/>
      <c r="R9" s="1789"/>
      <c r="S9" s="2248"/>
      <c r="T9" s="1789"/>
      <c r="U9" s="2248"/>
      <c r="V9" s="1792"/>
      <c r="W9" s="6"/>
      <c r="X9" s="1731"/>
    </row>
    <row r="10" spans="1:25" s="2" customFormat="1" x14ac:dyDescent="0.35">
      <c r="A10" s="1793">
        <v>1</v>
      </c>
      <c r="B10" s="1794" t="s">
        <v>1433</v>
      </c>
      <c r="C10" s="1795">
        <v>454</v>
      </c>
      <c r="D10" s="1796" t="s">
        <v>185</v>
      </c>
      <c r="E10" s="387">
        <v>-11297</v>
      </c>
      <c r="F10" s="387">
        <v>-12809</v>
      </c>
      <c r="G10" s="387">
        <v>-11309</v>
      </c>
      <c r="H10" s="387">
        <v>-260979</v>
      </c>
      <c r="I10" s="387">
        <v>-8848</v>
      </c>
      <c r="J10" s="387">
        <v>-11308</v>
      </c>
      <c r="K10" s="1797">
        <v>-12925</v>
      </c>
      <c r="L10" s="1793">
        <f>A10</f>
        <v>1</v>
      </c>
      <c r="M10" s="1793">
        <f t="shared" ref="M10:P25" si="2">A10</f>
        <v>1</v>
      </c>
      <c r="N10" s="1794" t="s">
        <v>1433</v>
      </c>
      <c r="O10" s="1795">
        <v>454</v>
      </c>
      <c r="P10" s="2210" t="s">
        <v>185</v>
      </c>
      <c r="Q10" s="537">
        <v>-17842</v>
      </c>
      <c r="R10" s="537">
        <v>-13411</v>
      </c>
      <c r="S10" s="537">
        <v>-11623</v>
      </c>
      <c r="T10" s="537">
        <v>-11624</v>
      </c>
      <c r="U10" s="537">
        <v>-21655</v>
      </c>
      <c r="V10" s="1797">
        <f>SUM(E10:K10,Q10:U10)</f>
        <v>-405630</v>
      </c>
      <c r="W10" s="1793">
        <f t="shared" si="1"/>
        <v>1</v>
      </c>
      <c r="X10" s="1762"/>
    </row>
    <row r="11" spans="1:25" s="2" customFormat="1" x14ac:dyDescent="0.35">
      <c r="A11" s="1793">
        <f>A10+1</f>
        <v>2</v>
      </c>
      <c r="B11" s="1794" t="s">
        <v>1434</v>
      </c>
      <c r="C11" s="1795">
        <v>454</v>
      </c>
      <c r="D11" s="1796" t="s">
        <v>403</v>
      </c>
      <c r="E11" s="389">
        <v>-3333</v>
      </c>
      <c r="F11" s="389">
        <v>-3334</v>
      </c>
      <c r="G11" s="389">
        <v>-3333</v>
      </c>
      <c r="H11" s="389">
        <v>-3333</v>
      </c>
      <c r="I11" s="389">
        <v>-3334</v>
      </c>
      <c r="J11" s="389">
        <v>-3333</v>
      </c>
      <c r="K11" s="390">
        <v>-4703</v>
      </c>
      <c r="L11" s="1793">
        <f>L10+1</f>
        <v>2</v>
      </c>
      <c r="M11" s="1793">
        <f t="shared" si="2"/>
        <v>2</v>
      </c>
      <c r="N11" s="1794" t="s">
        <v>1434</v>
      </c>
      <c r="O11" s="1795">
        <v>454</v>
      </c>
      <c r="P11" s="2210" t="s">
        <v>403</v>
      </c>
      <c r="Q11" s="389">
        <v>-3334</v>
      </c>
      <c r="R11" s="389">
        <v>-3333</v>
      </c>
      <c r="S11" s="389">
        <v>-3333</v>
      </c>
      <c r="T11" s="389">
        <v>-3334</v>
      </c>
      <c r="U11" s="389">
        <v>-3333</v>
      </c>
      <c r="V11" s="399">
        <f>SUM(E11:K11,Q11:U11)</f>
        <v>-41370</v>
      </c>
      <c r="W11" s="1793">
        <f>L11</f>
        <v>2</v>
      </c>
      <c r="X11" s="1762"/>
    </row>
    <row r="12" spans="1:25" s="2" customFormat="1" x14ac:dyDescent="0.35">
      <c r="A12" s="1793">
        <f t="shared" ref="A12:A36" si="3">A11+1</f>
        <v>3</v>
      </c>
      <c r="B12" s="1798"/>
      <c r="C12" s="1795"/>
      <c r="D12" s="1796"/>
      <c r="E12" s="284"/>
      <c r="F12" s="166"/>
      <c r="G12" s="166"/>
      <c r="H12" s="166"/>
      <c r="I12" s="166"/>
      <c r="J12" s="166"/>
      <c r="K12" s="1545"/>
      <c r="L12" s="1793">
        <f t="shared" ref="L12:L36" si="4">L11+1</f>
        <v>3</v>
      </c>
      <c r="M12" s="1793">
        <f t="shared" si="2"/>
        <v>3</v>
      </c>
      <c r="N12" s="1798"/>
      <c r="O12" s="1795"/>
      <c r="P12" s="2210"/>
      <c r="Q12" s="1867"/>
      <c r="R12" s="1867"/>
      <c r="S12" s="1867"/>
      <c r="T12" s="1867"/>
      <c r="U12" s="1867"/>
      <c r="V12" s="402"/>
      <c r="W12" s="1793">
        <f t="shared" si="1"/>
        <v>3</v>
      </c>
      <c r="X12" s="1762"/>
    </row>
    <row r="13" spans="1:25" s="2" customFormat="1" ht="18" x14ac:dyDescent="0.35">
      <c r="A13" s="1793">
        <f t="shared" si="3"/>
        <v>4</v>
      </c>
      <c r="B13" s="1798"/>
      <c r="C13" s="1795"/>
      <c r="D13" s="1626" t="s">
        <v>810</v>
      </c>
      <c r="E13" s="391">
        <f>SUM(E10:E11)</f>
        <v>-14630</v>
      </c>
      <c r="F13" s="391">
        <f t="shared" ref="F13:K13" si="5">SUM(F10:F11)</f>
        <v>-16143</v>
      </c>
      <c r="G13" s="391">
        <f t="shared" si="5"/>
        <v>-14642</v>
      </c>
      <c r="H13" s="391">
        <f t="shared" si="5"/>
        <v>-264312</v>
      </c>
      <c r="I13" s="392">
        <f t="shared" si="5"/>
        <v>-12182</v>
      </c>
      <c r="J13" s="392">
        <f t="shared" si="5"/>
        <v>-14641</v>
      </c>
      <c r="K13" s="393">
        <f t="shared" si="5"/>
        <v>-17628</v>
      </c>
      <c r="L13" s="1793">
        <f t="shared" si="4"/>
        <v>4</v>
      </c>
      <c r="M13" s="1793">
        <f t="shared" si="2"/>
        <v>4</v>
      </c>
      <c r="N13" s="1798"/>
      <c r="O13" s="1795"/>
      <c r="P13" s="2249" t="s">
        <v>810</v>
      </c>
      <c r="Q13" s="392">
        <f t="shared" ref="Q13:U13" si="6">SUM(Q10:Q11)</f>
        <v>-21176</v>
      </c>
      <c r="R13" s="392">
        <f t="shared" si="6"/>
        <v>-16744</v>
      </c>
      <c r="S13" s="392">
        <f t="shared" si="6"/>
        <v>-14956</v>
      </c>
      <c r="T13" s="392">
        <f t="shared" si="6"/>
        <v>-14958</v>
      </c>
      <c r="U13" s="392">
        <f t="shared" si="6"/>
        <v>-24988</v>
      </c>
      <c r="V13" s="393">
        <f>SUM(V10:V11)</f>
        <v>-447000</v>
      </c>
      <c r="W13" s="1793">
        <f t="shared" si="1"/>
        <v>4</v>
      </c>
      <c r="X13" s="1762"/>
    </row>
    <row r="14" spans="1:25" s="2" customFormat="1" ht="16" thickBot="1" x14ac:dyDescent="0.4">
      <c r="A14" s="1793">
        <f t="shared" si="3"/>
        <v>5</v>
      </c>
      <c r="B14" s="1799"/>
      <c r="C14" s="1800"/>
      <c r="D14" s="1801"/>
      <c r="E14" s="1802"/>
      <c r="F14" s="1803"/>
      <c r="G14" s="1802"/>
      <c r="H14" s="1803"/>
      <c r="I14" s="1802"/>
      <c r="J14" s="1803"/>
      <c r="K14" s="1804"/>
      <c r="L14" s="1793">
        <f t="shared" si="4"/>
        <v>5</v>
      </c>
      <c r="M14" s="1793">
        <f t="shared" si="2"/>
        <v>5</v>
      </c>
      <c r="N14" s="1799"/>
      <c r="O14" s="2250"/>
      <c r="P14" s="1801"/>
      <c r="Q14" s="1803"/>
      <c r="R14" s="2251"/>
      <c r="S14" s="1803"/>
      <c r="T14" s="2251"/>
      <c r="U14" s="1803"/>
      <c r="V14" s="1641"/>
      <c r="W14" s="1793">
        <f t="shared" si="1"/>
        <v>5</v>
      </c>
      <c r="X14" s="1762"/>
    </row>
    <row r="15" spans="1:25" s="2" customFormat="1" x14ac:dyDescent="0.35">
      <c r="A15" s="1793">
        <f t="shared" si="3"/>
        <v>6</v>
      </c>
      <c r="B15" s="1805" t="s">
        <v>404</v>
      </c>
      <c r="C15" s="1795">
        <v>456</v>
      </c>
      <c r="D15" s="1796" t="s">
        <v>405</v>
      </c>
      <c r="E15" s="394">
        <v>-784714</v>
      </c>
      <c r="F15" s="394">
        <v>-160437</v>
      </c>
      <c r="G15" s="394">
        <v>-160438</v>
      </c>
      <c r="H15" s="394">
        <v>-160437</v>
      </c>
      <c r="I15" s="394">
        <v>-160438</v>
      </c>
      <c r="J15" s="394">
        <v>-160437</v>
      </c>
      <c r="K15" s="395">
        <v>-160437</v>
      </c>
      <c r="L15" s="1793">
        <f t="shared" si="4"/>
        <v>6</v>
      </c>
      <c r="M15" s="1793">
        <f t="shared" si="2"/>
        <v>6</v>
      </c>
      <c r="N15" s="1805" t="str">
        <f t="shared" si="2"/>
        <v>4371016</v>
      </c>
      <c r="O15" s="1795">
        <f t="shared" si="2"/>
        <v>456</v>
      </c>
      <c r="P15" s="2210" t="str">
        <f t="shared" si="0"/>
        <v>Generation Interconnection</v>
      </c>
      <c r="Q15" s="550">
        <v>-160438</v>
      </c>
      <c r="R15" s="550">
        <v>-160437</v>
      </c>
      <c r="S15" s="550">
        <v>-160438</v>
      </c>
      <c r="T15" s="550">
        <v>-160437</v>
      </c>
      <c r="U15" s="552">
        <v>-160438</v>
      </c>
      <c r="V15" s="553">
        <f t="shared" ref="V15:V25" si="7">SUM(E15:K15,Q15:U15)</f>
        <v>-2549526</v>
      </c>
      <c r="W15" s="1793">
        <f t="shared" si="1"/>
        <v>6</v>
      </c>
      <c r="X15" s="1762"/>
    </row>
    <row r="16" spans="1:25" s="2" customFormat="1" x14ac:dyDescent="0.35">
      <c r="A16" s="1793">
        <f t="shared" si="3"/>
        <v>7</v>
      </c>
      <c r="B16" s="1798" t="s">
        <v>406</v>
      </c>
      <c r="C16" s="1795">
        <v>456</v>
      </c>
      <c r="D16" s="1796" t="s">
        <v>407</v>
      </c>
      <c r="E16" s="284">
        <v>-1319</v>
      </c>
      <c r="F16" s="396">
        <v>-349</v>
      </c>
      <c r="G16" s="396">
        <v>-180657</v>
      </c>
      <c r="H16" s="396">
        <v>-41814</v>
      </c>
      <c r="I16" s="396">
        <v>0</v>
      </c>
      <c r="J16" s="396">
        <v>-508</v>
      </c>
      <c r="K16" s="1545">
        <v>-623</v>
      </c>
      <c r="L16" s="1793">
        <f t="shared" si="4"/>
        <v>7</v>
      </c>
      <c r="M16" s="1793">
        <f t="shared" si="2"/>
        <v>7</v>
      </c>
      <c r="N16" s="1798" t="str">
        <f t="shared" si="2"/>
        <v>4371040</v>
      </c>
      <c r="O16" s="1795">
        <f t="shared" si="2"/>
        <v>456</v>
      </c>
      <c r="P16" s="2210" t="str">
        <f t="shared" si="0"/>
        <v xml:space="preserve">Revenue Enhancement </v>
      </c>
      <c r="Q16" s="1818">
        <v>0</v>
      </c>
      <c r="R16" s="1818">
        <v>0</v>
      </c>
      <c r="S16" s="1818">
        <v>0</v>
      </c>
      <c r="T16" s="1818">
        <v>-9413</v>
      </c>
      <c r="U16" s="1818">
        <v>-68982</v>
      </c>
      <c r="V16" s="1806">
        <f t="shared" si="7"/>
        <v>-303665</v>
      </c>
      <c r="W16" s="1793">
        <f t="shared" si="1"/>
        <v>7</v>
      </c>
      <c r="X16" s="1762"/>
    </row>
    <row r="17" spans="1:33" s="2" customFormat="1" x14ac:dyDescent="0.35">
      <c r="A17" s="1793">
        <f t="shared" si="3"/>
        <v>8</v>
      </c>
      <c r="B17" s="1807" t="s">
        <v>408</v>
      </c>
      <c r="C17" s="1795">
        <v>456</v>
      </c>
      <c r="D17" s="1808" t="s">
        <v>409</v>
      </c>
      <c r="E17" s="397">
        <v>-70195</v>
      </c>
      <c r="F17" s="396">
        <v>-70976</v>
      </c>
      <c r="G17" s="396">
        <v>-70888</v>
      </c>
      <c r="H17" s="396">
        <v>-98984</v>
      </c>
      <c r="I17" s="396">
        <v>-111116</v>
      </c>
      <c r="J17" s="396">
        <v>-116551</v>
      </c>
      <c r="K17" s="1545">
        <v>-125847</v>
      </c>
      <c r="L17" s="1793">
        <f t="shared" si="4"/>
        <v>8</v>
      </c>
      <c r="M17" s="1793">
        <f t="shared" si="2"/>
        <v>8</v>
      </c>
      <c r="N17" s="1807" t="str">
        <f t="shared" si="2"/>
        <v>4371055</v>
      </c>
      <c r="O17" s="1795">
        <f t="shared" si="2"/>
        <v>456</v>
      </c>
      <c r="P17" s="1808" t="str">
        <f t="shared" si="0"/>
        <v>Shared Asset Revenue</v>
      </c>
      <c r="Q17" s="1818">
        <v>-132671</v>
      </c>
      <c r="R17" s="1818">
        <v>-134612</v>
      </c>
      <c r="S17" s="1818">
        <v>-139297</v>
      </c>
      <c r="T17" s="1818">
        <v>-141972</v>
      </c>
      <c r="U17" s="1818">
        <v>-147842</v>
      </c>
      <c r="V17" s="1806">
        <f t="shared" si="7"/>
        <v>-1360951</v>
      </c>
      <c r="W17" s="1793">
        <f t="shared" si="1"/>
        <v>8</v>
      </c>
      <c r="X17" s="1762"/>
    </row>
    <row r="18" spans="1:33" s="2" customFormat="1" x14ac:dyDescent="0.35">
      <c r="A18" s="1793">
        <f t="shared" si="3"/>
        <v>9</v>
      </c>
      <c r="B18" s="1807" t="s">
        <v>410</v>
      </c>
      <c r="C18" s="1809">
        <v>456</v>
      </c>
      <c r="D18" s="1810" t="s">
        <v>411</v>
      </c>
      <c r="E18" s="396">
        <v>-6222</v>
      </c>
      <c r="F18" s="396">
        <v>-7136</v>
      </c>
      <c r="G18" s="396">
        <v>0</v>
      </c>
      <c r="H18" s="396">
        <v>0</v>
      </c>
      <c r="I18" s="396">
        <v>0</v>
      </c>
      <c r="J18" s="396">
        <v>0</v>
      </c>
      <c r="K18" s="1545">
        <v>-30121</v>
      </c>
      <c r="L18" s="1793">
        <f t="shared" si="4"/>
        <v>9</v>
      </c>
      <c r="M18" s="1793">
        <f t="shared" si="2"/>
        <v>9</v>
      </c>
      <c r="N18" s="1807" t="str">
        <f t="shared" si="2"/>
        <v>4371058</v>
      </c>
      <c r="O18" s="2252">
        <f t="shared" si="2"/>
        <v>456</v>
      </c>
      <c r="P18" s="1810" t="str">
        <f t="shared" si="0"/>
        <v>Elec Trans Joint Pole Activity</v>
      </c>
      <c r="Q18" s="1818">
        <v>0</v>
      </c>
      <c r="R18" s="1818">
        <v>0</v>
      </c>
      <c r="S18" s="1818">
        <v>-334</v>
      </c>
      <c r="T18" s="1818">
        <v>0</v>
      </c>
      <c r="U18" s="1818">
        <v>0</v>
      </c>
      <c r="V18" s="1806">
        <f t="shared" si="7"/>
        <v>-43813</v>
      </c>
      <c r="W18" s="1793">
        <f t="shared" si="1"/>
        <v>9</v>
      </c>
      <c r="X18" s="1762"/>
    </row>
    <row r="19" spans="1:33" s="2" customFormat="1" x14ac:dyDescent="0.35">
      <c r="A19" s="1793">
        <f t="shared" si="3"/>
        <v>10</v>
      </c>
      <c r="B19" s="1807" t="s">
        <v>412</v>
      </c>
      <c r="C19" s="1809">
        <v>456</v>
      </c>
      <c r="D19" s="1810" t="s">
        <v>413</v>
      </c>
      <c r="E19" s="396">
        <v>-1439</v>
      </c>
      <c r="F19" s="396">
        <v>-1438</v>
      </c>
      <c r="G19" s="396">
        <v>-1439</v>
      </c>
      <c r="H19" s="396">
        <v>-1438</v>
      </c>
      <c r="I19" s="396">
        <v>-1439</v>
      </c>
      <c r="J19" s="396">
        <v>-1438</v>
      </c>
      <c r="K19" s="1545">
        <v>-1439</v>
      </c>
      <c r="L19" s="1793">
        <f t="shared" si="4"/>
        <v>10</v>
      </c>
      <c r="M19" s="1793">
        <f t="shared" si="2"/>
        <v>10</v>
      </c>
      <c r="N19" s="1807" t="str">
        <f t="shared" si="2"/>
        <v>4371061</v>
      </c>
      <c r="O19" s="2252">
        <f t="shared" si="2"/>
        <v>456</v>
      </c>
      <c r="P19" s="1810" t="str">
        <f t="shared" si="0"/>
        <v>Excess Microwave Capacity - Elec Trans</v>
      </c>
      <c r="Q19" s="1818">
        <v>-1438</v>
      </c>
      <c r="R19" s="1818">
        <v>-1439</v>
      </c>
      <c r="S19" s="1818">
        <v>-1438</v>
      </c>
      <c r="T19" s="1818">
        <v>-1439</v>
      </c>
      <c r="U19" s="1818">
        <v>-1438</v>
      </c>
      <c r="V19" s="1806">
        <f t="shared" si="7"/>
        <v>-17262</v>
      </c>
      <c r="W19" s="1793">
        <f t="shared" si="1"/>
        <v>10</v>
      </c>
      <c r="X19" s="1762"/>
    </row>
    <row r="20" spans="1:33" s="2" customFormat="1" x14ac:dyDescent="0.35">
      <c r="A20" s="1793">
        <f t="shared" si="3"/>
        <v>11</v>
      </c>
      <c r="B20" s="1807" t="s">
        <v>414</v>
      </c>
      <c r="C20" s="1809">
        <v>456</v>
      </c>
      <c r="D20" s="1810" t="s">
        <v>415</v>
      </c>
      <c r="E20" s="396">
        <v>0</v>
      </c>
      <c r="F20" s="396">
        <v>0</v>
      </c>
      <c r="G20" s="396">
        <v>0</v>
      </c>
      <c r="H20" s="396">
        <v>0</v>
      </c>
      <c r="I20" s="396">
        <v>0</v>
      </c>
      <c r="J20" s="396">
        <v>0</v>
      </c>
      <c r="K20" s="1545">
        <v>0</v>
      </c>
      <c r="L20" s="1793">
        <f t="shared" si="4"/>
        <v>11</v>
      </c>
      <c r="M20" s="1793">
        <f t="shared" si="2"/>
        <v>11</v>
      </c>
      <c r="N20" s="1807" t="str">
        <f t="shared" si="2"/>
        <v>4371065</v>
      </c>
      <c r="O20" s="2252">
        <f t="shared" si="2"/>
        <v>456</v>
      </c>
      <c r="P20" s="1810" t="str">
        <f t="shared" si="0"/>
        <v>Trans Revenue Trsfr to Gen</v>
      </c>
      <c r="Q20" s="1818">
        <v>0</v>
      </c>
      <c r="R20" s="1818">
        <v>0</v>
      </c>
      <c r="S20" s="1818">
        <v>0</v>
      </c>
      <c r="T20" s="1818">
        <v>0</v>
      </c>
      <c r="U20" s="1818">
        <v>-31000</v>
      </c>
      <c r="V20" s="1806">
        <f t="shared" si="7"/>
        <v>-31000</v>
      </c>
      <c r="W20" s="1793">
        <f t="shared" si="1"/>
        <v>11</v>
      </c>
      <c r="X20" s="1811"/>
      <c r="Y20" s="1292"/>
      <c r="Z20" s="1292"/>
      <c r="AA20" s="1292"/>
      <c r="AB20" s="1292"/>
      <c r="AC20" s="1292"/>
      <c r="AE20" s="1292"/>
      <c r="AG20" s="175"/>
    </row>
    <row r="21" spans="1:33" s="2" customFormat="1" x14ac:dyDescent="0.35">
      <c r="A21" s="1793">
        <f t="shared" si="3"/>
        <v>12</v>
      </c>
      <c r="B21" s="1807" t="s">
        <v>416</v>
      </c>
      <c r="C21" s="1809">
        <v>456</v>
      </c>
      <c r="D21" s="1810" t="s">
        <v>417</v>
      </c>
      <c r="E21" s="396">
        <v>0</v>
      </c>
      <c r="F21" s="396">
        <v>0</v>
      </c>
      <c r="G21" s="396">
        <v>0</v>
      </c>
      <c r="H21" s="396">
        <v>0</v>
      </c>
      <c r="I21" s="396">
        <v>0</v>
      </c>
      <c r="J21" s="396">
        <v>0</v>
      </c>
      <c r="K21" s="1545">
        <v>0</v>
      </c>
      <c r="L21" s="1793">
        <f t="shared" si="4"/>
        <v>12</v>
      </c>
      <c r="M21" s="1793">
        <f t="shared" si="2"/>
        <v>12</v>
      </c>
      <c r="N21" s="1807" t="str">
        <f t="shared" si="2"/>
        <v>4371067</v>
      </c>
      <c r="O21" s="2252">
        <f t="shared" si="2"/>
        <v>456</v>
      </c>
      <c r="P21" s="1810" t="str">
        <f t="shared" si="0"/>
        <v>Trans Revenue Trsfr to Dist</v>
      </c>
      <c r="Q21" s="1818">
        <v>0</v>
      </c>
      <c r="R21" s="1818">
        <v>0</v>
      </c>
      <c r="S21" s="1818">
        <v>0</v>
      </c>
      <c r="T21" s="1818">
        <v>0</v>
      </c>
      <c r="U21" s="1818">
        <v>139000</v>
      </c>
      <c r="V21" s="1806">
        <f t="shared" si="7"/>
        <v>139000</v>
      </c>
      <c r="W21" s="1793">
        <f t="shared" si="1"/>
        <v>12</v>
      </c>
      <c r="X21" s="1811"/>
      <c r="Y21" s="1292"/>
      <c r="Z21" s="1292"/>
      <c r="AA21" s="1292"/>
      <c r="AB21" s="1292"/>
      <c r="AC21" s="1292"/>
      <c r="AE21" s="1292"/>
      <c r="AG21" s="175"/>
    </row>
    <row r="22" spans="1:33" s="2" customFormat="1" x14ac:dyDescent="0.35">
      <c r="A22" s="1793">
        <f t="shared" si="3"/>
        <v>13</v>
      </c>
      <c r="B22" s="1807" t="s">
        <v>418</v>
      </c>
      <c r="C22" s="1809">
        <v>456</v>
      </c>
      <c r="D22" s="1810" t="s">
        <v>419</v>
      </c>
      <c r="E22" s="396">
        <v>0</v>
      </c>
      <c r="F22" s="396">
        <v>0</v>
      </c>
      <c r="G22" s="396">
        <v>0</v>
      </c>
      <c r="H22" s="396">
        <v>0</v>
      </c>
      <c r="I22" s="396">
        <v>0</v>
      </c>
      <c r="J22" s="396">
        <v>0</v>
      </c>
      <c r="K22" s="1545">
        <v>0</v>
      </c>
      <c r="L22" s="1793">
        <f t="shared" si="4"/>
        <v>13</v>
      </c>
      <c r="M22" s="1793">
        <f t="shared" si="2"/>
        <v>13</v>
      </c>
      <c r="N22" s="1807" t="str">
        <f t="shared" si="2"/>
        <v>4371070</v>
      </c>
      <c r="O22" s="2252">
        <f t="shared" si="2"/>
        <v>456</v>
      </c>
      <c r="P22" s="1810" t="str">
        <f t="shared" si="0"/>
        <v>Trans Revenue Trsfr from Dist</v>
      </c>
      <c r="Q22" s="1818">
        <v>0</v>
      </c>
      <c r="R22" s="1818">
        <v>0</v>
      </c>
      <c r="S22" s="1818">
        <v>0</v>
      </c>
      <c r="T22" s="1818">
        <v>0</v>
      </c>
      <c r="U22" s="1818">
        <v>-6000</v>
      </c>
      <c r="V22" s="1806">
        <f t="shared" si="7"/>
        <v>-6000</v>
      </c>
      <c r="W22" s="1793">
        <f t="shared" si="1"/>
        <v>13</v>
      </c>
      <c r="X22" s="1811"/>
      <c r="Y22" s="1292"/>
      <c r="Z22" s="1292"/>
      <c r="AA22" s="1292"/>
      <c r="AB22" s="1292"/>
      <c r="AC22" s="1292"/>
      <c r="AE22" s="1292"/>
      <c r="AG22" s="175"/>
    </row>
    <row r="23" spans="1:33" s="1762" customFormat="1" x14ac:dyDescent="0.35">
      <c r="A23" s="1793">
        <f t="shared" si="3"/>
        <v>14</v>
      </c>
      <c r="B23" s="1807" t="s">
        <v>1686</v>
      </c>
      <c r="C23" s="2252">
        <v>456</v>
      </c>
      <c r="D23" s="1810" t="s">
        <v>1687</v>
      </c>
      <c r="E23" s="1818">
        <v>0</v>
      </c>
      <c r="F23" s="1818">
        <v>0</v>
      </c>
      <c r="G23" s="1818">
        <v>0</v>
      </c>
      <c r="H23" s="1818">
        <v>0</v>
      </c>
      <c r="I23" s="1818">
        <v>0</v>
      </c>
      <c r="J23" s="1818">
        <v>0</v>
      </c>
      <c r="K23" s="1819">
        <v>0</v>
      </c>
      <c r="L23" s="1793">
        <f t="shared" si="4"/>
        <v>14</v>
      </c>
      <c r="M23" s="1793">
        <f t="shared" si="2"/>
        <v>14</v>
      </c>
      <c r="N23" s="1807" t="s">
        <v>1686</v>
      </c>
      <c r="O23" s="2252">
        <v>456</v>
      </c>
      <c r="P23" s="1810" t="s">
        <v>1687</v>
      </c>
      <c r="Q23" s="1818">
        <v>0</v>
      </c>
      <c r="R23" s="1818">
        <v>0</v>
      </c>
      <c r="S23" s="1818">
        <v>0</v>
      </c>
      <c r="T23" s="1818">
        <v>0</v>
      </c>
      <c r="U23" s="1818">
        <v>0</v>
      </c>
      <c r="V23" s="1806">
        <f t="shared" si="7"/>
        <v>0</v>
      </c>
      <c r="W23" s="1793">
        <f t="shared" si="1"/>
        <v>14</v>
      </c>
      <c r="X23" s="1811"/>
      <c r="Y23" s="1811"/>
      <c r="Z23" s="1811"/>
      <c r="AA23" s="1811"/>
      <c r="AB23" s="1811"/>
      <c r="AC23" s="1811"/>
      <c r="AE23" s="1811"/>
      <c r="AG23" s="1861"/>
    </row>
    <row r="24" spans="1:33" s="3" customFormat="1" x14ac:dyDescent="0.35">
      <c r="A24" s="1793">
        <f t="shared" si="3"/>
        <v>15</v>
      </c>
      <c r="B24" s="1807" t="s">
        <v>420</v>
      </c>
      <c r="C24" s="1809">
        <v>456</v>
      </c>
      <c r="D24" s="1812" t="s">
        <v>421</v>
      </c>
      <c r="E24" s="396">
        <v>-13087</v>
      </c>
      <c r="F24" s="396">
        <v>-13086</v>
      </c>
      <c r="G24" s="396">
        <v>-13087</v>
      </c>
      <c r="H24" s="396">
        <v>-13086</v>
      </c>
      <c r="I24" s="396">
        <v>-13087</v>
      </c>
      <c r="J24" s="396">
        <v>-13086</v>
      </c>
      <c r="K24" s="1545">
        <v>-13087</v>
      </c>
      <c r="L24" s="1793">
        <f t="shared" si="4"/>
        <v>15</v>
      </c>
      <c r="M24" s="1793">
        <f t="shared" si="2"/>
        <v>15</v>
      </c>
      <c r="N24" s="1807" t="str">
        <f t="shared" si="2"/>
        <v>4371082</v>
      </c>
      <c r="O24" s="2252">
        <f t="shared" si="2"/>
        <v>456</v>
      </c>
      <c r="P24" s="1812" t="str">
        <f t="shared" si="2"/>
        <v>Other Elec Rev-SDGE Gen</v>
      </c>
      <c r="Q24" s="1818">
        <v>-13087</v>
      </c>
      <c r="R24" s="1818">
        <v>-106139</v>
      </c>
      <c r="S24" s="1818">
        <v>-20244</v>
      </c>
      <c r="T24" s="1818">
        <v>-20245</v>
      </c>
      <c r="U24" s="1818">
        <v>-20244</v>
      </c>
      <c r="V24" s="1806">
        <f t="shared" si="7"/>
        <v>-271565</v>
      </c>
      <c r="W24" s="1793">
        <f t="shared" si="1"/>
        <v>15</v>
      </c>
      <c r="X24" s="1762"/>
      <c r="Y24" s="1292"/>
      <c r="Z24" s="1292"/>
      <c r="AA24" s="1292"/>
      <c r="AB24" s="1292"/>
      <c r="AC24" s="1292"/>
      <c r="AE24" s="1292"/>
      <c r="AG24" s="175"/>
    </row>
    <row r="25" spans="1:33" s="2" customFormat="1" x14ac:dyDescent="0.35">
      <c r="A25" s="1793">
        <f t="shared" si="3"/>
        <v>16</v>
      </c>
      <c r="B25" s="1807" t="s">
        <v>422</v>
      </c>
      <c r="C25" s="1809">
        <v>456</v>
      </c>
      <c r="D25" s="1796" t="s">
        <v>423</v>
      </c>
      <c r="E25" s="398">
        <v>-3300</v>
      </c>
      <c r="F25" s="398">
        <v>-3300</v>
      </c>
      <c r="G25" s="398">
        <v>-27450</v>
      </c>
      <c r="H25" s="398">
        <v>-1650</v>
      </c>
      <c r="I25" s="398">
        <v>-3300</v>
      </c>
      <c r="J25" s="398">
        <v>-16200</v>
      </c>
      <c r="K25" s="399">
        <v>-35400</v>
      </c>
      <c r="L25" s="1793">
        <f t="shared" si="4"/>
        <v>16</v>
      </c>
      <c r="M25" s="1793">
        <f t="shared" si="2"/>
        <v>16</v>
      </c>
      <c r="N25" s="1807" t="str">
        <f t="shared" si="2"/>
        <v>4371806</v>
      </c>
      <c r="O25" s="2252">
        <f t="shared" si="2"/>
        <v>456</v>
      </c>
      <c r="P25" s="2210" t="str">
        <f t="shared" si="2"/>
        <v>Elec-Trans Fees/Rev</v>
      </c>
      <c r="Q25" s="398">
        <v>0</v>
      </c>
      <c r="R25" s="398">
        <v>-61200</v>
      </c>
      <c r="S25" s="398">
        <v>-11250</v>
      </c>
      <c r="T25" s="398">
        <v>-22500</v>
      </c>
      <c r="U25" s="398">
        <v>0</v>
      </c>
      <c r="V25" s="390">
        <f t="shared" si="7"/>
        <v>-185550</v>
      </c>
      <c r="W25" s="1793">
        <f t="shared" si="1"/>
        <v>16</v>
      </c>
      <c r="X25" s="1811"/>
      <c r="Y25" s="1292"/>
      <c r="Z25" s="1292"/>
      <c r="AA25" s="1292"/>
      <c r="AB25" s="1292"/>
      <c r="AC25" s="1292"/>
      <c r="AE25" s="1292"/>
      <c r="AG25" s="175"/>
    </row>
    <row r="26" spans="1:33" s="2" customFormat="1" x14ac:dyDescent="0.35">
      <c r="A26" s="1793">
        <f t="shared" si="3"/>
        <v>17</v>
      </c>
      <c r="B26" s="1807"/>
      <c r="C26" s="1809"/>
      <c r="D26" s="1796"/>
      <c r="E26" s="166"/>
      <c r="F26" s="284"/>
      <c r="G26" s="166"/>
      <c r="H26" s="284"/>
      <c r="I26" s="166"/>
      <c r="J26" s="284"/>
      <c r="K26" s="1545"/>
      <c r="L26" s="1793">
        <f t="shared" si="4"/>
        <v>17</v>
      </c>
      <c r="M26" s="1793">
        <f t="shared" ref="M26:M36" si="8">A26</f>
        <v>17</v>
      </c>
      <c r="N26" s="1807"/>
      <c r="O26" s="2252"/>
      <c r="P26" s="2210"/>
      <c r="Q26" s="1861"/>
      <c r="R26" s="1867"/>
      <c r="S26" s="1861"/>
      <c r="T26" s="1867"/>
      <c r="U26" s="1861"/>
      <c r="V26" s="1806"/>
      <c r="W26" s="1793">
        <f t="shared" si="1"/>
        <v>17</v>
      </c>
      <c r="X26" s="1811"/>
      <c r="Y26" s="1292"/>
      <c r="Z26" s="1292"/>
      <c r="AA26" s="1292"/>
      <c r="AB26" s="1292"/>
      <c r="AC26" s="1292"/>
      <c r="AE26" s="1292"/>
      <c r="AG26" s="175"/>
    </row>
    <row r="27" spans="1:33" s="2" customFormat="1" ht="18" x14ac:dyDescent="0.35">
      <c r="A27" s="1793">
        <f t="shared" si="3"/>
        <v>18</v>
      </c>
      <c r="B27" s="1807"/>
      <c r="C27" s="1809"/>
      <c r="D27" s="1626" t="s">
        <v>1229</v>
      </c>
      <c r="E27" s="1627">
        <f t="shared" ref="E27:K27" si="9">SUM(E15:E26)</f>
        <v>-880276</v>
      </c>
      <c r="F27" s="1628">
        <f t="shared" si="9"/>
        <v>-256722</v>
      </c>
      <c r="G27" s="1628">
        <f t="shared" si="9"/>
        <v>-453959</v>
      </c>
      <c r="H27" s="1628">
        <f t="shared" si="9"/>
        <v>-317409</v>
      </c>
      <c r="I27" s="1628">
        <f t="shared" si="9"/>
        <v>-289380</v>
      </c>
      <c r="J27" s="1628">
        <f t="shared" si="9"/>
        <v>-308220</v>
      </c>
      <c r="K27" s="1813">
        <f t="shared" si="9"/>
        <v>-366954</v>
      </c>
      <c r="L27" s="1793">
        <f t="shared" si="4"/>
        <v>18</v>
      </c>
      <c r="M27" s="1793">
        <f t="shared" si="8"/>
        <v>18</v>
      </c>
      <c r="N27" s="1807"/>
      <c r="O27" s="2252"/>
      <c r="P27" s="2249" t="s">
        <v>1229</v>
      </c>
      <c r="Q27" s="1826">
        <f>SUM(Q15:Q26)</f>
        <v>-307634</v>
      </c>
      <c r="R27" s="1826">
        <f>SUM(R15:R26)</f>
        <v>-463827</v>
      </c>
      <c r="S27" s="1826">
        <f>SUM(S15:S26)</f>
        <v>-333001</v>
      </c>
      <c r="T27" s="1826">
        <f>SUM(T15:T26)</f>
        <v>-356006</v>
      </c>
      <c r="U27" s="1826">
        <f>SUM(U15:U26)</f>
        <v>-296944</v>
      </c>
      <c r="V27" s="1827">
        <f>SUM(V15:V25)</f>
        <v>-4630332</v>
      </c>
      <c r="W27" s="1793">
        <f t="shared" si="1"/>
        <v>18</v>
      </c>
      <c r="X27" s="1811"/>
      <c r="Y27" s="1292"/>
      <c r="Z27" s="1292"/>
      <c r="AA27" s="1292"/>
      <c r="AB27" s="1292"/>
      <c r="AC27" s="1292"/>
      <c r="AE27" s="1292"/>
      <c r="AG27" s="175"/>
    </row>
    <row r="28" spans="1:33" s="2" customFormat="1" ht="16" thickBot="1" x14ac:dyDescent="0.4">
      <c r="A28" s="1793">
        <f t="shared" si="3"/>
        <v>19</v>
      </c>
      <c r="B28" s="1814"/>
      <c r="C28" s="1815"/>
      <c r="D28" s="1801"/>
      <c r="E28" s="1629"/>
      <c r="F28" s="1630"/>
      <c r="G28" s="1629"/>
      <c r="H28" s="1630"/>
      <c r="I28" s="1629"/>
      <c r="J28" s="1630"/>
      <c r="K28" s="1621"/>
      <c r="L28" s="1793">
        <f t="shared" si="4"/>
        <v>19</v>
      </c>
      <c r="M28" s="1793">
        <f t="shared" si="8"/>
        <v>19</v>
      </c>
      <c r="N28" s="1814"/>
      <c r="O28" s="1815"/>
      <c r="P28" s="1801"/>
      <c r="Q28" s="2251"/>
      <c r="R28" s="1803"/>
      <c r="S28" s="2251"/>
      <c r="T28" s="1803"/>
      <c r="U28" s="2251"/>
      <c r="V28" s="609"/>
      <c r="W28" s="1793">
        <f t="shared" si="1"/>
        <v>19</v>
      </c>
      <c r="X28" s="1811"/>
      <c r="Y28" s="1292"/>
      <c r="Z28" s="1292"/>
      <c r="AA28" s="1292"/>
      <c r="AB28" s="1292"/>
      <c r="AC28" s="1292"/>
      <c r="AE28" s="1292"/>
      <c r="AG28" s="175"/>
    </row>
    <row r="29" spans="1:33" s="2" customFormat="1" ht="18" x14ac:dyDescent="0.35">
      <c r="A29" s="1793">
        <f t="shared" si="3"/>
        <v>20</v>
      </c>
      <c r="B29" s="1807"/>
      <c r="C29" s="1809" t="s">
        <v>424</v>
      </c>
      <c r="D29" s="1631" t="s">
        <v>1230</v>
      </c>
      <c r="E29" s="1643">
        <v>-44257</v>
      </c>
      <c r="F29" s="396">
        <v>-44257</v>
      </c>
      <c r="G29" s="166">
        <v>-44257</v>
      </c>
      <c r="H29" s="284">
        <v>-44257</v>
      </c>
      <c r="I29" s="166">
        <v>-44256</v>
      </c>
      <c r="J29" s="284">
        <v>-44257</v>
      </c>
      <c r="K29" s="1545">
        <v>-44257</v>
      </c>
      <c r="L29" s="1793">
        <f t="shared" si="4"/>
        <v>20</v>
      </c>
      <c r="M29" s="1793">
        <f t="shared" si="8"/>
        <v>20</v>
      </c>
      <c r="N29" s="1807"/>
      <c r="O29" s="2252" t="str">
        <f>C29</f>
        <v>Various</v>
      </c>
      <c r="P29" s="1631" t="s">
        <v>1230</v>
      </c>
      <c r="Q29" s="1643">
        <v>-44257</v>
      </c>
      <c r="R29" s="1643">
        <v>-44257</v>
      </c>
      <c r="S29" s="1643">
        <v>-44257</v>
      </c>
      <c r="T29" s="1643">
        <v>-44257</v>
      </c>
      <c r="U29" s="1645">
        <v>-44257</v>
      </c>
      <c r="V29" s="1806">
        <f>SUM(E29:K29,Q29:U29)</f>
        <v>-531083</v>
      </c>
      <c r="W29" s="1793">
        <f t="shared" si="1"/>
        <v>20</v>
      </c>
      <c r="X29" s="1811"/>
      <c r="Y29" s="1292"/>
      <c r="Z29" s="1292"/>
      <c r="AA29" s="1292"/>
      <c r="AB29" s="1292"/>
      <c r="AC29" s="1292"/>
      <c r="AE29" s="1292"/>
      <c r="AG29" s="175"/>
    </row>
    <row r="30" spans="1:33" s="2" customFormat="1" ht="18" x14ac:dyDescent="0.35">
      <c r="A30" s="1793">
        <f t="shared" si="3"/>
        <v>21</v>
      </c>
      <c r="B30" s="1816"/>
      <c r="C30" s="2124" t="s">
        <v>424</v>
      </c>
      <c r="D30" s="2125" t="s">
        <v>1623</v>
      </c>
      <c r="E30" s="398">
        <v>-13833</v>
      </c>
      <c r="F30" s="398">
        <v>-13833</v>
      </c>
      <c r="G30" s="398">
        <v>-13833</v>
      </c>
      <c r="H30" s="398">
        <v>-13832</v>
      </c>
      <c r="I30" s="398">
        <v>-13833</v>
      </c>
      <c r="J30" s="398">
        <v>-13833</v>
      </c>
      <c r="K30" s="399">
        <v>-13833</v>
      </c>
      <c r="L30" s="1793">
        <f t="shared" si="4"/>
        <v>21</v>
      </c>
      <c r="M30" s="1793">
        <f t="shared" si="8"/>
        <v>21</v>
      </c>
      <c r="N30" s="1816"/>
      <c r="O30" s="2124" t="s">
        <v>424</v>
      </c>
      <c r="P30" s="2125" t="s">
        <v>1623</v>
      </c>
      <c r="Q30" s="398">
        <v>-13833</v>
      </c>
      <c r="R30" s="398">
        <v>-13833</v>
      </c>
      <c r="S30" s="398">
        <v>-13833</v>
      </c>
      <c r="T30" s="398">
        <v>-13832</v>
      </c>
      <c r="U30" s="398">
        <v>-13833</v>
      </c>
      <c r="V30" s="390">
        <f>SUM(E30:K30,Q30:U30)</f>
        <v>-165994</v>
      </c>
      <c r="W30" s="1793">
        <f t="shared" si="1"/>
        <v>21</v>
      </c>
      <c r="X30" s="1811"/>
      <c r="Y30" s="1292"/>
      <c r="Z30" s="1292"/>
      <c r="AA30" s="1292"/>
      <c r="AB30" s="1292"/>
      <c r="AC30" s="1292"/>
      <c r="AE30" s="1292"/>
      <c r="AG30" s="175"/>
    </row>
    <row r="31" spans="1:33" s="2" customFormat="1" x14ac:dyDescent="0.35">
      <c r="A31" s="1793">
        <f t="shared" si="3"/>
        <v>22</v>
      </c>
      <c r="B31" s="1817"/>
      <c r="C31" s="1741"/>
      <c r="D31" s="1810"/>
      <c r="E31" s="1818"/>
      <c r="F31" s="1818"/>
      <c r="G31" s="1818"/>
      <c r="H31" s="1818"/>
      <c r="I31" s="1818"/>
      <c r="J31" s="1818"/>
      <c r="K31" s="1819"/>
      <c r="L31" s="1793">
        <f t="shared" si="4"/>
        <v>22</v>
      </c>
      <c r="M31" s="1793">
        <f t="shared" si="8"/>
        <v>22</v>
      </c>
      <c r="N31" s="1817"/>
      <c r="O31" s="1866"/>
      <c r="P31" s="1810"/>
      <c r="Q31" s="1818"/>
      <c r="R31" s="1818"/>
      <c r="S31" s="1818"/>
      <c r="T31" s="1818"/>
      <c r="U31" s="1818"/>
      <c r="V31" s="1819"/>
      <c r="W31" s="1793">
        <f t="shared" si="1"/>
        <v>22</v>
      </c>
      <c r="X31" s="1762"/>
    </row>
    <row r="32" spans="1:33" s="2" customFormat="1" x14ac:dyDescent="0.35">
      <c r="A32" s="1793">
        <f t="shared" si="3"/>
        <v>23</v>
      </c>
      <c r="B32" s="1820"/>
      <c r="C32" s="1821"/>
      <c r="D32" s="1642" t="s">
        <v>808</v>
      </c>
      <c r="E32" s="1644">
        <f>SUM(E29:E31)</f>
        <v>-58090</v>
      </c>
      <c r="F32" s="1644">
        <f t="shared" ref="F32:K32" si="10">SUM(F29:F31)</f>
        <v>-58090</v>
      </c>
      <c r="G32" s="1644">
        <f t="shared" si="10"/>
        <v>-58090</v>
      </c>
      <c r="H32" s="1644">
        <f t="shared" si="10"/>
        <v>-58089</v>
      </c>
      <c r="I32" s="1644">
        <f t="shared" si="10"/>
        <v>-58089</v>
      </c>
      <c r="J32" s="1644">
        <f t="shared" si="10"/>
        <v>-58090</v>
      </c>
      <c r="K32" s="400">
        <f t="shared" si="10"/>
        <v>-58090</v>
      </c>
      <c r="L32" s="1793">
        <f t="shared" si="4"/>
        <v>23</v>
      </c>
      <c r="M32" s="1793">
        <f t="shared" si="8"/>
        <v>23</v>
      </c>
      <c r="N32" s="1820"/>
      <c r="O32" s="2253"/>
      <c r="P32" s="1822" t="str">
        <f t="shared" ref="P32" si="11">D32</f>
        <v>Electric Transmission Revenues from Citizens</v>
      </c>
      <c r="Q32" s="1644">
        <f>SUM(Q29:Q31)</f>
        <v>-58090</v>
      </c>
      <c r="R32" s="1644">
        <f t="shared" ref="R32:U32" si="12">SUM(R29:R31)</f>
        <v>-58090</v>
      </c>
      <c r="S32" s="1644">
        <f t="shared" si="12"/>
        <v>-58090</v>
      </c>
      <c r="T32" s="1644">
        <f t="shared" si="12"/>
        <v>-58089</v>
      </c>
      <c r="U32" s="1644">
        <f t="shared" si="12"/>
        <v>-58090</v>
      </c>
      <c r="V32" s="400">
        <f>SUM(V29:V31)</f>
        <v>-697077</v>
      </c>
      <c r="W32" s="1793">
        <f t="shared" si="1"/>
        <v>23</v>
      </c>
      <c r="X32" s="1762"/>
    </row>
    <row r="33" spans="1:24" s="2" customFormat="1" x14ac:dyDescent="0.35">
      <c r="A33" s="1793">
        <f t="shared" si="3"/>
        <v>24</v>
      </c>
      <c r="B33" s="1820"/>
      <c r="C33" s="1821"/>
      <c r="D33" s="1642"/>
      <c r="E33" s="1628"/>
      <c r="F33" s="1628"/>
      <c r="G33" s="1628"/>
      <c r="H33" s="1627"/>
      <c r="I33" s="1632"/>
      <c r="J33" s="1628"/>
      <c r="K33" s="1813"/>
      <c r="L33" s="1793">
        <f t="shared" si="4"/>
        <v>24</v>
      </c>
      <c r="M33" s="1793">
        <f t="shared" si="8"/>
        <v>24</v>
      </c>
      <c r="N33" s="1820"/>
      <c r="O33" s="2253"/>
      <c r="P33" s="1822"/>
      <c r="Q33" s="1830"/>
      <c r="R33" s="1824"/>
      <c r="S33" s="2254"/>
      <c r="T33" s="1824"/>
      <c r="U33" s="2254"/>
      <c r="V33" s="1831"/>
      <c r="W33" s="1793">
        <f t="shared" si="1"/>
        <v>24</v>
      </c>
      <c r="X33" s="1762"/>
    </row>
    <row r="34" spans="1:24" s="2" customFormat="1" x14ac:dyDescent="0.35">
      <c r="A34" s="1793">
        <f t="shared" si="3"/>
        <v>25</v>
      </c>
      <c r="B34" s="1820"/>
      <c r="C34" s="1821"/>
      <c r="D34" s="1823"/>
      <c r="E34" s="1824"/>
      <c r="F34" s="1825"/>
      <c r="G34" s="1824"/>
      <c r="H34" s="1825"/>
      <c r="I34" s="1824"/>
      <c r="J34" s="1826"/>
      <c r="K34" s="1827"/>
      <c r="L34" s="1793">
        <f t="shared" si="4"/>
        <v>25</v>
      </c>
      <c r="M34" s="1793">
        <f t="shared" si="8"/>
        <v>25</v>
      </c>
      <c r="N34" s="1828"/>
      <c r="O34" s="1829"/>
      <c r="P34" s="2248"/>
      <c r="Q34" s="1830"/>
      <c r="R34" s="1824"/>
      <c r="S34" s="2254"/>
      <c r="T34" s="1824"/>
      <c r="U34" s="2254"/>
      <c r="V34" s="1831"/>
      <c r="W34" s="1793">
        <f t="shared" si="1"/>
        <v>25</v>
      </c>
      <c r="X34" s="1762"/>
    </row>
    <row r="35" spans="1:24" s="5" customFormat="1" ht="16" thickBot="1" x14ac:dyDescent="0.4">
      <c r="A35" s="1793">
        <f t="shared" si="3"/>
        <v>26</v>
      </c>
      <c r="B35" s="1832" t="s">
        <v>425</v>
      </c>
      <c r="C35" s="1833"/>
      <c r="D35" s="1834"/>
      <c r="E35" s="300">
        <f t="shared" ref="E35:K35" si="13">E13+E27+E32</f>
        <v>-952996</v>
      </c>
      <c r="F35" s="292">
        <f t="shared" si="13"/>
        <v>-330955</v>
      </c>
      <c r="G35" s="300">
        <f t="shared" si="13"/>
        <v>-526691</v>
      </c>
      <c r="H35" s="292">
        <f t="shared" si="13"/>
        <v>-639810</v>
      </c>
      <c r="I35" s="300">
        <f t="shared" si="13"/>
        <v>-359651</v>
      </c>
      <c r="J35" s="292">
        <f t="shared" si="13"/>
        <v>-380951</v>
      </c>
      <c r="K35" s="401">
        <f t="shared" si="13"/>
        <v>-442672</v>
      </c>
      <c r="L35" s="1793">
        <f t="shared" si="4"/>
        <v>26</v>
      </c>
      <c r="M35" s="1793">
        <f t="shared" si="8"/>
        <v>26</v>
      </c>
      <c r="N35" s="1832" t="str">
        <f>B35</f>
        <v>Total Miscellaneous Revenue</v>
      </c>
      <c r="O35" s="1833"/>
      <c r="P35" s="2255"/>
      <c r="Q35" s="292">
        <f t="shared" ref="Q35:V35" si="14">Q13+Q27+Q32</f>
        <v>-386900</v>
      </c>
      <c r="R35" s="300">
        <f t="shared" si="14"/>
        <v>-538661</v>
      </c>
      <c r="S35" s="292">
        <f t="shared" si="14"/>
        <v>-406047</v>
      </c>
      <c r="T35" s="300">
        <f t="shared" si="14"/>
        <v>-429053</v>
      </c>
      <c r="U35" s="292">
        <f t="shared" si="14"/>
        <v>-380022</v>
      </c>
      <c r="V35" s="401">
        <f t="shared" si="14"/>
        <v>-5774409</v>
      </c>
      <c r="W35" s="1793">
        <f t="shared" si="1"/>
        <v>26</v>
      </c>
      <c r="X35" s="1835"/>
    </row>
    <row r="36" spans="1:24" ht="16.5" thickTop="1" thickBot="1" x14ac:dyDescent="0.4">
      <c r="A36" s="1793">
        <f t="shared" si="3"/>
        <v>27</v>
      </c>
      <c r="B36" s="1636"/>
      <c r="C36" s="1637"/>
      <c r="D36" s="1638"/>
      <c r="E36" s="1637"/>
      <c r="F36" s="1638"/>
      <c r="G36" s="1637"/>
      <c r="H36" s="1638"/>
      <c r="I36" s="1637"/>
      <c r="J36" s="1638"/>
      <c r="K36" s="1639"/>
      <c r="L36" s="1793">
        <f t="shared" si="4"/>
        <v>27</v>
      </c>
      <c r="M36" s="1793">
        <f t="shared" si="8"/>
        <v>27</v>
      </c>
      <c r="N36" s="1636"/>
      <c r="O36" s="2171"/>
      <c r="P36" s="1638"/>
      <c r="Q36" s="1638"/>
      <c r="R36" s="2171"/>
      <c r="S36" s="1638"/>
      <c r="T36" s="2171"/>
      <c r="U36" s="406"/>
      <c r="V36" s="407"/>
      <c r="W36" s="1793">
        <f t="shared" si="1"/>
        <v>27</v>
      </c>
      <c r="X36" s="1731"/>
    </row>
    <row r="37" spans="1:24" x14ac:dyDescent="0.35">
      <c r="A37" s="1730"/>
      <c r="B37" s="1731"/>
      <c r="C37" s="1731"/>
      <c r="D37" s="1731"/>
      <c r="E37" s="1731"/>
      <c r="F37" s="1731"/>
      <c r="G37" s="1731"/>
      <c r="H37" s="1731"/>
      <c r="I37" s="1731"/>
      <c r="J37" s="1731"/>
      <c r="K37" s="1731"/>
      <c r="L37" s="1730"/>
      <c r="M37" s="1730"/>
      <c r="N37" s="1731"/>
      <c r="O37" s="1731"/>
      <c r="P37" s="1731"/>
      <c r="Q37" s="1731"/>
      <c r="R37" s="1731"/>
      <c r="S37" s="1731"/>
      <c r="T37" s="1731"/>
      <c r="U37" s="1731"/>
      <c r="V37" s="1731"/>
      <c r="W37" s="1730"/>
      <c r="X37" s="1731"/>
    </row>
    <row r="38" spans="1:24" x14ac:dyDescent="0.35">
      <c r="A38" s="1726"/>
      <c r="B38" s="1727"/>
      <c r="C38" s="1731"/>
      <c r="D38" s="1731"/>
      <c r="E38" s="1731"/>
      <c r="F38" s="1731"/>
      <c r="G38" s="1731"/>
      <c r="H38" s="1731"/>
      <c r="I38" s="1731"/>
      <c r="J38" s="1731"/>
      <c r="K38" s="1731"/>
      <c r="L38" s="1730"/>
      <c r="M38" s="1730"/>
      <c r="N38" s="1731"/>
      <c r="O38" s="1731"/>
      <c r="P38" s="1731"/>
      <c r="Q38" s="1731"/>
      <c r="R38" s="1731"/>
      <c r="S38" s="1731"/>
      <c r="T38" s="1731"/>
      <c r="U38" s="1731"/>
      <c r="V38" s="1731"/>
      <c r="W38" s="1730"/>
      <c r="X38" s="1731"/>
    </row>
    <row r="39" spans="1:24" ht="18" x14ac:dyDescent="0.35">
      <c r="A39" s="1251">
        <v>1</v>
      </c>
      <c r="B39" s="1731" t="s">
        <v>1798</v>
      </c>
      <c r="C39" s="1731"/>
      <c r="D39" s="1731"/>
      <c r="E39" s="1731"/>
      <c r="F39" s="1731"/>
      <c r="G39" s="1731"/>
      <c r="H39" s="1731"/>
      <c r="I39" s="1731"/>
      <c r="J39" s="1731"/>
      <c r="K39" s="1731"/>
      <c r="L39" s="1730"/>
      <c r="M39" s="1251">
        <f>A39</f>
        <v>1</v>
      </c>
      <c r="N39" s="1731" t="str">
        <f>B39</f>
        <v>The total Rent from Electric Property in FERC Form 1; Page 300-301; Line 19; Col. b includes both Distribution and Transmission rents. The Total Transmission-related Rents from Electric</v>
      </c>
      <c r="O39" s="1731"/>
      <c r="P39" s="1731"/>
      <c r="Q39" s="1731"/>
      <c r="R39" s="1731"/>
      <c r="S39" s="1731"/>
      <c r="T39" s="1731"/>
      <c r="U39" s="1731"/>
      <c r="V39" s="1731"/>
      <c r="W39" s="1730"/>
      <c r="X39" s="1731"/>
    </row>
    <row r="40" spans="1:24" x14ac:dyDescent="0.35">
      <c r="A40" s="1730"/>
      <c r="B40" s="1731" t="s">
        <v>1799</v>
      </c>
      <c r="C40" s="1731"/>
      <c r="D40" s="1731"/>
      <c r="E40" s="1731"/>
      <c r="F40" s="1731"/>
      <c r="G40" s="1731"/>
      <c r="H40" s="1731"/>
      <c r="I40" s="1731"/>
      <c r="J40" s="1731"/>
      <c r="K40" s="1731"/>
      <c r="L40" s="1730"/>
      <c r="M40" s="1730"/>
      <c r="N40" s="1731" t="str">
        <f>B40</f>
        <v>Property is reflected in Col. (m) of this schedule and ties to the footnotes on FERC Form 1; Page 300-301; Footnote Data (b).</v>
      </c>
      <c r="O40" s="1731"/>
      <c r="P40" s="1731"/>
      <c r="Q40" s="1731"/>
      <c r="R40" s="1731"/>
      <c r="S40" s="1731"/>
      <c r="T40" s="1731"/>
      <c r="U40" s="1731"/>
      <c r="V40" s="1731"/>
      <c r="W40" s="1730"/>
      <c r="X40" s="1731"/>
    </row>
    <row r="41" spans="1:24" ht="18" x14ac:dyDescent="0.35">
      <c r="A41" s="1251">
        <v>2</v>
      </c>
      <c r="B41" s="1731" t="s">
        <v>1800</v>
      </c>
      <c r="C41" s="1731"/>
      <c r="D41" s="1731"/>
      <c r="E41" s="1731"/>
      <c r="F41" s="1731"/>
      <c r="G41" s="1731"/>
      <c r="H41" s="1731"/>
      <c r="I41" s="1731"/>
      <c r="J41" s="1731"/>
      <c r="K41" s="1731"/>
      <c r="L41" s="1730"/>
      <c r="M41" s="1251">
        <f>A41</f>
        <v>2</v>
      </c>
      <c r="N41" s="1731" t="str">
        <f>B41</f>
        <v>The total Other Electric Revenues in FERC Form 1; Page 300-301; Line 21; Col. b includes other revenues for both Distribution and Transmission. The Total Transmission-related piece of Other</v>
      </c>
      <c r="O41" s="1731"/>
      <c r="P41" s="1731"/>
      <c r="Q41" s="1731"/>
      <c r="R41" s="1731"/>
      <c r="S41" s="1731"/>
      <c r="T41" s="1731"/>
      <c r="U41" s="1731"/>
      <c r="V41" s="1731"/>
      <c r="W41" s="1730"/>
      <c r="X41" s="1731"/>
    </row>
    <row r="42" spans="1:24" x14ac:dyDescent="0.35">
      <c r="A42" s="1730"/>
      <c r="B42" s="1731" t="s">
        <v>1801</v>
      </c>
      <c r="C42" s="1731"/>
      <c r="D42" s="1731"/>
      <c r="E42" s="1731"/>
      <c r="F42" s="1731"/>
      <c r="G42" s="1731"/>
      <c r="H42" s="1731"/>
      <c r="I42" s="1731"/>
      <c r="J42" s="1731"/>
      <c r="K42" s="1731"/>
      <c r="L42" s="1730"/>
      <c r="M42" s="1730"/>
      <c r="N42" s="1731" t="str">
        <f>B42</f>
        <v>Revenues is reflected in Col. (m) of this schedule and ties to the footnotes on FERC Form 1; Page 300-301; Footnote Data (c).</v>
      </c>
      <c r="O42" s="1731"/>
      <c r="P42" s="1731"/>
      <c r="Q42" s="1731"/>
      <c r="R42" s="1731"/>
      <c r="S42" s="1731"/>
      <c r="T42" s="1731"/>
      <c r="U42" s="1731"/>
      <c r="V42" s="1731"/>
      <c r="W42" s="1730"/>
      <c r="X42" s="1731"/>
    </row>
    <row r="43" spans="1:24" ht="18" x14ac:dyDescent="0.35">
      <c r="A43" s="1251">
        <v>3</v>
      </c>
      <c r="B43" s="1731" t="s">
        <v>936</v>
      </c>
      <c r="C43" s="1731"/>
      <c r="D43" s="1731"/>
      <c r="E43" s="1731"/>
      <c r="F43" s="1731"/>
      <c r="G43" s="1731"/>
      <c r="H43" s="1731"/>
      <c r="I43" s="1731"/>
      <c r="J43" s="1731"/>
      <c r="K43" s="1731"/>
      <c r="L43" s="1730"/>
      <c r="M43" s="1251">
        <f>A43</f>
        <v>3</v>
      </c>
      <c r="N43" s="1731" t="str">
        <f>B43</f>
        <v>The Electric Transmission Revenue for Citizens in this statement is to provide ratepayers a credit for Citizens' share of Transmission-related Common and General Plant, Transmission-related</v>
      </c>
      <c r="O43" s="1731"/>
      <c r="P43" s="1731"/>
      <c r="Q43" s="1731"/>
      <c r="R43" s="1731"/>
      <c r="S43" s="1731"/>
      <c r="T43" s="1731"/>
      <c r="U43" s="1731"/>
      <c r="V43" s="1731"/>
      <c r="W43" s="1730"/>
      <c r="X43" s="1731"/>
    </row>
    <row r="44" spans="1:24" x14ac:dyDescent="0.35">
      <c r="A44" s="1730"/>
      <c r="B44" s="1731" t="s">
        <v>935</v>
      </c>
      <c r="C44" s="1731"/>
      <c r="D44" s="1731"/>
      <c r="E44" s="1731"/>
      <c r="F44" s="1731"/>
      <c r="G44" s="1731"/>
      <c r="H44" s="1731"/>
      <c r="I44" s="1731"/>
      <c r="J44" s="1731"/>
      <c r="K44" s="1731"/>
      <c r="L44" s="1730"/>
      <c r="M44" s="1730"/>
      <c r="N44" s="1731" t="str">
        <f>B44</f>
        <v>Working Capital Revenue, and Franchise Fees.</v>
      </c>
      <c r="O44" s="1731"/>
      <c r="P44" s="1731"/>
      <c r="Q44" s="1731"/>
      <c r="R44" s="1731"/>
      <c r="S44" s="1731"/>
      <c r="T44" s="1731"/>
      <c r="U44" s="1731"/>
      <c r="V44" s="1731"/>
      <c r="W44" s="1730"/>
      <c r="X44" s="1731"/>
    </row>
  </sheetData>
  <mergeCells count="8">
    <mergeCell ref="B2:K2"/>
    <mergeCell ref="B3:K3"/>
    <mergeCell ref="B4:K4"/>
    <mergeCell ref="B5:K5"/>
    <mergeCell ref="N2:V2"/>
    <mergeCell ref="N3:V3"/>
    <mergeCell ref="N4:V4"/>
    <mergeCell ref="N5:V5"/>
  </mergeCells>
  <phoneticPr fontId="56" type="noConversion"/>
  <printOptions horizontalCentered="1"/>
  <pageMargins left="0.25" right="0.25" top="0.5" bottom="0.5" header="0.25" footer="0.25"/>
  <pageSetup scale="70"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63"/>
  <sheetViews>
    <sheetView zoomScale="80" zoomScaleNormal="80" workbookViewId="0"/>
  </sheetViews>
  <sheetFormatPr defaultColWidth="8.90625" defaultRowHeight="15.5" x14ac:dyDescent="0.35"/>
  <cols>
    <col min="1" max="1" width="5.08984375" style="1950" customWidth="1"/>
    <col min="2" max="2" width="55.453125" style="1951" customWidth="1"/>
    <col min="3" max="5" width="15.54296875" style="1951" customWidth="1"/>
    <col min="6" max="6" width="1.54296875" style="1951" customWidth="1"/>
    <col min="7" max="7" width="16.90625" style="1951" customWidth="1"/>
    <col min="8" max="8" width="1.54296875" style="1951" customWidth="1"/>
    <col min="9" max="9" width="38.90625" style="726" customWidth="1"/>
    <col min="10" max="10" width="5.08984375" style="1951" customWidth="1"/>
    <col min="11" max="11" width="16.08984375" style="1951" bestFit="1" customWidth="1"/>
    <col min="12" max="12" width="10.453125" style="1951" bestFit="1" customWidth="1"/>
    <col min="13" max="16384" width="8.90625" style="1951"/>
  </cols>
  <sheetData>
    <row r="2" spans="1:10" x14ac:dyDescent="0.35">
      <c r="B2" s="2288" t="s">
        <v>18</v>
      </c>
      <c r="C2" s="2288"/>
      <c r="D2" s="2288"/>
      <c r="E2" s="2288"/>
      <c r="F2" s="2288"/>
      <c r="G2" s="2288"/>
      <c r="H2" s="2288"/>
      <c r="I2" s="2289"/>
      <c r="J2" s="1950"/>
    </row>
    <row r="3" spans="1:10" x14ac:dyDescent="0.35">
      <c r="B3" s="2288" t="s">
        <v>426</v>
      </c>
      <c r="C3" s="2288"/>
      <c r="D3" s="2288"/>
      <c r="E3" s="2288"/>
      <c r="F3" s="2288"/>
      <c r="G3" s="2288"/>
      <c r="H3" s="2288"/>
      <c r="I3" s="2289"/>
      <c r="J3" s="1950"/>
    </row>
    <row r="4" spans="1:10" x14ac:dyDescent="0.35">
      <c r="B4" s="2288" t="s">
        <v>427</v>
      </c>
      <c r="C4" s="2288"/>
      <c r="D4" s="2288"/>
      <c r="E4" s="2288"/>
      <c r="F4" s="2288"/>
      <c r="G4" s="2288"/>
      <c r="H4" s="2288"/>
      <c r="I4" s="2289"/>
      <c r="J4" s="1950"/>
    </row>
    <row r="5" spans="1:10" x14ac:dyDescent="0.35">
      <c r="B5" s="2293" t="str">
        <f>'Stmt AD'!B5</f>
        <v>Base Period &amp; True-Up Period 12 - Months Ending December 31, 2021</v>
      </c>
      <c r="C5" s="2293"/>
      <c r="D5" s="2293"/>
      <c r="E5" s="2293"/>
      <c r="F5" s="2293"/>
      <c r="G5" s="2293"/>
      <c r="H5" s="2293"/>
      <c r="I5" s="2283"/>
      <c r="J5" s="1950"/>
    </row>
    <row r="6" spans="1:10" x14ac:dyDescent="0.35">
      <c r="B6" s="2291" t="s">
        <v>2</v>
      </c>
      <c r="C6" s="2278"/>
      <c r="D6" s="2278"/>
      <c r="E6" s="2278"/>
      <c r="F6" s="2278"/>
      <c r="G6" s="2278"/>
      <c r="H6" s="2278"/>
      <c r="I6" s="2278"/>
      <c r="J6" s="1950"/>
    </row>
    <row r="7" spans="1:10" x14ac:dyDescent="0.35">
      <c r="B7" s="236"/>
      <c r="C7" s="236"/>
      <c r="D7" s="236"/>
      <c r="E7" s="236"/>
      <c r="F7" s="236"/>
      <c r="G7" s="236"/>
      <c r="H7" s="236"/>
      <c r="I7" s="1878"/>
      <c r="J7" s="1950"/>
    </row>
    <row r="8" spans="1:10" x14ac:dyDescent="0.35">
      <c r="A8" s="1950" t="s">
        <v>3</v>
      </c>
      <c r="B8" s="1947"/>
      <c r="C8" s="1947"/>
      <c r="D8" s="1947"/>
      <c r="E8" s="236" t="s">
        <v>648</v>
      </c>
      <c r="F8" s="1947"/>
      <c r="G8" s="1947"/>
      <c r="H8" s="1947"/>
      <c r="I8" s="1878"/>
      <c r="J8" s="1950" t="s">
        <v>3</v>
      </c>
    </row>
    <row r="9" spans="1:10" x14ac:dyDescent="0.35">
      <c r="A9" s="6" t="s">
        <v>25</v>
      </c>
      <c r="B9" s="236"/>
      <c r="C9" s="236"/>
      <c r="D9" s="236"/>
      <c r="E9" s="732" t="s">
        <v>646</v>
      </c>
      <c r="F9" s="236"/>
      <c r="G9" s="935" t="s">
        <v>135</v>
      </c>
      <c r="H9" s="1947"/>
      <c r="I9" s="1293" t="s">
        <v>9</v>
      </c>
      <c r="J9" s="6" t="s">
        <v>25</v>
      </c>
    </row>
    <row r="10" spans="1:10" x14ac:dyDescent="0.35">
      <c r="B10" s="236"/>
      <c r="C10" s="236"/>
      <c r="D10" s="236"/>
      <c r="E10" s="236"/>
      <c r="F10" s="236"/>
      <c r="G10" s="236"/>
      <c r="H10" s="236"/>
      <c r="I10" s="1879"/>
      <c r="J10" s="1950"/>
    </row>
    <row r="11" spans="1:10" x14ac:dyDescent="0.35">
      <c r="A11" s="1950">
        <v>1</v>
      </c>
      <c r="B11" s="988" t="s">
        <v>428</v>
      </c>
      <c r="I11" s="1878"/>
      <c r="J11" s="1950">
        <f>A11</f>
        <v>1</v>
      </c>
    </row>
    <row r="12" spans="1:10" x14ac:dyDescent="0.35">
      <c r="A12" s="1950">
        <f>A11+1</f>
        <v>2</v>
      </c>
      <c r="B12" s="989" t="s">
        <v>747</v>
      </c>
      <c r="E12" s="1950" t="s">
        <v>1802</v>
      </c>
      <c r="G12" s="105">
        <v>6417859</v>
      </c>
      <c r="H12" s="1947"/>
      <c r="I12" s="1296"/>
      <c r="J12" s="1950">
        <f>J11+1</f>
        <v>2</v>
      </c>
    </row>
    <row r="13" spans="1:10" x14ac:dyDescent="0.35">
      <c r="A13" s="1950">
        <f t="shared" ref="A13:A52" si="0">A12+1</f>
        <v>3</v>
      </c>
      <c r="B13" s="989" t="s">
        <v>748</v>
      </c>
      <c r="E13" s="1950" t="s">
        <v>1803</v>
      </c>
      <c r="G13" s="107">
        <v>0</v>
      </c>
      <c r="H13" s="1947"/>
      <c r="I13" s="1296"/>
      <c r="J13" s="1950">
        <f t="shared" ref="J13:J52" si="1">J12+1</f>
        <v>3</v>
      </c>
    </row>
    <row r="14" spans="1:10" x14ac:dyDescent="0.35">
      <c r="A14" s="1950">
        <f t="shared" si="0"/>
        <v>4</v>
      </c>
      <c r="B14" s="989" t="s">
        <v>749</v>
      </c>
      <c r="E14" s="1950" t="s">
        <v>1804</v>
      </c>
      <c r="G14" s="116">
        <v>0</v>
      </c>
      <c r="H14" s="1947"/>
      <c r="I14" s="1296"/>
      <c r="J14" s="1950">
        <f t="shared" si="1"/>
        <v>4</v>
      </c>
    </row>
    <row r="15" spans="1:10" x14ac:dyDescent="0.35">
      <c r="A15" s="1950">
        <f t="shared" si="0"/>
        <v>5</v>
      </c>
      <c r="B15" s="989" t="s">
        <v>702</v>
      </c>
      <c r="E15" s="1950" t="s">
        <v>1805</v>
      </c>
      <c r="G15" s="116">
        <v>0</v>
      </c>
      <c r="H15" s="1947"/>
      <c r="I15" s="1296"/>
      <c r="J15" s="1950">
        <f t="shared" si="1"/>
        <v>5</v>
      </c>
    </row>
    <row r="16" spans="1:10" x14ac:dyDescent="0.35">
      <c r="A16" s="1950">
        <f t="shared" si="0"/>
        <v>6</v>
      </c>
      <c r="B16" s="989" t="s">
        <v>703</v>
      </c>
      <c r="E16" s="1950" t="s">
        <v>1806</v>
      </c>
      <c r="G16" s="270">
        <v>-16893.71</v>
      </c>
      <c r="H16" s="1947"/>
      <c r="I16" s="1296"/>
      <c r="J16" s="1950">
        <f t="shared" si="1"/>
        <v>6</v>
      </c>
    </row>
    <row r="17" spans="1:11" x14ac:dyDescent="0.35">
      <c r="A17" s="1950">
        <f t="shared" si="0"/>
        <v>7</v>
      </c>
      <c r="B17" s="989" t="s">
        <v>887</v>
      </c>
      <c r="C17" s="989"/>
      <c r="D17" s="989"/>
      <c r="E17" s="989"/>
      <c r="F17" s="989"/>
      <c r="G17" s="268">
        <f>SUM(G12:G16)</f>
        <v>6400965.29</v>
      </c>
      <c r="H17" s="235"/>
      <c r="I17" s="1878" t="s">
        <v>1031</v>
      </c>
      <c r="J17" s="1950">
        <f t="shared" si="1"/>
        <v>7</v>
      </c>
      <c r="K17" s="1425"/>
    </row>
    <row r="18" spans="1:11" x14ac:dyDescent="0.35">
      <c r="A18" s="1950">
        <f t="shared" si="0"/>
        <v>8</v>
      </c>
      <c r="B18" s="989"/>
      <c r="I18" s="1878"/>
      <c r="J18" s="1950">
        <f t="shared" si="1"/>
        <v>8</v>
      </c>
    </row>
    <row r="19" spans="1:11" x14ac:dyDescent="0.35">
      <c r="A19" s="1950">
        <f t="shared" si="0"/>
        <v>9</v>
      </c>
      <c r="B19" s="1295" t="s">
        <v>429</v>
      </c>
      <c r="G19" s="1875"/>
      <c r="H19" s="1875"/>
      <c r="I19" s="1878"/>
      <c r="J19" s="1950">
        <f t="shared" si="1"/>
        <v>9</v>
      </c>
    </row>
    <row r="20" spans="1:11" x14ac:dyDescent="0.35">
      <c r="A20" s="1950">
        <f t="shared" si="0"/>
        <v>10</v>
      </c>
      <c r="B20" s="1951" t="s">
        <v>750</v>
      </c>
      <c r="E20" s="1950" t="s">
        <v>1807</v>
      </c>
      <c r="G20" s="105">
        <v>237653.59599999999</v>
      </c>
      <c r="H20" s="1947"/>
      <c r="I20" s="1296"/>
      <c r="J20" s="1950">
        <f t="shared" si="1"/>
        <v>10</v>
      </c>
    </row>
    <row r="21" spans="1:11" x14ac:dyDescent="0.35">
      <c r="A21" s="1950">
        <f t="shared" si="0"/>
        <v>11</v>
      </c>
      <c r="B21" s="1951" t="s">
        <v>751</v>
      </c>
      <c r="E21" s="1950" t="s">
        <v>1808</v>
      </c>
      <c r="G21" s="107">
        <v>4408.152</v>
      </c>
      <c r="H21" s="1947"/>
      <c r="I21" s="1296"/>
      <c r="J21" s="1950">
        <f t="shared" si="1"/>
        <v>11</v>
      </c>
    </row>
    <row r="22" spans="1:11" x14ac:dyDescent="0.35">
      <c r="A22" s="1950">
        <f t="shared" si="0"/>
        <v>12</v>
      </c>
      <c r="B22" s="1951" t="s">
        <v>752</v>
      </c>
      <c r="E22" s="1950" t="s">
        <v>1809</v>
      </c>
      <c r="G22" s="107">
        <v>1275.181</v>
      </c>
      <c r="H22" s="1947"/>
      <c r="I22" s="1296"/>
      <c r="J22" s="1950">
        <f t="shared" si="1"/>
        <v>12</v>
      </c>
    </row>
    <row r="23" spans="1:11" x14ac:dyDescent="0.35">
      <c r="A23" s="1950">
        <f t="shared" si="0"/>
        <v>13</v>
      </c>
      <c r="B23" s="1951" t="s">
        <v>753</v>
      </c>
      <c r="E23" s="1950" t="s">
        <v>1810</v>
      </c>
      <c r="G23" s="107">
        <v>0</v>
      </c>
      <c r="H23" s="1947"/>
      <c r="I23" s="1296"/>
      <c r="J23" s="1950">
        <f t="shared" si="1"/>
        <v>13</v>
      </c>
    </row>
    <row r="24" spans="1:11" x14ac:dyDescent="0.35">
      <c r="A24" s="1950">
        <f t="shared" si="0"/>
        <v>14</v>
      </c>
      <c r="B24" s="1951" t="s">
        <v>754</v>
      </c>
      <c r="E24" s="1950" t="s">
        <v>1811</v>
      </c>
      <c r="G24" s="270">
        <v>0</v>
      </c>
      <c r="H24" s="1947"/>
      <c r="I24" s="1296"/>
      <c r="J24" s="1950">
        <f t="shared" si="1"/>
        <v>14</v>
      </c>
    </row>
    <row r="25" spans="1:11" x14ac:dyDescent="0.35">
      <c r="A25" s="1950">
        <f t="shared" si="0"/>
        <v>15</v>
      </c>
      <c r="B25" s="989" t="s">
        <v>888</v>
      </c>
      <c r="C25" s="989"/>
      <c r="D25" s="989"/>
      <c r="E25" s="989"/>
      <c r="F25" s="989"/>
      <c r="G25" s="408">
        <f>SUM(G20:G24)</f>
        <v>243336.929</v>
      </c>
      <c r="H25" s="313"/>
      <c r="I25" s="1878" t="s">
        <v>1032</v>
      </c>
      <c r="J25" s="1950">
        <f t="shared" si="1"/>
        <v>15</v>
      </c>
    </row>
    <row r="26" spans="1:11" x14ac:dyDescent="0.35">
      <c r="A26" s="1950">
        <f t="shared" si="0"/>
        <v>16</v>
      </c>
      <c r="B26" s="989"/>
      <c r="I26" s="1878"/>
      <c r="J26" s="1950">
        <f t="shared" si="1"/>
        <v>16</v>
      </c>
    </row>
    <row r="27" spans="1:11" ht="16" thickBot="1" x14ac:dyDescent="0.4">
      <c r="A27" s="1950">
        <f t="shared" si="0"/>
        <v>17</v>
      </c>
      <c r="B27" s="988" t="s">
        <v>430</v>
      </c>
      <c r="G27" s="409">
        <f>G25/G17</f>
        <v>3.8015661384722177E-2</v>
      </c>
      <c r="H27" s="649"/>
      <c r="I27" s="1878" t="s">
        <v>1033</v>
      </c>
      <c r="J27" s="1950">
        <f t="shared" si="1"/>
        <v>17</v>
      </c>
    </row>
    <row r="28" spans="1:11" ht="16" thickTop="1" x14ac:dyDescent="0.35">
      <c r="A28" s="1950">
        <f t="shared" si="0"/>
        <v>18</v>
      </c>
      <c r="B28" s="989"/>
      <c r="I28" s="1878"/>
      <c r="J28" s="1950">
        <f t="shared" si="1"/>
        <v>18</v>
      </c>
    </row>
    <row r="29" spans="1:11" x14ac:dyDescent="0.35">
      <c r="A29" s="1950">
        <f t="shared" si="0"/>
        <v>19</v>
      </c>
      <c r="B29" s="988" t="s">
        <v>431</v>
      </c>
      <c r="I29" s="1878"/>
      <c r="J29" s="1950">
        <f t="shared" si="1"/>
        <v>19</v>
      </c>
    </row>
    <row r="30" spans="1:11" x14ac:dyDescent="0.35">
      <c r="A30" s="1950">
        <f t="shared" si="0"/>
        <v>20</v>
      </c>
      <c r="B30" s="989" t="s">
        <v>755</v>
      </c>
      <c r="E30" s="1950" t="s">
        <v>1812</v>
      </c>
      <c r="G30" s="105">
        <v>0</v>
      </c>
      <c r="H30" s="1947"/>
      <c r="I30" s="1296"/>
      <c r="J30" s="1950">
        <f t="shared" si="1"/>
        <v>20</v>
      </c>
    </row>
    <row r="31" spans="1:11" x14ac:dyDescent="0.35">
      <c r="A31" s="1950">
        <f t="shared" si="0"/>
        <v>21</v>
      </c>
      <c r="B31" s="989" t="s">
        <v>756</v>
      </c>
      <c r="C31" s="989"/>
      <c r="D31" s="989"/>
      <c r="E31" s="1950" t="s">
        <v>1813</v>
      </c>
      <c r="G31" s="410">
        <v>0</v>
      </c>
      <c r="H31" s="1947"/>
      <c r="I31" s="1296"/>
      <c r="J31" s="1950">
        <f t="shared" si="1"/>
        <v>21</v>
      </c>
    </row>
    <row r="32" spans="1:11" ht="16" thickBot="1" x14ac:dyDescent="0.4">
      <c r="A32" s="1950">
        <f t="shared" si="0"/>
        <v>22</v>
      </c>
      <c r="B32" s="989" t="s">
        <v>889</v>
      </c>
      <c r="G32" s="409">
        <f>IFERROR((G31/G30),0)</f>
        <v>0</v>
      </c>
      <c r="H32" s="649"/>
      <c r="I32" s="1878" t="s">
        <v>1034</v>
      </c>
      <c r="J32" s="1950">
        <f t="shared" si="1"/>
        <v>22</v>
      </c>
    </row>
    <row r="33" spans="1:11" ht="16" thickTop="1" x14ac:dyDescent="0.35">
      <c r="A33" s="1950">
        <f t="shared" si="0"/>
        <v>23</v>
      </c>
      <c r="B33" s="989"/>
      <c r="I33" s="1878"/>
      <c r="J33" s="1950">
        <f t="shared" si="1"/>
        <v>23</v>
      </c>
    </row>
    <row r="34" spans="1:11" x14ac:dyDescent="0.35">
      <c r="A34" s="1950">
        <f t="shared" si="0"/>
        <v>24</v>
      </c>
      <c r="B34" s="988" t="s">
        <v>433</v>
      </c>
      <c r="I34" s="1878"/>
      <c r="J34" s="1950">
        <f t="shared" si="1"/>
        <v>24</v>
      </c>
      <c r="K34" s="227"/>
    </row>
    <row r="35" spans="1:11" x14ac:dyDescent="0.35">
      <c r="A35" s="1950">
        <f t="shared" si="0"/>
        <v>25</v>
      </c>
      <c r="B35" s="989" t="s">
        <v>706</v>
      </c>
      <c r="E35" s="1950" t="s">
        <v>1814</v>
      </c>
      <c r="G35" s="105">
        <v>8248583.6459999997</v>
      </c>
      <c r="H35" s="1947"/>
      <c r="I35" s="1296"/>
      <c r="J35" s="1950">
        <f t="shared" si="1"/>
        <v>25</v>
      </c>
      <c r="K35" s="1297"/>
    </row>
    <row r="36" spans="1:11" x14ac:dyDescent="0.35">
      <c r="A36" s="1950">
        <f t="shared" si="0"/>
        <v>26</v>
      </c>
      <c r="B36" s="989" t="s">
        <v>759</v>
      </c>
      <c r="E36" s="1950" t="s">
        <v>1812</v>
      </c>
      <c r="G36" s="411">
        <f>-G30</f>
        <v>0</v>
      </c>
      <c r="H36" s="411"/>
      <c r="I36" s="1878" t="s">
        <v>1093</v>
      </c>
      <c r="J36" s="1950">
        <f t="shared" si="1"/>
        <v>26</v>
      </c>
      <c r="K36" s="227"/>
    </row>
    <row r="37" spans="1:11" x14ac:dyDescent="0.35">
      <c r="A37" s="1950">
        <f t="shared" si="0"/>
        <v>27</v>
      </c>
      <c r="B37" s="989" t="s">
        <v>757</v>
      </c>
      <c r="E37" s="1950" t="s">
        <v>1815</v>
      </c>
      <c r="G37" s="116">
        <v>0</v>
      </c>
      <c r="H37" s="1947"/>
      <c r="I37" s="1296"/>
      <c r="J37" s="1950">
        <f t="shared" si="1"/>
        <v>27</v>
      </c>
      <c r="K37" s="227"/>
    </row>
    <row r="38" spans="1:11" x14ac:dyDescent="0.35">
      <c r="A38" s="1950">
        <f t="shared" si="0"/>
        <v>28</v>
      </c>
      <c r="B38" s="989" t="s">
        <v>758</v>
      </c>
      <c r="E38" s="1950" t="s">
        <v>1816</v>
      </c>
      <c r="G38" s="116">
        <v>10117.040000000001</v>
      </c>
      <c r="H38" s="1947"/>
      <c r="I38" s="1296"/>
      <c r="J38" s="1950">
        <f t="shared" si="1"/>
        <v>28</v>
      </c>
    </row>
    <row r="39" spans="1:11" ht="16" thickBot="1" x14ac:dyDescent="0.4">
      <c r="A39" s="1950">
        <f t="shared" si="0"/>
        <v>29</v>
      </c>
      <c r="B39" s="989" t="s">
        <v>890</v>
      </c>
      <c r="C39" s="989"/>
      <c r="D39" s="989"/>
      <c r="E39" s="989"/>
      <c r="F39" s="989"/>
      <c r="G39" s="412">
        <f>SUM(G35:G38)</f>
        <v>8258700.6859999998</v>
      </c>
      <c r="H39" s="650"/>
      <c r="I39" s="1878" t="s">
        <v>1035</v>
      </c>
      <c r="J39" s="1950">
        <f t="shared" si="1"/>
        <v>29</v>
      </c>
      <c r="K39" s="1425"/>
    </row>
    <row r="40" spans="1:11" ht="16.5" thickTop="1" thickBot="1" x14ac:dyDescent="0.4">
      <c r="A40" s="639">
        <f t="shared" si="0"/>
        <v>30</v>
      </c>
      <c r="B40" s="1298"/>
      <c r="C40" s="405"/>
      <c r="D40" s="405"/>
      <c r="E40" s="405"/>
      <c r="F40" s="405"/>
      <c r="G40" s="405"/>
      <c r="H40" s="405"/>
      <c r="I40" s="1299"/>
      <c r="J40" s="639">
        <f t="shared" si="1"/>
        <v>30</v>
      </c>
      <c r="K40" s="1425"/>
    </row>
    <row r="41" spans="1:11" x14ac:dyDescent="0.35">
      <c r="A41" s="6">
        <f>A40+1</f>
        <v>31</v>
      </c>
      <c r="B41" s="1300"/>
      <c r="C41" s="297"/>
      <c r="D41" s="297"/>
      <c r="E41" s="297"/>
      <c r="F41" s="297"/>
      <c r="G41" s="297"/>
      <c r="H41" s="297"/>
      <c r="I41" s="1879"/>
      <c r="J41" s="6">
        <f>J40+1</f>
        <v>31</v>
      </c>
    </row>
    <row r="42" spans="1:11" ht="16" thickBot="1" x14ac:dyDescent="0.4">
      <c r="A42" s="1950">
        <f>A41+1</f>
        <v>32</v>
      </c>
      <c r="B42" s="988" t="s">
        <v>1398</v>
      </c>
      <c r="G42" s="413">
        <v>0.10100000000000001</v>
      </c>
      <c r="H42" s="1947"/>
      <c r="I42" s="2120" t="s">
        <v>1624</v>
      </c>
      <c r="J42" s="1950">
        <f>J41+1</f>
        <v>32</v>
      </c>
    </row>
    <row r="43" spans="1:11" ht="16" thickTop="1" x14ac:dyDescent="0.35">
      <c r="A43" s="1950">
        <f t="shared" si="0"/>
        <v>33</v>
      </c>
      <c r="B43" s="989"/>
      <c r="C43" s="414" t="s">
        <v>4</v>
      </c>
      <c r="D43" s="414" t="s">
        <v>5</v>
      </c>
      <c r="E43" s="414" t="s">
        <v>390</v>
      </c>
      <c r="F43" s="414"/>
      <c r="G43" s="414" t="s">
        <v>435</v>
      </c>
      <c r="H43" s="414"/>
      <c r="I43" s="1878"/>
      <c r="J43" s="1950">
        <f t="shared" si="1"/>
        <v>33</v>
      </c>
    </row>
    <row r="44" spans="1:11" x14ac:dyDescent="0.35">
      <c r="A44" s="1950">
        <f t="shared" si="0"/>
        <v>34</v>
      </c>
      <c r="B44" s="989"/>
      <c r="D44" s="1950" t="s">
        <v>436</v>
      </c>
      <c r="E44" s="1950" t="s">
        <v>455</v>
      </c>
      <c r="F44" s="1950"/>
      <c r="G44" s="1950" t="s">
        <v>437</v>
      </c>
      <c r="H44" s="1950"/>
      <c r="I44" s="1878"/>
      <c r="J44" s="1950">
        <f t="shared" si="1"/>
        <v>34</v>
      </c>
    </row>
    <row r="45" spans="1:11" ht="18" x14ac:dyDescent="0.35">
      <c r="A45" s="1950">
        <f t="shared" si="0"/>
        <v>35</v>
      </c>
      <c r="B45" s="988" t="s">
        <v>438</v>
      </c>
      <c r="C45" s="415" t="s">
        <v>937</v>
      </c>
      <c r="D45" s="415" t="s">
        <v>439</v>
      </c>
      <c r="E45" s="415" t="s">
        <v>456</v>
      </c>
      <c r="F45" s="415"/>
      <c r="G45" s="415" t="s">
        <v>440</v>
      </c>
      <c r="H45" s="6"/>
      <c r="I45" s="1878"/>
      <c r="J45" s="1950">
        <f t="shared" si="1"/>
        <v>35</v>
      </c>
    </row>
    <row r="46" spans="1:11" x14ac:dyDescent="0.35">
      <c r="A46" s="1950">
        <f t="shared" si="0"/>
        <v>36</v>
      </c>
      <c r="B46" s="989"/>
      <c r="I46" s="1878"/>
      <c r="J46" s="1950">
        <f t="shared" si="1"/>
        <v>36</v>
      </c>
    </row>
    <row r="47" spans="1:11" x14ac:dyDescent="0.35">
      <c r="A47" s="1950">
        <f t="shared" si="0"/>
        <v>37</v>
      </c>
      <c r="B47" s="989" t="s">
        <v>441</v>
      </c>
      <c r="C47" s="249">
        <f>G17</f>
        <v>6400965.29</v>
      </c>
      <c r="D47" s="418">
        <f>C47/C$50</f>
        <v>0.43663786749843475</v>
      </c>
      <c r="E47" s="419">
        <f>G27</f>
        <v>3.8015661384722177E-2</v>
      </c>
      <c r="G47" s="416">
        <f>D47*E47</f>
        <v>1.6599077318567683E-2</v>
      </c>
      <c r="H47" s="416"/>
      <c r="I47" s="1878" t="s">
        <v>1036</v>
      </c>
      <c r="J47" s="1950">
        <f t="shared" si="1"/>
        <v>37</v>
      </c>
    </row>
    <row r="48" spans="1:11" x14ac:dyDescent="0.35">
      <c r="A48" s="1950">
        <f t="shared" si="0"/>
        <v>38</v>
      </c>
      <c r="B48" s="989" t="s">
        <v>442</v>
      </c>
      <c r="C48" s="251">
        <f>G30</f>
        <v>0</v>
      </c>
      <c r="D48" s="418">
        <f>C48/C$50</f>
        <v>0</v>
      </c>
      <c r="E48" s="419">
        <f>G32</f>
        <v>0</v>
      </c>
      <c r="G48" s="416">
        <f>D48*E48</f>
        <v>0</v>
      </c>
      <c r="H48" s="416"/>
      <c r="I48" s="1878" t="s">
        <v>1037</v>
      </c>
      <c r="J48" s="1950">
        <f t="shared" si="1"/>
        <v>38</v>
      </c>
    </row>
    <row r="49" spans="1:10" x14ac:dyDescent="0.35">
      <c r="A49" s="1950">
        <f t="shared" si="0"/>
        <v>39</v>
      </c>
      <c r="B49" s="989" t="s">
        <v>443</v>
      </c>
      <c r="C49" s="251">
        <f>G39</f>
        <v>8258700.6859999998</v>
      </c>
      <c r="D49" s="420">
        <f>C49/C$50</f>
        <v>0.5633621325015653</v>
      </c>
      <c r="E49" s="421">
        <f>G42</f>
        <v>0.10100000000000001</v>
      </c>
      <c r="G49" s="417">
        <f>D49*E49</f>
        <v>5.68995753826581E-2</v>
      </c>
      <c r="H49" s="649"/>
      <c r="I49" s="1878" t="s">
        <v>1038</v>
      </c>
      <c r="J49" s="1950">
        <f t="shared" si="1"/>
        <v>39</v>
      </c>
    </row>
    <row r="50" spans="1:10" ht="16" thickBot="1" x14ac:dyDescent="0.4">
      <c r="A50" s="1950">
        <f t="shared" si="0"/>
        <v>40</v>
      </c>
      <c r="B50" s="989" t="s">
        <v>891</v>
      </c>
      <c r="C50" s="422">
        <f>SUM(C47:C49)</f>
        <v>14659665.976</v>
      </c>
      <c r="D50" s="423">
        <f>SUM(D47:D49)</f>
        <v>1</v>
      </c>
      <c r="E50" s="227"/>
      <c r="G50" s="409">
        <f>SUM(G47:G49)</f>
        <v>7.3498652701225783E-2</v>
      </c>
      <c r="H50" s="649"/>
      <c r="I50" s="1878" t="s">
        <v>1039</v>
      </c>
      <c r="J50" s="1950">
        <f t="shared" si="1"/>
        <v>40</v>
      </c>
    </row>
    <row r="51" spans="1:10" ht="16" thickTop="1" x14ac:dyDescent="0.35">
      <c r="A51" s="1950">
        <f t="shared" si="0"/>
        <v>41</v>
      </c>
      <c r="B51" s="989"/>
      <c r="C51" s="227"/>
      <c r="D51" s="227"/>
      <c r="E51" s="227"/>
      <c r="I51" s="1878"/>
      <c r="J51" s="1950">
        <f t="shared" si="1"/>
        <v>41</v>
      </c>
    </row>
    <row r="52" spans="1:10" ht="16" thickBot="1" x14ac:dyDescent="0.4">
      <c r="A52" s="1950">
        <f t="shared" si="0"/>
        <v>42</v>
      </c>
      <c r="B52" s="988" t="s">
        <v>457</v>
      </c>
      <c r="C52" s="227"/>
      <c r="D52" s="227"/>
      <c r="E52" s="227"/>
      <c r="G52" s="409">
        <f>G48+G49</f>
        <v>5.68995753826581E-2</v>
      </c>
      <c r="H52" s="649"/>
      <c r="I52" s="1878" t="s">
        <v>1040</v>
      </c>
      <c r="J52" s="1950">
        <f t="shared" si="1"/>
        <v>42</v>
      </c>
    </row>
    <row r="53" spans="1:10" ht="16.5" thickTop="1" thickBot="1" x14ac:dyDescent="0.4">
      <c r="A53" s="639">
        <f>A52+1</f>
        <v>43</v>
      </c>
      <c r="B53" s="1298"/>
      <c r="C53" s="1301"/>
      <c r="D53" s="1301"/>
      <c r="E53" s="1301"/>
      <c r="F53" s="405"/>
      <c r="G53" s="405"/>
      <c r="H53" s="405"/>
      <c r="I53" s="1299"/>
      <c r="J53" s="639">
        <f>J52+1</f>
        <v>43</v>
      </c>
    </row>
    <row r="54" spans="1:10" x14ac:dyDescent="0.35">
      <c r="A54" s="6">
        <f t="shared" ref="A54:A102" si="2">A53+1</f>
        <v>44</v>
      </c>
      <c r="B54" s="1300"/>
      <c r="C54" s="1302"/>
      <c r="D54" s="1302"/>
      <c r="E54" s="1302"/>
      <c r="F54" s="297"/>
      <c r="G54" s="297"/>
      <c r="H54" s="297"/>
      <c r="I54" s="1879"/>
      <c r="J54" s="6">
        <f t="shared" ref="J54:J102" si="3">J53+1</f>
        <v>44</v>
      </c>
    </row>
    <row r="55" spans="1:10" ht="16" thickBot="1" x14ac:dyDescent="0.4">
      <c r="A55" s="6">
        <f>A54+1</f>
        <v>45</v>
      </c>
      <c r="B55" s="1708" t="s">
        <v>1399</v>
      </c>
      <c r="G55" s="413">
        <v>5.0000000000000001E-3</v>
      </c>
      <c r="H55" s="297"/>
      <c r="I55" s="2120" t="s">
        <v>1624</v>
      </c>
      <c r="J55" s="6">
        <f>J54+1</f>
        <v>45</v>
      </c>
    </row>
    <row r="56" spans="1:10" ht="16" thickTop="1" x14ac:dyDescent="0.35">
      <c r="A56" s="6">
        <f t="shared" si="2"/>
        <v>46</v>
      </c>
      <c r="B56" s="989"/>
      <c r="C56" s="1303" t="s">
        <v>4</v>
      </c>
      <c r="D56" s="1303" t="s">
        <v>5</v>
      </c>
      <c r="E56" s="1303" t="s">
        <v>390</v>
      </c>
      <c r="F56" s="414"/>
      <c r="G56" s="414" t="s">
        <v>435</v>
      </c>
      <c r="H56" s="297"/>
      <c r="I56" s="1878"/>
      <c r="J56" s="6">
        <f t="shared" si="3"/>
        <v>46</v>
      </c>
    </row>
    <row r="57" spans="1:10" x14ac:dyDescent="0.35">
      <c r="A57" s="6">
        <f t="shared" si="2"/>
        <v>47</v>
      </c>
      <c r="B57" s="989"/>
      <c r="C57" s="227"/>
      <c r="D57" s="1304" t="s">
        <v>436</v>
      </c>
      <c r="E57" s="1304" t="s">
        <v>455</v>
      </c>
      <c r="F57" s="1950"/>
      <c r="G57" s="1950" t="s">
        <v>437</v>
      </c>
      <c r="H57" s="297"/>
      <c r="I57" s="1878"/>
      <c r="J57" s="6">
        <f t="shared" si="3"/>
        <v>47</v>
      </c>
    </row>
    <row r="58" spans="1:10" ht="18" x14ac:dyDescent="0.35">
      <c r="A58" s="6">
        <f t="shared" si="2"/>
        <v>48</v>
      </c>
      <c r="B58" s="988" t="s">
        <v>438</v>
      </c>
      <c r="C58" s="1305" t="s">
        <v>937</v>
      </c>
      <c r="D58" s="1305" t="s">
        <v>439</v>
      </c>
      <c r="E58" s="1305" t="s">
        <v>456</v>
      </c>
      <c r="F58" s="415"/>
      <c r="G58" s="415" t="s">
        <v>440</v>
      </c>
      <c r="H58" s="297"/>
      <c r="I58" s="1878"/>
      <c r="J58" s="6">
        <f t="shared" si="3"/>
        <v>48</v>
      </c>
    </row>
    <row r="59" spans="1:10" x14ac:dyDescent="0.35">
      <c r="A59" s="6">
        <f t="shared" si="2"/>
        <v>49</v>
      </c>
      <c r="B59" s="989"/>
      <c r="C59" s="227"/>
      <c r="D59" s="227"/>
      <c r="E59" s="227"/>
      <c r="H59" s="297"/>
      <c r="I59" s="1878"/>
      <c r="J59" s="6">
        <f t="shared" si="3"/>
        <v>49</v>
      </c>
    </row>
    <row r="60" spans="1:10" x14ac:dyDescent="0.35">
      <c r="A60" s="6">
        <f t="shared" si="2"/>
        <v>50</v>
      </c>
      <c r="B60" s="989" t="s">
        <v>441</v>
      </c>
      <c r="C60" s="249">
        <f>G17</f>
        <v>6400965.29</v>
      </c>
      <c r="D60" s="418">
        <f>C60/C$63</f>
        <v>0.43663786749843475</v>
      </c>
      <c r="E60" s="1710">
        <v>0</v>
      </c>
      <c r="G60" s="416">
        <f>D60*E60</f>
        <v>0</v>
      </c>
      <c r="H60" s="297"/>
      <c r="I60" s="1878" t="s">
        <v>1234</v>
      </c>
      <c r="J60" s="6">
        <f t="shared" si="3"/>
        <v>50</v>
      </c>
    </row>
    <row r="61" spans="1:10" x14ac:dyDescent="0.35">
      <c r="A61" s="6">
        <f t="shared" si="2"/>
        <v>51</v>
      </c>
      <c r="B61" s="989" t="s">
        <v>442</v>
      </c>
      <c r="C61" s="251">
        <f>G30</f>
        <v>0</v>
      </c>
      <c r="D61" s="418">
        <f>C61/C$63</f>
        <v>0</v>
      </c>
      <c r="E61" s="1710">
        <v>0</v>
      </c>
      <c r="G61" s="416">
        <f>D61*E61</f>
        <v>0</v>
      </c>
      <c r="H61" s="297"/>
      <c r="I61" s="1878" t="s">
        <v>1234</v>
      </c>
      <c r="J61" s="6">
        <f t="shared" si="3"/>
        <v>51</v>
      </c>
    </row>
    <row r="62" spans="1:10" x14ac:dyDescent="0.35">
      <c r="A62" s="6">
        <f t="shared" si="2"/>
        <v>52</v>
      </c>
      <c r="B62" s="989" t="s">
        <v>443</v>
      </c>
      <c r="C62" s="251">
        <f>G39</f>
        <v>8258700.6859999998</v>
      </c>
      <c r="D62" s="420">
        <f>C62/C$63</f>
        <v>0.5633621325015653</v>
      </c>
      <c r="E62" s="421">
        <f>G55</f>
        <v>5.0000000000000001E-3</v>
      </c>
      <c r="G62" s="417">
        <f>D62*E62</f>
        <v>2.8168106625078267E-3</v>
      </c>
      <c r="H62" s="297"/>
      <c r="I62" s="1878" t="s">
        <v>1041</v>
      </c>
      <c r="J62" s="6">
        <f t="shared" si="3"/>
        <v>52</v>
      </c>
    </row>
    <row r="63" spans="1:10" ht="16" thickBot="1" x14ac:dyDescent="0.4">
      <c r="A63" s="6">
        <f t="shared" si="2"/>
        <v>53</v>
      </c>
      <c r="B63" s="989" t="s">
        <v>891</v>
      </c>
      <c r="C63" s="422">
        <f>SUM(C60:C62)</f>
        <v>14659665.976</v>
      </c>
      <c r="D63" s="423">
        <f>SUM(D60:D62)</f>
        <v>1</v>
      </c>
      <c r="E63" s="227"/>
      <c r="G63" s="409">
        <f>SUM(G60:G62)</f>
        <v>2.8168106625078267E-3</v>
      </c>
      <c r="H63" s="297"/>
      <c r="I63" s="1878" t="s">
        <v>1042</v>
      </c>
      <c r="J63" s="6">
        <f t="shared" si="3"/>
        <v>53</v>
      </c>
    </row>
    <row r="64" spans="1:10" ht="16" thickTop="1" x14ac:dyDescent="0.35">
      <c r="A64" s="6">
        <f t="shared" si="2"/>
        <v>54</v>
      </c>
      <c r="B64" s="989"/>
      <c r="C64" s="227"/>
      <c r="D64" s="227"/>
      <c r="E64" s="227"/>
      <c r="H64" s="297"/>
      <c r="I64" s="1878"/>
      <c r="J64" s="6">
        <f t="shared" si="3"/>
        <v>54</v>
      </c>
    </row>
    <row r="65" spans="1:10" ht="16" thickBot="1" x14ac:dyDescent="0.4">
      <c r="A65" s="6">
        <f t="shared" si="2"/>
        <v>55</v>
      </c>
      <c r="B65" s="1708" t="s">
        <v>1248</v>
      </c>
      <c r="C65" s="227"/>
      <c r="D65" s="227"/>
      <c r="E65" s="227"/>
      <c r="G65" s="423">
        <f>G62</f>
        <v>2.8168106625078267E-3</v>
      </c>
      <c r="H65" s="1302"/>
      <c r="I65" s="1709" t="s">
        <v>1249</v>
      </c>
      <c r="J65" s="6">
        <f t="shared" si="3"/>
        <v>55</v>
      </c>
    </row>
    <row r="66" spans="1:10" ht="16" thickTop="1" x14ac:dyDescent="0.35">
      <c r="A66" s="6"/>
      <c r="B66" s="1708"/>
      <c r="C66" s="227"/>
      <c r="D66" s="227"/>
      <c r="E66" s="227"/>
      <c r="G66" s="440"/>
      <c r="H66" s="1302"/>
      <c r="I66" s="1709"/>
      <c r="J66" s="6"/>
    </row>
    <row r="67" spans="1:10" ht="18" x14ac:dyDescent="0.35">
      <c r="A67" s="1005">
        <v>1</v>
      </c>
      <c r="B67" s="989" t="s">
        <v>459</v>
      </c>
      <c r="C67" s="227"/>
      <c r="D67" s="227"/>
      <c r="E67" s="227"/>
      <c r="G67" s="440"/>
      <c r="H67" s="1302"/>
      <c r="I67" s="1709"/>
      <c r="J67" s="6"/>
    </row>
    <row r="68" spans="1:10" x14ac:dyDescent="0.35">
      <c r="A68" s="6"/>
      <c r="B68" s="1708"/>
      <c r="C68" s="227"/>
      <c r="D68" s="227"/>
      <c r="E68" s="227"/>
      <c r="G68" s="440"/>
      <c r="H68" s="1302"/>
      <c r="I68" s="1709"/>
      <c r="J68" s="6"/>
    </row>
    <row r="69" spans="1:10" x14ac:dyDescent="0.35">
      <c r="A69" s="6"/>
      <c r="B69" s="1708"/>
      <c r="C69" s="227"/>
      <c r="D69" s="227"/>
      <c r="E69" s="227"/>
      <c r="G69" s="440"/>
      <c r="H69" s="1302"/>
      <c r="I69" s="1709"/>
      <c r="J69" s="6"/>
    </row>
    <row r="70" spans="1:10" x14ac:dyDescent="0.35">
      <c r="A70" s="6"/>
      <c r="B70" s="2288" t="s">
        <v>18</v>
      </c>
      <c r="C70" s="2288"/>
      <c r="D70" s="2288"/>
      <c r="E70" s="2288"/>
      <c r="F70" s="2288"/>
      <c r="G70" s="2288"/>
      <c r="H70" s="2288"/>
      <c r="I70" s="2289"/>
      <c r="J70" s="6"/>
    </row>
    <row r="71" spans="1:10" x14ac:dyDescent="0.35">
      <c r="A71" s="6"/>
      <c r="B71" s="2288" t="s">
        <v>426</v>
      </c>
      <c r="C71" s="2288"/>
      <c r="D71" s="2288"/>
      <c r="E71" s="2288"/>
      <c r="F71" s="2288"/>
      <c r="G71" s="2288"/>
      <c r="H71" s="2288"/>
      <c r="I71" s="2289"/>
      <c r="J71" s="6"/>
    </row>
    <row r="72" spans="1:10" x14ac:dyDescent="0.35">
      <c r="A72" s="6"/>
      <c r="B72" s="2288" t="s">
        <v>427</v>
      </c>
      <c r="C72" s="2288"/>
      <c r="D72" s="2288"/>
      <c r="E72" s="2288"/>
      <c r="F72" s="2288"/>
      <c r="G72" s="2288"/>
      <c r="H72" s="2288"/>
      <c r="I72" s="2289"/>
      <c r="J72" s="6"/>
    </row>
    <row r="73" spans="1:10" x14ac:dyDescent="0.35">
      <c r="A73" s="6"/>
      <c r="B73" s="2293" t="str">
        <f>B5</f>
        <v>Base Period &amp; True-Up Period 12 - Months Ending December 31, 2021</v>
      </c>
      <c r="C73" s="2293"/>
      <c r="D73" s="2293"/>
      <c r="E73" s="2293"/>
      <c r="F73" s="2293"/>
      <c r="G73" s="2293"/>
      <c r="H73" s="2293"/>
      <c r="I73" s="2283"/>
      <c r="J73" s="6"/>
    </row>
    <row r="74" spans="1:10" x14ac:dyDescent="0.35">
      <c r="A74" s="6"/>
      <c r="B74" s="2291" t="s">
        <v>2</v>
      </c>
      <c r="C74" s="2278"/>
      <c r="D74" s="2278"/>
      <c r="E74" s="2278"/>
      <c r="F74" s="2278"/>
      <c r="G74" s="2278"/>
      <c r="H74" s="2278"/>
      <c r="I74" s="2278"/>
      <c r="J74" s="6"/>
    </row>
    <row r="75" spans="1:10" x14ac:dyDescent="0.35">
      <c r="B75" s="236"/>
      <c r="C75" s="236"/>
      <c r="D75" s="236"/>
      <c r="E75" s="236"/>
      <c r="F75" s="236"/>
      <c r="G75" s="236"/>
      <c r="H75" s="236"/>
      <c r="I75" s="1878"/>
      <c r="J75" s="1950"/>
    </row>
    <row r="76" spans="1:10" x14ac:dyDescent="0.35">
      <c r="A76" s="1950" t="s">
        <v>3</v>
      </c>
      <c r="B76" s="1947"/>
      <c r="C76" s="1947"/>
      <c r="D76" s="1947"/>
      <c r="E76" s="236" t="s">
        <v>648</v>
      </c>
      <c r="F76" s="1947"/>
      <c r="G76" s="1947"/>
      <c r="H76" s="1947"/>
      <c r="I76" s="1878"/>
      <c r="J76" s="1950" t="s">
        <v>3</v>
      </c>
    </row>
    <row r="77" spans="1:10" x14ac:dyDescent="0.35">
      <c r="A77" s="6" t="s">
        <v>25</v>
      </c>
      <c r="B77" s="236"/>
      <c r="C77" s="236"/>
      <c r="D77" s="236"/>
      <c r="E77" s="732" t="s">
        <v>646</v>
      </c>
      <c r="F77" s="236"/>
      <c r="G77" s="935" t="s">
        <v>135</v>
      </c>
      <c r="H77" s="1947"/>
      <c r="I77" s="1293" t="s">
        <v>9</v>
      </c>
      <c r="J77" s="6" t="s">
        <v>25</v>
      </c>
    </row>
    <row r="78" spans="1:10" s="297" customFormat="1" x14ac:dyDescent="0.35">
      <c r="A78" s="6"/>
      <c r="B78" s="1300"/>
      <c r="C78" s="1302"/>
      <c r="D78" s="1302"/>
      <c r="E78" s="1302"/>
      <c r="I78" s="1879"/>
      <c r="J78" s="6"/>
    </row>
    <row r="79" spans="1:10" ht="18.5" thickBot="1" x14ac:dyDescent="0.4">
      <c r="A79" s="6">
        <v>1</v>
      </c>
      <c r="B79" s="988" t="s">
        <v>1400</v>
      </c>
      <c r="C79" s="227"/>
      <c r="D79" s="227"/>
      <c r="E79" s="227"/>
      <c r="G79" s="413">
        <v>0</v>
      </c>
      <c r="H79" s="1947"/>
      <c r="I79" s="1113"/>
      <c r="J79" s="1950">
        <f>A79</f>
        <v>1</v>
      </c>
    </row>
    <row r="80" spans="1:10" ht="16" thickTop="1" x14ac:dyDescent="0.35">
      <c r="A80" s="6">
        <f t="shared" si="2"/>
        <v>2</v>
      </c>
      <c r="B80" s="989"/>
      <c r="C80" s="1303" t="s">
        <v>4</v>
      </c>
      <c r="D80" s="1303" t="s">
        <v>5</v>
      </c>
      <c r="E80" s="1303" t="s">
        <v>390</v>
      </c>
      <c r="F80" s="414"/>
      <c r="G80" s="414" t="s">
        <v>435</v>
      </c>
      <c r="H80" s="414"/>
      <c r="I80" s="1878"/>
      <c r="J80" s="6">
        <f t="shared" si="3"/>
        <v>2</v>
      </c>
    </row>
    <row r="81" spans="1:10" x14ac:dyDescent="0.35">
      <c r="A81" s="1950">
        <f t="shared" si="2"/>
        <v>3</v>
      </c>
      <c r="B81" s="989"/>
      <c r="C81" s="227"/>
      <c r="D81" s="1304" t="s">
        <v>436</v>
      </c>
      <c r="E81" s="1304" t="s">
        <v>455</v>
      </c>
      <c r="F81" s="1950"/>
      <c r="G81" s="1950" t="s">
        <v>437</v>
      </c>
      <c r="H81" s="1950"/>
      <c r="I81" s="1878"/>
      <c r="J81" s="1950">
        <f t="shared" si="3"/>
        <v>3</v>
      </c>
    </row>
    <row r="82" spans="1:10" ht="18" x14ac:dyDescent="0.35">
      <c r="A82" s="1950">
        <f t="shared" si="2"/>
        <v>4</v>
      </c>
      <c r="B82" s="988" t="s">
        <v>919</v>
      </c>
      <c r="C82" s="1305" t="s">
        <v>1250</v>
      </c>
      <c r="D82" s="1305" t="s">
        <v>439</v>
      </c>
      <c r="E82" s="1305" t="s">
        <v>456</v>
      </c>
      <c r="F82" s="415"/>
      <c r="G82" s="415" t="s">
        <v>440</v>
      </c>
      <c r="H82" s="6"/>
      <c r="I82" s="1878"/>
      <c r="J82" s="1950">
        <f t="shared" si="3"/>
        <v>4</v>
      </c>
    </row>
    <row r="83" spans="1:10" x14ac:dyDescent="0.35">
      <c r="A83" s="1950">
        <f t="shared" si="2"/>
        <v>5</v>
      </c>
      <c r="B83" s="989"/>
      <c r="C83" s="227"/>
      <c r="D83" s="227"/>
      <c r="E83" s="227"/>
      <c r="I83" s="1878"/>
      <c r="J83" s="1950">
        <f t="shared" si="3"/>
        <v>5</v>
      </c>
    </row>
    <row r="84" spans="1:10" x14ac:dyDescent="0.35">
      <c r="A84" s="1950">
        <f t="shared" si="2"/>
        <v>6</v>
      </c>
      <c r="B84" s="989" t="s">
        <v>441</v>
      </c>
      <c r="C84" s="249">
        <f>G17</f>
        <v>6400965.29</v>
      </c>
      <c r="D84" s="418">
        <f>C84/C$87</f>
        <v>0.43663786749843475</v>
      </c>
      <c r="E84" s="419">
        <f>G27</f>
        <v>3.8015661384722177E-2</v>
      </c>
      <c r="G84" s="416">
        <f>D84*E84</f>
        <v>1.6599077318567683E-2</v>
      </c>
      <c r="H84" s="416"/>
      <c r="I84" s="1878" t="s">
        <v>1401</v>
      </c>
      <c r="J84" s="1950">
        <f t="shared" si="3"/>
        <v>6</v>
      </c>
    </row>
    <row r="85" spans="1:10" x14ac:dyDescent="0.35">
      <c r="A85" s="1950">
        <f t="shared" si="2"/>
        <v>7</v>
      </c>
      <c r="B85" s="989" t="s">
        <v>442</v>
      </c>
      <c r="C85" s="251">
        <f>G30</f>
        <v>0</v>
      </c>
      <c r="D85" s="418">
        <f>C85/C$87</f>
        <v>0</v>
      </c>
      <c r="E85" s="419">
        <f>G32</f>
        <v>0</v>
      </c>
      <c r="G85" s="416">
        <f>D85*E85</f>
        <v>0</v>
      </c>
      <c r="H85" s="416"/>
      <c r="I85" s="1878" t="s">
        <v>1402</v>
      </c>
      <c r="J85" s="1950">
        <f t="shared" si="3"/>
        <v>7</v>
      </c>
    </row>
    <row r="86" spans="1:10" x14ac:dyDescent="0.35">
      <c r="A86" s="1950">
        <f t="shared" si="2"/>
        <v>8</v>
      </c>
      <c r="B86" s="989" t="s">
        <v>443</v>
      </c>
      <c r="C86" s="251">
        <f>G39</f>
        <v>8258700.6859999998</v>
      </c>
      <c r="D86" s="420">
        <f>C86/C$87</f>
        <v>0.5633621325015653</v>
      </c>
      <c r="E86" s="421">
        <f>G79</f>
        <v>0</v>
      </c>
      <c r="G86" s="417">
        <f>D86*E86</f>
        <v>0</v>
      </c>
      <c r="H86" s="649"/>
      <c r="I86" s="1878" t="s">
        <v>1251</v>
      </c>
      <c r="J86" s="1950">
        <f t="shared" si="3"/>
        <v>8</v>
      </c>
    </row>
    <row r="87" spans="1:10" ht="16" thickBot="1" x14ac:dyDescent="0.4">
      <c r="A87" s="1950">
        <f t="shared" si="2"/>
        <v>9</v>
      </c>
      <c r="B87" s="989" t="s">
        <v>891</v>
      </c>
      <c r="C87" s="424">
        <f>SUM(C84:C86)</f>
        <v>14659665.976</v>
      </c>
      <c r="D87" s="423">
        <f>SUM(D84:D86)</f>
        <v>1</v>
      </c>
      <c r="G87" s="409">
        <f>SUM(G84:G86)</f>
        <v>1.6599077318567683E-2</v>
      </c>
      <c r="H87" s="649"/>
      <c r="I87" s="1878" t="s">
        <v>1252</v>
      </c>
      <c r="J87" s="1950">
        <f t="shared" si="3"/>
        <v>9</v>
      </c>
    </row>
    <row r="88" spans="1:10" ht="16" thickTop="1" x14ac:dyDescent="0.35">
      <c r="A88" s="1950">
        <f t="shared" si="2"/>
        <v>10</v>
      </c>
      <c r="B88" s="989"/>
      <c r="I88" s="1878"/>
      <c r="J88" s="1950">
        <f t="shared" si="3"/>
        <v>10</v>
      </c>
    </row>
    <row r="89" spans="1:10" ht="16" thickBot="1" x14ac:dyDescent="0.4">
      <c r="A89" s="1950">
        <f t="shared" si="2"/>
        <v>11</v>
      </c>
      <c r="B89" s="988" t="s">
        <v>458</v>
      </c>
      <c r="G89" s="409">
        <f>G85+G86</f>
        <v>0</v>
      </c>
      <c r="H89" s="649"/>
      <c r="I89" s="1878" t="s">
        <v>1253</v>
      </c>
      <c r="J89" s="1950">
        <f t="shared" si="3"/>
        <v>11</v>
      </c>
    </row>
    <row r="90" spans="1:10" ht="16.5" thickTop="1" thickBot="1" x14ac:dyDescent="0.4">
      <c r="A90" s="1657">
        <f t="shared" si="2"/>
        <v>12</v>
      </c>
      <c r="B90" s="1653"/>
      <c r="C90" s="1637"/>
      <c r="D90" s="1637"/>
      <c r="E90" s="1637"/>
      <c r="F90" s="1637"/>
      <c r="G90" s="1654"/>
      <c r="H90" s="1654"/>
      <c r="I90" s="1659"/>
      <c r="J90" s="1657">
        <f t="shared" si="3"/>
        <v>12</v>
      </c>
    </row>
    <row r="91" spans="1:10" x14ac:dyDescent="0.35">
      <c r="A91" s="6">
        <f t="shared" si="2"/>
        <v>13</v>
      </c>
      <c r="B91" s="1300"/>
      <c r="C91" s="1302"/>
      <c r="D91" s="1302"/>
      <c r="E91" s="1302"/>
      <c r="F91" s="297"/>
      <c r="G91" s="297"/>
      <c r="H91" s="297"/>
      <c r="I91" s="1879"/>
      <c r="J91" s="6">
        <f t="shared" si="3"/>
        <v>13</v>
      </c>
    </row>
    <row r="92" spans="1:10" ht="31.5" thickBot="1" x14ac:dyDescent="0.4">
      <c r="A92" s="6">
        <f t="shared" si="2"/>
        <v>14</v>
      </c>
      <c r="B92" s="1708" t="s">
        <v>1399</v>
      </c>
      <c r="G92" s="413">
        <v>0</v>
      </c>
      <c r="H92" s="297"/>
      <c r="I92" s="1709" t="s">
        <v>1247</v>
      </c>
      <c r="J92" s="6">
        <f t="shared" si="3"/>
        <v>14</v>
      </c>
    </row>
    <row r="93" spans="1:10" ht="16" thickTop="1" x14ac:dyDescent="0.35">
      <c r="A93" s="6">
        <f t="shared" si="2"/>
        <v>15</v>
      </c>
      <c r="B93" s="989"/>
      <c r="C93" s="1303" t="s">
        <v>4</v>
      </c>
      <c r="D93" s="1303" t="s">
        <v>5</v>
      </c>
      <c r="E93" s="1303" t="s">
        <v>390</v>
      </c>
      <c r="F93" s="414"/>
      <c r="G93" s="414" t="s">
        <v>435</v>
      </c>
      <c r="H93" s="297"/>
      <c r="I93" s="1878"/>
      <c r="J93" s="6">
        <f t="shared" si="3"/>
        <v>15</v>
      </c>
    </row>
    <row r="94" spans="1:10" x14ac:dyDescent="0.35">
      <c r="A94" s="6">
        <f t="shared" si="2"/>
        <v>16</v>
      </c>
      <c r="B94" s="989"/>
      <c r="C94" s="227"/>
      <c r="D94" s="1304" t="s">
        <v>436</v>
      </c>
      <c r="E94" s="1304" t="s">
        <v>455</v>
      </c>
      <c r="F94" s="1950"/>
      <c r="G94" s="1950" t="s">
        <v>437</v>
      </c>
      <c r="H94" s="297"/>
      <c r="I94" s="1878"/>
      <c r="J94" s="6">
        <f t="shared" si="3"/>
        <v>16</v>
      </c>
    </row>
    <row r="95" spans="1:10" ht="18" x14ac:dyDescent="0.35">
      <c r="A95" s="6">
        <f t="shared" si="2"/>
        <v>17</v>
      </c>
      <c r="B95" s="988" t="s">
        <v>438</v>
      </c>
      <c r="C95" s="1305" t="s">
        <v>1250</v>
      </c>
      <c r="D95" s="1305" t="s">
        <v>439</v>
      </c>
      <c r="E95" s="1305" t="s">
        <v>456</v>
      </c>
      <c r="F95" s="415"/>
      <c r="G95" s="415" t="s">
        <v>440</v>
      </c>
      <c r="H95" s="297"/>
      <c r="I95" s="1878"/>
      <c r="J95" s="6">
        <f t="shared" si="3"/>
        <v>17</v>
      </c>
    </row>
    <row r="96" spans="1:10" x14ac:dyDescent="0.35">
      <c r="A96" s="6">
        <f t="shared" si="2"/>
        <v>18</v>
      </c>
      <c r="B96" s="989"/>
      <c r="C96" s="227"/>
      <c r="D96" s="227"/>
      <c r="E96" s="227"/>
      <c r="H96" s="297"/>
      <c r="I96" s="1878"/>
      <c r="J96" s="6">
        <f t="shared" si="3"/>
        <v>18</v>
      </c>
    </row>
    <row r="97" spans="1:10" x14ac:dyDescent="0.35">
      <c r="A97" s="6">
        <f t="shared" si="2"/>
        <v>19</v>
      </c>
      <c r="B97" s="989" t="s">
        <v>441</v>
      </c>
      <c r="C97" s="249">
        <f>G17</f>
        <v>6400965.29</v>
      </c>
      <c r="D97" s="418">
        <f>C97/C$100</f>
        <v>0.43663786749843475</v>
      </c>
      <c r="E97" s="1710">
        <v>0</v>
      </c>
      <c r="G97" s="416">
        <f>D97*E97</f>
        <v>0</v>
      </c>
      <c r="H97" s="297"/>
      <c r="I97" s="1878" t="s">
        <v>1234</v>
      </c>
      <c r="J97" s="6">
        <f t="shared" si="3"/>
        <v>19</v>
      </c>
    </row>
    <row r="98" spans="1:10" x14ac:dyDescent="0.35">
      <c r="A98" s="6">
        <f t="shared" si="2"/>
        <v>20</v>
      </c>
      <c r="B98" s="989" t="s">
        <v>442</v>
      </c>
      <c r="C98" s="251">
        <f>G30</f>
        <v>0</v>
      </c>
      <c r="D98" s="418">
        <f>C98/C$100</f>
        <v>0</v>
      </c>
      <c r="E98" s="1710">
        <v>0</v>
      </c>
      <c r="G98" s="416">
        <f>D98*E98</f>
        <v>0</v>
      </c>
      <c r="H98" s="297"/>
      <c r="I98" s="1878" t="s">
        <v>1234</v>
      </c>
      <c r="J98" s="6">
        <f t="shared" si="3"/>
        <v>20</v>
      </c>
    </row>
    <row r="99" spans="1:10" x14ac:dyDescent="0.35">
      <c r="A99" s="6">
        <f t="shared" si="2"/>
        <v>21</v>
      </c>
      <c r="B99" s="989" t="s">
        <v>443</v>
      </c>
      <c r="C99" s="251">
        <f>G39</f>
        <v>8258700.6859999998</v>
      </c>
      <c r="D99" s="420">
        <f>C99/C$100</f>
        <v>0.5633621325015653</v>
      </c>
      <c r="E99" s="421">
        <f>G92</f>
        <v>0</v>
      </c>
      <c r="G99" s="417">
        <f>D99*E99</f>
        <v>0</v>
      </c>
      <c r="H99" s="297"/>
      <c r="I99" s="1878" t="s">
        <v>1254</v>
      </c>
      <c r="J99" s="6">
        <f t="shared" si="3"/>
        <v>21</v>
      </c>
    </row>
    <row r="100" spans="1:10" ht="16" thickBot="1" x14ac:dyDescent="0.4">
      <c r="A100" s="6">
        <f t="shared" si="2"/>
        <v>22</v>
      </c>
      <c r="B100" s="989" t="s">
        <v>891</v>
      </c>
      <c r="C100" s="422">
        <f>SUM(C97:C99)</f>
        <v>14659665.976</v>
      </c>
      <c r="D100" s="423">
        <f>SUM(D97:D99)</f>
        <v>1</v>
      </c>
      <c r="E100" s="227"/>
      <c r="G100" s="409">
        <f>SUM(G97:G99)</f>
        <v>0</v>
      </c>
      <c r="H100" s="297"/>
      <c r="I100" s="1878" t="s">
        <v>1068</v>
      </c>
      <c r="J100" s="6">
        <f t="shared" si="3"/>
        <v>22</v>
      </c>
    </row>
    <row r="101" spans="1:10" ht="16" thickTop="1" x14ac:dyDescent="0.35">
      <c r="A101" s="6">
        <f t="shared" si="2"/>
        <v>23</v>
      </c>
      <c r="B101" s="989"/>
      <c r="C101" s="227"/>
      <c r="D101" s="227"/>
      <c r="E101" s="227"/>
      <c r="H101" s="297"/>
      <c r="I101" s="1878"/>
      <c r="J101" s="6">
        <f t="shared" si="3"/>
        <v>23</v>
      </c>
    </row>
    <row r="102" spans="1:10" ht="16" thickBot="1" x14ac:dyDescent="0.4">
      <c r="A102" s="6">
        <f t="shared" si="2"/>
        <v>24</v>
      </c>
      <c r="B102" s="1708" t="s">
        <v>1248</v>
      </c>
      <c r="C102" s="227"/>
      <c r="D102" s="227"/>
      <c r="E102" s="227"/>
      <c r="G102" s="423">
        <f>G99</f>
        <v>0</v>
      </c>
      <c r="H102" s="1302"/>
      <c r="I102" s="1709" t="s">
        <v>1255</v>
      </c>
      <c r="J102" s="6">
        <f t="shared" si="3"/>
        <v>24</v>
      </c>
    </row>
    <row r="103" spans="1:10" ht="16" thickTop="1" x14ac:dyDescent="0.35">
      <c r="A103" s="6"/>
      <c r="B103" s="1708"/>
      <c r="C103" s="227"/>
      <c r="D103" s="227"/>
      <c r="E103" s="227"/>
      <c r="G103" s="440"/>
      <c r="H103" s="1302"/>
      <c r="I103" s="1709"/>
      <c r="J103" s="6"/>
    </row>
    <row r="104" spans="1:10" ht="18" x14ac:dyDescent="0.35">
      <c r="A104" s="1005">
        <v>1</v>
      </c>
      <c r="B104" s="989" t="s">
        <v>1403</v>
      </c>
      <c r="C104" s="227"/>
      <c r="D104" s="227"/>
      <c r="E104" s="227"/>
      <c r="G104" s="440"/>
      <c r="H104" s="1302"/>
      <c r="I104" s="1709"/>
      <c r="J104" s="6"/>
    </row>
    <row r="105" spans="1:10" ht="18" x14ac:dyDescent="0.35">
      <c r="A105" s="1005">
        <v>2</v>
      </c>
      <c r="B105" s="989" t="s">
        <v>459</v>
      </c>
      <c r="C105" s="989"/>
      <c r="D105" s="989"/>
      <c r="E105" s="989"/>
      <c r="F105" s="989"/>
      <c r="G105" s="310"/>
      <c r="H105" s="310"/>
      <c r="J105" s="236" t="s">
        <v>10</v>
      </c>
    </row>
    <row r="106" spans="1:10" ht="18" x14ac:dyDescent="0.35">
      <c r="A106" s="1962"/>
      <c r="B106" s="1652"/>
      <c r="C106" s="1652"/>
      <c r="D106" s="1652"/>
      <c r="E106" s="1652"/>
      <c r="F106" s="989"/>
      <c r="G106" s="310"/>
      <c r="H106" s="310"/>
      <c r="J106" s="236"/>
    </row>
    <row r="107" spans="1:10" ht="18" x14ac:dyDescent="0.35">
      <c r="A107" s="1005"/>
      <c r="B107" s="989"/>
      <c r="C107" s="989"/>
      <c r="D107" s="989"/>
      <c r="E107" s="989"/>
      <c r="F107" s="989"/>
      <c r="G107" s="310"/>
      <c r="H107" s="310"/>
      <c r="J107" s="236"/>
    </row>
    <row r="108" spans="1:10" x14ac:dyDescent="0.35">
      <c r="B108" s="2288" t="s">
        <v>18</v>
      </c>
      <c r="C108" s="2288"/>
      <c r="D108" s="2288"/>
      <c r="E108" s="2288"/>
      <c r="F108" s="2288"/>
      <c r="G108" s="2288"/>
      <c r="H108" s="2288"/>
      <c r="I108" s="2289"/>
      <c r="J108" s="1950"/>
    </row>
    <row r="109" spans="1:10" x14ac:dyDescent="0.35">
      <c r="B109" s="2288" t="s">
        <v>426</v>
      </c>
      <c r="C109" s="2288"/>
      <c r="D109" s="2288"/>
      <c r="E109" s="2288"/>
      <c r="F109" s="2288"/>
      <c r="G109" s="2288"/>
      <c r="H109" s="2288"/>
      <c r="I109" s="2289"/>
      <c r="J109" s="1950"/>
    </row>
    <row r="110" spans="1:10" x14ac:dyDescent="0.35">
      <c r="B110" s="2288" t="s">
        <v>427</v>
      </c>
      <c r="C110" s="2288"/>
      <c r="D110" s="2288"/>
      <c r="E110" s="2288"/>
      <c r="F110" s="2288"/>
      <c r="G110" s="2288"/>
      <c r="H110" s="2288"/>
      <c r="I110" s="2289"/>
      <c r="J110" s="1950"/>
    </row>
    <row r="111" spans="1:10" x14ac:dyDescent="0.35">
      <c r="B111" s="2293" t="str">
        <f>B5</f>
        <v>Base Period &amp; True-Up Period 12 - Months Ending December 31, 2021</v>
      </c>
      <c r="C111" s="2293"/>
      <c r="D111" s="2293"/>
      <c r="E111" s="2293"/>
      <c r="F111" s="2293"/>
      <c r="G111" s="2293"/>
      <c r="H111" s="2293"/>
      <c r="I111" s="2283"/>
      <c r="J111" s="1950"/>
    </row>
    <row r="112" spans="1:10" s="227" customFormat="1" x14ac:dyDescent="0.35">
      <c r="A112" s="1304"/>
      <c r="B112" s="2291" t="s">
        <v>2</v>
      </c>
      <c r="C112" s="2278"/>
      <c r="D112" s="2278"/>
      <c r="E112" s="2278"/>
      <c r="F112" s="2278"/>
      <c r="G112" s="2278"/>
      <c r="H112" s="2278"/>
      <c r="I112" s="2278"/>
      <c r="J112" s="1304"/>
    </row>
    <row r="113" spans="1:12" x14ac:dyDescent="0.35">
      <c r="B113" s="236"/>
      <c r="C113" s="236"/>
      <c r="D113" s="236"/>
      <c r="E113" s="236"/>
      <c r="F113" s="236"/>
      <c r="G113" s="236"/>
      <c r="H113" s="236"/>
      <c r="I113" s="1878"/>
      <c r="J113" s="1950"/>
    </row>
    <row r="114" spans="1:12" x14ac:dyDescent="0.35">
      <c r="A114" s="1950" t="s">
        <v>3</v>
      </c>
      <c r="B114" s="1947"/>
      <c r="C114" s="1947"/>
      <c r="D114" s="1947"/>
      <c r="E114" s="1947"/>
      <c r="F114" s="1947"/>
      <c r="G114" s="1947"/>
      <c r="H114" s="1947"/>
      <c r="I114" s="1878"/>
      <c r="J114" s="1950" t="s">
        <v>3</v>
      </c>
    </row>
    <row r="115" spans="1:12" x14ac:dyDescent="0.35">
      <c r="A115" s="6" t="s">
        <v>25</v>
      </c>
      <c r="B115" s="236"/>
      <c r="C115" s="236"/>
      <c r="D115" s="236"/>
      <c r="E115" s="236"/>
      <c r="F115" s="236"/>
      <c r="G115" s="415" t="s">
        <v>135</v>
      </c>
      <c r="H115" s="1947"/>
      <c r="I115" s="1293" t="s">
        <v>9</v>
      </c>
      <c r="J115" s="6" t="s">
        <v>25</v>
      </c>
    </row>
    <row r="116" spans="1:12" x14ac:dyDescent="0.35">
      <c r="B116" s="989"/>
      <c r="G116" s="1950"/>
      <c r="H116" s="1950"/>
      <c r="I116" s="1878"/>
      <c r="J116" s="1950"/>
    </row>
    <row r="117" spans="1:12" ht="17.5" x14ac:dyDescent="0.35">
      <c r="A117" s="1950">
        <v>1</v>
      </c>
      <c r="B117" s="1711" t="s">
        <v>1404</v>
      </c>
      <c r="E117" s="1947"/>
      <c r="F117" s="1947"/>
      <c r="G117" s="1084"/>
      <c r="H117" s="1084"/>
      <c r="I117" s="1878"/>
      <c r="J117" s="1950">
        <v>1</v>
      </c>
    </row>
    <row r="118" spans="1:12" x14ac:dyDescent="0.35">
      <c r="A118" s="1950">
        <f>A117+1</f>
        <v>2</v>
      </c>
      <c r="B118" s="1307"/>
      <c r="E118" s="1947"/>
      <c r="F118" s="1947"/>
      <c r="G118" s="1084"/>
      <c r="H118" s="1084"/>
      <c r="I118" s="1878"/>
      <c r="J118" s="1950">
        <f>J117+1</f>
        <v>2</v>
      </c>
    </row>
    <row r="119" spans="1:12" x14ac:dyDescent="0.35">
      <c r="A119" s="1950">
        <f>A118+1</f>
        <v>3</v>
      </c>
      <c r="B119" s="1295" t="s">
        <v>1310</v>
      </c>
      <c r="E119" s="1947"/>
      <c r="F119" s="1947"/>
      <c r="G119" s="1084"/>
      <c r="H119" s="1084"/>
      <c r="I119" s="1878"/>
      <c r="J119" s="1950">
        <f>J118+1</f>
        <v>3</v>
      </c>
    </row>
    <row r="120" spans="1:12" x14ac:dyDescent="0.35">
      <c r="A120" s="1950">
        <f>A119+1</f>
        <v>4</v>
      </c>
      <c r="B120" s="1947"/>
      <c r="C120" s="1947"/>
      <c r="D120" s="1947"/>
      <c r="E120" s="1947"/>
      <c r="F120" s="1947"/>
      <c r="G120" s="1084"/>
      <c r="H120" s="1084"/>
      <c r="I120" s="1878"/>
      <c r="J120" s="1950">
        <f>J119+1</f>
        <v>4</v>
      </c>
    </row>
    <row r="121" spans="1:12" x14ac:dyDescent="0.35">
      <c r="A121" s="1950">
        <f t="shared" ref="A121:A182" si="4">A120+1</f>
        <v>5</v>
      </c>
      <c r="B121" s="990" t="s">
        <v>446</v>
      </c>
      <c r="C121" s="1947"/>
      <c r="D121" s="1947"/>
      <c r="E121" s="1947"/>
      <c r="F121" s="1947"/>
      <c r="G121" s="1084"/>
      <c r="H121" s="1084"/>
      <c r="I121" s="1308"/>
      <c r="J121" s="1950">
        <f t="shared" ref="J121:J182" si="5">J120+1</f>
        <v>5</v>
      </c>
    </row>
    <row r="122" spans="1:12" x14ac:dyDescent="0.35">
      <c r="A122" s="1950">
        <f t="shared" si="4"/>
        <v>6</v>
      </c>
      <c r="B122" s="1951" t="s">
        <v>447</v>
      </c>
      <c r="D122" s="1947"/>
      <c r="E122" s="1947"/>
      <c r="F122" s="1947"/>
      <c r="G122" s="425">
        <f>G52</f>
        <v>5.68995753826581E-2</v>
      </c>
      <c r="H122" s="1947"/>
      <c r="I122" s="1309" t="s">
        <v>1405</v>
      </c>
      <c r="J122" s="1950">
        <f t="shared" si="5"/>
        <v>6</v>
      </c>
      <c r="K122" s="236"/>
    </row>
    <row r="123" spans="1:12" x14ac:dyDescent="0.35">
      <c r="A123" s="1950">
        <f t="shared" si="4"/>
        <v>7</v>
      </c>
      <c r="B123" s="1951" t="s">
        <v>906</v>
      </c>
      <c r="D123" s="1947"/>
      <c r="E123" s="1947"/>
      <c r="F123" s="1947"/>
      <c r="G123" s="426">
        <f>-'Stmt AR'!E19</f>
        <v>3545.067068161326</v>
      </c>
      <c r="H123" s="1947"/>
      <c r="I123" s="1309" t="s">
        <v>1358</v>
      </c>
      <c r="J123" s="1950">
        <f t="shared" si="5"/>
        <v>7</v>
      </c>
      <c r="K123" s="236"/>
    </row>
    <row r="124" spans="1:12" x14ac:dyDescent="0.35">
      <c r="A124" s="1950">
        <f t="shared" si="4"/>
        <v>8</v>
      </c>
      <c r="B124" s="1951" t="s">
        <v>448</v>
      </c>
      <c r="D124" s="1947"/>
      <c r="E124" s="1947"/>
      <c r="F124" s="1947"/>
      <c r="G124" s="427">
        <f>'AV-1A'!C61</f>
        <v>8977.4801324399996</v>
      </c>
      <c r="H124" s="1947"/>
      <c r="I124" s="1113" t="s">
        <v>1648</v>
      </c>
      <c r="J124" s="1950">
        <f t="shared" si="5"/>
        <v>8</v>
      </c>
      <c r="K124" s="1947"/>
    </row>
    <row r="125" spans="1:12" x14ac:dyDescent="0.35">
      <c r="A125" s="1950">
        <f t="shared" si="4"/>
        <v>9</v>
      </c>
      <c r="B125" s="1951" t="s">
        <v>449</v>
      </c>
      <c r="D125" s="1947"/>
      <c r="E125" s="1310"/>
      <c r="F125" s="1947"/>
      <c r="G125" s="17">
        <f>'BK-1 Retail TRR'!E136</f>
        <v>4874468.4481280427</v>
      </c>
      <c r="H125" s="1947"/>
      <c r="I125" s="1309" t="s">
        <v>1406</v>
      </c>
      <c r="J125" s="1950">
        <f t="shared" si="5"/>
        <v>9</v>
      </c>
    </row>
    <row r="126" spans="1:12" x14ac:dyDescent="0.35">
      <c r="A126" s="1950">
        <f t="shared" si="4"/>
        <v>10</v>
      </c>
      <c r="B126" s="227" t="s">
        <v>896</v>
      </c>
      <c r="D126" s="1311"/>
      <c r="E126" s="1947"/>
      <c r="F126" s="1947"/>
      <c r="G126" s="428" t="s">
        <v>767</v>
      </c>
      <c r="H126" s="1947"/>
      <c r="I126" s="1309" t="s">
        <v>450</v>
      </c>
      <c r="J126" s="1950">
        <f t="shared" si="5"/>
        <v>10</v>
      </c>
      <c r="L126" s="1312"/>
    </row>
    <row r="127" spans="1:12" x14ac:dyDescent="0.35">
      <c r="A127" s="1950">
        <f t="shared" si="4"/>
        <v>11</v>
      </c>
      <c r="B127" s="989"/>
      <c r="G127" s="1950"/>
      <c r="H127" s="1950"/>
      <c r="J127" s="1950">
        <f t="shared" si="5"/>
        <v>11</v>
      </c>
    </row>
    <row r="128" spans="1:12" x14ac:dyDescent="0.35">
      <c r="A128" s="1950">
        <f t="shared" si="4"/>
        <v>12</v>
      </c>
      <c r="B128" s="1951" t="s">
        <v>811</v>
      </c>
      <c r="D128" s="1947"/>
      <c r="E128" s="1947"/>
      <c r="F128" s="1947"/>
      <c r="G128" s="429">
        <f>(((G122)+(G124/G125))*G126-(G123/G125))/(1-G126)</f>
        <v>1.4694180606271211E-2</v>
      </c>
      <c r="H128" s="429"/>
      <c r="I128" s="1309" t="s">
        <v>460</v>
      </c>
      <c r="J128" s="1950">
        <f t="shared" si="5"/>
        <v>12</v>
      </c>
      <c r="L128" s="1313"/>
    </row>
    <row r="129" spans="1:11" x14ac:dyDescent="0.35">
      <c r="A129" s="1950">
        <f t="shared" si="4"/>
        <v>13</v>
      </c>
      <c r="B129" s="1314" t="s">
        <v>812</v>
      </c>
      <c r="G129" s="1950"/>
      <c r="H129" s="1950"/>
      <c r="J129" s="1950">
        <f t="shared" si="5"/>
        <v>13</v>
      </c>
    </row>
    <row r="130" spans="1:11" x14ac:dyDescent="0.35">
      <c r="A130" s="1950">
        <f t="shared" si="4"/>
        <v>14</v>
      </c>
      <c r="B130" s="989"/>
      <c r="G130" s="1933"/>
      <c r="H130" s="1950"/>
      <c r="J130" s="1950">
        <f t="shared" si="5"/>
        <v>14</v>
      </c>
    </row>
    <row r="131" spans="1:11" x14ac:dyDescent="0.35">
      <c r="A131" s="1950">
        <f t="shared" si="4"/>
        <v>15</v>
      </c>
      <c r="B131" s="1295" t="s">
        <v>451</v>
      </c>
      <c r="C131" s="1947"/>
      <c r="D131" s="1947"/>
      <c r="E131" s="1947"/>
      <c r="F131" s="1947"/>
      <c r="G131" s="430"/>
      <c r="H131" s="430"/>
      <c r="I131" s="1315"/>
      <c r="J131" s="1950">
        <f t="shared" si="5"/>
        <v>15</v>
      </c>
      <c r="K131" s="1316"/>
    </row>
    <row r="132" spans="1:11" x14ac:dyDescent="0.35">
      <c r="A132" s="1950">
        <f t="shared" si="4"/>
        <v>16</v>
      </c>
      <c r="B132" s="1000"/>
      <c r="C132" s="1947"/>
      <c r="D132" s="1947"/>
      <c r="E132" s="1947"/>
      <c r="F132" s="1947"/>
      <c r="G132" s="430"/>
      <c r="H132" s="430"/>
      <c r="I132" s="1317"/>
      <c r="J132" s="1950">
        <f t="shared" si="5"/>
        <v>16</v>
      </c>
      <c r="K132" s="1947"/>
    </row>
    <row r="133" spans="1:11" x14ac:dyDescent="0.35">
      <c r="A133" s="1950">
        <f t="shared" si="4"/>
        <v>17</v>
      </c>
      <c r="B133" s="990" t="s">
        <v>446</v>
      </c>
      <c r="C133" s="1947"/>
      <c r="D133" s="1947"/>
      <c r="E133" s="1947"/>
      <c r="F133" s="1947"/>
      <c r="G133" s="430"/>
      <c r="H133" s="430"/>
      <c r="I133" s="1317"/>
      <c r="J133" s="1950">
        <f t="shared" si="5"/>
        <v>17</v>
      </c>
      <c r="K133" s="1947"/>
    </row>
    <row r="134" spans="1:11" x14ac:dyDescent="0.35">
      <c r="A134" s="1950">
        <f t="shared" si="4"/>
        <v>18</v>
      </c>
      <c r="B134" s="1951" t="s">
        <v>447</v>
      </c>
      <c r="D134" s="1947"/>
      <c r="E134" s="1947"/>
      <c r="F134" s="1947"/>
      <c r="G134" s="418">
        <f>G122</f>
        <v>5.68995753826581E-2</v>
      </c>
      <c r="H134" s="418"/>
      <c r="I134" s="1309" t="s">
        <v>1043</v>
      </c>
      <c r="J134" s="1950">
        <f t="shared" si="5"/>
        <v>18</v>
      </c>
      <c r="K134" s="236"/>
    </row>
    <row r="135" spans="1:11" s="227" customFormat="1" x14ac:dyDescent="0.35">
      <c r="A135" s="1950">
        <f t="shared" si="4"/>
        <v>19</v>
      </c>
      <c r="B135" s="227" t="s">
        <v>1489</v>
      </c>
      <c r="D135" s="1651"/>
      <c r="E135" s="1651"/>
      <c r="F135" s="1651"/>
      <c r="G135" s="431">
        <f>-'Stmt AT'!E19</f>
        <v>0</v>
      </c>
      <c r="H135" s="418"/>
      <c r="I135" s="1309" t="s">
        <v>1480</v>
      </c>
      <c r="J135" s="1950">
        <f t="shared" si="5"/>
        <v>19</v>
      </c>
      <c r="K135" s="1938"/>
    </row>
    <row r="136" spans="1:11" x14ac:dyDescent="0.35">
      <c r="A136" s="1950">
        <f t="shared" si="4"/>
        <v>20</v>
      </c>
      <c r="B136" s="1951" t="s">
        <v>448</v>
      </c>
      <c r="D136" s="1947"/>
      <c r="E136" s="1947"/>
      <c r="F136" s="1947"/>
      <c r="G136" s="431">
        <f>G124</f>
        <v>8977.4801324399996</v>
      </c>
      <c r="H136" s="431"/>
      <c r="I136" s="1309" t="s">
        <v>1044</v>
      </c>
      <c r="J136" s="1950">
        <f t="shared" si="5"/>
        <v>20</v>
      </c>
      <c r="K136" s="236"/>
    </row>
    <row r="137" spans="1:11" x14ac:dyDescent="0.35">
      <c r="A137" s="1950">
        <f t="shared" si="4"/>
        <v>21</v>
      </c>
      <c r="B137" s="1951" t="s">
        <v>449</v>
      </c>
      <c r="D137" s="1947"/>
      <c r="E137" s="1947"/>
      <c r="F137" s="1947"/>
      <c r="G137" s="432">
        <f>G125</f>
        <v>4874468.4481280427</v>
      </c>
      <c r="H137" s="432"/>
      <c r="I137" s="1309" t="s">
        <v>1045</v>
      </c>
      <c r="J137" s="1950">
        <f t="shared" si="5"/>
        <v>21</v>
      </c>
      <c r="K137" s="236"/>
    </row>
    <row r="138" spans="1:11" x14ac:dyDescent="0.35">
      <c r="A138" s="1950">
        <f t="shared" si="4"/>
        <v>22</v>
      </c>
      <c r="B138" s="1951" t="s">
        <v>461</v>
      </c>
      <c r="D138" s="1947"/>
      <c r="E138" s="1947"/>
      <c r="F138" s="1947"/>
      <c r="G138" s="433">
        <f>G128</f>
        <v>1.4694180606271211E-2</v>
      </c>
      <c r="H138" s="433"/>
      <c r="I138" s="1309" t="s">
        <v>1046</v>
      </c>
      <c r="J138" s="1950">
        <f t="shared" si="5"/>
        <v>22</v>
      </c>
    </row>
    <row r="139" spans="1:11" x14ac:dyDescent="0.35">
      <c r="A139" s="1950">
        <f t="shared" si="4"/>
        <v>23</v>
      </c>
      <c r="B139" s="227" t="s">
        <v>897</v>
      </c>
      <c r="D139" s="1947"/>
      <c r="E139" s="1947"/>
      <c r="F139" s="1947"/>
      <c r="G139" s="428" t="s">
        <v>768</v>
      </c>
      <c r="H139" s="1947"/>
      <c r="I139" s="1309" t="s">
        <v>452</v>
      </c>
      <c r="J139" s="1950">
        <f t="shared" si="5"/>
        <v>23</v>
      </c>
    </row>
    <row r="140" spans="1:11" x14ac:dyDescent="0.35">
      <c r="A140" s="1950">
        <f t="shared" si="4"/>
        <v>24</v>
      </c>
      <c r="B140" s="1949"/>
      <c r="D140" s="1947"/>
      <c r="E140" s="1947"/>
      <c r="F140" s="1947"/>
      <c r="G140" s="434"/>
      <c r="H140" s="434"/>
      <c r="I140" s="1317"/>
      <c r="J140" s="1950">
        <f t="shared" si="5"/>
        <v>24</v>
      </c>
    </row>
    <row r="141" spans="1:11" s="227" customFormat="1" x14ac:dyDescent="0.35">
      <c r="A141" s="1304">
        <f t="shared" si="4"/>
        <v>25</v>
      </c>
      <c r="B141" s="227" t="s">
        <v>1490</v>
      </c>
      <c r="C141" s="1938"/>
      <c r="D141" s="1938"/>
      <c r="E141" s="1651"/>
      <c r="F141" s="1651"/>
      <c r="G141" s="1963">
        <f>(((G134)+(G136/G137)+G128)*G139-(G135/G137))/(1-G139)</f>
        <v>7.1212126165938281E-3</v>
      </c>
      <c r="H141" s="1964"/>
      <c r="I141" s="1426" t="s">
        <v>462</v>
      </c>
      <c r="J141" s="1304">
        <f t="shared" si="5"/>
        <v>25</v>
      </c>
    </row>
    <row r="142" spans="1:11" s="227" customFormat="1" x14ac:dyDescent="0.35">
      <c r="A142" s="1304">
        <f t="shared" si="4"/>
        <v>26</v>
      </c>
      <c r="B142" s="1965" t="s">
        <v>1481</v>
      </c>
      <c r="G142" s="1304"/>
      <c r="H142" s="1304"/>
      <c r="I142" s="1709"/>
      <c r="J142" s="1304">
        <f t="shared" si="5"/>
        <v>26</v>
      </c>
      <c r="K142" s="1304"/>
    </row>
    <row r="143" spans="1:11" x14ac:dyDescent="0.35">
      <c r="A143" s="1950">
        <f t="shared" si="4"/>
        <v>27</v>
      </c>
      <c r="B143" s="989"/>
      <c r="G143" s="1950"/>
      <c r="H143" s="1950"/>
      <c r="I143" s="1878"/>
      <c r="J143" s="1950">
        <f t="shared" si="5"/>
        <v>27</v>
      </c>
      <c r="K143" s="1950"/>
    </row>
    <row r="144" spans="1:11" x14ac:dyDescent="0.35">
      <c r="A144" s="1950">
        <f t="shared" si="4"/>
        <v>28</v>
      </c>
      <c r="B144" s="1295" t="s">
        <v>453</v>
      </c>
      <c r="G144" s="429">
        <f>G141+G128</f>
        <v>2.1815393222865041E-2</v>
      </c>
      <c r="H144" s="429"/>
      <c r="I144" s="1878" t="s">
        <v>1503</v>
      </c>
      <c r="J144" s="1950">
        <f t="shared" si="5"/>
        <v>28</v>
      </c>
      <c r="K144" s="1950"/>
    </row>
    <row r="145" spans="1:12" x14ac:dyDescent="0.35">
      <c r="A145" s="1950">
        <f t="shared" si="4"/>
        <v>29</v>
      </c>
      <c r="B145" s="989"/>
      <c r="G145" s="1950"/>
      <c r="H145" s="1950"/>
      <c r="I145" s="1878"/>
      <c r="J145" s="1950">
        <f t="shared" si="5"/>
        <v>29</v>
      </c>
      <c r="K145" s="1950"/>
    </row>
    <row r="146" spans="1:12" x14ac:dyDescent="0.35">
      <c r="A146" s="1950">
        <f t="shared" si="4"/>
        <v>30</v>
      </c>
      <c r="B146" s="1295" t="s">
        <v>463</v>
      </c>
      <c r="G146" s="436">
        <f>G50</f>
        <v>7.3498652701225783E-2</v>
      </c>
      <c r="H146" s="1947"/>
      <c r="I146" s="1309" t="s">
        <v>1407</v>
      </c>
      <c r="J146" s="1950">
        <f t="shared" si="5"/>
        <v>30</v>
      </c>
      <c r="K146" s="236"/>
    </row>
    <row r="147" spans="1:12" x14ac:dyDescent="0.35">
      <c r="A147" s="1950">
        <f t="shared" si="4"/>
        <v>31</v>
      </c>
      <c r="B147" s="989"/>
      <c r="G147" s="418"/>
      <c r="H147" s="418"/>
      <c r="I147" s="1878"/>
      <c r="J147" s="1950">
        <f t="shared" si="5"/>
        <v>31</v>
      </c>
      <c r="K147" s="1950"/>
    </row>
    <row r="148" spans="1:12" ht="18" thickBot="1" x14ac:dyDescent="0.4">
      <c r="A148" s="1950">
        <f t="shared" si="4"/>
        <v>32</v>
      </c>
      <c r="B148" s="1711" t="s">
        <v>1408</v>
      </c>
      <c r="G148" s="437">
        <f>G144+G146</f>
        <v>9.5314045924090818E-2</v>
      </c>
      <c r="H148" s="651"/>
      <c r="I148" s="1878" t="s">
        <v>1482</v>
      </c>
      <c r="J148" s="1950">
        <f t="shared" si="5"/>
        <v>32</v>
      </c>
      <c r="K148" s="1318"/>
      <c r="L148" s="1313"/>
    </row>
    <row r="149" spans="1:12" ht="16.5" thickTop="1" thickBot="1" x14ac:dyDescent="0.4">
      <c r="A149" s="1657">
        <f t="shared" si="4"/>
        <v>33</v>
      </c>
      <c r="B149" s="1712"/>
      <c r="C149" s="1637"/>
      <c r="D149" s="1637"/>
      <c r="E149" s="1637"/>
      <c r="F149" s="1637"/>
      <c r="G149" s="1657"/>
      <c r="H149" s="1657"/>
      <c r="I149" s="1659"/>
      <c r="J149" s="1657">
        <f t="shared" si="5"/>
        <v>33</v>
      </c>
    </row>
    <row r="150" spans="1:12" x14ac:dyDescent="0.35">
      <c r="A150" s="1950">
        <f t="shared" si="4"/>
        <v>34</v>
      </c>
      <c r="B150" s="989"/>
      <c r="G150" s="1950"/>
      <c r="H150" s="1950"/>
      <c r="I150" s="1878"/>
      <c r="J150" s="1950">
        <f t="shared" si="5"/>
        <v>34</v>
      </c>
    </row>
    <row r="151" spans="1:12" ht="17.5" x14ac:dyDescent="0.35">
      <c r="A151" s="1950">
        <f t="shared" si="4"/>
        <v>35</v>
      </c>
      <c r="B151" s="1711" t="s">
        <v>1409</v>
      </c>
      <c r="E151" s="1947"/>
      <c r="F151" s="1947"/>
      <c r="G151" s="1084"/>
      <c r="H151" s="1084"/>
      <c r="I151" s="1878"/>
      <c r="J151" s="1950">
        <f t="shared" si="5"/>
        <v>35</v>
      </c>
    </row>
    <row r="152" spans="1:12" x14ac:dyDescent="0.35">
      <c r="A152" s="1950">
        <f t="shared" si="4"/>
        <v>36</v>
      </c>
      <c r="B152" s="1307"/>
      <c r="E152" s="1947"/>
      <c r="F152" s="1947"/>
      <c r="G152" s="1084"/>
      <c r="H152" s="1084"/>
      <c r="I152" s="1878"/>
      <c r="J152" s="1950">
        <f t="shared" si="5"/>
        <v>36</v>
      </c>
      <c r="L152" s="1646"/>
    </row>
    <row r="153" spans="1:12" x14ac:dyDescent="0.35">
      <c r="A153" s="1950">
        <f t="shared" si="4"/>
        <v>37</v>
      </c>
      <c r="B153" s="1295" t="s">
        <v>1310</v>
      </c>
      <c r="E153" s="1947"/>
      <c r="F153" s="1947"/>
      <c r="G153" s="1084"/>
      <c r="H153" s="1084"/>
      <c r="I153" s="1878"/>
      <c r="J153" s="1950">
        <f t="shared" si="5"/>
        <v>37</v>
      </c>
    </row>
    <row r="154" spans="1:12" x14ac:dyDescent="0.35">
      <c r="A154" s="1950">
        <f t="shared" si="4"/>
        <v>38</v>
      </c>
      <c r="B154" s="1947"/>
      <c r="C154" s="1947"/>
      <c r="D154" s="1947"/>
      <c r="E154" s="1947"/>
      <c r="F154" s="1947"/>
      <c r="G154" s="1084"/>
      <c r="H154" s="1084"/>
      <c r="I154" s="1878"/>
      <c r="J154" s="1950">
        <f t="shared" si="5"/>
        <v>38</v>
      </c>
    </row>
    <row r="155" spans="1:12" x14ac:dyDescent="0.35">
      <c r="A155" s="1950">
        <f t="shared" si="4"/>
        <v>39</v>
      </c>
      <c r="B155" s="990" t="s">
        <v>446</v>
      </c>
      <c r="C155" s="1947"/>
      <c r="D155" s="1947"/>
      <c r="E155" s="1947"/>
      <c r="F155" s="1947"/>
      <c r="G155" s="1084"/>
      <c r="H155" s="1084"/>
      <c r="I155" s="1308"/>
      <c r="J155" s="1950">
        <f t="shared" si="5"/>
        <v>39</v>
      </c>
    </row>
    <row r="156" spans="1:12" x14ac:dyDescent="0.35">
      <c r="A156" s="1950">
        <f t="shared" si="4"/>
        <v>40</v>
      </c>
      <c r="B156" s="227" t="s">
        <v>1256</v>
      </c>
      <c r="D156" s="1947"/>
      <c r="E156" s="1947"/>
      <c r="F156" s="1947"/>
      <c r="G156" s="425">
        <f>G65</f>
        <v>2.8168106625078267E-3</v>
      </c>
      <c r="H156" s="1947"/>
      <c r="I156" s="1309" t="s">
        <v>1410</v>
      </c>
      <c r="J156" s="1950">
        <f t="shared" si="5"/>
        <v>40</v>
      </c>
      <c r="K156" s="236"/>
    </row>
    <row r="157" spans="1:12" x14ac:dyDescent="0.35">
      <c r="A157" s="1950">
        <f t="shared" si="4"/>
        <v>41</v>
      </c>
      <c r="B157" s="1951" t="s">
        <v>906</v>
      </c>
      <c r="D157" s="1947"/>
      <c r="E157" s="1947"/>
      <c r="F157" s="1947"/>
      <c r="G157" s="438">
        <v>0</v>
      </c>
      <c r="H157" s="1947"/>
      <c r="I157" s="1309" t="s">
        <v>1234</v>
      </c>
      <c r="J157" s="1950">
        <f t="shared" si="5"/>
        <v>41</v>
      </c>
      <c r="K157" s="236"/>
    </row>
    <row r="158" spans="1:12" x14ac:dyDescent="0.35">
      <c r="A158" s="1950">
        <f t="shared" si="4"/>
        <v>42</v>
      </c>
      <c r="B158" s="1951" t="s">
        <v>448</v>
      </c>
      <c r="D158" s="1947"/>
      <c r="E158" s="1947"/>
      <c r="F158" s="1947"/>
      <c r="G158" s="438">
        <v>0</v>
      </c>
      <c r="H158" s="1947"/>
      <c r="I158" s="1309" t="s">
        <v>1234</v>
      </c>
      <c r="J158" s="1950">
        <f t="shared" si="5"/>
        <v>42</v>
      </c>
      <c r="K158" s="1947"/>
    </row>
    <row r="159" spans="1:12" x14ac:dyDescent="0.35">
      <c r="A159" s="1950">
        <f t="shared" si="4"/>
        <v>43</v>
      </c>
      <c r="B159" s="1951" t="s">
        <v>449</v>
      </c>
      <c r="D159" s="1947"/>
      <c r="E159" s="1310"/>
      <c r="F159" s="1947"/>
      <c r="G159" s="17">
        <f>'BK-1 Retail TRR'!E136</f>
        <v>4874468.4481280427</v>
      </c>
      <c r="H159" s="1947"/>
      <c r="I159" s="1309" t="s">
        <v>1406</v>
      </c>
      <c r="J159" s="1950">
        <f t="shared" si="5"/>
        <v>43</v>
      </c>
    </row>
    <row r="160" spans="1:12" x14ac:dyDescent="0.35">
      <c r="A160" s="1950">
        <f t="shared" si="4"/>
        <v>44</v>
      </c>
      <c r="B160" s="227" t="s">
        <v>896</v>
      </c>
      <c r="D160" s="1311"/>
      <c r="E160" s="1947"/>
      <c r="F160" s="1947"/>
      <c r="G160" s="428" t="s">
        <v>767</v>
      </c>
      <c r="H160" s="1947"/>
      <c r="I160" s="1309" t="s">
        <v>450</v>
      </c>
      <c r="J160" s="1950">
        <f t="shared" si="5"/>
        <v>44</v>
      </c>
      <c r="L160" s="1312"/>
    </row>
    <row r="161" spans="1:12" x14ac:dyDescent="0.35">
      <c r="A161" s="1950">
        <f t="shared" si="4"/>
        <v>45</v>
      </c>
      <c r="B161" s="989"/>
      <c r="G161" s="1950"/>
      <c r="H161" s="1950"/>
      <c r="J161" s="1950">
        <f t="shared" si="5"/>
        <v>45</v>
      </c>
    </row>
    <row r="162" spans="1:12" x14ac:dyDescent="0.35">
      <c r="A162" s="1950">
        <f t="shared" si="4"/>
        <v>46</v>
      </c>
      <c r="B162" s="1951" t="s">
        <v>811</v>
      </c>
      <c r="D162" s="1947"/>
      <c r="E162" s="1947"/>
      <c r="F162" s="1947"/>
      <c r="G162" s="429">
        <f>(((G156)+(G158/G159))*G160-(G157/G159))/(1-G160)</f>
        <v>7.4877245459068799E-4</v>
      </c>
      <c r="H162" s="429"/>
      <c r="I162" s="1309" t="s">
        <v>460</v>
      </c>
      <c r="J162" s="1950">
        <f t="shared" si="5"/>
        <v>46</v>
      </c>
      <c r="L162" s="1313"/>
    </row>
    <row r="163" spans="1:12" x14ac:dyDescent="0.35">
      <c r="A163" s="1950">
        <f t="shared" si="4"/>
        <v>47</v>
      </c>
      <c r="B163" s="1314" t="s">
        <v>812</v>
      </c>
      <c r="G163" s="1950"/>
      <c r="H163" s="1950"/>
      <c r="J163" s="1950">
        <f t="shared" si="5"/>
        <v>47</v>
      </c>
    </row>
    <row r="164" spans="1:12" x14ac:dyDescent="0.35">
      <c r="A164" s="1950">
        <f t="shared" si="4"/>
        <v>48</v>
      </c>
      <c r="B164" s="989"/>
      <c r="G164" s="1950"/>
      <c r="H164" s="1950"/>
      <c r="J164" s="1950">
        <f t="shared" si="5"/>
        <v>48</v>
      </c>
    </row>
    <row r="165" spans="1:12" x14ac:dyDescent="0.35">
      <c r="A165" s="1950">
        <f t="shared" si="4"/>
        <v>49</v>
      </c>
      <c r="B165" s="1295" t="s">
        <v>451</v>
      </c>
      <c r="C165" s="1947"/>
      <c r="D165" s="1947"/>
      <c r="E165" s="1947"/>
      <c r="F165" s="1947"/>
      <c r="G165" s="430"/>
      <c r="H165" s="430"/>
      <c r="I165" s="1315"/>
      <c r="J165" s="1950">
        <f t="shared" si="5"/>
        <v>49</v>
      </c>
      <c r="K165" s="1316"/>
    </row>
    <row r="166" spans="1:12" x14ac:dyDescent="0.35">
      <c r="A166" s="1950">
        <f t="shared" si="4"/>
        <v>50</v>
      </c>
      <c r="B166" s="1000"/>
      <c r="C166" s="1947"/>
      <c r="D166" s="1947"/>
      <c r="E166" s="1947"/>
      <c r="F166" s="1947"/>
      <c r="G166" s="430"/>
      <c r="H166" s="430"/>
      <c r="I166" s="1317"/>
      <c r="J166" s="1950">
        <f t="shared" si="5"/>
        <v>50</v>
      </c>
      <c r="K166" s="1947"/>
    </row>
    <row r="167" spans="1:12" x14ac:dyDescent="0.35">
      <c r="A167" s="1950">
        <f t="shared" si="4"/>
        <v>51</v>
      </c>
      <c r="B167" s="990" t="s">
        <v>446</v>
      </c>
      <c r="C167" s="1947"/>
      <c r="D167" s="1947"/>
      <c r="E167" s="1947"/>
      <c r="F167" s="1947"/>
      <c r="G167" s="430"/>
      <c r="H167" s="430"/>
      <c r="I167" s="1317"/>
      <c r="J167" s="1950">
        <f t="shared" si="5"/>
        <v>51</v>
      </c>
      <c r="K167" s="1947"/>
    </row>
    <row r="168" spans="1:12" x14ac:dyDescent="0.35">
      <c r="A168" s="1950">
        <f t="shared" si="4"/>
        <v>52</v>
      </c>
      <c r="B168" s="227" t="s">
        <v>1256</v>
      </c>
      <c r="D168" s="1947"/>
      <c r="E168" s="1947"/>
      <c r="F168" s="1947"/>
      <c r="G168" s="418">
        <f>G156</f>
        <v>2.8168106625078267E-3</v>
      </c>
      <c r="H168" s="418"/>
      <c r="I168" s="1309" t="s">
        <v>1504</v>
      </c>
      <c r="J168" s="1950">
        <f t="shared" si="5"/>
        <v>52</v>
      </c>
      <c r="K168" s="1938"/>
    </row>
    <row r="169" spans="1:12" x14ac:dyDescent="0.35">
      <c r="A169" s="1950">
        <f t="shared" si="4"/>
        <v>53</v>
      </c>
      <c r="B169" s="227" t="s">
        <v>1489</v>
      </c>
      <c r="D169" s="1947"/>
      <c r="E169" s="1947"/>
      <c r="F169" s="1947"/>
      <c r="G169" s="438">
        <v>0</v>
      </c>
      <c r="H169" s="418"/>
      <c r="I169" s="1309" t="s">
        <v>1234</v>
      </c>
      <c r="J169" s="1950">
        <f t="shared" si="5"/>
        <v>53</v>
      </c>
      <c r="K169" s="236"/>
    </row>
    <row r="170" spans="1:12" x14ac:dyDescent="0.35">
      <c r="A170" s="1950">
        <f t="shared" si="4"/>
        <v>54</v>
      </c>
      <c r="B170" s="1951" t="s">
        <v>448</v>
      </c>
      <c r="D170" s="1947"/>
      <c r="E170" s="1947"/>
      <c r="F170" s="1947"/>
      <c r="G170" s="432">
        <f>G158</f>
        <v>0</v>
      </c>
      <c r="H170" s="431"/>
      <c r="I170" s="1878" t="s">
        <v>1505</v>
      </c>
      <c r="J170" s="1950">
        <f t="shared" si="5"/>
        <v>54</v>
      </c>
      <c r="K170" s="236"/>
    </row>
    <row r="171" spans="1:12" x14ac:dyDescent="0.35">
      <c r="A171" s="1950">
        <f t="shared" si="4"/>
        <v>55</v>
      </c>
      <c r="B171" s="1951" t="s">
        <v>449</v>
      </c>
      <c r="D171" s="1947"/>
      <c r="E171" s="1947"/>
      <c r="F171" s="1947"/>
      <c r="G171" s="432">
        <f>G159</f>
        <v>4874468.4481280427</v>
      </c>
      <c r="H171" s="432"/>
      <c r="I171" s="1309" t="s">
        <v>1506</v>
      </c>
      <c r="J171" s="1950">
        <f t="shared" si="5"/>
        <v>55</v>
      </c>
      <c r="K171" s="236"/>
    </row>
    <row r="172" spans="1:12" x14ac:dyDescent="0.35">
      <c r="A172" s="1950">
        <f t="shared" si="4"/>
        <v>56</v>
      </c>
      <c r="B172" s="1951" t="s">
        <v>461</v>
      </c>
      <c r="D172" s="1947"/>
      <c r="E172" s="1947"/>
      <c r="F172" s="1947"/>
      <c r="G172" s="433">
        <f>G162</f>
        <v>7.4877245459068799E-4</v>
      </c>
      <c r="H172" s="433"/>
      <c r="I172" s="1309" t="s">
        <v>1507</v>
      </c>
      <c r="J172" s="1950">
        <f t="shared" si="5"/>
        <v>56</v>
      </c>
    </row>
    <row r="173" spans="1:12" x14ac:dyDescent="0.35">
      <c r="A173" s="1950">
        <f t="shared" si="4"/>
        <v>57</v>
      </c>
      <c r="B173" s="227" t="s">
        <v>897</v>
      </c>
      <c r="D173" s="1947"/>
      <c r="E173" s="1947"/>
      <c r="F173" s="1947"/>
      <c r="G173" s="428" t="s">
        <v>768</v>
      </c>
      <c r="H173" s="1947"/>
      <c r="I173" s="1309" t="s">
        <v>452</v>
      </c>
      <c r="J173" s="1950">
        <f t="shared" si="5"/>
        <v>57</v>
      </c>
    </row>
    <row r="174" spans="1:12" x14ac:dyDescent="0.35">
      <c r="A174" s="1950">
        <f t="shared" si="4"/>
        <v>58</v>
      </c>
      <c r="B174" s="1949"/>
      <c r="D174" s="1947"/>
      <c r="E174" s="1947"/>
      <c r="F174" s="1947"/>
      <c r="G174" s="434"/>
      <c r="H174" s="434"/>
      <c r="I174" s="1317"/>
      <c r="J174" s="1950">
        <f t="shared" si="5"/>
        <v>58</v>
      </c>
      <c r="K174" s="1647"/>
    </row>
    <row r="175" spans="1:12" x14ac:dyDescent="0.35">
      <c r="A175" s="1950">
        <f t="shared" si="4"/>
        <v>59</v>
      </c>
      <c r="B175" s="227" t="s">
        <v>1490</v>
      </c>
      <c r="C175" s="236"/>
      <c r="D175" s="236"/>
      <c r="E175" s="1947"/>
      <c r="F175" s="1947"/>
      <c r="G175" s="435">
        <f>(((G168)+(G170/G171)+G162)*G173-(G169/G171))/(1-G173)</f>
        <v>3.4576299643649489E-4</v>
      </c>
      <c r="H175" s="651"/>
      <c r="I175" s="1309" t="s">
        <v>462</v>
      </c>
      <c r="J175" s="1950">
        <f t="shared" si="5"/>
        <v>59</v>
      </c>
    </row>
    <row r="176" spans="1:12" x14ac:dyDescent="0.35">
      <c r="A176" s="1950">
        <f t="shared" si="4"/>
        <v>60</v>
      </c>
      <c r="B176" s="1965" t="s">
        <v>1481</v>
      </c>
      <c r="G176" s="1950"/>
      <c r="H176" s="1950"/>
      <c r="I176" s="1878"/>
      <c r="J176" s="1950">
        <f t="shared" si="5"/>
        <v>60</v>
      </c>
      <c r="K176" s="1950"/>
    </row>
    <row r="177" spans="1:12" x14ac:dyDescent="0.35">
      <c r="A177" s="1950">
        <f t="shared" si="4"/>
        <v>61</v>
      </c>
      <c r="B177" s="989"/>
      <c r="G177" s="1950"/>
      <c r="H177" s="1950"/>
      <c r="I177" s="1878"/>
      <c r="J177" s="1950">
        <f t="shared" si="5"/>
        <v>61</v>
      </c>
      <c r="K177" s="1950"/>
    </row>
    <row r="178" spans="1:12" x14ac:dyDescent="0.35">
      <c r="A178" s="1950">
        <f t="shared" si="4"/>
        <v>62</v>
      </c>
      <c r="B178" s="1295" t="s">
        <v>453</v>
      </c>
      <c r="G178" s="429">
        <f>G175+G162</f>
        <v>1.0945354510271828E-3</v>
      </c>
      <c r="H178" s="429"/>
      <c r="I178" s="1878" t="s">
        <v>1508</v>
      </c>
      <c r="J178" s="1950">
        <f t="shared" si="5"/>
        <v>62</v>
      </c>
      <c r="K178" s="1950"/>
    </row>
    <row r="179" spans="1:12" x14ac:dyDescent="0.35">
      <c r="A179" s="1950">
        <f t="shared" si="4"/>
        <v>63</v>
      </c>
      <c r="B179" s="989"/>
      <c r="G179" s="1950"/>
      <c r="H179" s="1950"/>
      <c r="I179" s="1878"/>
      <c r="J179" s="1950">
        <f t="shared" si="5"/>
        <v>63</v>
      </c>
      <c r="K179" s="1950"/>
    </row>
    <row r="180" spans="1:12" x14ac:dyDescent="0.35">
      <c r="A180" s="1950">
        <f t="shared" si="4"/>
        <v>64</v>
      </c>
      <c r="B180" s="1711" t="s">
        <v>1257</v>
      </c>
      <c r="G180" s="1713">
        <f>G63</f>
        <v>2.8168106625078267E-3</v>
      </c>
      <c r="H180" s="1651"/>
      <c r="I180" s="1426" t="s">
        <v>1411</v>
      </c>
      <c r="J180" s="1950">
        <f t="shared" si="5"/>
        <v>64</v>
      </c>
      <c r="K180" s="236"/>
    </row>
    <row r="181" spans="1:12" x14ac:dyDescent="0.35">
      <c r="A181" s="1950">
        <f t="shared" si="4"/>
        <v>65</v>
      </c>
      <c r="B181" s="989"/>
      <c r="G181" s="418"/>
      <c r="H181" s="418"/>
      <c r="I181" s="1878"/>
      <c r="J181" s="1950">
        <f t="shared" si="5"/>
        <v>65</v>
      </c>
      <c r="K181" s="1950"/>
    </row>
    <row r="182" spans="1:12" ht="18" thickBot="1" x14ac:dyDescent="0.4">
      <c r="A182" s="1950">
        <f t="shared" si="4"/>
        <v>66</v>
      </c>
      <c r="B182" s="1711" t="s">
        <v>1412</v>
      </c>
      <c r="G182" s="437">
        <f>G178+G180</f>
        <v>3.9113461135350091E-3</v>
      </c>
      <c r="H182" s="651"/>
      <c r="I182" s="1878" t="s">
        <v>1509</v>
      </c>
      <c r="J182" s="1950">
        <f t="shared" si="5"/>
        <v>66</v>
      </c>
      <c r="K182" s="1318"/>
      <c r="L182" s="1313"/>
    </row>
    <row r="183" spans="1:12" ht="16" thickTop="1" x14ac:dyDescent="0.35">
      <c r="B183" s="1295"/>
      <c r="G183" s="1319"/>
      <c r="H183" s="1319"/>
      <c r="I183" s="1878"/>
      <c r="J183" s="1950"/>
      <c r="K183" s="1318"/>
      <c r="L183" s="1313"/>
    </row>
    <row r="184" spans="1:12" x14ac:dyDescent="0.35">
      <c r="A184" s="1320"/>
      <c r="B184" s="1949"/>
      <c r="C184" s="1321"/>
      <c r="D184" s="1321"/>
      <c r="E184" s="1321"/>
      <c r="F184" s="1321"/>
      <c r="G184" s="1322"/>
      <c r="H184" s="1322"/>
      <c r="I184" s="1323"/>
      <c r="J184" s="1950"/>
    </row>
    <row r="185" spans="1:12" x14ac:dyDescent="0.35">
      <c r="B185" s="2288" t="s">
        <v>18</v>
      </c>
      <c r="C185" s="2288"/>
      <c r="D185" s="2288"/>
      <c r="E185" s="2288"/>
      <c r="F185" s="2288"/>
      <c r="G185" s="2288"/>
      <c r="H185" s="2288"/>
      <c r="I185" s="2289"/>
      <c r="J185" s="1950"/>
    </row>
    <row r="186" spans="1:12" x14ac:dyDescent="0.35">
      <c r="B186" s="2288" t="s">
        <v>426</v>
      </c>
      <c r="C186" s="2288"/>
      <c r="D186" s="2288"/>
      <c r="E186" s="2288"/>
      <c r="F186" s="2288"/>
      <c r="G186" s="2288"/>
      <c r="H186" s="2288"/>
      <c r="I186" s="2289"/>
      <c r="J186" s="1950"/>
    </row>
    <row r="187" spans="1:12" x14ac:dyDescent="0.35">
      <c r="B187" s="2288" t="s">
        <v>427</v>
      </c>
      <c r="C187" s="2288"/>
      <c r="D187" s="2288"/>
      <c r="E187" s="2288"/>
      <c r="F187" s="2288"/>
      <c r="G187" s="2288"/>
      <c r="H187" s="2288"/>
      <c r="I187" s="2289"/>
      <c r="J187" s="1950"/>
    </row>
    <row r="188" spans="1:12" x14ac:dyDescent="0.35">
      <c r="B188" s="2293" t="str">
        <f>B5</f>
        <v>Base Period &amp; True-Up Period 12 - Months Ending December 31, 2021</v>
      </c>
      <c r="C188" s="2293"/>
      <c r="D188" s="2293"/>
      <c r="E188" s="2293"/>
      <c r="F188" s="2293"/>
      <c r="G188" s="2293"/>
      <c r="H188" s="2293"/>
      <c r="I188" s="2283"/>
      <c r="J188" s="1950"/>
    </row>
    <row r="189" spans="1:12" x14ac:dyDescent="0.35">
      <c r="B189" s="2291" t="s">
        <v>2</v>
      </c>
      <c r="C189" s="2278"/>
      <c r="D189" s="2278"/>
      <c r="E189" s="2278"/>
      <c r="F189" s="2278"/>
      <c r="G189" s="2278"/>
      <c r="H189" s="2278"/>
      <c r="I189" s="2278"/>
      <c r="J189" s="1950"/>
    </row>
    <row r="190" spans="1:12" x14ac:dyDescent="0.35">
      <c r="B190" s="236"/>
      <c r="C190" s="236"/>
      <c r="D190" s="236"/>
      <c r="E190" s="236"/>
      <c r="F190" s="236"/>
      <c r="G190" s="1947"/>
      <c r="H190" s="1947"/>
      <c r="I190" s="1878"/>
      <c r="J190" s="1950"/>
    </row>
    <row r="191" spans="1:12" x14ac:dyDescent="0.35">
      <c r="A191" s="1950" t="s">
        <v>3</v>
      </c>
      <c r="B191" s="1947"/>
      <c r="C191" s="1947"/>
      <c r="D191" s="1947"/>
      <c r="E191" s="1947"/>
      <c r="F191" s="1947"/>
      <c r="G191" s="1947"/>
      <c r="H191" s="1947"/>
      <c r="I191" s="1878"/>
      <c r="J191" s="1950" t="s">
        <v>3</v>
      </c>
    </row>
    <row r="192" spans="1:12" x14ac:dyDescent="0.35">
      <c r="A192" s="6" t="s">
        <v>25</v>
      </c>
      <c r="B192" s="236"/>
      <c r="C192" s="236"/>
      <c r="D192" s="236"/>
      <c r="E192" s="236"/>
      <c r="F192" s="236"/>
      <c r="G192" s="415" t="s">
        <v>135</v>
      </c>
      <c r="H192" s="1947"/>
      <c r="I192" s="1293" t="s">
        <v>9</v>
      </c>
      <c r="J192" s="6" t="s">
        <v>25</v>
      </c>
    </row>
    <row r="193" spans="1:10" x14ac:dyDescent="0.35">
      <c r="B193" s="989"/>
      <c r="G193" s="1950"/>
      <c r="H193" s="1950"/>
      <c r="I193" s="1878"/>
      <c r="J193" s="1950"/>
    </row>
    <row r="194" spans="1:10" ht="18" x14ac:dyDescent="0.35">
      <c r="A194" s="1950">
        <v>1</v>
      </c>
      <c r="B194" s="1711" t="s">
        <v>1413</v>
      </c>
      <c r="E194" s="1947"/>
      <c r="F194" s="1947"/>
      <c r="G194" s="1084"/>
      <c r="H194" s="1084"/>
      <c r="I194" s="1878"/>
      <c r="J194" s="1950">
        <v>1</v>
      </c>
    </row>
    <row r="195" spans="1:10" x14ac:dyDescent="0.35">
      <c r="A195" s="1950">
        <f>A194+1</f>
        <v>2</v>
      </c>
      <c r="B195" s="1307"/>
      <c r="E195" s="1947"/>
      <c r="F195" s="1947"/>
      <c r="G195" s="1084"/>
      <c r="H195" s="1084"/>
      <c r="I195" s="1878"/>
      <c r="J195" s="1950">
        <f>J194+1</f>
        <v>2</v>
      </c>
    </row>
    <row r="196" spans="1:10" x14ac:dyDescent="0.35">
      <c r="A196" s="1950">
        <f>A195+1</f>
        <v>3</v>
      </c>
      <c r="B196" s="1295" t="s">
        <v>1310</v>
      </c>
      <c r="E196" s="1947"/>
      <c r="F196" s="1947"/>
      <c r="G196" s="1084"/>
      <c r="H196" s="1084"/>
      <c r="I196" s="1878"/>
      <c r="J196" s="1950">
        <f>J195+1</f>
        <v>3</v>
      </c>
    </row>
    <row r="197" spans="1:10" x14ac:dyDescent="0.35">
      <c r="A197" s="1950">
        <f>A196+1</f>
        <v>4</v>
      </c>
      <c r="B197" s="1947"/>
      <c r="C197" s="1947"/>
      <c r="D197" s="1947"/>
      <c r="E197" s="1947"/>
      <c r="F197" s="1947"/>
      <c r="G197" s="1084"/>
      <c r="H197" s="1084"/>
      <c r="I197" s="1878"/>
      <c r="J197" s="1950">
        <f>J196+1</f>
        <v>4</v>
      </c>
    </row>
    <row r="198" spans="1:10" x14ac:dyDescent="0.35">
      <c r="A198" s="1950">
        <f t="shared" ref="A198:A259" si="6">A197+1</f>
        <v>5</v>
      </c>
      <c r="B198" s="990" t="s">
        <v>446</v>
      </c>
      <c r="C198" s="1947"/>
      <c r="D198" s="1947"/>
      <c r="E198" s="1947"/>
      <c r="F198" s="1947"/>
      <c r="G198" s="1084"/>
      <c r="H198" s="1084"/>
      <c r="I198" s="1308"/>
      <c r="J198" s="1950">
        <f t="shared" ref="J198:J259" si="7">J197+1</f>
        <v>5</v>
      </c>
    </row>
    <row r="199" spans="1:10" x14ac:dyDescent="0.35">
      <c r="A199" s="1950">
        <f t="shared" si="6"/>
        <v>6</v>
      </c>
      <c r="B199" s="1951" t="s">
        <v>447</v>
      </c>
      <c r="D199" s="1947"/>
      <c r="E199" s="1947"/>
      <c r="F199" s="1947"/>
      <c r="G199" s="425">
        <f>G89</f>
        <v>0</v>
      </c>
      <c r="H199" s="1947"/>
      <c r="I199" s="1309" t="s">
        <v>1414</v>
      </c>
      <c r="J199" s="1950">
        <f t="shared" si="7"/>
        <v>6</v>
      </c>
    </row>
    <row r="200" spans="1:10" x14ac:dyDescent="0.35">
      <c r="A200" s="1950">
        <f t="shared" si="6"/>
        <v>7</v>
      </c>
      <c r="B200" s="1951" t="s">
        <v>906</v>
      </c>
      <c r="D200" s="1947"/>
      <c r="E200" s="1947"/>
      <c r="F200" s="1947"/>
      <c r="G200" s="438">
        <v>0</v>
      </c>
      <c r="H200" s="1947"/>
      <c r="I200" s="1309" t="s">
        <v>464</v>
      </c>
      <c r="J200" s="1950">
        <f t="shared" si="7"/>
        <v>7</v>
      </c>
    </row>
    <row r="201" spans="1:10" x14ac:dyDescent="0.35">
      <c r="A201" s="1950">
        <f t="shared" si="6"/>
        <v>8</v>
      </c>
      <c r="B201" s="1951" t="s">
        <v>448</v>
      </c>
      <c r="D201" s="1947"/>
      <c r="E201" s="1947"/>
      <c r="F201" s="1947"/>
      <c r="G201" s="427">
        <v>0</v>
      </c>
      <c r="H201" s="1947"/>
      <c r="I201" s="1113"/>
      <c r="J201" s="1950">
        <f t="shared" si="7"/>
        <v>8</v>
      </c>
    </row>
    <row r="202" spans="1:10" x14ac:dyDescent="0.35">
      <c r="A202" s="1950">
        <f t="shared" si="6"/>
        <v>9</v>
      </c>
      <c r="B202" s="1951" t="s">
        <v>1321</v>
      </c>
      <c r="D202" s="1947"/>
      <c r="E202" s="1947"/>
      <c r="F202" s="1947"/>
      <c r="G202" s="426">
        <f>'BK-1 Retail TRR'!E141</f>
        <v>0</v>
      </c>
      <c r="H202" s="1947"/>
      <c r="I202" s="1309" t="s">
        <v>1419</v>
      </c>
      <c r="J202" s="1950">
        <f t="shared" si="7"/>
        <v>9</v>
      </c>
    </row>
    <row r="203" spans="1:10" x14ac:dyDescent="0.35">
      <c r="A203" s="1950">
        <f t="shared" si="6"/>
        <v>10</v>
      </c>
      <c r="B203" s="227" t="s">
        <v>896</v>
      </c>
      <c r="C203" s="227"/>
      <c r="D203" s="1947"/>
      <c r="E203" s="1947"/>
      <c r="F203" s="1947"/>
      <c r="G203" s="439" t="str">
        <f>G126</f>
        <v>21%</v>
      </c>
      <c r="H203" s="1947"/>
      <c r="I203" s="1309" t="s">
        <v>1415</v>
      </c>
      <c r="J203" s="1950">
        <f t="shared" si="7"/>
        <v>10</v>
      </c>
    </row>
    <row r="204" spans="1:10" x14ac:dyDescent="0.35">
      <c r="A204" s="1950">
        <f t="shared" si="6"/>
        <v>11</v>
      </c>
      <c r="B204" s="989"/>
      <c r="G204" s="1950"/>
      <c r="H204" s="1950"/>
      <c r="J204" s="1950">
        <f t="shared" si="7"/>
        <v>11</v>
      </c>
    </row>
    <row r="205" spans="1:10" x14ac:dyDescent="0.35">
      <c r="A205" s="1950">
        <f t="shared" si="6"/>
        <v>12</v>
      </c>
      <c r="B205" s="1951" t="s">
        <v>814</v>
      </c>
      <c r="D205" s="1947"/>
      <c r="E205" s="1947"/>
      <c r="F205" s="1947"/>
      <c r="G205" s="429">
        <f>IFERROR((((G199)+(G201/G202))*G203-(G200/G202))/(1-G203),0)</f>
        <v>0</v>
      </c>
      <c r="H205" s="429"/>
      <c r="I205" s="1309" t="s">
        <v>465</v>
      </c>
      <c r="J205" s="1950">
        <f t="shared" si="7"/>
        <v>12</v>
      </c>
    </row>
    <row r="206" spans="1:10" x14ac:dyDescent="0.35">
      <c r="A206" s="1950">
        <f t="shared" si="6"/>
        <v>13</v>
      </c>
      <c r="B206" s="1314" t="s">
        <v>812</v>
      </c>
      <c r="D206" s="1314"/>
      <c r="G206" s="440"/>
      <c r="H206" s="440"/>
      <c r="J206" s="1950">
        <f t="shared" si="7"/>
        <v>13</v>
      </c>
    </row>
    <row r="207" spans="1:10" x14ac:dyDescent="0.35">
      <c r="A207" s="1950">
        <f t="shared" si="6"/>
        <v>14</v>
      </c>
      <c r="B207" s="989"/>
      <c r="G207" s="1950"/>
      <c r="H207" s="1950"/>
      <c r="J207" s="1950">
        <f t="shared" si="7"/>
        <v>14</v>
      </c>
    </row>
    <row r="208" spans="1:10" x14ac:dyDescent="0.35">
      <c r="A208" s="1950">
        <f t="shared" si="6"/>
        <v>15</v>
      </c>
      <c r="B208" s="1295" t="s">
        <v>451</v>
      </c>
      <c r="C208" s="1947"/>
      <c r="D208" s="1947"/>
      <c r="E208" s="1947"/>
      <c r="F208" s="1947"/>
      <c r="G208" s="430"/>
      <c r="H208" s="430"/>
      <c r="I208" s="1315"/>
      <c r="J208" s="1950">
        <f t="shared" si="7"/>
        <v>15</v>
      </c>
    </row>
    <row r="209" spans="1:10" x14ac:dyDescent="0.35">
      <c r="A209" s="1950">
        <f t="shared" si="6"/>
        <v>16</v>
      </c>
      <c r="B209" s="1000"/>
      <c r="C209" s="1947"/>
      <c r="D209" s="1947"/>
      <c r="E209" s="1947"/>
      <c r="F209" s="1947"/>
      <c r="G209" s="430"/>
      <c r="H209" s="430"/>
      <c r="I209" s="1308"/>
      <c r="J209" s="1950">
        <f t="shared" si="7"/>
        <v>16</v>
      </c>
    </row>
    <row r="210" spans="1:10" x14ac:dyDescent="0.35">
      <c r="A210" s="1950">
        <f t="shared" si="6"/>
        <v>17</v>
      </c>
      <c r="B210" s="990" t="s">
        <v>446</v>
      </c>
      <c r="C210" s="1947"/>
      <c r="D210" s="1947"/>
      <c r="E210" s="1947"/>
      <c r="F210" s="1947"/>
      <c r="G210" s="430"/>
      <c r="H210" s="430"/>
      <c r="I210" s="1308"/>
      <c r="J210" s="1950">
        <f t="shared" si="7"/>
        <v>17</v>
      </c>
    </row>
    <row r="211" spans="1:10" x14ac:dyDescent="0.35">
      <c r="A211" s="1950">
        <f t="shared" si="6"/>
        <v>18</v>
      </c>
      <c r="B211" s="1951" t="s">
        <v>447</v>
      </c>
      <c r="D211" s="1947"/>
      <c r="E211" s="1947"/>
      <c r="F211" s="1947"/>
      <c r="G211" s="418">
        <f>G199</f>
        <v>0</v>
      </c>
      <c r="H211" s="418"/>
      <c r="I211" s="1309" t="s">
        <v>1043</v>
      </c>
      <c r="J211" s="1950">
        <f t="shared" si="7"/>
        <v>18</v>
      </c>
    </row>
    <row r="212" spans="1:10" x14ac:dyDescent="0.35">
      <c r="A212" s="1950">
        <f t="shared" si="6"/>
        <v>19</v>
      </c>
      <c r="B212" s="227" t="s">
        <v>1489</v>
      </c>
      <c r="D212" s="1947"/>
      <c r="E212" s="1947"/>
      <c r="F212" s="1947"/>
      <c r="G212" s="438">
        <v>0</v>
      </c>
      <c r="H212" s="418"/>
      <c r="I212" s="1309" t="s">
        <v>464</v>
      </c>
      <c r="J212" s="1950">
        <f t="shared" si="7"/>
        <v>19</v>
      </c>
    </row>
    <row r="213" spans="1:10" x14ac:dyDescent="0.35">
      <c r="A213" s="1950">
        <f t="shared" si="6"/>
        <v>20</v>
      </c>
      <c r="B213" s="1951" t="s">
        <v>448</v>
      </c>
      <c r="D213" s="1947"/>
      <c r="E213" s="1947"/>
      <c r="F213" s="1947"/>
      <c r="G213" s="431">
        <f>G201</f>
        <v>0</v>
      </c>
      <c r="H213" s="431"/>
      <c r="I213" s="1309" t="s">
        <v>1044</v>
      </c>
      <c r="J213" s="1950">
        <f t="shared" si="7"/>
        <v>20</v>
      </c>
    </row>
    <row r="214" spans="1:10" x14ac:dyDescent="0.35">
      <c r="A214" s="1950">
        <f t="shared" si="6"/>
        <v>21</v>
      </c>
      <c r="B214" s="1951" t="s">
        <v>1321</v>
      </c>
      <c r="D214" s="1947"/>
      <c r="E214" s="1947"/>
      <c r="F214" s="1947"/>
      <c r="G214" s="431">
        <f>G202</f>
        <v>0</v>
      </c>
      <c r="H214" s="431"/>
      <c r="I214" s="1309" t="s">
        <v>1045</v>
      </c>
      <c r="J214" s="1950">
        <f t="shared" si="7"/>
        <v>21</v>
      </c>
    </row>
    <row r="215" spans="1:10" x14ac:dyDescent="0.35">
      <c r="A215" s="1950">
        <f t="shared" si="6"/>
        <v>22</v>
      </c>
      <c r="B215" s="1951" t="s">
        <v>461</v>
      </c>
      <c r="D215" s="1947"/>
      <c r="E215" s="1947"/>
      <c r="F215" s="1947"/>
      <c r="G215" s="433">
        <f>G205</f>
        <v>0</v>
      </c>
      <c r="H215" s="433"/>
      <c r="I215" s="1309" t="s">
        <v>1046</v>
      </c>
      <c r="J215" s="1950">
        <f t="shared" si="7"/>
        <v>22</v>
      </c>
    </row>
    <row r="216" spans="1:10" x14ac:dyDescent="0.35">
      <c r="A216" s="1950">
        <f t="shared" si="6"/>
        <v>23</v>
      </c>
      <c r="B216" s="227" t="s">
        <v>897</v>
      </c>
      <c r="C216" s="227"/>
      <c r="D216" s="1947"/>
      <c r="E216" s="1947"/>
      <c r="F216" s="1947"/>
      <c r="G216" s="441" t="str">
        <f>G139</f>
        <v>8.84%</v>
      </c>
      <c r="H216" s="1947"/>
      <c r="I216" s="1309" t="s">
        <v>1510</v>
      </c>
      <c r="J216" s="1950">
        <f t="shared" si="7"/>
        <v>23</v>
      </c>
    </row>
    <row r="217" spans="1:10" x14ac:dyDescent="0.35">
      <c r="A217" s="1950">
        <f t="shared" si="6"/>
        <v>24</v>
      </c>
      <c r="B217" s="1949"/>
      <c r="D217" s="1947"/>
      <c r="E217" s="1947"/>
      <c r="F217" s="1947"/>
      <c r="G217" s="434"/>
      <c r="H217" s="434"/>
      <c r="I217" s="1317"/>
      <c r="J217" s="1950">
        <f t="shared" si="7"/>
        <v>24</v>
      </c>
    </row>
    <row r="218" spans="1:10" x14ac:dyDescent="0.35">
      <c r="A218" s="1950">
        <f t="shared" si="6"/>
        <v>25</v>
      </c>
      <c r="B218" s="227" t="s">
        <v>1490</v>
      </c>
      <c r="C218" s="1938"/>
      <c r="D218" s="236"/>
      <c r="E218" s="1947"/>
      <c r="F218" s="1947"/>
      <c r="G218" s="435">
        <f>IFERROR((((G211)+(G213/G214)+G205)*G216-(G212/G214))/(1-G216),0)</f>
        <v>0</v>
      </c>
      <c r="H218" s="651"/>
      <c r="I218" s="1309" t="s">
        <v>462</v>
      </c>
      <c r="J218" s="1950">
        <f t="shared" si="7"/>
        <v>25</v>
      </c>
    </row>
    <row r="219" spans="1:10" x14ac:dyDescent="0.35">
      <c r="A219" s="1950">
        <f t="shared" si="6"/>
        <v>26</v>
      </c>
      <c r="B219" s="1965" t="s">
        <v>1481</v>
      </c>
      <c r="C219" s="227"/>
      <c r="D219" s="1314"/>
      <c r="G219" s="1950"/>
      <c r="H219" s="1950"/>
      <c r="I219" s="1878"/>
      <c r="J219" s="1950">
        <f t="shared" si="7"/>
        <v>26</v>
      </c>
    </row>
    <row r="220" spans="1:10" x14ac:dyDescent="0.35">
      <c r="A220" s="1950">
        <f t="shared" si="6"/>
        <v>27</v>
      </c>
      <c r="B220" s="989"/>
      <c r="G220" s="1950"/>
      <c r="H220" s="1950"/>
      <c r="I220" s="1878"/>
      <c r="J220" s="1950">
        <f t="shared" si="7"/>
        <v>27</v>
      </c>
    </row>
    <row r="221" spans="1:10" x14ac:dyDescent="0.35">
      <c r="A221" s="1950">
        <f t="shared" si="6"/>
        <v>28</v>
      </c>
      <c r="B221" s="1295" t="s">
        <v>453</v>
      </c>
      <c r="G221" s="429">
        <f>G218+G205</f>
        <v>0</v>
      </c>
      <c r="H221" s="429"/>
      <c r="I221" s="1878" t="s">
        <v>1503</v>
      </c>
      <c r="J221" s="1950">
        <f t="shared" si="7"/>
        <v>28</v>
      </c>
    </row>
    <row r="222" spans="1:10" x14ac:dyDescent="0.35">
      <c r="A222" s="1950">
        <f t="shared" si="6"/>
        <v>29</v>
      </c>
      <c r="B222" s="989"/>
      <c r="G222" s="1950"/>
      <c r="H222" s="1950"/>
      <c r="I222" s="1878"/>
      <c r="J222" s="1950">
        <f t="shared" si="7"/>
        <v>29</v>
      </c>
    </row>
    <row r="223" spans="1:10" x14ac:dyDescent="0.35">
      <c r="A223" s="1950">
        <f t="shared" si="6"/>
        <v>30</v>
      </c>
      <c r="B223" s="1295" t="s">
        <v>466</v>
      </c>
      <c r="G223" s="442">
        <f>G87</f>
        <v>1.6599077318567683E-2</v>
      </c>
      <c r="H223" s="1947"/>
      <c r="I223" s="1309" t="s">
        <v>1416</v>
      </c>
      <c r="J223" s="1950">
        <f t="shared" si="7"/>
        <v>30</v>
      </c>
    </row>
    <row r="224" spans="1:10" x14ac:dyDescent="0.35">
      <c r="A224" s="1950">
        <f t="shared" si="6"/>
        <v>31</v>
      </c>
      <c r="B224" s="989"/>
      <c r="G224" s="1950"/>
      <c r="H224" s="1950"/>
      <c r="I224" s="1878"/>
      <c r="J224" s="1950">
        <f t="shared" si="7"/>
        <v>31</v>
      </c>
    </row>
    <row r="225" spans="1:10" ht="18" thickBot="1" x14ac:dyDescent="0.4">
      <c r="A225" s="1950">
        <f t="shared" si="6"/>
        <v>32</v>
      </c>
      <c r="B225" s="1711" t="s">
        <v>1417</v>
      </c>
      <c r="G225" s="443">
        <f>G221+G223</f>
        <v>1.6599077318567683E-2</v>
      </c>
      <c r="H225" s="652"/>
      <c r="I225" s="1878" t="s">
        <v>1482</v>
      </c>
      <c r="J225" s="1950">
        <f t="shared" si="7"/>
        <v>32</v>
      </c>
    </row>
    <row r="226" spans="1:10" ht="16.5" thickTop="1" thickBot="1" x14ac:dyDescent="0.4">
      <c r="A226" s="1657">
        <f t="shared" si="6"/>
        <v>33</v>
      </c>
      <c r="B226" s="1660"/>
      <c r="C226" s="1637"/>
      <c r="D226" s="1637"/>
      <c r="E226" s="1637"/>
      <c r="F226" s="1637"/>
      <c r="G226" s="1658"/>
      <c r="H226" s="1658"/>
      <c r="I226" s="1659"/>
      <c r="J226" s="1657">
        <f t="shared" si="7"/>
        <v>33</v>
      </c>
    </row>
    <row r="227" spans="1:10" x14ac:dyDescent="0.35">
      <c r="A227" s="1950">
        <f t="shared" si="6"/>
        <v>34</v>
      </c>
      <c r="B227" s="1711"/>
      <c r="G227" s="652"/>
      <c r="H227" s="652"/>
      <c r="I227" s="1878"/>
      <c r="J227" s="1950">
        <f t="shared" si="7"/>
        <v>34</v>
      </c>
    </row>
    <row r="228" spans="1:10" ht="17.5" x14ac:dyDescent="0.35">
      <c r="A228" s="1950">
        <f t="shared" si="6"/>
        <v>35</v>
      </c>
      <c r="B228" s="1711" t="s">
        <v>1409</v>
      </c>
      <c r="E228" s="1947"/>
      <c r="F228" s="1947"/>
      <c r="G228" s="1084"/>
      <c r="H228" s="1084"/>
      <c r="I228" s="1878"/>
      <c r="J228" s="1950">
        <f t="shared" si="7"/>
        <v>35</v>
      </c>
    </row>
    <row r="229" spans="1:10" x14ac:dyDescent="0.35">
      <c r="A229" s="1950">
        <f t="shared" si="6"/>
        <v>36</v>
      </c>
      <c r="B229" s="1307"/>
      <c r="E229" s="1947"/>
      <c r="F229" s="1947"/>
      <c r="G229" s="1084"/>
      <c r="H229" s="1084"/>
      <c r="I229" s="1878"/>
      <c r="J229" s="1950">
        <f t="shared" si="7"/>
        <v>36</v>
      </c>
    </row>
    <row r="230" spans="1:10" x14ac:dyDescent="0.35">
      <c r="A230" s="1950">
        <f t="shared" si="6"/>
        <v>37</v>
      </c>
      <c r="B230" s="1295" t="s">
        <v>1310</v>
      </c>
      <c r="E230" s="1947"/>
      <c r="F230" s="1947"/>
      <c r="G230" s="1084"/>
      <c r="H230" s="1084"/>
      <c r="I230" s="1878"/>
      <c r="J230" s="1950">
        <f t="shared" si="7"/>
        <v>37</v>
      </c>
    </row>
    <row r="231" spans="1:10" x14ac:dyDescent="0.35">
      <c r="A231" s="1950">
        <f t="shared" si="6"/>
        <v>38</v>
      </c>
      <c r="B231" s="1947"/>
      <c r="C231" s="1947"/>
      <c r="D231" s="1947"/>
      <c r="E231" s="1947"/>
      <c r="F231" s="1947"/>
      <c r="G231" s="1084"/>
      <c r="H231" s="1084"/>
      <c r="I231" s="1878"/>
      <c r="J231" s="1950">
        <f t="shared" si="7"/>
        <v>38</v>
      </c>
    </row>
    <row r="232" spans="1:10" x14ac:dyDescent="0.35">
      <c r="A232" s="1950">
        <f t="shared" si="6"/>
        <v>39</v>
      </c>
      <c r="B232" s="990" t="s">
        <v>446</v>
      </c>
      <c r="C232" s="1947"/>
      <c r="D232" s="1947"/>
      <c r="E232" s="1947"/>
      <c r="F232" s="1947"/>
      <c r="G232" s="1084"/>
      <c r="H232" s="1084"/>
      <c r="I232" s="1308"/>
      <c r="J232" s="1950">
        <f t="shared" si="7"/>
        <v>39</v>
      </c>
    </row>
    <row r="233" spans="1:10" x14ac:dyDescent="0.35">
      <c r="A233" s="1950">
        <f t="shared" si="6"/>
        <v>40</v>
      </c>
      <c r="B233" s="227" t="s">
        <v>1256</v>
      </c>
      <c r="D233" s="1947"/>
      <c r="E233" s="1947"/>
      <c r="F233" s="1947"/>
      <c r="G233" s="425">
        <f>G102</f>
        <v>0</v>
      </c>
      <c r="H233" s="1947"/>
      <c r="I233" s="1309" t="s">
        <v>1418</v>
      </c>
      <c r="J233" s="1950">
        <f t="shared" si="7"/>
        <v>40</v>
      </c>
    </row>
    <row r="234" spans="1:10" x14ac:dyDescent="0.35">
      <c r="A234" s="1950">
        <f t="shared" si="6"/>
        <v>41</v>
      </c>
      <c r="B234" s="1951" t="s">
        <v>906</v>
      </c>
      <c r="D234" s="1947"/>
      <c r="E234" s="1947"/>
      <c r="F234" s="1947"/>
      <c r="G234" s="438">
        <v>0</v>
      </c>
      <c r="H234" s="1947"/>
      <c r="I234" s="1309" t="s">
        <v>464</v>
      </c>
      <c r="J234" s="1950">
        <f t="shared" si="7"/>
        <v>41</v>
      </c>
    </row>
    <row r="235" spans="1:10" x14ac:dyDescent="0.35">
      <c r="A235" s="1950">
        <f t="shared" si="6"/>
        <v>42</v>
      </c>
      <c r="B235" s="1951" t="s">
        <v>448</v>
      </c>
      <c r="D235" s="1947"/>
      <c r="E235" s="1947"/>
      <c r="F235" s="1947"/>
      <c r="G235" s="427">
        <v>0</v>
      </c>
      <c r="H235" s="1947"/>
      <c r="I235" s="1113"/>
      <c r="J235" s="1950">
        <f t="shared" si="7"/>
        <v>42</v>
      </c>
    </row>
    <row r="236" spans="1:10" x14ac:dyDescent="0.35">
      <c r="A236" s="1950">
        <f t="shared" si="6"/>
        <v>43</v>
      </c>
      <c r="B236" s="1951" t="s">
        <v>1321</v>
      </c>
      <c r="D236" s="1947"/>
      <c r="E236" s="1947"/>
      <c r="F236" s="1947"/>
      <c r="G236" s="426">
        <f>'BK-1 Retail TRR'!E141</f>
        <v>0</v>
      </c>
      <c r="H236" s="1947"/>
      <c r="I236" s="1309" t="s">
        <v>1419</v>
      </c>
      <c r="J236" s="1950">
        <f t="shared" si="7"/>
        <v>43</v>
      </c>
    </row>
    <row r="237" spans="1:10" x14ac:dyDescent="0.35">
      <c r="A237" s="1950">
        <f t="shared" si="6"/>
        <v>44</v>
      </c>
      <c r="B237" s="227" t="s">
        <v>896</v>
      </c>
      <c r="C237" s="227"/>
      <c r="D237" s="1947"/>
      <c r="E237" s="1947"/>
      <c r="F237" s="1947"/>
      <c r="G237" s="439" t="str">
        <f>G160</f>
        <v>21%</v>
      </c>
      <c r="H237" s="1947"/>
      <c r="I237" s="1309" t="s">
        <v>1511</v>
      </c>
      <c r="J237" s="1950">
        <f t="shared" si="7"/>
        <v>44</v>
      </c>
    </row>
    <row r="238" spans="1:10" x14ac:dyDescent="0.35">
      <c r="A238" s="1950">
        <f t="shared" si="6"/>
        <v>45</v>
      </c>
      <c r="B238" s="989"/>
      <c r="G238" s="1950"/>
      <c r="H238" s="1950"/>
      <c r="J238" s="1950">
        <f t="shared" si="7"/>
        <v>45</v>
      </c>
    </row>
    <row r="239" spans="1:10" x14ac:dyDescent="0.35">
      <c r="A239" s="1950">
        <f t="shared" si="6"/>
        <v>46</v>
      </c>
      <c r="B239" s="1951" t="s">
        <v>811</v>
      </c>
      <c r="D239" s="1947"/>
      <c r="E239" s="1947"/>
      <c r="F239" s="1947"/>
      <c r="G239" s="429">
        <f>IFERROR((((G233)+(G235/G236))*G237-(G234/G236))/(1-G237),0)</f>
        <v>0</v>
      </c>
      <c r="H239" s="429"/>
      <c r="I239" s="1309" t="s">
        <v>465</v>
      </c>
      <c r="J239" s="1950">
        <f t="shared" si="7"/>
        <v>46</v>
      </c>
    </row>
    <row r="240" spans="1:10" x14ac:dyDescent="0.35">
      <c r="A240" s="1950">
        <f t="shared" si="6"/>
        <v>47</v>
      </c>
      <c r="B240" s="1314" t="s">
        <v>812</v>
      </c>
      <c r="D240" s="1314"/>
      <c r="G240" s="440"/>
      <c r="H240" s="440"/>
      <c r="J240" s="1950">
        <f t="shared" si="7"/>
        <v>47</v>
      </c>
    </row>
    <row r="241" spans="1:10" x14ac:dyDescent="0.35">
      <c r="A241" s="1950">
        <f t="shared" si="6"/>
        <v>48</v>
      </c>
      <c r="B241" s="989"/>
      <c r="G241" s="1950"/>
      <c r="H241" s="1950"/>
      <c r="J241" s="1950">
        <f t="shared" si="7"/>
        <v>48</v>
      </c>
    </row>
    <row r="242" spans="1:10" x14ac:dyDescent="0.35">
      <c r="A242" s="1950">
        <f t="shared" si="6"/>
        <v>49</v>
      </c>
      <c r="B242" s="1295" t="s">
        <v>451</v>
      </c>
      <c r="C242" s="1947"/>
      <c r="D242" s="1947"/>
      <c r="E242" s="1947"/>
      <c r="F242" s="1947"/>
      <c r="G242" s="430"/>
      <c r="H242" s="430"/>
      <c r="I242" s="1315"/>
      <c r="J242" s="1950">
        <f t="shared" si="7"/>
        <v>49</v>
      </c>
    </row>
    <row r="243" spans="1:10" x14ac:dyDescent="0.35">
      <c r="A243" s="1950">
        <f t="shared" si="6"/>
        <v>50</v>
      </c>
      <c r="B243" s="1000"/>
      <c r="C243" s="1947"/>
      <c r="D243" s="1947"/>
      <c r="E243" s="1947"/>
      <c r="F243" s="1947"/>
      <c r="G243" s="430"/>
      <c r="H243" s="430"/>
      <c r="I243" s="1308"/>
      <c r="J243" s="1950">
        <f t="shared" si="7"/>
        <v>50</v>
      </c>
    </row>
    <row r="244" spans="1:10" x14ac:dyDescent="0.35">
      <c r="A244" s="1950">
        <f t="shared" si="6"/>
        <v>51</v>
      </c>
      <c r="B244" s="990" t="s">
        <v>446</v>
      </c>
      <c r="C244" s="1947"/>
      <c r="D244" s="1947"/>
      <c r="E244" s="1947"/>
      <c r="F244" s="1947"/>
      <c r="G244" s="430"/>
      <c r="H244" s="430"/>
      <c r="I244" s="1308"/>
      <c r="J244" s="1950">
        <f t="shared" si="7"/>
        <v>51</v>
      </c>
    </row>
    <row r="245" spans="1:10" x14ac:dyDescent="0.35">
      <c r="A245" s="1950">
        <f t="shared" si="6"/>
        <v>52</v>
      </c>
      <c r="B245" s="227" t="s">
        <v>1256</v>
      </c>
      <c r="D245" s="1947"/>
      <c r="E245" s="1947"/>
      <c r="F245" s="1947"/>
      <c r="G245" s="418">
        <f>G233</f>
        <v>0</v>
      </c>
      <c r="H245" s="418"/>
      <c r="I245" s="1309" t="s">
        <v>1504</v>
      </c>
      <c r="J245" s="1950">
        <f t="shared" si="7"/>
        <v>52</v>
      </c>
    </row>
    <row r="246" spans="1:10" x14ac:dyDescent="0.35">
      <c r="A246" s="1950">
        <f t="shared" si="6"/>
        <v>53</v>
      </c>
      <c r="B246" s="227" t="s">
        <v>1489</v>
      </c>
      <c r="D246" s="1947"/>
      <c r="E246" s="1947"/>
      <c r="F246" s="1947"/>
      <c r="G246" s="438">
        <v>0</v>
      </c>
      <c r="H246" s="418"/>
      <c r="I246" s="1309" t="s">
        <v>464</v>
      </c>
      <c r="J246" s="1950">
        <f t="shared" si="7"/>
        <v>53</v>
      </c>
    </row>
    <row r="247" spans="1:10" x14ac:dyDescent="0.35">
      <c r="A247" s="1950">
        <f t="shared" si="6"/>
        <v>54</v>
      </c>
      <c r="B247" s="1951" t="s">
        <v>448</v>
      </c>
      <c r="D247" s="1947"/>
      <c r="E247" s="1947"/>
      <c r="F247" s="1947"/>
      <c r="G247" s="431">
        <f>G235</f>
        <v>0</v>
      </c>
      <c r="H247" s="431"/>
      <c r="I247" s="1309" t="s">
        <v>1505</v>
      </c>
      <c r="J247" s="1950">
        <f t="shared" si="7"/>
        <v>54</v>
      </c>
    </row>
    <row r="248" spans="1:10" x14ac:dyDescent="0.35">
      <c r="A248" s="1950">
        <f t="shared" si="6"/>
        <v>55</v>
      </c>
      <c r="B248" s="1951" t="s">
        <v>1321</v>
      </c>
      <c r="D248" s="1947"/>
      <c r="E248" s="1947"/>
      <c r="F248" s="1947"/>
      <c r="G248" s="431">
        <f>G236</f>
        <v>0</v>
      </c>
      <c r="H248" s="431"/>
      <c r="I248" s="1309" t="s">
        <v>1506</v>
      </c>
      <c r="J248" s="1950">
        <f t="shared" si="7"/>
        <v>55</v>
      </c>
    </row>
    <row r="249" spans="1:10" x14ac:dyDescent="0.35">
      <c r="A249" s="1950">
        <f t="shared" si="6"/>
        <v>56</v>
      </c>
      <c r="B249" s="1951" t="s">
        <v>461</v>
      </c>
      <c r="D249" s="1947"/>
      <c r="E249" s="1947"/>
      <c r="F249" s="1947"/>
      <c r="G249" s="433">
        <f>G239</f>
        <v>0</v>
      </c>
      <c r="H249" s="433"/>
      <c r="I249" s="1309" t="s">
        <v>1507</v>
      </c>
      <c r="J249" s="1950">
        <f t="shared" si="7"/>
        <v>56</v>
      </c>
    </row>
    <row r="250" spans="1:10" x14ac:dyDescent="0.35">
      <c r="A250" s="1950">
        <f t="shared" si="6"/>
        <v>57</v>
      </c>
      <c r="B250" s="227" t="s">
        <v>897</v>
      </c>
      <c r="C250" s="227"/>
      <c r="D250" s="1947"/>
      <c r="E250" s="1947"/>
      <c r="F250" s="1947"/>
      <c r="G250" s="441" t="str">
        <f>G173</f>
        <v>8.84%</v>
      </c>
      <c r="H250" s="1947"/>
      <c r="I250" s="1309" t="s">
        <v>1512</v>
      </c>
      <c r="J250" s="1950">
        <f t="shared" si="7"/>
        <v>57</v>
      </c>
    </row>
    <row r="251" spans="1:10" x14ac:dyDescent="0.35">
      <c r="A251" s="1950">
        <f t="shared" si="6"/>
        <v>58</v>
      </c>
      <c r="B251" s="1949"/>
      <c r="D251" s="1947"/>
      <c r="E251" s="1947"/>
      <c r="F251" s="1947"/>
      <c r="G251" s="434"/>
      <c r="H251" s="434"/>
      <c r="I251" s="1317"/>
      <c r="J251" s="1950">
        <f t="shared" si="7"/>
        <v>58</v>
      </c>
    </row>
    <row r="252" spans="1:10" x14ac:dyDescent="0.35">
      <c r="A252" s="1950">
        <f t="shared" si="6"/>
        <v>59</v>
      </c>
      <c r="B252" s="227" t="s">
        <v>1490</v>
      </c>
      <c r="C252" s="236"/>
      <c r="D252" s="236"/>
      <c r="E252" s="1947"/>
      <c r="F252" s="1947"/>
      <c r="G252" s="435">
        <f>IFERROR((((G245)+(G247/G248)+G239)*G250-(G246/G248))/(1-G250),0)</f>
        <v>0</v>
      </c>
      <c r="H252" s="651"/>
      <c r="I252" s="1309" t="s">
        <v>462</v>
      </c>
      <c r="J252" s="1950">
        <f t="shared" si="7"/>
        <v>59</v>
      </c>
    </row>
    <row r="253" spans="1:10" x14ac:dyDescent="0.35">
      <c r="A253" s="1950">
        <f t="shared" si="6"/>
        <v>60</v>
      </c>
      <c r="B253" s="1965" t="s">
        <v>1481</v>
      </c>
      <c r="D253" s="1314"/>
      <c r="G253" s="1950"/>
      <c r="H253" s="1950"/>
      <c r="I253" s="1878"/>
      <c r="J253" s="1950">
        <f t="shared" si="7"/>
        <v>60</v>
      </c>
    </row>
    <row r="254" spans="1:10" x14ac:dyDescent="0.35">
      <c r="A254" s="1950">
        <f t="shared" si="6"/>
        <v>61</v>
      </c>
      <c r="B254" s="989"/>
      <c r="G254" s="1950"/>
      <c r="H254" s="1950"/>
      <c r="I254" s="1878"/>
      <c r="J254" s="1950">
        <f t="shared" si="7"/>
        <v>61</v>
      </c>
    </row>
    <row r="255" spans="1:10" x14ac:dyDescent="0.35">
      <c r="A255" s="1950">
        <f t="shared" si="6"/>
        <v>62</v>
      </c>
      <c r="B255" s="1295" t="s">
        <v>453</v>
      </c>
      <c r="G255" s="429">
        <f>G252+G239</f>
        <v>0</v>
      </c>
      <c r="H255" s="429"/>
      <c r="I255" s="1878" t="s">
        <v>1508</v>
      </c>
      <c r="J255" s="1950">
        <f t="shared" si="7"/>
        <v>62</v>
      </c>
    </row>
    <row r="256" spans="1:10" x14ac:dyDescent="0.35">
      <c r="A256" s="1950">
        <f t="shared" si="6"/>
        <v>63</v>
      </c>
      <c r="B256" s="989"/>
      <c r="G256" s="1950"/>
      <c r="H256" s="1950"/>
      <c r="I256" s="1878"/>
      <c r="J256" s="1950">
        <f t="shared" si="7"/>
        <v>63</v>
      </c>
    </row>
    <row r="257" spans="1:10" x14ac:dyDescent="0.35">
      <c r="A257" s="1950">
        <f t="shared" si="6"/>
        <v>64</v>
      </c>
      <c r="B257" s="1711" t="s">
        <v>1257</v>
      </c>
      <c r="G257" s="442">
        <f>G100</f>
        <v>0</v>
      </c>
      <c r="H257" s="1947"/>
      <c r="I257" s="1309" t="s">
        <v>1420</v>
      </c>
      <c r="J257" s="1950">
        <f t="shared" si="7"/>
        <v>64</v>
      </c>
    </row>
    <row r="258" spans="1:10" x14ac:dyDescent="0.35">
      <c r="A258" s="1950">
        <f t="shared" si="6"/>
        <v>65</v>
      </c>
      <c r="B258" s="989"/>
      <c r="G258" s="1950"/>
      <c r="H258" s="1950"/>
      <c r="I258" s="1878"/>
      <c r="J258" s="1950">
        <f t="shared" si="7"/>
        <v>65</v>
      </c>
    </row>
    <row r="259" spans="1:10" ht="18" thickBot="1" x14ac:dyDescent="0.4">
      <c r="A259" s="1950">
        <f t="shared" si="6"/>
        <v>66</v>
      </c>
      <c r="B259" s="1711" t="s">
        <v>1412</v>
      </c>
      <c r="G259" s="443">
        <f>G255+G257</f>
        <v>0</v>
      </c>
      <c r="H259" s="652"/>
      <c r="I259" s="1878" t="s">
        <v>1509</v>
      </c>
      <c r="J259" s="1950">
        <f t="shared" si="7"/>
        <v>66</v>
      </c>
    </row>
    <row r="260" spans="1:10" ht="16" thickTop="1" x14ac:dyDescent="0.35"/>
    <row r="261" spans="1:10" ht="18" x14ac:dyDescent="0.35">
      <c r="A261" s="1005">
        <v>1</v>
      </c>
      <c r="B261" s="989" t="s">
        <v>1513</v>
      </c>
    </row>
    <row r="263" spans="1:10" ht="18" x14ac:dyDescent="0.35">
      <c r="A263" s="1251"/>
      <c r="B263" s="227"/>
    </row>
  </sheetData>
  <mergeCells count="20">
    <mergeCell ref="B108:I108"/>
    <mergeCell ref="B2:I2"/>
    <mergeCell ref="B3:I3"/>
    <mergeCell ref="B4:I4"/>
    <mergeCell ref="B5:I5"/>
    <mergeCell ref="B6:I6"/>
    <mergeCell ref="B70:I70"/>
    <mergeCell ref="B71:I71"/>
    <mergeCell ref="B72:I72"/>
    <mergeCell ref="B73:I73"/>
    <mergeCell ref="B74:I74"/>
    <mergeCell ref="B187:I187"/>
    <mergeCell ref="B188:I188"/>
    <mergeCell ref="B189:I189"/>
    <mergeCell ref="B109:I109"/>
    <mergeCell ref="B110:I110"/>
    <mergeCell ref="B111:I111"/>
    <mergeCell ref="B112:I112"/>
    <mergeCell ref="B185:I185"/>
    <mergeCell ref="B186:I186"/>
  </mergeCells>
  <printOptions horizontalCentered="1"/>
  <pageMargins left="0.5" right="0.5" top="0.5" bottom="0.5" header="0.25" footer="0.25"/>
  <pageSetup scale="55" fitToHeight="0" orientation="portrait" r:id="rId1"/>
  <headerFooter scaleWithDoc="0">
    <oddFooter>&amp;C&amp;"Times New Roman,Regular"&amp;10AV
Page &amp;P of 4</oddFooter>
    <evenFooter>&amp;C&amp;"Times New Roman,Regular"&amp;10AV3</evenFooter>
    <firstFooter>&amp;C&amp;"Times New Roman,Regular"&amp;10AV&amp;P</firstFooter>
  </headerFooter>
  <rowBreaks count="3" manualBreakCount="3">
    <brk id="68" max="9" man="1"/>
    <brk id="106" max="9" man="1"/>
    <brk id="183" max="9"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I67"/>
  <sheetViews>
    <sheetView zoomScale="80" zoomScaleNormal="80" workbookViewId="0"/>
  </sheetViews>
  <sheetFormatPr defaultColWidth="8.90625" defaultRowHeight="15.5" x14ac:dyDescent="0.35"/>
  <cols>
    <col min="1" max="1" width="5.08984375" style="945" customWidth="1"/>
    <col min="2" max="2" width="42.54296875" style="7" customWidth="1"/>
    <col min="3" max="3" width="35.90625" style="7" customWidth="1"/>
    <col min="4" max="4" width="5.08984375" style="945" customWidth="1"/>
    <col min="5" max="16384" width="8.90625" style="7"/>
  </cols>
  <sheetData>
    <row r="2" spans="1:9" ht="15.75" customHeight="1" x14ac:dyDescent="0.35">
      <c r="B2" s="2289" t="s">
        <v>218</v>
      </c>
      <c r="C2" s="2289"/>
    </row>
    <row r="3" spans="1:9" ht="15.75" customHeight="1" x14ac:dyDescent="0.35">
      <c r="B3" s="2289" t="s">
        <v>467</v>
      </c>
      <c r="C3" s="2289"/>
    </row>
    <row r="4" spans="1:9" ht="15.75" customHeight="1" x14ac:dyDescent="0.35">
      <c r="B4" s="2279" t="s">
        <v>1650</v>
      </c>
      <c r="C4" s="2279"/>
    </row>
    <row r="5" spans="1:9" x14ac:dyDescent="0.35">
      <c r="B5" s="2279" t="s">
        <v>1625</v>
      </c>
      <c r="C5" s="2279"/>
    </row>
    <row r="6" spans="1:9" ht="15.75" customHeight="1" x14ac:dyDescent="0.35">
      <c r="B6" s="2279" t="s">
        <v>1604</v>
      </c>
      <c r="C6" s="2279"/>
    </row>
    <row r="7" spans="1:9" ht="17.399999999999999" customHeight="1" x14ac:dyDescent="0.35">
      <c r="B7" s="2319">
        <v>-1000</v>
      </c>
      <c r="C7" s="2319"/>
      <c r="D7" s="937"/>
    </row>
    <row r="8" spans="1:9" ht="17.399999999999999" customHeight="1" thickBot="1" x14ac:dyDescent="0.4">
      <c r="B8" s="1578"/>
      <c r="C8" s="1578"/>
      <c r="D8" s="937"/>
    </row>
    <row r="9" spans="1:9" ht="17.399999999999999" customHeight="1" x14ac:dyDescent="0.35">
      <c r="B9" s="1590"/>
      <c r="C9" s="1592" t="s">
        <v>938</v>
      </c>
      <c r="D9" s="937"/>
    </row>
    <row r="10" spans="1:9" ht="17.399999999999999" customHeight="1" x14ac:dyDescent="0.35">
      <c r="A10" s="937" t="s">
        <v>3</v>
      </c>
      <c r="B10" s="1591"/>
      <c r="C10" s="1593" t="s">
        <v>939</v>
      </c>
      <c r="D10" s="937" t="s">
        <v>3</v>
      </c>
    </row>
    <row r="11" spans="1:9" ht="18.5" thickBot="1" x14ac:dyDescent="0.4">
      <c r="A11" s="1324" t="s">
        <v>25</v>
      </c>
      <c r="B11" s="1588" t="s">
        <v>787</v>
      </c>
      <c r="C11" s="1589" t="s">
        <v>940</v>
      </c>
      <c r="D11" s="1324" t="s">
        <v>25</v>
      </c>
    </row>
    <row r="12" spans="1:9" s="331" customFormat="1" x14ac:dyDescent="0.35">
      <c r="A12" s="1324"/>
      <c r="B12" s="1325"/>
      <c r="C12" s="1326"/>
      <c r="D12" s="1324"/>
      <c r="E12" s="7"/>
      <c r="F12" s="7"/>
      <c r="G12" s="7"/>
      <c r="H12" s="7"/>
      <c r="I12" s="7"/>
    </row>
    <row r="13" spans="1:9" x14ac:dyDescent="0.35">
      <c r="A13" s="946">
        <v>1</v>
      </c>
      <c r="B13" s="1327">
        <v>2001</v>
      </c>
      <c r="C13" s="1620">
        <v>65.815150000000003</v>
      </c>
      <c r="D13" s="946">
        <f>A13</f>
        <v>1</v>
      </c>
    </row>
    <row r="14" spans="1:9" x14ac:dyDescent="0.35">
      <c r="A14" s="946">
        <f>A13+1</f>
        <v>2</v>
      </c>
      <c r="B14" s="1327"/>
      <c r="C14" s="1544"/>
      <c r="D14" s="946">
        <f>D13+1</f>
        <v>2</v>
      </c>
    </row>
    <row r="15" spans="1:9" x14ac:dyDescent="0.35">
      <c r="A15" s="946">
        <f t="shared" ref="A15:A62" si="0">A14+1</f>
        <v>3</v>
      </c>
      <c r="B15" s="1327">
        <v>2002</v>
      </c>
      <c r="C15" s="1819">
        <v>7.3122199999999999</v>
      </c>
      <c r="D15" s="946">
        <f t="shared" ref="D15:D62" si="1">D14+1</f>
        <v>3</v>
      </c>
    </row>
    <row r="16" spans="1:9" x14ac:dyDescent="0.35">
      <c r="A16" s="946">
        <f t="shared" si="0"/>
        <v>4</v>
      </c>
      <c r="B16" s="1327"/>
      <c r="C16" s="1819"/>
      <c r="D16" s="946">
        <f t="shared" si="1"/>
        <v>4</v>
      </c>
    </row>
    <row r="17" spans="1:4" ht="16" thickBot="1" x14ac:dyDescent="0.4">
      <c r="A17" s="946">
        <f t="shared" si="0"/>
        <v>5</v>
      </c>
      <c r="B17" s="1836">
        <v>2003</v>
      </c>
      <c r="C17" s="1804">
        <v>34.414209999999997</v>
      </c>
      <c r="D17" s="946">
        <f t="shared" si="1"/>
        <v>5</v>
      </c>
    </row>
    <row r="18" spans="1:4" x14ac:dyDescent="0.35">
      <c r="A18" s="946">
        <f t="shared" si="0"/>
        <v>6</v>
      </c>
      <c r="B18" s="1328"/>
      <c r="C18" s="1546"/>
      <c r="D18" s="946">
        <f t="shared" si="1"/>
        <v>6</v>
      </c>
    </row>
    <row r="19" spans="1:4" x14ac:dyDescent="0.35">
      <c r="A19" s="946">
        <f t="shared" si="0"/>
        <v>7</v>
      </c>
      <c r="B19" s="1327">
        <v>2004</v>
      </c>
      <c r="C19" s="1819">
        <v>44.816049999999997</v>
      </c>
      <c r="D19" s="946">
        <f t="shared" si="1"/>
        <v>7</v>
      </c>
    </row>
    <row r="20" spans="1:4" x14ac:dyDescent="0.35">
      <c r="A20" s="946">
        <f t="shared" si="0"/>
        <v>8</v>
      </c>
      <c r="B20" s="1327"/>
      <c r="C20" s="1819"/>
      <c r="D20" s="946">
        <f t="shared" si="1"/>
        <v>8</v>
      </c>
    </row>
    <row r="21" spans="1:4" x14ac:dyDescent="0.35">
      <c r="A21" s="946">
        <f t="shared" si="0"/>
        <v>9</v>
      </c>
      <c r="B21" s="1327">
        <v>2005</v>
      </c>
      <c r="C21" s="1819">
        <v>62.151510000000002</v>
      </c>
      <c r="D21" s="946">
        <f t="shared" si="1"/>
        <v>9</v>
      </c>
    </row>
    <row r="22" spans="1:4" x14ac:dyDescent="0.35">
      <c r="A22" s="946">
        <f t="shared" si="0"/>
        <v>10</v>
      </c>
      <c r="B22" s="1327"/>
      <c r="C22" s="1819"/>
      <c r="D22" s="946">
        <f t="shared" si="1"/>
        <v>10</v>
      </c>
    </row>
    <row r="23" spans="1:4" ht="16" thickBot="1" x14ac:dyDescent="0.4">
      <c r="A23" s="946">
        <f t="shared" si="0"/>
        <v>11</v>
      </c>
      <c r="B23" s="1836">
        <v>2006</v>
      </c>
      <c r="C23" s="1819">
        <v>113.58408</v>
      </c>
      <c r="D23" s="946">
        <f t="shared" si="1"/>
        <v>11</v>
      </c>
    </row>
    <row r="24" spans="1:4" x14ac:dyDescent="0.35">
      <c r="A24" s="946">
        <f t="shared" si="0"/>
        <v>12</v>
      </c>
      <c r="B24" s="1328"/>
      <c r="C24" s="1546"/>
      <c r="D24" s="946">
        <f t="shared" si="1"/>
        <v>12</v>
      </c>
    </row>
    <row r="25" spans="1:4" x14ac:dyDescent="0.35">
      <c r="A25" s="946">
        <f t="shared" si="0"/>
        <v>13</v>
      </c>
      <c r="B25" s="1450">
        <v>2007</v>
      </c>
      <c r="C25" s="1819">
        <v>363.18123000000003</v>
      </c>
      <c r="D25" s="946">
        <f t="shared" si="1"/>
        <v>13</v>
      </c>
    </row>
    <row r="26" spans="1:4" x14ac:dyDescent="0.35">
      <c r="A26" s="946">
        <f t="shared" si="0"/>
        <v>14</v>
      </c>
      <c r="B26" s="1327"/>
      <c r="C26" s="1819"/>
      <c r="D26" s="946">
        <f t="shared" si="1"/>
        <v>14</v>
      </c>
    </row>
    <row r="27" spans="1:4" x14ac:dyDescent="0.35">
      <c r="A27" s="946">
        <f t="shared" si="0"/>
        <v>15</v>
      </c>
      <c r="B27" s="1327">
        <v>2008</v>
      </c>
      <c r="C27" s="1819">
        <v>355.21937000000003</v>
      </c>
      <c r="D27" s="946">
        <f t="shared" si="1"/>
        <v>15</v>
      </c>
    </row>
    <row r="28" spans="1:4" x14ac:dyDescent="0.35">
      <c r="A28" s="946">
        <f t="shared" si="0"/>
        <v>16</v>
      </c>
      <c r="B28" s="1327"/>
      <c r="C28" s="1819"/>
      <c r="D28" s="946">
        <f t="shared" si="1"/>
        <v>16</v>
      </c>
    </row>
    <row r="29" spans="1:4" ht="16" thickBot="1" x14ac:dyDescent="0.4">
      <c r="A29" s="946">
        <f t="shared" si="0"/>
        <v>17</v>
      </c>
      <c r="B29" s="1836">
        <v>2009</v>
      </c>
      <c r="C29" s="1804">
        <v>97.156899999999993</v>
      </c>
      <c r="D29" s="946">
        <f t="shared" si="1"/>
        <v>17</v>
      </c>
    </row>
    <row r="30" spans="1:4" x14ac:dyDescent="0.35">
      <c r="A30" s="946">
        <f t="shared" si="0"/>
        <v>18</v>
      </c>
      <c r="B30" s="1327"/>
      <c r="C30" s="1819"/>
      <c r="D30" s="946">
        <f t="shared" si="1"/>
        <v>18</v>
      </c>
    </row>
    <row r="31" spans="1:4" x14ac:dyDescent="0.35">
      <c r="A31" s="946">
        <f t="shared" si="0"/>
        <v>19</v>
      </c>
      <c r="B31" s="1327">
        <v>2010</v>
      </c>
      <c r="C31" s="1819">
        <v>135.72908000000001</v>
      </c>
      <c r="D31" s="946">
        <f t="shared" si="1"/>
        <v>19</v>
      </c>
    </row>
    <row r="32" spans="1:4" x14ac:dyDescent="0.35">
      <c r="A32" s="946">
        <f t="shared" si="0"/>
        <v>20</v>
      </c>
      <c r="B32" s="1327"/>
      <c r="C32" s="1819"/>
      <c r="D32" s="946">
        <f t="shared" si="1"/>
        <v>20</v>
      </c>
    </row>
    <row r="33" spans="1:4" x14ac:dyDescent="0.35">
      <c r="A33" s="946">
        <f t="shared" si="0"/>
        <v>21</v>
      </c>
      <c r="B33" s="1327">
        <v>2011</v>
      </c>
      <c r="C33" s="1819">
        <v>168.84128000000001</v>
      </c>
      <c r="D33" s="946">
        <f t="shared" si="1"/>
        <v>21</v>
      </c>
    </row>
    <row r="34" spans="1:4" x14ac:dyDescent="0.35">
      <c r="A34" s="946">
        <f t="shared" si="0"/>
        <v>22</v>
      </c>
      <c r="B34" s="1327"/>
      <c r="C34" s="1819"/>
      <c r="D34" s="946">
        <f t="shared" si="1"/>
        <v>22</v>
      </c>
    </row>
    <row r="35" spans="1:4" ht="16" thickBot="1" x14ac:dyDescent="0.4">
      <c r="A35" s="946">
        <f t="shared" si="0"/>
        <v>23</v>
      </c>
      <c r="B35" s="1836">
        <v>2012</v>
      </c>
      <c r="C35" s="1804">
        <v>1617.45012</v>
      </c>
      <c r="D35" s="946">
        <f t="shared" si="1"/>
        <v>23</v>
      </c>
    </row>
    <row r="36" spans="1:4" x14ac:dyDescent="0.35">
      <c r="A36" s="946">
        <f t="shared" si="0"/>
        <v>24</v>
      </c>
      <c r="B36" s="1327"/>
      <c r="C36" s="1819"/>
      <c r="D36" s="946">
        <f t="shared" si="1"/>
        <v>24</v>
      </c>
    </row>
    <row r="37" spans="1:4" x14ac:dyDescent="0.35">
      <c r="A37" s="946">
        <f t="shared" si="0"/>
        <v>25</v>
      </c>
      <c r="B37" s="1327">
        <v>2013</v>
      </c>
      <c r="C37" s="1819">
        <v>1309.8404</v>
      </c>
      <c r="D37" s="946">
        <f t="shared" si="1"/>
        <v>25</v>
      </c>
    </row>
    <row r="38" spans="1:4" x14ac:dyDescent="0.35">
      <c r="A38" s="946">
        <f t="shared" si="0"/>
        <v>26</v>
      </c>
      <c r="B38" s="1327"/>
      <c r="C38" s="1819"/>
      <c r="D38" s="946">
        <f t="shared" si="1"/>
        <v>26</v>
      </c>
    </row>
    <row r="39" spans="1:4" x14ac:dyDescent="0.35">
      <c r="A39" s="946">
        <f t="shared" si="0"/>
        <v>27</v>
      </c>
      <c r="B39" s="1327">
        <v>2014</v>
      </c>
      <c r="C39" s="1819">
        <v>171.92194000000001</v>
      </c>
      <c r="D39" s="946">
        <f t="shared" si="1"/>
        <v>27</v>
      </c>
    </row>
    <row r="40" spans="1:4" x14ac:dyDescent="0.35">
      <c r="A40" s="946">
        <f t="shared" si="0"/>
        <v>28</v>
      </c>
      <c r="B40" s="1327"/>
      <c r="C40" s="1819"/>
      <c r="D40" s="946">
        <f t="shared" si="1"/>
        <v>28</v>
      </c>
    </row>
    <row r="41" spans="1:4" ht="16" thickBot="1" x14ac:dyDescent="0.4">
      <c r="A41" s="946">
        <f t="shared" si="0"/>
        <v>29</v>
      </c>
      <c r="B41" s="1836">
        <v>2015</v>
      </c>
      <c r="C41" s="1804">
        <v>238.67829</v>
      </c>
      <c r="D41" s="946">
        <f t="shared" si="1"/>
        <v>29</v>
      </c>
    </row>
    <row r="42" spans="1:4" x14ac:dyDescent="0.35">
      <c r="A42" s="946">
        <f t="shared" si="0"/>
        <v>30</v>
      </c>
      <c r="B42" s="1327"/>
      <c r="C42" s="1819"/>
      <c r="D42" s="946">
        <f t="shared" si="1"/>
        <v>30</v>
      </c>
    </row>
    <row r="43" spans="1:4" x14ac:dyDescent="0.35">
      <c r="A43" s="946">
        <f t="shared" si="0"/>
        <v>31</v>
      </c>
      <c r="B43" s="1327">
        <v>2016</v>
      </c>
      <c r="C43" s="1819">
        <v>418.14882</v>
      </c>
      <c r="D43" s="946">
        <f t="shared" si="1"/>
        <v>31</v>
      </c>
    </row>
    <row r="44" spans="1:4" x14ac:dyDescent="0.35">
      <c r="A44" s="946">
        <f t="shared" si="0"/>
        <v>32</v>
      </c>
      <c r="B44" s="1327"/>
      <c r="C44" s="1819"/>
      <c r="D44" s="946">
        <f t="shared" si="1"/>
        <v>32</v>
      </c>
    </row>
    <row r="45" spans="1:4" x14ac:dyDescent="0.35">
      <c r="A45" s="946">
        <f t="shared" si="0"/>
        <v>33</v>
      </c>
      <c r="B45" s="1327">
        <v>2017</v>
      </c>
      <c r="C45" s="1819">
        <v>925.01328999999998</v>
      </c>
      <c r="D45" s="946">
        <f t="shared" si="1"/>
        <v>33</v>
      </c>
    </row>
    <row r="46" spans="1:4" x14ac:dyDescent="0.35">
      <c r="A46" s="946">
        <f t="shared" si="0"/>
        <v>34</v>
      </c>
      <c r="B46" s="1327"/>
      <c r="C46" s="1819"/>
      <c r="D46" s="946">
        <f t="shared" si="1"/>
        <v>34</v>
      </c>
    </row>
    <row r="47" spans="1:4" ht="16" thickBot="1" x14ac:dyDescent="0.4">
      <c r="A47" s="946">
        <f t="shared" si="0"/>
        <v>35</v>
      </c>
      <c r="B47" s="1836">
        <v>2018</v>
      </c>
      <c r="C47" s="1804">
        <v>1060.75956</v>
      </c>
      <c r="D47" s="946">
        <f t="shared" si="1"/>
        <v>35</v>
      </c>
    </row>
    <row r="48" spans="1:4" x14ac:dyDescent="0.35">
      <c r="A48" s="1777">
        <f t="shared" si="0"/>
        <v>36</v>
      </c>
      <c r="B48" s="1327"/>
      <c r="C48" s="1819"/>
      <c r="D48" s="1777">
        <f t="shared" si="1"/>
        <v>36</v>
      </c>
    </row>
    <row r="49" spans="1:4" x14ac:dyDescent="0.35">
      <c r="A49" s="1777">
        <f t="shared" si="0"/>
        <v>37</v>
      </c>
      <c r="B49" s="1327">
        <v>2019</v>
      </c>
      <c r="C49" s="1819">
        <v>601.00602000000003</v>
      </c>
      <c r="D49" s="1777">
        <f t="shared" si="1"/>
        <v>37</v>
      </c>
    </row>
    <row r="50" spans="1:4" x14ac:dyDescent="0.35">
      <c r="A50" s="1777">
        <f t="shared" si="0"/>
        <v>38</v>
      </c>
      <c r="B50" s="1327"/>
      <c r="C50" s="1819"/>
      <c r="D50" s="1777">
        <f t="shared" si="1"/>
        <v>38</v>
      </c>
    </row>
    <row r="51" spans="1:4" x14ac:dyDescent="0.35">
      <c r="A51" s="1777">
        <f t="shared" si="0"/>
        <v>39</v>
      </c>
      <c r="B51" s="1327">
        <v>2020</v>
      </c>
      <c r="C51" s="1819">
        <v>923.32521999999994</v>
      </c>
      <c r="D51" s="1777">
        <f t="shared" si="1"/>
        <v>39</v>
      </c>
    </row>
    <row r="52" spans="1:4" x14ac:dyDescent="0.35">
      <c r="A52" s="1777">
        <f t="shared" si="0"/>
        <v>40</v>
      </c>
      <c r="B52" s="1327"/>
      <c r="C52" s="1819"/>
      <c r="D52" s="1777">
        <f t="shared" si="1"/>
        <v>40</v>
      </c>
    </row>
    <row r="53" spans="1:4" x14ac:dyDescent="0.35">
      <c r="A53" s="1777">
        <f t="shared" si="0"/>
        <v>41</v>
      </c>
      <c r="B53" s="1327">
        <v>2021</v>
      </c>
      <c r="C53" s="1819">
        <v>516.47522000000004</v>
      </c>
      <c r="D53" s="1777">
        <f t="shared" si="1"/>
        <v>41</v>
      </c>
    </row>
    <row r="54" spans="1:4" x14ac:dyDescent="0.35">
      <c r="A54" s="1777">
        <f t="shared" si="0"/>
        <v>42</v>
      </c>
      <c r="B54" s="1327"/>
      <c r="C54" s="635"/>
      <c r="D54" s="1777">
        <f t="shared" si="1"/>
        <v>42</v>
      </c>
    </row>
    <row r="55" spans="1:4" x14ac:dyDescent="0.35">
      <c r="A55" s="1777">
        <f t="shared" si="0"/>
        <v>43</v>
      </c>
      <c r="B55" s="1327"/>
      <c r="C55" s="636"/>
      <c r="D55" s="1777">
        <f t="shared" si="1"/>
        <v>43</v>
      </c>
    </row>
    <row r="56" spans="1:4" x14ac:dyDescent="0.35">
      <c r="A56" s="946">
        <f>A55+1</f>
        <v>44</v>
      </c>
      <c r="B56" s="1327" t="s">
        <v>31</v>
      </c>
      <c r="C56" s="637">
        <f>SUM(C13:C55)</f>
        <v>9230.8399599999993</v>
      </c>
      <c r="D56" s="946">
        <f>D55+1</f>
        <v>44</v>
      </c>
    </row>
    <row r="57" spans="1:4" x14ac:dyDescent="0.35">
      <c r="A57" s="946">
        <f t="shared" si="0"/>
        <v>45</v>
      </c>
      <c r="B57" s="1327"/>
      <c r="C57" s="637"/>
      <c r="D57" s="946">
        <f t="shared" si="1"/>
        <v>45</v>
      </c>
    </row>
    <row r="58" spans="1:4" x14ac:dyDescent="0.35">
      <c r="A58" s="946">
        <f t="shared" si="0"/>
        <v>46</v>
      </c>
      <c r="B58" s="2126" t="s">
        <v>1626</v>
      </c>
      <c r="C58" s="2127">
        <f>-'AV-1B'!C19</f>
        <v>-197.33238</v>
      </c>
      <c r="D58" s="946">
        <f t="shared" si="1"/>
        <v>46</v>
      </c>
    </row>
    <row r="59" spans="1:4" x14ac:dyDescent="0.35">
      <c r="A59" s="1777">
        <f t="shared" si="0"/>
        <v>47</v>
      </c>
      <c r="B59" s="1327" t="s">
        <v>1627</v>
      </c>
      <c r="C59" s="1559">
        <f>-'AV-1B'!C33</f>
        <v>-56.027447560000006</v>
      </c>
      <c r="D59" s="1777">
        <f t="shared" si="1"/>
        <v>47</v>
      </c>
    </row>
    <row r="60" spans="1:4" x14ac:dyDescent="0.35">
      <c r="A60" s="1777">
        <f t="shared" si="0"/>
        <v>48</v>
      </c>
      <c r="B60" s="1327"/>
      <c r="C60" s="637"/>
      <c r="D60" s="1777">
        <f t="shared" si="1"/>
        <v>48</v>
      </c>
    </row>
    <row r="61" spans="1:4" ht="47" thickBot="1" x14ac:dyDescent="0.4">
      <c r="A61" s="1777">
        <f t="shared" si="0"/>
        <v>49</v>
      </c>
      <c r="B61" s="1329" t="s">
        <v>468</v>
      </c>
      <c r="C61" s="444">
        <f>SUM(C56:C59)</f>
        <v>8977.4801324399996</v>
      </c>
      <c r="D61" s="1777">
        <f t="shared" si="1"/>
        <v>49</v>
      </c>
    </row>
    <row r="62" spans="1:4" ht="16.5" thickTop="1" thickBot="1" x14ac:dyDescent="0.4">
      <c r="A62" s="946">
        <f t="shared" si="0"/>
        <v>50</v>
      </c>
      <c r="B62" s="1837"/>
      <c r="C62" s="638"/>
      <c r="D62" s="1777">
        <f t="shared" si="1"/>
        <v>50</v>
      </c>
    </row>
    <row r="65" spans="1:2" ht="18" x14ac:dyDescent="0.35">
      <c r="A65" s="1330">
        <v>1</v>
      </c>
      <c r="B65" s="7" t="s">
        <v>799</v>
      </c>
    </row>
    <row r="66" spans="1:2" x14ac:dyDescent="0.35">
      <c r="B66" s="7" t="s">
        <v>800</v>
      </c>
    </row>
    <row r="67" spans="1:2" x14ac:dyDescent="0.35">
      <c r="B67" s="7" t="s">
        <v>801</v>
      </c>
    </row>
  </sheetData>
  <mergeCells count="6">
    <mergeCell ref="B7:C7"/>
    <mergeCell ref="B2:C2"/>
    <mergeCell ref="B3:C3"/>
    <mergeCell ref="B4:C4"/>
    <mergeCell ref="B5:C5"/>
    <mergeCell ref="B6:C6"/>
  </mergeCells>
  <printOptions horizontalCentered="1"/>
  <pageMargins left="0.5" right="0.5" top="0.5" bottom="0.5" header="0.25" footer="0.25"/>
  <pageSetup scale="66" orientation="portrait" r:id="rId1"/>
  <headerFooter scaleWithDoc="0">
    <oddFooter>&amp;C&amp;"Times New Roman,Regular"&amp;10&amp;A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34"/>
  <sheetViews>
    <sheetView zoomScale="80" zoomScaleNormal="80" workbookViewId="0"/>
  </sheetViews>
  <sheetFormatPr defaultColWidth="8.90625" defaultRowHeight="15.5" x14ac:dyDescent="0.35"/>
  <cols>
    <col min="1" max="1" width="5.08984375" style="7" bestFit="1" customWidth="1"/>
    <col min="2" max="2" width="62.453125" style="7" customWidth="1"/>
    <col min="3" max="3" width="18.54296875" style="7" customWidth="1"/>
    <col min="4" max="4" width="34.54296875" style="7" customWidth="1"/>
    <col min="5" max="5" width="5.08984375" style="945" bestFit="1" customWidth="1"/>
    <col min="6" max="16384" width="8.90625" style="7"/>
  </cols>
  <sheetData>
    <row r="1" spans="1:5" x14ac:dyDescent="0.35">
      <c r="A1" s="945"/>
    </row>
    <row r="2" spans="1:5" x14ac:dyDescent="0.35">
      <c r="B2" s="2308" t="s">
        <v>218</v>
      </c>
      <c r="C2" s="2308"/>
      <c r="D2" s="2308"/>
      <c r="E2" s="1732"/>
    </row>
    <row r="3" spans="1:5" x14ac:dyDescent="0.35">
      <c r="B3" s="2315" t="s">
        <v>1652</v>
      </c>
      <c r="C3" s="2315"/>
      <c r="D3" s="2315"/>
      <c r="E3" s="1732"/>
    </row>
    <row r="4" spans="1:5" x14ac:dyDescent="0.35">
      <c r="B4" s="2308" t="s">
        <v>515</v>
      </c>
      <c r="C4" s="2308"/>
      <c r="D4" s="2308"/>
      <c r="E4" s="1732"/>
    </row>
    <row r="5" spans="1:5" ht="15.75" customHeight="1" x14ac:dyDescent="0.35">
      <c r="B5" s="2279" t="s">
        <v>1604</v>
      </c>
      <c r="C5" s="2279"/>
      <c r="D5" s="2279"/>
    </row>
    <row r="6" spans="1:5" x14ac:dyDescent="0.35">
      <c r="B6" s="2319">
        <v>-1000</v>
      </c>
      <c r="C6" s="2319"/>
      <c r="D6" s="2319"/>
      <c r="E6" s="937"/>
    </row>
    <row r="7" spans="1:5" ht="16" thickBot="1" x14ac:dyDescent="0.4">
      <c r="A7" s="945"/>
      <c r="C7" s="945"/>
    </row>
    <row r="8" spans="1:5" x14ac:dyDescent="0.35">
      <c r="A8" s="946" t="s">
        <v>3</v>
      </c>
      <c r="B8" s="1333"/>
      <c r="C8" s="1334"/>
      <c r="D8" s="1335"/>
      <c r="E8" s="946" t="s">
        <v>3</v>
      </c>
    </row>
    <row r="9" spans="1:5" ht="16" thickBot="1" x14ac:dyDescent="0.4">
      <c r="A9" s="946" t="s">
        <v>25</v>
      </c>
      <c r="B9" s="1838" t="s">
        <v>74</v>
      </c>
      <c r="C9" s="1839" t="s">
        <v>135</v>
      </c>
      <c r="D9" s="1840" t="s">
        <v>9</v>
      </c>
      <c r="E9" s="946" t="s">
        <v>25</v>
      </c>
    </row>
    <row r="10" spans="1:5" x14ac:dyDescent="0.35">
      <c r="A10" s="1336"/>
      <c r="B10" s="1337"/>
      <c r="C10" s="1338"/>
      <c r="D10" s="1841"/>
      <c r="E10" s="1336"/>
    </row>
    <row r="11" spans="1:5" x14ac:dyDescent="0.35">
      <c r="A11" s="946">
        <v>1</v>
      </c>
      <c r="B11" s="1339" t="s">
        <v>516</v>
      </c>
      <c r="C11" s="164">
        <v>8358</v>
      </c>
      <c r="D11" s="1340"/>
      <c r="E11" s="946">
        <f>A11</f>
        <v>1</v>
      </c>
    </row>
    <row r="12" spans="1:5" x14ac:dyDescent="0.35">
      <c r="A12" s="946">
        <f>A11+1</f>
        <v>2</v>
      </c>
      <c r="B12" s="1339"/>
      <c r="C12" s="164"/>
      <c r="D12" s="1340"/>
      <c r="E12" s="946">
        <f>E11+1</f>
        <v>2</v>
      </c>
    </row>
    <row r="13" spans="1:5" x14ac:dyDescent="0.35">
      <c r="A13" s="946">
        <f t="shared" ref="A13:A23" si="0">A12+1</f>
        <v>3</v>
      </c>
      <c r="B13" s="1339" t="s">
        <v>517</v>
      </c>
      <c r="C13" s="1542">
        <v>0.70830000000000004</v>
      </c>
      <c r="D13" s="1340"/>
      <c r="E13" s="946">
        <f t="shared" ref="E13:E24" si="1">E12+1</f>
        <v>3</v>
      </c>
    </row>
    <row r="14" spans="1:5" x14ac:dyDescent="0.35">
      <c r="A14" s="946">
        <f t="shared" si="0"/>
        <v>4</v>
      </c>
      <c r="B14" s="1339"/>
      <c r="C14" s="1543"/>
      <c r="D14" s="1340"/>
      <c r="E14" s="946">
        <f t="shared" si="1"/>
        <v>4</v>
      </c>
    </row>
    <row r="15" spans="1:5" x14ac:dyDescent="0.35">
      <c r="A15" s="946">
        <f t="shared" si="0"/>
        <v>5</v>
      </c>
      <c r="B15" s="1339" t="s">
        <v>518</v>
      </c>
      <c r="C15" s="445">
        <f>C11*C13</f>
        <v>5919.9714000000004</v>
      </c>
      <c r="D15" s="1341" t="s">
        <v>1091</v>
      </c>
      <c r="E15" s="946">
        <f t="shared" si="1"/>
        <v>5</v>
      </c>
    </row>
    <row r="16" spans="1:5" x14ac:dyDescent="0.35">
      <c r="A16" s="946">
        <f t="shared" si="0"/>
        <v>6</v>
      </c>
      <c r="B16" s="1339"/>
      <c r="C16" s="446"/>
      <c r="D16" s="1341"/>
      <c r="E16" s="946">
        <f t="shared" si="1"/>
        <v>6</v>
      </c>
    </row>
    <row r="17" spans="1:5" x14ac:dyDescent="0.35">
      <c r="A17" s="946">
        <f t="shared" si="0"/>
        <v>7</v>
      </c>
      <c r="B17" s="1339" t="s">
        <v>519</v>
      </c>
      <c r="C17" s="447">
        <f>1/30</f>
        <v>3.3333333333333333E-2</v>
      </c>
      <c r="D17" s="1341" t="s">
        <v>520</v>
      </c>
      <c r="E17" s="946">
        <f t="shared" si="1"/>
        <v>7</v>
      </c>
    </row>
    <row r="18" spans="1:5" x14ac:dyDescent="0.35">
      <c r="A18" s="946">
        <f t="shared" si="0"/>
        <v>8</v>
      </c>
      <c r="B18" s="1339"/>
      <c r="C18" s="448"/>
      <c r="D18" s="1341"/>
      <c r="E18" s="946">
        <f t="shared" si="1"/>
        <v>8</v>
      </c>
    </row>
    <row r="19" spans="1:5" ht="16" thickBot="1" x14ac:dyDescent="0.4">
      <c r="A19" s="946">
        <f t="shared" si="0"/>
        <v>9</v>
      </c>
      <c r="B19" s="1339" t="s">
        <v>521</v>
      </c>
      <c r="C19" s="449">
        <f>C15*C17</f>
        <v>197.33238</v>
      </c>
      <c r="D19" s="1341" t="s">
        <v>1092</v>
      </c>
      <c r="E19" s="946">
        <f t="shared" si="1"/>
        <v>9</v>
      </c>
    </row>
    <row r="20" spans="1:5" ht="16.5" thickTop="1" thickBot="1" x14ac:dyDescent="0.4">
      <c r="A20" s="946">
        <f t="shared" si="0"/>
        <v>10</v>
      </c>
      <c r="B20" s="1837"/>
      <c r="C20" s="1842"/>
      <c r="D20" s="1843"/>
      <c r="E20" s="946">
        <f t="shared" si="1"/>
        <v>10</v>
      </c>
    </row>
    <row r="21" spans="1:5" ht="16" thickBot="1" x14ac:dyDescent="0.4">
      <c r="A21" s="1777">
        <f t="shared" si="0"/>
        <v>11</v>
      </c>
      <c r="E21" s="1777">
        <f t="shared" si="1"/>
        <v>11</v>
      </c>
    </row>
    <row r="22" spans="1:5" x14ac:dyDescent="0.35">
      <c r="A22" s="1777">
        <f t="shared" si="0"/>
        <v>12</v>
      </c>
      <c r="B22" s="1333"/>
      <c r="C22" s="1334"/>
      <c r="D22" s="1335"/>
      <c r="E22" s="1777">
        <f t="shared" si="1"/>
        <v>12</v>
      </c>
    </row>
    <row r="23" spans="1:5" ht="16" thickBot="1" x14ac:dyDescent="0.4">
      <c r="A23" s="1777">
        <f t="shared" si="0"/>
        <v>13</v>
      </c>
      <c r="B23" s="1838" t="s">
        <v>74</v>
      </c>
      <c r="C23" s="1839" t="s">
        <v>135</v>
      </c>
      <c r="D23" s="1840" t="s">
        <v>9</v>
      </c>
      <c r="E23" s="1777">
        <f t="shared" si="1"/>
        <v>13</v>
      </c>
    </row>
    <row r="24" spans="1:5" x14ac:dyDescent="0.35">
      <c r="A24" s="1181">
        <f t="shared" ref="A24:A34" si="2">A23+1</f>
        <v>14</v>
      </c>
      <c r="B24" s="1337"/>
      <c r="C24" s="2128"/>
      <c r="D24" s="1841"/>
      <c r="E24" s="1777">
        <f t="shared" si="1"/>
        <v>14</v>
      </c>
    </row>
    <row r="25" spans="1:5" x14ac:dyDescent="0.35">
      <c r="A25" s="1181">
        <f t="shared" si="2"/>
        <v>15</v>
      </c>
      <c r="B25" s="1339" t="s">
        <v>1628</v>
      </c>
      <c r="C25" s="2129">
        <v>2282.4870000000001</v>
      </c>
      <c r="D25" s="1340"/>
      <c r="E25" s="1181">
        <f t="shared" ref="E25:E34" si="3">E24+1</f>
        <v>15</v>
      </c>
    </row>
    <row r="26" spans="1:5" x14ac:dyDescent="0.35">
      <c r="A26" s="1181">
        <f t="shared" si="2"/>
        <v>16</v>
      </c>
      <c r="B26" s="1445"/>
      <c r="C26" s="2129"/>
      <c r="D26" s="1340"/>
      <c r="E26" s="1181">
        <f t="shared" si="3"/>
        <v>16</v>
      </c>
    </row>
    <row r="27" spans="1:5" x14ac:dyDescent="0.35">
      <c r="A27" s="1181">
        <f t="shared" si="2"/>
        <v>17</v>
      </c>
      <c r="B27" s="1445" t="s">
        <v>1629</v>
      </c>
      <c r="C27" s="2130">
        <v>0.73640000000000005</v>
      </c>
      <c r="D27" s="1340"/>
      <c r="E27" s="1181">
        <f t="shared" si="3"/>
        <v>17</v>
      </c>
    </row>
    <row r="28" spans="1:5" x14ac:dyDescent="0.35">
      <c r="A28" s="1181">
        <f t="shared" si="2"/>
        <v>18</v>
      </c>
      <c r="B28" s="1339"/>
      <c r="C28" s="2131"/>
      <c r="D28" s="1340"/>
      <c r="E28" s="1181">
        <f t="shared" si="3"/>
        <v>18</v>
      </c>
    </row>
    <row r="29" spans="1:5" x14ac:dyDescent="0.35">
      <c r="A29" s="1181">
        <f t="shared" si="2"/>
        <v>19</v>
      </c>
      <c r="B29" s="1339" t="s">
        <v>1630</v>
      </c>
      <c r="C29" s="2132">
        <f>C25*C27</f>
        <v>1680.8234268000001</v>
      </c>
      <c r="D29" s="1341" t="s">
        <v>1103</v>
      </c>
      <c r="E29" s="1181">
        <f t="shared" si="3"/>
        <v>19</v>
      </c>
    </row>
    <row r="30" spans="1:5" x14ac:dyDescent="0.35">
      <c r="A30" s="1181">
        <f t="shared" si="2"/>
        <v>20</v>
      </c>
      <c r="B30" s="1339"/>
      <c r="C30" s="2133"/>
      <c r="D30" s="1341"/>
      <c r="E30" s="1181">
        <f t="shared" si="3"/>
        <v>20</v>
      </c>
    </row>
    <row r="31" spans="1:5" x14ac:dyDescent="0.35">
      <c r="A31" s="1181">
        <f t="shared" si="2"/>
        <v>21</v>
      </c>
      <c r="B31" s="1339" t="s">
        <v>519</v>
      </c>
      <c r="C31" s="2134">
        <f>1/30</f>
        <v>3.3333333333333333E-2</v>
      </c>
      <c r="D31" s="1341" t="s">
        <v>520</v>
      </c>
      <c r="E31" s="1181">
        <f t="shared" si="3"/>
        <v>21</v>
      </c>
    </row>
    <row r="32" spans="1:5" x14ac:dyDescent="0.35">
      <c r="A32" s="1181">
        <f t="shared" si="2"/>
        <v>22</v>
      </c>
      <c r="B32" s="1339"/>
      <c r="C32" s="2135"/>
      <c r="D32" s="1341"/>
      <c r="E32" s="1181">
        <f t="shared" si="3"/>
        <v>22</v>
      </c>
    </row>
    <row r="33" spans="1:5" ht="16" thickBot="1" x14ac:dyDescent="0.4">
      <c r="A33" s="1181">
        <f t="shared" si="2"/>
        <v>23</v>
      </c>
      <c r="B33" s="1339" t="s">
        <v>521</v>
      </c>
      <c r="C33" s="2136">
        <f>C29*C31</f>
        <v>56.027447560000006</v>
      </c>
      <c r="D33" s="1341" t="s">
        <v>1631</v>
      </c>
      <c r="E33" s="1181">
        <f t="shared" si="3"/>
        <v>23</v>
      </c>
    </row>
    <row r="34" spans="1:5" ht="16.5" thickTop="1" thickBot="1" x14ac:dyDescent="0.4">
      <c r="A34" s="1181">
        <f t="shared" si="2"/>
        <v>24</v>
      </c>
      <c r="B34" s="1837"/>
      <c r="C34" s="1842"/>
      <c r="D34" s="1843"/>
      <c r="E34" s="1181">
        <f t="shared" si="3"/>
        <v>24</v>
      </c>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22"/>
  <sheetViews>
    <sheetView zoomScale="80" zoomScaleNormal="80" workbookViewId="0"/>
  </sheetViews>
  <sheetFormatPr defaultColWidth="8.90625" defaultRowHeight="15.5" x14ac:dyDescent="0.35"/>
  <cols>
    <col min="1" max="1" width="5.08984375" style="234" customWidth="1"/>
    <col min="2" max="2" width="50.90625" style="220" customWidth="1"/>
    <col min="3" max="3" width="21.08984375" style="220" customWidth="1"/>
    <col min="4" max="4" width="1.54296875" style="220" customWidth="1"/>
    <col min="5" max="5" width="16.90625" style="220" customWidth="1"/>
    <col min="6" max="6" width="1.54296875" style="220" customWidth="1"/>
    <col min="7" max="7" width="34.54296875" style="220" customWidth="1"/>
    <col min="8" max="8" width="5.08984375" style="220" customWidth="1"/>
    <col min="9" max="9" width="8.90625" style="220"/>
    <col min="10" max="10" width="20.453125" style="220" bestFit="1" customWidth="1"/>
    <col min="11" max="16384" width="8.90625" style="220"/>
  </cols>
  <sheetData>
    <row r="1" spans="1:10" x14ac:dyDescent="0.35">
      <c r="A1" s="236"/>
      <c r="E1" s="310"/>
      <c r="F1" s="310"/>
      <c r="G1" s="234"/>
      <c r="H1" s="236"/>
    </row>
    <row r="2" spans="1:10" x14ac:dyDescent="0.35">
      <c r="B2" s="2288" t="s">
        <v>18</v>
      </c>
      <c r="C2" s="2288"/>
      <c r="D2" s="2288"/>
      <c r="E2" s="2288"/>
      <c r="F2" s="2288"/>
      <c r="G2" s="2289"/>
      <c r="H2" s="234"/>
    </row>
    <row r="3" spans="1:10" x14ac:dyDescent="0.35">
      <c r="B3" s="2288" t="s">
        <v>651</v>
      </c>
      <c r="C3" s="2288"/>
      <c r="D3" s="2288"/>
      <c r="E3" s="2282"/>
      <c r="F3" s="2282"/>
      <c r="G3" s="2282"/>
      <c r="H3" s="234"/>
    </row>
    <row r="4" spans="1:10" x14ac:dyDescent="0.35">
      <c r="B4" s="2293" t="str">
        <f>'Stmt AD'!B5</f>
        <v>Base Period &amp; True-Up Period 12 - Months Ending December 31, 2021</v>
      </c>
      <c r="C4" s="2293"/>
      <c r="D4" s="2293"/>
      <c r="E4" s="2293"/>
      <c r="F4" s="2293"/>
      <c r="G4" s="2283"/>
      <c r="H4" s="234"/>
    </row>
    <row r="5" spans="1:10" x14ac:dyDescent="0.35">
      <c r="B5" s="2291" t="s">
        <v>2</v>
      </c>
      <c r="C5" s="2278"/>
      <c r="D5" s="2278"/>
      <c r="E5" s="2278"/>
      <c r="F5" s="2278"/>
      <c r="G5" s="2278"/>
      <c r="H5" s="234"/>
    </row>
    <row r="6" spans="1:10" x14ac:dyDescent="0.35">
      <c r="B6" s="236"/>
      <c r="C6" s="236"/>
      <c r="D6" s="236"/>
      <c r="E6" s="236"/>
      <c r="F6" s="236"/>
      <c r="G6" s="234"/>
      <c r="H6" s="234"/>
    </row>
    <row r="7" spans="1:10" x14ac:dyDescent="0.35">
      <c r="A7" s="234" t="s">
        <v>3</v>
      </c>
      <c r="B7" s="1342"/>
      <c r="C7" s="236" t="s">
        <v>648</v>
      </c>
      <c r="D7" s="932"/>
      <c r="E7" s="932"/>
      <c r="F7" s="932"/>
      <c r="G7" s="234"/>
      <c r="H7" s="234" t="s">
        <v>3</v>
      </c>
    </row>
    <row r="8" spans="1:10" x14ac:dyDescent="0.35">
      <c r="A8" s="6" t="s">
        <v>25</v>
      </c>
      <c r="B8" s="236"/>
      <c r="C8" s="732" t="s">
        <v>646</v>
      </c>
      <c r="D8" s="932"/>
      <c r="E8" s="415" t="s">
        <v>135</v>
      </c>
      <c r="F8" s="932"/>
      <c r="G8" s="415" t="s">
        <v>9</v>
      </c>
      <c r="H8" s="6" t="s">
        <v>25</v>
      </c>
    </row>
    <row r="9" spans="1:10" x14ac:dyDescent="0.35">
      <c r="C9" s="236"/>
      <c r="D9" s="236"/>
      <c r="F9" s="932"/>
      <c r="H9" s="234"/>
    </row>
    <row r="10" spans="1:10" ht="18.5" thickBot="1" x14ac:dyDescent="0.4">
      <c r="A10" s="236">
        <v>1</v>
      </c>
      <c r="B10" s="998" t="s">
        <v>894</v>
      </c>
      <c r="E10" s="450">
        <v>0</v>
      </c>
      <c r="F10" s="932"/>
      <c r="G10" s="234"/>
      <c r="H10" s="236">
        <f>A10</f>
        <v>1</v>
      </c>
    </row>
    <row r="11" spans="1:10" ht="16" thickTop="1" x14ac:dyDescent="0.35">
      <c r="A11" s="236">
        <f>A10+1</f>
        <v>2</v>
      </c>
      <c r="F11" s="932"/>
      <c r="H11" s="236">
        <f>+H10+1</f>
        <v>2</v>
      </c>
    </row>
    <row r="12" spans="1:10" ht="18.5" thickBot="1" x14ac:dyDescent="0.4">
      <c r="A12" s="236">
        <f t="shared" ref="A12:A18" si="0">A11+1</f>
        <v>3</v>
      </c>
      <c r="B12" s="998" t="s">
        <v>818</v>
      </c>
      <c r="E12" s="450">
        <v>0</v>
      </c>
      <c r="F12" s="932"/>
      <c r="G12" s="234"/>
      <c r="H12" s="236">
        <f t="shared" ref="H12:H18" si="1">+H11+1</f>
        <v>3</v>
      </c>
    </row>
    <row r="13" spans="1:10" ht="16" thickTop="1" x14ac:dyDescent="0.35">
      <c r="A13" s="236">
        <f t="shared" si="0"/>
        <v>4</v>
      </c>
      <c r="F13" s="932"/>
      <c r="H13" s="236">
        <f t="shared" si="1"/>
        <v>4</v>
      </c>
    </row>
    <row r="14" spans="1:10" ht="18.5" thickBot="1" x14ac:dyDescent="0.4">
      <c r="A14" s="236">
        <f t="shared" si="0"/>
        <v>5</v>
      </c>
      <c r="B14" s="998" t="s">
        <v>819</v>
      </c>
      <c r="E14" s="450">
        <v>0</v>
      </c>
      <c r="F14" s="932"/>
      <c r="G14" s="234"/>
      <c r="H14" s="236">
        <f t="shared" si="1"/>
        <v>5</v>
      </c>
    </row>
    <row r="15" spans="1:10" s="1648" customFormat="1" ht="16" thickTop="1" x14ac:dyDescent="0.35">
      <c r="A15" s="236">
        <f t="shared" si="0"/>
        <v>6</v>
      </c>
      <c r="B15" s="998"/>
      <c r="C15" s="227"/>
      <c r="D15" s="227"/>
      <c r="E15" s="1650"/>
      <c r="F15" s="1651"/>
      <c r="G15" s="1304"/>
      <c r="H15" s="236">
        <f t="shared" si="1"/>
        <v>6</v>
      </c>
    </row>
    <row r="16" spans="1:10" s="1648" customFormat="1" ht="16" thickBot="1" x14ac:dyDescent="0.4">
      <c r="A16" s="236">
        <f t="shared" si="0"/>
        <v>7</v>
      </c>
      <c r="B16" s="998" t="s">
        <v>1241</v>
      </c>
      <c r="C16" s="227"/>
      <c r="D16" s="227"/>
      <c r="E16" s="450">
        <f>'Misc.-1'!G19</f>
        <v>-11021.620822994773</v>
      </c>
      <c r="F16" s="1651"/>
      <c r="G16" s="740" t="s">
        <v>1353</v>
      </c>
      <c r="H16" s="236">
        <f t="shared" si="1"/>
        <v>7</v>
      </c>
      <c r="I16" s="1697"/>
      <c r="J16" s="1697"/>
    </row>
    <row r="17" spans="1:10" ht="16" thickTop="1" x14ac:dyDescent="0.35">
      <c r="A17" s="236">
        <f t="shared" si="0"/>
        <v>8</v>
      </c>
      <c r="B17" s="1697"/>
      <c r="C17" s="1697"/>
      <c r="D17" s="1697"/>
      <c r="E17" s="1697"/>
      <c r="F17" s="1693"/>
      <c r="G17" s="1697"/>
      <c r="H17" s="236">
        <f t="shared" si="1"/>
        <v>8</v>
      </c>
      <c r="I17" s="1697"/>
      <c r="J17" s="1697"/>
    </row>
    <row r="18" spans="1:10" ht="18.5" thickBot="1" x14ac:dyDescent="0.4">
      <c r="A18" s="236">
        <f t="shared" si="0"/>
        <v>9</v>
      </c>
      <c r="B18" s="998" t="s">
        <v>820</v>
      </c>
      <c r="C18" s="1697"/>
      <c r="D18" s="1697"/>
      <c r="E18" s="450">
        <v>0</v>
      </c>
      <c r="F18" s="1693"/>
      <c r="G18" s="1696"/>
      <c r="H18" s="236">
        <f t="shared" si="1"/>
        <v>9</v>
      </c>
      <c r="I18" s="1697"/>
      <c r="J18" s="1697"/>
    </row>
    <row r="19" spans="1:10" ht="16" thickTop="1" x14ac:dyDescent="0.35">
      <c r="A19" s="1696"/>
      <c r="B19" s="1697"/>
      <c r="C19" s="1697"/>
      <c r="D19" s="1697"/>
      <c r="E19" s="1697"/>
      <c r="F19" s="1697"/>
      <c r="G19" s="1697"/>
      <c r="H19" s="236"/>
      <c r="I19" s="1697"/>
      <c r="J19" s="1697"/>
    </row>
    <row r="20" spans="1:10" x14ac:dyDescent="0.35">
      <c r="H20" s="236"/>
    </row>
    <row r="21" spans="1:10" ht="18" x14ac:dyDescent="0.35">
      <c r="A21" s="1251">
        <v>1</v>
      </c>
      <c r="B21" s="220" t="s">
        <v>1632</v>
      </c>
      <c r="H21" s="236"/>
    </row>
    <row r="22" spans="1:10" x14ac:dyDescent="0.35">
      <c r="B22" s="220" t="s">
        <v>833</v>
      </c>
    </row>
  </sheetData>
  <mergeCells count="4">
    <mergeCell ref="B2:G2"/>
    <mergeCell ref="B3:G3"/>
    <mergeCell ref="B4:G4"/>
    <mergeCell ref="B5:G5"/>
  </mergeCells>
  <printOptions horizontalCentered="1"/>
  <pageMargins left="0.5" right="0.5" top="0.5" bottom="0.5" header="0.25" footer="0.25"/>
  <pageSetup scale="69" orientation="portrait" r:id="rId1"/>
  <headerFooter scaleWithDoc="0">
    <oddFooter>&amp;C&amp;"Times New Roman,Regular"&amp;10Misc.</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2"/>
  <sheetViews>
    <sheetView zoomScale="80" zoomScaleNormal="80" workbookViewId="0"/>
  </sheetViews>
  <sheetFormatPr defaultColWidth="8.90625" defaultRowHeight="15.5" x14ac:dyDescent="0.35"/>
  <cols>
    <col min="1" max="1" width="5.08984375" style="1696" customWidth="1"/>
    <col min="2" max="2" width="56.08984375" style="1697" customWidth="1"/>
    <col min="3" max="3" width="16.90625" style="1697" customWidth="1"/>
    <col min="4" max="4" width="2.90625" style="297" bestFit="1" customWidth="1"/>
    <col min="5" max="5" width="16.90625" style="1697" customWidth="1"/>
    <col min="6" max="6" width="1.54296875" style="1697" customWidth="1"/>
    <col min="7" max="7" width="18.453125" style="1697" customWidth="1"/>
    <col min="8" max="8" width="62.453125" style="1697" customWidth="1"/>
    <col min="9" max="9" width="5.08984375" style="1696" customWidth="1"/>
    <col min="10" max="16384" width="8.90625" style="1697"/>
  </cols>
  <sheetData>
    <row r="2" spans="1:9" x14ac:dyDescent="0.35">
      <c r="B2" s="2289" t="s">
        <v>18</v>
      </c>
      <c r="C2" s="2289"/>
      <c r="D2" s="2289"/>
      <c r="E2" s="2289"/>
      <c r="F2" s="2289"/>
      <c r="G2" s="2289"/>
      <c r="H2" s="2289"/>
    </row>
    <row r="3" spans="1:9" x14ac:dyDescent="0.35">
      <c r="B3" s="2289" t="s">
        <v>1380</v>
      </c>
      <c r="C3" s="2289"/>
      <c r="D3" s="2289"/>
      <c r="E3" s="2289"/>
      <c r="F3" s="2289"/>
      <c r="G3" s="2289"/>
      <c r="H3" s="2289"/>
    </row>
    <row r="4" spans="1:9" x14ac:dyDescent="0.35">
      <c r="B4" s="2289" t="s">
        <v>1360</v>
      </c>
      <c r="C4" s="2289"/>
      <c r="D4" s="2289"/>
      <c r="E4" s="2289"/>
      <c r="F4" s="2289"/>
      <c r="G4" s="2289"/>
      <c r="H4" s="2289"/>
    </row>
    <row r="5" spans="1:9" x14ac:dyDescent="0.35">
      <c r="B5" s="2289" t="s">
        <v>1600</v>
      </c>
      <c r="C5" s="2289"/>
      <c r="D5" s="2289"/>
      <c r="E5" s="2289"/>
      <c r="F5" s="2289"/>
      <c r="G5" s="2289"/>
      <c r="H5" s="2289"/>
    </row>
    <row r="6" spans="1:9" ht="15.75" customHeight="1" x14ac:dyDescent="0.35">
      <c r="B6" s="2291" t="s">
        <v>2</v>
      </c>
      <c r="C6" s="2291"/>
      <c r="D6" s="2291"/>
      <c r="E6" s="2291"/>
      <c r="F6" s="2291"/>
      <c r="G6" s="2291"/>
      <c r="H6" s="2291"/>
    </row>
    <row r="8" spans="1:9" x14ac:dyDescent="0.35">
      <c r="A8" s="1696" t="s">
        <v>3</v>
      </c>
      <c r="C8" s="1694" t="s">
        <v>4</v>
      </c>
      <c r="D8" s="1694"/>
      <c r="E8" s="1694" t="s">
        <v>5</v>
      </c>
      <c r="G8" s="1694" t="s">
        <v>6</v>
      </c>
      <c r="H8" s="1694"/>
      <c r="I8" s="1696" t="s">
        <v>3</v>
      </c>
    </row>
    <row r="9" spans="1:9" x14ac:dyDescent="0.35">
      <c r="A9" s="6" t="s">
        <v>25</v>
      </c>
      <c r="B9" s="940" t="s">
        <v>74</v>
      </c>
      <c r="C9" s="941">
        <f>'Stmt AD'!E9</f>
        <v>44196</v>
      </c>
      <c r="D9" s="947"/>
      <c r="E9" s="941">
        <f>'Stmt AD'!G9</f>
        <v>44561</v>
      </c>
      <c r="F9" s="948"/>
      <c r="G9" s="940" t="s">
        <v>8</v>
      </c>
      <c r="H9" s="940" t="s">
        <v>9</v>
      </c>
      <c r="I9" s="6" t="s">
        <v>25</v>
      </c>
    </row>
    <row r="11" spans="1:9" x14ac:dyDescent="0.35">
      <c r="A11" s="1696">
        <v>1</v>
      </c>
      <c r="B11" s="1697" t="s">
        <v>1365</v>
      </c>
      <c r="C11" s="235">
        <f>'Misc.-1.1'!C14</f>
        <v>-105.62197012140862</v>
      </c>
      <c r="D11" s="256"/>
      <c r="E11" s="235">
        <f>'Misc.-1.1'!E14</f>
        <v>-105.73933861834182</v>
      </c>
      <c r="F11" s="235"/>
      <c r="G11" s="235">
        <f>'Misc.-1.1'!G14</f>
        <v>-105.90423812549261</v>
      </c>
      <c r="H11" s="1538" t="s">
        <v>1374</v>
      </c>
      <c r="I11" s="1696">
        <f>A11</f>
        <v>1</v>
      </c>
    </row>
    <row r="12" spans="1:9" x14ac:dyDescent="0.35">
      <c r="A12" s="1696">
        <v>2</v>
      </c>
      <c r="C12" s="242"/>
      <c r="D12" s="256"/>
      <c r="E12" s="242"/>
      <c r="F12" s="242"/>
      <c r="G12" s="242"/>
      <c r="H12" s="242"/>
      <c r="I12" s="1696">
        <f t="shared" ref="I12:I19" si="0">A12</f>
        <v>2</v>
      </c>
    </row>
    <row r="13" spans="1:9" x14ac:dyDescent="0.35">
      <c r="A13" s="1696">
        <v>3</v>
      </c>
      <c r="B13" s="939" t="s">
        <v>1364</v>
      </c>
      <c r="C13" s="235">
        <f>'Misc.-1.1'!C19</f>
        <v>-2894.7580624799621</v>
      </c>
      <c r="D13" s="256"/>
      <c r="E13" s="235">
        <f>'Misc.-1.1'!E19</f>
        <v>-2829.1315328327487</v>
      </c>
      <c r="F13" s="235"/>
      <c r="G13" s="235">
        <f>'Misc.-1.1'!G19</f>
        <v>-2869.5933643410576</v>
      </c>
      <c r="H13" s="1538" t="s">
        <v>1375</v>
      </c>
      <c r="I13" s="1696">
        <f t="shared" si="0"/>
        <v>3</v>
      </c>
    </row>
    <row r="14" spans="1:9" x14ac:dyDescent="0.35">
      <c r="A14" s="1696">
        <v>4</v>
      </c>
      <c r="C14" s="235"/>
      <c r="D14" s="256"/>
      <c r="E14" s="235"/>
      <c r="F14" s="235"/>
      <c r="G14" s="235"/>
      <c r="H14" s="1538"/>
      <c r="I14" s="1696">
        <f t="shared" si="0"/>
        <v>4</v>
      </c>
    </row>
    <row r="15" spans="1:9" ht="18" x14ac:dyDescent="0.35">
      <c r="A15" s="1696">
        <v>5</v>
      </c>
      <c r="B15" s="1697" t="s">
        <v>1369</v>
      </c>
      <c r="C15" s="235">
        <f>'Misc.-1.1'!C24</f>
        <v>-3518.98803713491</v>
      </c>
      <c r="D15" s="2230">
        <v>1</v>
      </c>
      <c r="E15" s="235">
        <f>'Misc.-1.1'!E24</f>
        <v>-3926.8569238891628</v>
      </c>
      <c r="F15" s="235"/>
      <c r="G15" s="235">
        <f>'Misc.-1.1'!G24</f>
        <v>-3721.4474951391576</v>
      </c>
      <c r="H15" s="1538" t="s">
        <v>1376</v>
      </c>
      <c r="I15" s="1696">
        <f t="shared" si="0"/>
        <v>5</v>
      </c>
    </row>
    <row r="16" spans="1:9" x14ac:dyDescent="0.35">
      <c r="A16" s="1696">
        <v>6</v>
      </c>
      <c r="C16" s="235"/>
      <c r="D16" s="256"/>
      <c r="E16" s="235"/>
      <c r="F16" s="235"/>
      <c r="G16" s="235"/>
      <c r="H16" s="1538"/>
      <c r="I16" s="1696">
        <f t="shared" si="0"/>
        <v>6</v>
      </c>
    </row>
    <row r="17" spans="1:9" x14ac:dyDescent="0.35">
      <c r="A17" s="1696">
        <v>7</v>
      </c>
      <c r="B17" s="1697" t="s">
        <v>1370</v>
      </c>
      <c r="C17" s="1714">
        <f>'Misc.-1.1'!C29</f>
        <v>-4094.7448260235797</v>
      </c>
      <c r="D17" s="256"/>
      <c r="E17" s="1714">
        <f>'Misc.-1.1'!E29</f>
        <v>-4557.5165506485582</v>
      </c>
      <c r="F17" s="235"/>
      <c r="G17" s="1714">
        <f>'Misc.-1.1'!G29</f>
        <v>-4324.6757253890664</v>
      </c>
      <c r="H17" s="1538" t="s">
        <v>1377</v>
      </c>
      <c r="I17" s="1696">
        <f t="shared" si="0"/>
        <v>7</v>
      </c>
    </row>
    <row r="18" spans="1:9" x14ac:dyDescent="0.35">
      <c r="A18" s="1696">
        <v>8</v>
      </c>
      <c r="C18" s="235"/>
      <c r="D18" s="256"/>
      <c r="E18" s="235"/>
      <c r="F18" s="235"/>
      <c r="G18" s="235"/>
      <c r="H18" s="1538"/>
      <c r="I18" s="1696">
        <f t="shared" si="0"/>
        <v>8</v>
      </c>
    </row>
    <row r="19" spans="1:9" ht="18.5" thickBot="1" x14ac:dyDescent="0.4">
      <c r="A19" s="1696">
        <v>9</v>
      </c>
      <c r="B19" s="1691" t="s">
        <v>1240</v>
      </c>
      <c r="C19" s="245">
        <f>C11+C13+C15+C17</f>
        <v>-10614.112895759859</v>
      </c>
      <c r="D19" s="2230">
        <v>1</v>
      </c>
      <c r="E19" s="245">
        <f>E11+E13+E15+E17</f>
        <v>-11419.244345988813</v>
      </c>
      <c r="F19" s="235"/>
      <c r="G19" s="245">
        <f>G11+G13+G15+G17</f>
        <v>-11021.620822994773</v>
      </c>
      <c r="H19" s="684" t="s">
        <v>1378</v>
      </c>
      <c r="I19" s="1696">
        <f t="shared" si="0"/>
        <v>9</v>
      </c>
    </row>
    <row r="20" spans="1:9" ht="16" thickTop="1" x14ac:dyDescent="0.35">
      <c r="C20" s="950"/>
      <c r="D20" s="951"/>
      <c r="E20" s="950"/>
      <c r="F20" s="950"/>
      <c r="G20" s="950"/>
      <c r="H20" s="950"/>
    </row>
    <row r="21" spans="1:9" x14ac:dyDescent="0.35">
      <c r="C21" s="952"/>
      <c r="D21" s="256"/>
      <c r="E21" s="952"/>
      <c r="F21" s="952"/>
      <c r="G21" s="952"/>
      <c r="H21" s="952"/>
    </row>
    <row r="22" spans="1:9" ht="18" x14ac:dyDescent="0.35">
      <c r="A22" s="749">
        <v>1</v>
      </c>
      <c r="B22" s="2228" t="s">
        <v>1703</v>
      </c>
      <c r="E22" s="952"/>
      <c r="F22" s="952"/>
      <c r="G22" s="952"/>
      <c r="H22" s="952"/>
    </row>
    <row r="32" spans="1:9" x14ac:dyDescent="0.35">
      <c r="B32" s="1715"/>
      <c r="D32" s="1697"/>
    </row>
  </sheetData>
  <mergeCells count="5">
    <mergeCell ref="B2:H2"/>
    <mergeCell ref="B3:H3"/>
    <mergeCell ref="B5:H5"/>
    <mergeCell ref="B6:H6"/>
    <mergeCell ref="B4:H4"/>
  </mergeCells>
  <printOptions horizontalCentered="1"/>
  <pageMargins left="0.5" right="0.5" top="0.5" bottom="0.5" header="0.25" footer="0.25"/>
  <pageSetup scale="68" orientation="landscape" r:id="rId1"/>
  <headerFooter scaleWithDoc="0">
    <oddFooter>&amp;C&amp;"Times New Roman,Regular"&amp;10&amp;A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K38"/>
  <sheetViews>
    <sheetView zoomScale="80" zoomScaleNormal="80" workbookViewId="0"/>
  </sheetViews>
  <sheetFormatPr defaultColWidth="8.54296875" defaultRowHeight="15.5" x14ac:dyDescent="0.35"/>
  <cols>
    <col min="1" max="1" width="5.54296875" style="1696" customWidth="1"/>
    <col min="2" max="2" width="50.90625" style="1697" customWidth="1"/>
    <col min="3" max="3" width="16.90625" style="1697" customWidth="1"/>
    <col min="4" max="4" width="2.90625" style="1697" bestFit="1" customWidth="1"/>
    <col min="5" max="5" width="16.90625" style="1697" customWidth="1"/>
    <col min="6" max="6" width="1.54296875" style="1697" customWidth="1"/>
    <col min="7" max="7" width="23.453125" style="1697" bestFit="1" customWidth="1"/>
    <col min="8" max="8" width="62.54296875" style="1697" customWidth="1"/>
    <col min="9" max="9" width="5.453125" style="1696" customWidth="1"/>
    <col min="10" max="10" width="8.54296875" style="1697"/>
    <col min="11" max="11" width="22" style="1697" bestFit="1" customWidth="1"/>
    <col min="12" max="16384" width="8.54296875" style="1697"/>
  </cols>
  <sheetData>
    <row r="2" spans="1:11" x14ac:dyDescent="0.35">
      <c r="B2" s="2289" t="s">
        <v>18</v>
      </c>
      <c r="C2" s="2289"/>
      <c r="D2" s="2289"/>
      <c r="E2" s="2289"/>
      <c r="F2" s="2289"/>
      <c r="G2" s="2289"/>
      <c r="H2" s="2289"/>
    </row>
    <row r="3" spans="1:11" x14ac:dyDescent="0.35">
      <c r="B3" s="2289" t="s">
        <v>1380</v>
      </c>
      <c r="C3" s="2289"/>
      <c r="D3" s="2289"/>
      <c r="E3" s="2289"/>
      <c r="F3" s="2289"/>
      <c r="G3" s="2289"/>
      <c r="H3" s="2289"/>
    </row>
    <row r="4" spans="1:11" x14ac:dyDescent="0.35">
      <c r="B4" s="2289" t="s">
        <v>1360</v>
      </c>
      <c r="C4" s="2289"/>
      <c r="D4" s="2289"/>
      <c r="E4" s="2289"/>
      <c r="F4" s="2289"/>
      <c r="G4" s="2289"/>
      <c r="H4" s="2289"/>
    </row>
    <row r="5" spans="1:11" x14ac:dyDescent="0.35">
      <c r="B5" s="2289" t="s">
        <v>1600</v>
      </c>
      <c r="C5" s="2289"/>
      <c r="D5" s="2289"/>
      <c r="E5" s="2289"/>
      <c r="F5" s="2289"/>
      <c r="G5" s="2289"/>
      <c r="H5" s="2289"/>
    </row>
    <row r="6" spans="1:11" ht="15.75" customHeight="1" x14ac:dyDescent="0.35">
      <c r="B6" s="2291" t="s">
        <v>2</v>
      </c>
      <c r="C6" s="2291"/>
      <c r="D6" s="2291"/>
      <c r="E6" s="2291"/>
      <c r="F6" s="2291"/>
      <c r="G6" s="2291"/>
      <c r="H6" s="2291"/>
    </row>
    <row r="7" spans="1:11" x14ac:dyDescent="0.35">
      <c r="K7" s="1421"/>
    </row>
    <row r="8" spans="1:11" ht="18" x14ac:dyDescent="0.35">
      <c r="A8" s="1696" t="s">
        <v>3</v>
      </c>
      <c r="B8" s="1695"/>
      <c r="C8" s="1694" t="s">
        <v>1421</v>
      </c>
      <c r="D8" s="1694"/>
      <c r="E8" s="1694" t="s">
        <v>5</v>
      </c>
      <c r="G8" s="1694" t="s">
        <v>6</v>
      </c>
      <c r="H8" s="1694"/>
      <c r="I8" s="1696" t="s">
        <v>3</v>
      </c>
      <c r="K8" s="1421"/>
    </row>
    <row r="9" spans="1:11" x14ac:dyDescent="0.35">
      <c r="A9" s="6" t="s">
        <v>25</v>
      </c>
      <c r="B9" s="1020" t="s">
        <v>74</v>
      </c>
      <c r="C9" s="941">
        <f>'Stmt AD'!E9</f>
        <v>44196</v>
      </c>
      <c r="D9" s="1625"/>
      <c r="E9" s="941">
        <f>'Stmt AD'!G9</f>
        <v>44561</v>
      </c>
      <c r="F9" s="1625"/>
      <c r="G9" s="940" t="s">
        <v>8</v>
      </c>
      <c r="H9" s="1020" t="s">
        <v>9</v>
      </c>
      <c r="I9" s="6" t="s">
        <v>25</v>
      </c>
      <c r="K9" s="2242"/>
    </row>
    <row r="10" spans="1:11" x14ac:dyDescent="0.35">
      <c r="A10" s="6"/>
      <c r="B10" s="246"/>
      <c r="C10" s="942"/>
      <c r="D10" s="942"/>
      <c r="E10" s="942"/>
      <c r="F10" s="942"/>
      <c r="G10" s="943"/>
      <c r="H10" s="943"/>
      <c r="I10" s="6"/>
    </row>
    <row r="11" spans="1:11" x14ac:dyDescent="0.35">
      <c r="A11" s="1696">
        <v>1</v>
      </c>
      <c r="B11" s="1697" t="s">
        <v>1365</v>
      </c>
      <c r="C11" s="254"/>
      <c r="D11" s="254"/>
      <c r="E11" s="254"/>
      <c r="F11" s="254"/>
      <c r="G11" s="255"/>
      <c r="H11" s="255"/>
      <c r="I11" s="1696">
        <f>A11</f>
        <v>1</v>
      </c>
    </row>
    <row r="12" spans="1:11" x14ac:dyDescent="0.35">
      <c r="A12" s="1696">
        <f>A11+1</f>
        <v>2</v>
      </c>
      <c r="B12" s="939" t="s">
        <v>1366</v>
      </c>
      <c r="C12" s="249">
        <v>-767</v>
      </c>
      <c r="D12" s="249"/>
      <c r="E12" s="249">
        <v>-700</v>
      </c>
      <c r="F12" s="249"/>
      <c r="G12" s="242">
        <f>(C12+E12)/2</f>
        <v>-733.5</v>
      </c>
      <c r="H12" s="1087" t="s">
        <v>647</v>
      </c>
      <c r="I12" s="1696">
        <f>I11+1</f>
        <v>2</v>
      </c>
    </row>
    <row r="13" spans="1:11" x14ac:dyDescent="0.35">
      <c r="A13" s="1696">
        <f t="shared" ref="A13:A29" si="0">A12+1</f>
        <v>3</v>
      </c>
      <c r="B13" s="939" t="s">
        <v>1361</v>
      </c>
      <c r="C13" s="1716">
        <v>0.13770791410874658</v>
      </c>
      <c r="D13" s="251"/>
      <c r="E13" s="1716">
        <f>'AD-10'!$D$18*'Stmt AI'!$E$25</f>
        <v>0.1510561980262026</v>
      </c>
      <c r="F13" s="251"/>
      <c r="G13" s="1311">
        <f>(C13+E13)/2</f>
        <v>0.14438205606747459</v>
      </c>
      <c r="H13" s="1087" t="s">
        <v>1386</v>
      </c>
      <c r="I13" s="1696">
        <f t="shared" ref="I13:I29" si="1">I12+1</f>
        <v>3</v>
      </c>
      <c r="K13" s="2179"/>
    </row>
    <row r="14" spans="1:11" ht="16" thickBot="1" x14ac:dyDescent="0.4">
      <c r="A14" s="1696">
        <f t="shared" si="0"/>
        <v>4</v>
      </c>
      <c r="B14" s="944" t="s">
        <v>1362</v>
      </c>
      <c r="C14" s="252">
        <f>C12*C13</f>
        <v>-105.62197012140862</v>
      </c>
      <c r="D14" s="9"/>
      <c r="E14" s="252">
        <f>E12*E13</f>
        <v>-105.73933861834182</v>
      </c>
      <c r="F14" s="114"/>
      <c r="G14" s="252">
        <f>G12*G13</f>
        <v>-105.90423812549261</v>
      </c>
      <c r="H14" s="1717" t="s">
        <v>1363</v>
      </c>
      <c r="I14" s="1696">
        <f t="shared" si="1"/>
        <v>4</v>
      </c>
      <c r="K14" s="2179"/>
    </row>
    <row r="15" spans="1:11" ht="16" thickTop="1" x14ac:dyDescent="0.35">
      <c r="A15" s="1696">
        <f t="shared" si="0"/>
        <v>5</v>
      </c>
      <c r="C15" s="253"/>
      <c r="D15" s="253"/>
      <c r="E15" s="253"/>
      <c r="F15" s="253"/>
      <c r="G15" s="253"/>
      <c r="H15" s="253"/>
      <c r="I15" s="1696">
        <f t="shared" si="1"/>
        <v>5</v>
      </c>
      <c r="K15" s="2231"/>
    </row>
    <row r="16" spans="1:11" x14ac:dyDescent="0.35">
      <c r="A16" s="1696">
        <f t="shared" si="0"/>
        <v>6</v>
      </c>
      <c r="B16" s="939" t="s">
        <v>1364</v>
      </c>
      <c r="C16" s="254"/>
      <c r="D16" s="254"/>
      <c r="E16" s="254"/>
      <c r="F16" s="254"/>
      <c r="G16" s="255"/>
      <c r="H16" s="255"/>
      <c r="I16" s="1696">
        <f t="shared" si="1"/>
        <v>6</v>
      </c>
    </row>
    <row r="17" spans="1:9" x14ac:dyDescent="0.35">
      <c r="A17" s="1696">
        <f t="shared" si="0"/>
        <v>7</v>
      </c>
      <c r="B17" s="939" t="s">
        <v>1367</v>
      </c>
      <c r="C17" s="242">
        <v>-21021</v>
      </c>
      <c r="D17" s="242"/>
      <c r="E17" s="242">
        <v>-18729</v>
      </c>
      <c r="F17" s="242"/>
      <c r="G17" s="242">
        <f>(C17+E17)/2</f>
        <v>-19875</v>
      </c>
      <c r="H17" s="1087" t="s">
        <v>647</v>
      </c>
      <c r="I17" s="1696">
        <f t="shared" si="1"/>
        <v>7</v>
      </c>
    </row>
    <row r="18" spans="1:9" x14ac:dyDescent="0.35">
      <c r="A18" s="1696">
        <f t="shared" si="0"/>
        <v>8</v>
      </c>
      <c r="B18" s="939" t="s">
        <v>1361</v>
      </c>
      <c r="C18" s="1716">
        <f>C13</f>
        <v>0.13770791410874658</v>
      </c>
      <c r="D18" s="9"/>
      <c r="E18" s="1311">
        <f>'AD-10'!$D$18*'Stmt AI'!$E$25</f>
        <v>0.1510561980262026</v>
      </c>
      <c r="F18" s="9"/>
      <c r="G18" s="1311">
        <f>(C18+E18)/2</f>
        <v>0.14438205606747459</v>
      </c>
      <c r="H18" s="1087" t="s">
        <v>1386</v>
      </c>
      <c r="I18" s="1696">
        <f t="shared" si="1"/>
        <v>8</v>
      </c>
    </row>
    <row r="19" spans="1:9" ht="16" thickBot="1" x14ac:dyDescent="0.4">
      <c r="A19" s="1696">
        <f t="shared" si="0"/>
        <v>9</v>
      </c>
      <c r="B19" s="944" t="s">
        <v>1368</v>
      </c>
      <c r="C19" s="252">
        <f>C17*C18</f>
        <v>-2894.7580624799621</v>
      </c>
      <c r="D19" s="9"/>
      <c r="E19" s="252">
        <f>E17*E18</f>
        <v>-2829.1315328327487</v>
      </c>
      <c r="F19" s="114"/>
      <c r="G19" s="252">
        <f>G17*G18</f>
        <v>-2869.5933643410576</v>
      </c>
      <c r="H19" s="1717" t="s">
        <v>1275</v>
      </c>
      <c r="I19" s="1696">
        <f t="shared" si="1"/>
        <v>9</v>
      </c>
    </row>
    <row r="20" spans="1:9" ht="16" thickTop="1" x14ac:dyDescent="0.35">
      <c r="A20" s="1696">
        <f t="shared" si="0"/>
        <v>10</v>
      </c>
      <c r="I20" s="1696">
        <f t="shared" si="1"/>
        <v>10</v>
      </c>
    </row>
    <row r="21" spans="1:9" x14ac:dyDescent="0.35">
      <c r="A21" s="1696">
        <f t="shared" si="0"/>
        <v>11</v>
      </c>
      <c r="B21" s="1697" t="s">
        <v>1369</v>
      </c>
      <c r="C21" s="254"/>
      <c r="D21" s="254"/>
      <c r="E21" s="254"/>
      <c r="F21" s="254"/>
      <c r="G21" s="255"/>
      <c r="H21" s="1696"/>
      <c r="I21" s="1696">
        <f t="shared" si="1"/>
        <v>11</v>
      </c>
    </row>
    <row r="22" spans="1:9" ht="18" x14ac:dyDescent="0.35">
      <c r="A22" s="1696">
        <f t="shared" si="0"/>
        <v>12</v>
      </c>
      <c r="B22" s="939" t="s">
        <v>1665</v>
      </c>
      <c r="C22" s="1297">
        <v>-25554</v>
      </c>
      <c r="D22" s="2230">
        <v>2</v>
      </c>
      <c r="E22" s="249">
        <v>-25996</v>
      </c>
      <c r="F22" s="249"/>
      <c r="G22" s="242">
        <f>(C22+E22)/2</f>
        <v>-25775</v>
      </c>
      <c r="H22" s="1087" t="s">
        <v>647</v>
      </c>
      <c r="I22" s="1696">
        <f t="shared" si="1"/>
        <v>12</v>
      </c>
    </row>
    <row r="23" spans="1:9" x14ac:dyDescent="0.35">
      <c r="A23" s="1696">
        <f t="shared" si="0"/>
        <v>13</v>
      </c>
      <c r="B23" s="939" t="s">
        <v>1361</v>
      </c>
      <c r="C23" s="1716">
        <f>C13</f>
        <v>0.13770791410874658</v>
      </c>
      <c r="D23" s="9"/>
      <c r="E23" s="1716">
        <f>'AD-10'!$D$18*'Stmt AI'!$E$25</f>
        <v>0.1510561980262026</v>
      </c>
      <c r="F23" s="251"/>
      <c r="G23" s="1311">
        <f>(C23+E23)/2</f>
        <v>0.14438205606747459</v>
      </c>
      <c r="H23" s="1087" t="s">
        <v>1386</v>
      </c>
      <c r="I23" s="1696">
        <f t="shared" si="1"/>
        <v>13</v>
      </c>
    </row>
    <row r="24" spans="1:9" ht="18.5" thickBot="1" x14ac:dyDescent="0.4">
      <c r="A24" s="1696">
        <f t="shared" si="0"/>
        <v>14</v>
      </c>
      <c r="B24" s="944" t="s">
        <v>1372</v>
      </c>
      <c r="C24" s="252">
        <f>C22*C23</f>
        <v>-3518.98803713491</v>
      </c>
      <c r="D24" s="2230">
        <v>2</v>
      </c>
      <c r="E24" s="252">
        <f>E22*E23</f>
        <v>-3926.8569238891628</v>
      </c>
      <c r="F24" s="114"/>
      <c r="G24" s="252">
        <f>G22*G23</f>
        <v>-3721.4474951391576</v>
      </c>
      <c r="H24" s="1717" t="s">
        <v>1379</v>
      </c>
      <c r="I24" s="1696">
        <f t="shared" si="1"/>
        <v>14</v>
      </c>
    </row>
    <row r="25" spans="1:9" ht="16" thickTop="1" x14ac:dyDescent="0.35">
      <c r="A25" s="1696">
        <f t="shared" si="0"/>
        <v>15</v>
      </c>
      <c r="I25" s="1696">
        <f t="shared" si="1"/>
        <v>15</v>
      </c>
    </row>
    <row r="26" spans="1:9" x14ac:dyDescent="0.35">
      <c r="A26" s="1696">
        <f t="shared" si="0"/>
        <v>16</v>
      </c>
      <c r="B26" s="1697" t="s">
        <v>1370</v>
      </c>
      <c r="C26" s="254"/>
      <c r="D26" s="254"/>
      <c r="E26" s="254"/>
      <c r="F26" s="254"/>
      <c r="G26" s="255"/>
      <c r="H26" s="1696"/>
      <c r="I26" s="1696">
        <f t="shared" si="1"/>
        <v>16</v>
      </c>
    </row>
    <row r="27" spans="1:9" x14ac:dyDescent="0.35">
      <c r="A27" s="1696">
        <f t="shared" si="0"/>
        <v>17</v>
      </c>
      <c r="B27" s="939" t="s">
        <v>1371</v>
      </c>
      <c r="C27" s="249">
        <v>-29735</v>
      </c>
      <c r="D27" s="249"/>
      <c r="E27" s="249">
        <v>-30171</v>
      </c>
      <c r="F27" s="249"/>
      <c r="G27" s="242">
        <f>(C27+E27)/2</f>
        <v>-29953</v>
      </c>
      <c r="H27" s="1087" t="s">
        <v>647</v>
      </c>
      <c r="I27" s="1696">
        <f t="shared" si="1"/>
        <v>17</v>
      </c>
    </row>
    <row r="28" spans="1:9" x14ac:dyDescent="0.35">
      <c r="A28" s="1696">
        <f t="shared" si="0"/>
        <v>18</v>
      </c>
      <c r="B28" s="939" t="s">
        <v>1361</v>
      </c>
      <c r="C28" s="1716">
        <f>C13</f>
        <v>0.13770791410874658</v>
      </c>
      <c r="D28" s="9"/>
      <c r="E28" s="1716">
        <f>'AD-10'!$D$18*'Stmt AI'!$E$25</f>
        <v>0.1510561980262026</v>
      </c>
      <c r="F28" s="251"/>
      <c r="G28" s="1311">
        <f>(C28+E28)/2</f>
        <v>0.14438205606747459</v>
      </c>
      <c r="H28" s="1087" t="s">
        <v>1386</v>
      </c>
      <c r="I28" s="1696">
        <f t="shared" si="1"/>
        <v>18</v>
      </c>
    </row>
    <row r="29" spans="1:9" ht="16" thickBot="1" x14ac:dyDescent="0.4">
      <c r="A29" s="1696">
        <f t="shared" si="0"/>
        <v>19</v>
      </c>
      <c r="B29" s="944" t="s">
        <v>1373</v>
      </c>
      <c r="C29" s="252">
        <f>C27*C28</f>
        <v>-4094.7448260235797</v>
      </c>
      <c r="D29" s="9"/>
      <c r="E29" s="252">
        <f>E27*E28</f>
        <v>-4557.5165506485582</v>
      </c>
      <c r="F29" s="114"/>
      <c r="G29" s="252">
        <f>G27*G28</f>
        <v>-4324.6757253890664</v>
      </c>
      <c r="H29" s="1717" t="s">
        <v>1187</v>
      </c>
      <c r="I29" s="1696">
        <f t="shared" si="1"/>
        <v>19</v>
      </c>
    </row>
    <row r="30" spans="1:9" s="2270" customFormat="1" ht="16" thickTop="1" x14ac:dyDescent="0.35">
      <c r="A30" s="2271"/>
      <c r="B30" s="944"/>
      <c r="C30" s="1876"/>
      <c r="D30" s="1875"/>
      <c r="E30" s="1876"/>
      <c r="F30" s="1876"/>
      <c r="G30" s="1876"/>
      <c r="H30" s="1717"/>
      <c r="I30" s="2271"/>
    </row>
    <row r="32" spans="1:9" ht="18" x14ac:dyDescent="0.35">
      <c r="A32" s="1698" t="s">
        <v>1422</v>
      </c>
      <c r="B32" s="1697" t="s">
        <v>1391</v>
      </c>
    </row>
    <row r="33" spans="1:9" x14ac:dyDescent="0.35">
      <c r="A33" s="1696" t="s">
        <v>1387</v>
      </c>
      <c r="B33" s="1697" t="s">
        <v>1385</v>
      </c>
      <c r="C33" s="1311">
        <v>0.73219999999999996</v>
      </c>
      <c r="E33" s="997"/>
      <c r="H33" s="1718" t="s">
        <v>1666</v>
      </c>
      <c r="I33" s="1696" t="s">
        <v>1387</v>
      </c>
    </row>
    <row r="34" spans="1:9" x14ac:dyDescent="0.35">
      <c r="A34" s="1696" t="s">
        <v>1388</v>
      </c>
      <c r="B34" s="1697" t="s">
        <v>12</v>
      </c>
      <c r="C34" s="1311">
        <v>0.18809999999999999</v>
      </c>
      <c r="H34" s="1696" t="s">
        <v>1651</v>
      </c>
      <c r="I34" s="1696" t="s">
        <v>1388</v>
      </c>
    </row>
    <row r="35" spans="1:9" ht="16" thickBot="1" x14ac:dyDescent="0.4">
      <c r="A35" s="1696" t="s">
        <v>1389</v>
      </c>
      <c r="B35" s="1697" t="s">
        <v>1361</v>
      </c>
      <c r="C35" s="1719">
        <f>C33*C34</f>
        <v>0.13772681999999997</v>
      </c>
      <c r="H35" s="1696" t="s">
        <v>1390</v>
      </c>
      <c r="I35" s="1696" t="s">
        <v>1389</v>
      </c>
    </row>
    <row r="36" spans="1:9" ht="16" thickTop="1" x14ac:dyDescent="0.35"/>
    <row r="37" spans="1:9" ht="18" x14ac:dyDescent="0.35">
      <c r="A37" s="749">
        <v>2</v>
      </c>
      <c r="B37" s="1697" t="s">
        <v>1703</v>
      </c>
    </row>
    <row r="38" spans="1:9" x14ac:dyDescent="0.35">
      <c r="H38" s="1696"/>
      <c r="I38" s="1697"/>
    </row>
  </sheetData>
  <mergeCells count="5">
    <mergeCell ref="B2:H2"/>
    <mergeCell ref="B3:H3"/>
    <mergeCell ref="B4:H4"/>
    <mergeCell ref="B5:H5"/>
    <mergeCell ref="B6:H6"/>
  </mergeCells>
  <printOptions horizontalCentered="1"/>
  <pageMargins left="0.5" right="0.5" top="0.5" bottom="0.5" header="0.25" footer="0.25"/>
  <pageSetup scale="68" orientation="landscape" r:id="rId1"/>
  <headerFooter scaleWithDoc="0">
    <oddFooter>&amp;C&amp;"Times New Roman,Regular"&amp;10&amp;A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9"/>
  <sheetViews>
    <sheetView zoomScale="80" zoomScaleNormal="80" workbookViewId="0"/>
  </sheetViews>
  <sheetFormatPr defaultColWidth="14.54296875" defaultRowHeight="14.5" x14ac:dyDescent="0.35"/>
  <cols>
    <col min="1" max="1" width="5.90625" style="2002" customWidth="1"/>
    <col min="2" max="2" width="48.453125" style="2002" customWidth="1"/>
    <col min="3" max="3" width="8.90625" style="2002" customWidth="1"/>
    <col min="4" max="5" width="15.90625" style="2039" customWidth="1"/>
    <col min="6" max="11" width="15.90625" style="2002" customWidth="1"/>
    <col min="12" max="12" width="18.90625" style="2039" bestFit="1" customWidth="1"/>
    <col min="13" max="14" width="15.90625" style="2002" customWidth="1"/>
    <col min="15" max="15" width="30.54296875" style="2002" customWidth="1"/>
    <col min="16" max="16" width="5.90625" style="2002" customWidth="1"/>
    <col min="17" max="16384" width="14.54296875" style="2002"/>
  </cols>
  <sheetData>
    <row r="1" spans="1:17" ht="15.5" x14ac:dyDescent="0.35">
      <c r="A1" s="2006"/>
      <c r="B1" s="2007" t="s">
        <v>18</v>
      </c>
      <c r="C1" s="2008"/>
      <c r="D1" s="2009"/>
      <c r="E1" s="2009"/>
      <c r="F1" s="2008"/>
      <c r="G1" s="2008"/>
      <c r="H1" s="2008"/>
      <c r="I1" s="2008"/>
      <c r="J1" s="2008"/>
      <c r="K1" s="2008"/>
      <c r="L1" s="2009"/>
      <c r="M1" s="2008"/>
      <c r="N1" s="2008"/>
      <c r="O1" s="2008"/>
    </row>
    <row r="2" spans="1:17" x14ac:dyDescent="0.35">
      <c r="A2" s="2010"/>
      <c r="B2" s="2007" t="s">
        <v>1462</v>
      </c>
      <c r="C2" s="2008"/>
      <c r="D2" s="2009"/>
      <c r="E2" s="2009"/>
      <c r="F2" s="2008"/>
      <c r="G2" s="2008"/>
      <c r="H2" s="2008"/>
      <c r="I2" s="2008"/>
      <c r="J2" s="2008"/>
      <c r="K2" s="2008"/>
      <c r="L2" s="2009"/>
      <c r="M2" s="2008"/>
      <c r="N2" s="2008"/>
      <c r="O2" s="2008"/>
    </row>
    <row r="3" spans="1:17" x14ac:dyDescent="0.35">
      <c r="A3" s="2010"/>
      <c r="B3" s="1937" t="s">
        <v>1483</v>
      </c>
      <c r="C3" s="2008"/>
      <c r="D3" s="2009"/>
      <c r="E3" s="2009"/>
      <c r="F3" s="2008"/>
      <c r="G3" s="2008"/>
      <c r="H3" s="2008"/>
      <c r="I3" s="2008"/>
      <c r="J3" s="2008"/>
      <c r="K3" s="2008"/>
      <c r="L3" s="2009"/>
      <c r="M3" s="2008"/>
      <c r="N3" s="2008"/>
      <c r="O3" s="2008"/>
    </row>
    <row r="4" spans="1:17" x14ac:dyDescent="0.35">
      <c r="A4" s="2011"/>
      <c r="B4" s="2012" t="s">
        <v>1634</v>
      </c>
      <c r="C4" s="2013"/>
      <c r="D4" s="2013"/>
      <c r="E4" s="2013"/>
      <c r="F4" s="2013"/>
      <c r="G4" s="2013"/>
      <c r="H4" s="2013"/>
      <c r="I4" s="2013"/>
      <c r="J4" s="2013"/>
      <c r="K4" s="2013"/>
      <c r="L4" s="2013"/>
      <c r="M4" s="2013"/>
      <c r="N4" s="2013"/>
      <c r="O4" s="2014"/>
      <c r="P4" s="2015"/>
      <c r="Q4" s="2015"/>
    </row>
    <row r="5" spans="1:17" x14ac:dyDescent="0.35">
      <c r="A5" s="2011"/>
      <c r="B5" s="2320" t="s">
        <v>2</v>
      </c>
      <c r="C5" s="2320"/>
      <c r="D5" s="2320"/>
      <c r="E5" s="2320"/>
      <c r="F5" s="2320"/>
      <c r="G5" s="2320"/>
      <c r="H5" s="2320"/>
      <c r="I5" s="2320"/>
      <c r="J5" s="2320"/>
      <c r="K5" s="2320"/>
      <c r="L5" s="2320"/>
      <c r="M5" s="2320"/>
      <c r="N5" s="2320"/>
      <c r="O5" s="2320"/>
      <c r="P5" s="2015"/>
      <c r="Q5" s="2015"/>
    </row>
    <row r="6" spans="1:17" x14ac:dyDescent="0.35">
      <c r="A6" s="2011"/>
      <c r="B6" s="1952"/>
      <c r="C6" s="1952"/>
      <c r="D6" s="1935"/>
      <c r="E6" s="1935"/>
      <c r="F6" s="1952"/>
      <c r="G6" s="1952"/>
      <c r="H6" s="1952"/>
      <c r="I6" s="1952"/>
      <c r="J6" s="1953"/>
      <c r="K6" s="1952"/>
      <c r="L6" s="1935"/>
      <c r="M6" s="1952"/>
      <c r="N6" s="1952"/>
      <c r="O6" s="1952"/>
      <c r="P6" s="2015"/>
      <c r="Q6" s="2015"/>
    </row>
    <row r="7" spans="1:17" x14ac:dyDescent="0.35">
      <c r="A7" s="1925"/>
      <c r="B7" s="2011"/>
      <c r="C7" s="2011"/>
      <c r="D7" s="2016"/>
      <c r="E7" s="2016"/>
      <c r="F7" s="2017"/>
      <c r="G7" s="2017"/>
      <c r="H7" s="2017"/>
      <c r="I7" s="2017"/>
      <c r="J7" s="2017"/>
      <c r="K7" s="2017"/>
      <c r="L7" s="2018"/>
      <c r="M7" s="2005" t="s">
        <v>1463</v>
      </c>
      <c r="N7" s="2019">
        <v>2020</v>
      </c>
      <c r="O7" s="2020"/>
      <c r="P7" s="2001"/>
      <c r="Q7" s="2001"/>
    </row>
    <row r="8" spans="1:17" x14ac:dyDescent="0.35">
      <c r="A8" s="1925"/>
      <c r="B8" s="2017"/>
      <c r="C8" s="2017"/>
      <c r="D8" s="2016"/>
      <c r="E8" s="2016"/>
      <c r="F8" s="2016"/>
      <c r="G8" s="2016"/>
      <c r="H8" s="2016"/>
      <c r="I8" s="2016"/>
      <c r="J8" s="2016"/>
      <c r="K8" s="2016"/>
      <c r="L8" s="2016"/>
      <c r="M8" s="2016"/>
      <c r="N8" s="2016"/>
      <c r="O8" s="2069"/>
      <c r="P8" s="2001"/>
      <c r="Q8" s="2001"/>
    </row>
    <row r="9" spans="1:17" x14ac:dyDescent="0.35">
      <c r="A9" s="1968"/>
      <c r="B9" s="2021" t="s">
        <v>981</v>
      </c>
      <c r="C9" s="2021" t="s">
        <v>982</v>
      </c>
      <c r="D9" s="2022" t="s">
        <v>983</v>
      </c>
      <c r="E9" s="2022" t="s">
        <v>984</v>
      </c>
      <c r="F9" s="2022" t="s">
        <v>985</v>
      </c>
      <c r="G9" s="2022" t="s">
        <v>986</v>
      </c>
      <c r="H9" s="2022" t="s">
        <v>987</v>
      </c>
      <c r="I9" s="2022" t="s">
        <v>988</v>
      </c>
      <c r="J9" s="2022" t="s">
        <v>989</v>
      </c>
      <c r="K9" s="2022" t="s">
        <v>990</v>
      </c>
      <c r="L9" s="2022" t="s">
        <v>991</v>
      </c>
      <c r="M9" s="2022" t="s">
        <v>1436</v>
      </c>
      <c r="N9" s="2022" t="s">
        <v>1531</v>
      </c>
      <c r="O9" s="2070"/>
      <c r="P9" s="2024"/>
      <c r="Q9" s="2024"/>
    </row>
    <row r="10" spans="1:17" ht="15" thickBot="1" x14ac:dyDescent="0.4">
      <c r="A10" s="1925"/>
      <c r="B10" s="1968"/>
      <c r="C10" s="1968"/>
      <c r="D10" s="2025"/>
      <c r="E10" s="2025"/>
      <c r="F10" s="2025"/>
      <c r="G10" s="2025"/>
      <c r="H10" s="2025"/>
      <c r="I10" s="2025"/>
      <c r="J10" s="2025"/>
      <c r="K10" s="2025"/>
      <c r="L10" s="2025"/>
      <c r="M10" s="2025"/>
      <c r="N10" s="2025"/>
      <c r="O10" s="2070"/>
      <c r="P10" s="2023"/>
      <c r="Q10" s="2023"/>
    </row>
    <row r="11" spans="1:17" ht="15" thickBot="1" x14ac:dyDescent="0.4">
      <c r="A11" s="1925"/>
      <c r="B11" s="1968"/>
      <c r="C11" s="1968"/>
      <c r="D11" s="2026"/>
      <c r="E11" s="2026"/>
      <c r="F11" s="2026"/>
      <c r="G11" s="2026"/>
      <c r="H11" s="2026"/>
      <c r="I11" s="2026"/>
      <c r="J11" s="2028" t="s">
        <v>647</v>
      </c>
      <c r="K11" s="2071" t="s">
        <v>1541</v>
      </c>
      <c r="L11" s="2028" t="s">
        <v>1464</v>
      </c>
      <c r="M11" s="2028" t="s">
        <v>1532</v>
      </c>
      <c r="N11" s="2028" t="s">
        <v>1532</v>
      </c>
      <c r="O11" s="2070"/>
      <c r="P11" s="2023"/>
      <c r="Q11" s="2023"/>
    </row>
    <row r="12" spans="1:17" ht="52.5" thickBot="1" x14ac:dyDescent="0.4">
      <c r="A12" s="2029" t="s">
        <v>1437</v>
      </c>
      <c r="B12" s="2115" t="s">
        <v>1543</v>
      </c>
      <c r="C12" s="2030" t="s">
        <v>1438</v>
      </c>
      <c r="D12" s="2031" t="s">
        <v>1439</v>
      </c>
      <c r="E12" s="2031" t="s">
        <v>1440</v>
      </c>
      <c r="F12" s="2031" t="s">
        <v>1539</v>
      </c>
      <c r="G12" s="2031" t="s">
        <v>1540</v>
      </c>
      <c r="H12" s="2033" t="s">
        <v>1441</v>
      </c>
      <c r="I12" s="2031" t="s">
        <v>1442</v>
      </c>
      <c r="J12" s="2031" t="s">
        <v>1530</v>
      </c>
      <c r="K12" s="2031" t="s">
        <v>1443</v>
      </c>
      <c r="L12" s="2033" t="s">
        <v>1444</v>
      </c>
      <c r="M12" s="2031" t="s">
        <v>1445</v>
      </c>
      <c r="N12" s="2031" t="s">
        <v>1446</v>
      </c>
      <c r="O12" s="2072" t="s">
        <v>9</v>
      </c>
      <c r="P12" s="2029" t="s">
        <v>1437</v>
      </c>
      <c r="Q12" s="2034"/>
    </row>
    <row r="13" spans="1:17" x14ac:dyDescent="0.35">
      <c r="A13" s="1966">
        <v>1</v>
      </c>
      <c r="B13" s="2065" t="s">
        <v>1542</v>
      </c>
      <c r="C13" s="1978"/>
      <c r="D13" s="1967"/>
      <c r="E13" s="1967"/>
      <c r="F13" s="1925"/>
      <c r="G13" s="1925"/>
      <c r="H13" s="1925"/>
      <c r="I13" s="1925"/>
      <c r="J13" s="1967"/>
      <c r="K13" s="1967"/>
      <c r="L13" s="1967"/>
      <c r="M13" s="1967"/>
      <c r="N13" s="1967"/>
      <c r="O13" s="1988"/>
      <c r="P13" s="1966">
        <v>1</v>
      </c>
      <c r="Q13" s="2001"/>
    </row>
    <row r="14" spans="1:17" x14ac:dyDescent="0.35">
      <c r="A14" s="1966">
        <f t="shared" ref="A14:A45" si="0">+A13+1</f>
        <v>2</v>
      </c>
      <c r="B14" s="2065" t="s">
        <v>1515</v>
      </c>
      <c r="C14" s="2064"/>
      <c r="D14" s="1967"/>
      <c r="E14" s="1967"/>
      <c r="F14" s="1967"/>
      <c r="G14" s="1967"/>
      <c r="H14" s="1967"/>
      <c r="I14" s="1967"/>
      <c r="J14" s="1967"/>
      <c r="K14" s="1967"/>
      <c r="L14" s="1967"/>
      <c r="M14" s="1967"/>
      <c r="N14" s="1967"/>
      <c r="O14" s="2025"/>
      <c r="P14" s="1966">
        <f t="shared" ref="P14:P45" si="1">+P13+1</f>
        <v>2</v>
      </c>
      <c r="Q14" s="2001"/>
    </row>
    <row r="15" spans="1:17" x14ac:dyDescent="0.35">
      <c r="A15" s="1966">
        <f t="shared" si="0"/>
        <v>3</v>
      </c>
      <c r="B15" s="2065" t="s">
        <v>1516</v>
      </c>
      <c r="C15" s="2064">
        <v>190</v>
      </c>
      <c r="D15" s="1930">
        <v>0</v>
      </c>
      <c r="E15" s="1930">
        <v>0</v>
      </c>
      <c r="F15" s="1930"/>
      <c r="G15" s="1930"/>
      <c r="H15" s="1930"/>
      <c r="I15" s="1930"/>
      <c r="J15" s="1967">
        <v>-121.75572065244978</v>
      </c>
      <c r="K15" s="1967">
        <f t="shared" ref="K15:K17" si="2">SUM(D15:I15)</f>
        <v>0</v>
      </c>
      <c r="L15" s="1967">
        <f>+'Order 864-2'!I18</f>
        <v>0</v>
      </c>
      <c r="M15" s="1967">
        <f>IF(SUM($K$15:$L$17)&lt;0,0,SUM($K15:$L15))</f>
        <v>0</v>
      </c>
      <c r="N15" s="1967">
        <f>IF(SUM($K$15:$L$17)&lt;0,SUM($K15:$L15),0)</f>
        <v>0</v>
      </c>
      <c r="O15" s="2025" t="s">
        <v>647</v>
      </c>
      <c r="P15" s="1966">
        <f t="shared" si="1"/>
        <v>3</v>
      </c>
      <c r="Q15" s="2001"/>
    </row>
    <row r="16" spans="1:17" x14ac:dyDescent="0.35">
      <c r="A16" s="1966">
        <f t="shared" si="0"/>
        <v>4</v>
      </c>
      <c r="B16" s="2065" t="s">
        <v>1517</v>
      </c>
      <c r="C16" s="2064">
        <v>190</v>
      </c>
      <c r="D16" s="1930">
        <v>0</v>
      </c>
      <c r="E16" s="1930">
        <v>0</v>
      </c>
      <c r="F16" s="1930"/>
      <c r="G16" s="1930"/>
      <c r="H16" s="1930"/>
      <c r="I16" s="1930"/>
      <c r="J16" s="1967">
        <v>-67.238548636628664</v>
      </c>
      <c r="K16" s="1967">
        <f t="shared" si="2"/>
        <v>0</v>
      </c>
      <c r="L16" s="1967">
        <f>+'Order 864-2'!I19</f>
        <v>0</v>
      </c>
      <c r="M16" s="1967">
        <f>IF(SUM($K$15:$L$17)&lt;0,0,SUM($K16:$L16))</f>
        <v>0</v>
      </c>
      <c r="N16" s="1967">
        <f>IF(SUM($K$15:$L$17)&lt;0,SUM($K16:$L16),0)</f>
        <v>0</v>
      </c>
      <c r="O16" s="2025" t="s">
        <v>647</v>
      </c>
      <c r="P16" s="1966">
        <f t="shared" si="1"/>
        <v>4</v>
      </c>
      <c r="Q16" s="2001"/>
    </row>
    <row r="17" spans="1:17" x14ac:dyDescent="0.35">
      <c r="A17" s="1966">
        <f t="shared" si="0"/>
        <v>5</v>
      </c>
      <c r="B17" s="2065" t="s">
        <v>1518</v>
      </c>
      <c r="C17" s="2064">
        <v>190</v>
      </c>
      <c r="D17" s="1930">
        <v>214.48517768267459</v>
      </c>
      <c r="E17" s="1930">
        <v>0</v>
      </c>
      <c r="F17" s="1930"/>
      <c r="G17" s="1930"/>
      <c r="H17" s="1930"/>
      <c r="I17" s="1930"/>
      <c r="J17" s="1967">
        <v>0</v>
      </c>
      <c r="K17" s="1967">
        <f t="shared" si="2"/>
        <v>214.48517768267459</v>
      </c>
      <c r="L17" s="1967">
        <f>+'Order 864-2'!I20</f>
        <v>0</v>
      </c>
      <c r="M17" s="1967">
        <f>IF(SUM($K$15:$L$17)&lt;0,0,SUM($K17:$L17))</f>
        <v>214.48517768267459</v>
      </c>
      <c r="N17" s="1967">
        <f>IF(SUM($K$15:$L$17)&lt;0,SUM($K17:$L17),0)</f>
        <v>0</v>
      </c>
      <c r="O17" s="2025" t="s">
        <v>647</v>
      </c>
      <c r="P17" s="1966">
        <f t="shared" si="1"/>
        <v>5</v>
      </c>
      <c r="Q17" s="2001"/>
    </row>
    <row r="18" spans="1:17" x14ac:dyDescent="0.35">
      <c r="A18" s="1966">
        <f t="shared" si="0"/>
        <v>6</v>
      </c>
      <c r="B18" s="2065" t="s">
        <v>1519</v>
      </c>
      <c r="C18" s="2064"/>
      <c r="D18" s="1930"/>
      <c r="E18" s="1930"/>
      <c r="F18" s="1930"/>
      <c r="G18" s="1930"/>
      <c r="H18" s="1930"/>
      <c r="I18" s="1930"/>
      <c r="J18" s="1967">
        <v>0</v>
      </c>
      <c r="K18" s="1967"/>
      <c r="L18" s="1967"/>
      <c r="M18" s="1967"/>
      <c r="N18" s="1967"/>
      <c r="O18" s="2025"/>
      <c r="P18" s="1966">
        <f t="shared" si="1"/>
        <v>6</v>
      </c>
      <c r="Q18" s="2001"/>
    </row>
    <row r="19" spans="1:17" x14ac:dyDescent="0.35">
      <c r="A19" s="1966">
        <f t="shared" si="0"/>
        <v>7</v>
      </c>
      <c r="B19" s="2065" t="s">
        <v>1520</v>
      </c>
      <c r="C19" s="2064">
        <v>190</v>
      </c>
      <c r="D19" s="1930">
        <v>555.44986204366</v>
      </c>
      <c r="E19" s="1930">
        <v>0</v>
      </c>
      <c r="F19" s="1930"/>
      <c r="G19" s="1930"/>
      <c r="H19" s="1930">
        <v>-374.29460583790154</v>
      </c>
      <c r="I19" s="1930"/>
      <c r="J19" s="1967">
        <v>-374.29460583790154</v>
      </c>
      <c r="K19" s="1967">
        <f t="shared" ref="K19" si="3">SUM(D19:I19)</f>
        <v>181.15525620575846</v>
      </c>
      <c r="L19" s="1967">
        <f>+'Order 864-2'!I22</f>
        <v>0</v>
      </c>
      <c r="M19" s="1967">
        <f>IF(SUM($K$19:$L$19)&lt;0,0,SUM($K19:$L19))</f>
        <v>181.15525620575846</v>
      </c>
      <c r="N19" s="1967">
        <f>IF(SUM($K$19:$L$19)&lt;0,SUM($K19:$L19),0)</f>
        <v>0</v>
      </c>
      <c r="O19" s="2025" t="s">
        <v>647</v>
      </c>
      <c r="P19" s="1966">
        <f t="shared" si="1"/>
        <v>7</v>
      </c>
      <c r="Q19" s="2001"/>
    </row>
    <row r="20" spans="1:17" x14ac:dyDescent="0.35">
      <c r="A20" s="1966">
        <f t="shared" si="0"/>
        <v>8</v>
      </c>
      <c r="B20" s="2065" t="s">
        <v>1521</v>
      </c>
      <c r="C20" s="2064"/>
      <c r="D20" s="1930"/>
      <c r="E20" s="1930"/>
      <c r="F20" s="1930"/>
      <c r="G20" s="1930"/>
      <c r="H20" s="1930"/>
      <c r="I20" s="1930"/>
      <c r="J20" s="1967">
        <v>0</v>
      </c>
      <c r="K20" s="1967"/>
      <c r="L20" s="1967"/>
      <c r="M20" s="1967"/>
      <c r="N20" s="1967"/>
      <c r="O20" s="2025"/>
      <c r="P20" s="1966">
        <f t="shared" si="1"/>
        <v>8</v>
      </c>
      <c r="Q20" s="2001"/>
    </row>
    <row r="21" spans="1:17" x14ac:dyDescent="0.35">
      <c r="A21" s="1966">
        <f t="shared" si="0"/>
        <v>9</v>
      </c>
      <c r="B21" s="2065" t="s">
        <v>1522</v>
      </c>
      <c r="C21" s="2064">
        <v>283</v>
      </c>
      <c r="D21" s="1930">
        <v>0</v>
      </c>
      <c r="E21" s="1930">
        <v>0</v>
      </c>
      <c r="F21" s="1930"/>
      <c r="G21" s="1930"/>
      <c r="H21" s="1930"/>
      <c r="I21" s="1930"/>
      <c r="J21" s="1967">
        <v>-21828.386489951998</v>
      </c>
      <c r="K21" s="1967">
        <f t="shared" ref="K21:K22" si="4">SUM(D21:I21)</f>
        <v>0</v>
      </c>
      <c r="L21" s="1967">
        <f>+'Order 864-2'!I24</f>
        <v>0</v>
      </c>
      <c r="M21" s="1967">
        <f>IF(SUM($K$21:$L$22)&lt;0,0,SUM($K21:$L21))</f>
        <v>0</v>
      </c>
      <c r="N21" s="1967">
        <f>IF(SUM($K$21:$L$22)&lt;0,SUM($K21:$L21),0)</f>
        <v>0</v>
      </c>
      <c r="O21" s="2025" t="s">
        <v>647</v>
      </c>
      <c r="P21" s="1966">
        <f t="shared" si="1"/>
        <v>9</v>
      </c>
      <c r="Q21" s="2001"/>
    </row>
    <row r="22" spans="1:17" x14ac:dyDescent="0.35">
      <c r="A22" s="1966">
        <f t="shared" si="0"/>
        <v>10</v>
      </c>
      <c r="B22" s="2065" t="s">
        <v>1523</v>
      </c>
      <c r="C22" s="2064">
        <v>283</v>
      </c>
      <c r="D22" s="1930">
        <v>0</v>
      </c>
      <c r="E22" s="1930">
        <v>0</v>
      </c>
      <c r="F22" s="1930"/>
      <c r="G22" s="1930"/>
      <c r="H22" s="1930"/>
      <c r="I22" s="1930"/>
      <c r="J22" s="1967">
        <v>24387.763684079997</v>
      </c>
      <c r="K22" s="1967">
        <f t="shared" si="4"/>
        <v>0</v>
      </c>
      <c r="L22" s="1967">
        <f>+'Order 864-2'!I25</f>
        <v>0</v>
      </c>
      <c r="M22" s="1967">
        <f>IF(SUM($K$21:$L$22)&lt;0,0,SUM($K22:$L22))</f>
        <v>0</v>
      </c>
      <c r="N22" s="1967">
        <f>IF(SUM($K$21:$L$22)&lt;0,SUM($K22:$L22),0)</f>
        <v>0</v>
      </c>
      <c r="O22" s="2025" t="s">
        <v>647</v>
      </c>
      <c r="P22" s="1966">
        <f t="shared" si="1"/>
        <v>10</v>
      </c>
      <c r="Q22" s="2001"/>
    </row>
    <row r="23" spans="1:17" x14ac:dyDescent="0.35">
      <c r="A23" s="1966">
        <f>+A22+1</f>
        <v>11</v>
      </c>
      <c r="B23" s="1968"/>
      <c r="C23" s="1969"/>
      <c r="D23" s="1970"/>
      <c r="E23" s="1970"/>
      <c r="F23" s="1971"/>
      <c r="G23" s="1971"/>
      <c r="H23" s="1971"/>
      <c r="I23" s="1971"/>
      <c r="J23" s="2045"/>
      <c r="K23" s="1970"/>
      <c r="L23" s="1970"/>
      <c r="M23" s="1970"/>
      <c r="N23" s="1970"/>
      <c r="O23" s="1967"/>
      <c r="P23" s="1966">
        <f>+P22+1</f>
        <v>11</v>
      </c>
      <c r="Q23" s="2001"/>
    </row>
    <row r="24" spans="1:17" ht="15" thickBot="1" x14ac:dyDescent="0.4">
      <c r="A24" s="1966">
        <f t="shared" si="0"/>
        <v>12</v>
      </c>
      <c r="B24" s="1968" t="s">
        <v>1544</v>
      </c>
      <c r="C24" s="1925"/>
      <c r="D24" s="1983">
        <f t="shared" ref="D24:N24" si="5">SUM(D14:D22)</f>
        <v>769.93503972633459</v>
      </c>
      <c r="E24" s="1972">
        <f t="shared" si="5"/>
        <v>0</v>
      </c>
      <c r="F24" s="1972">
        <f t="shared" si="5"/>
        <v>0</v>
      </c>
      <c r="G24" s="1972">
        <f t="shared" si="5"/>
        <v>0</v>
      </c>
      <c r="H24" s="1983">
        <f t="shared" si="5"/>
        <v>-374.29460583790154</v>
      </c>
      <c r="I24" s="1972">
        <f t="shared" si="5"/>
        <v>0</v>
      </c>
      <c r="J24" s="1983">
        <f t="shared" si="5"/>
        <v>1996.0883190010209</v>
      </c>
      <c r="K24" s="1983">
        <f t="shared" si="5"/>
        <v>395.64043388843305</v>
      </c>
      <c r="L24" s="1983">
        <f t="shared" si="5"/>
        <v>0</v>
      </c>
      <c r="M24" s="1983">
        <f t="shared" si="5"/>
        <v>395.64043388843305</v>
      </c>
      <c r="N24" s="1983">
        <f t="shared" si="5"/>
        <v>0</v>
      </c>
      <c r="O24" s="2025" t="s">
        <v>1533</v>
      </c>
      <c r="P24" s="1966">
        <f t="shared" si="1"/>
        <v>12</v>
      </c>
      <c r="Q24" s="2001"/>
    </row>
    <row r="25" spans="1:17" ht="15" thickTop="1" x14ac:dyDescent="0.35">
      <c r="A25" s="1966">
        <f t="shared" si="0"/>
        <v>13</v>
      </c>
      <c r="B25" s="2065"/>
      <c r="C25" s="1925"/>
      <c r="D25" s="1974"/>
      <c r="E25" s="1974"/>
      <c r="F25" s="1975"/>
      <c r="G25" s="1975"/>
      <c r="H25" s="1975"/>
      <c r="I25" s="1975"/>
      <c r="J25" s="1974"/>
      <c r="K25" s="1974"/>
      <c r="L25" s="1974"/>
      <c r="M25" s="1974"/>
      <c r="N25" s="1974"/>
      <c r="O25" s="1967"/>
      <c r="P25" s="1966">
        <f t="shared" si="1"/>
        <v>13</v>
      </c>
      <c r="Q25" s="2001"/>
    </row>
    <row r="26" spans="1:17" x14ac:dyDescent="0.35">
      <c r="A26" s="1966">
        <f t="shared" si="0"/>
        <v>14</v>
      </c>
      <c r="B26" s="2065" t="s">
        <v>1545</v>
      </c>
      <c r="C26" s="1976"/>
      <c r="D26" s="1974"/>
      <c r="E26" s="1974"/>
      <c r="F26" s="1975"/>
      <c r="G26" s="1975"/>
      <c r="H26" s="1975"/>
      <c r="I26" s="1975"/>
      <c r="J26" s="1974"/>
      <c r="K26" s="1974"/>
      <c r="L26" s="1974"/>
      <c r="M26" s="1974"/>
      <c r="N26" s="1974"/>
      <c r="O26" s="1967"/>
      <c r="P26" s="1966">
        <f t="shared" si="1"/>
        <v>14</v>
      </c>
      <c r="Q26" s="2001"/>
    </row>
    <row r="27" spans="1:17" x14ac:dyDescent="0.35">
      <c r="A27" s="1966">
        <f t="shared" si="0"/>
        <v>15</v>
      </c>
      <c r="B27" s="2065" t="s">
        <v>849</v>
      </c>
      <c r="C27" s="1966">
        <v>190</v>
      </c>
      <c r="D27" s="1930">
        <v>108238.47132310043</v>
      </c>
      <c r="E27" s="1930">
        <v>0</v>
      </c>
      <c r="F27" s="1930">
        <v>-232.13202207358322</v>
      </c>
      <c r="G27" s="1930"/>
      <c r="H27" s="1930">
        <v>-1296.3860765170477</v>
      </c>
      <c r="I27" s="1930"/>
      <c r="J27" s="1967">
        <v>-3749.1557212264033</v>
      </c>
      <c r="K27" s="1967">
        <f>SUM(D27:I27)</f>
        <v>106709.95322450979</v>
      </c>
      <c r="L27" s="1967">
        <f>+'Order 864-2'!I30</f>
        <v>0</v>
      </c>
      <c r="M27" s="1967">
        <f>IF(SUM($K$27:$L$27)&lt;0,0,SUM($K27:$L27))</f>
        <v>106709.95322450979</v>
      </c>
      <c r="N27" s="1967">
        <f>IF(SUM($K$27:$L$27)&lt;0,SUM($K27:$L27),0)</f>
        <v>0</v>
      </c>
      <c r="O27" s="2025" t="s">
        <v>647</v>
      </c>
      <c r="P27" s="1966">
        <f t="shared" si="1"/>
        <v>15</v>
      </c>
      <c r="Q27" s="2001"/>
    </row>
    <row r="28" spans="1:17" x14ac:dyDescent="0.35">
      <c r="A28" s="1966">
        <f t="shared" si="0"/>
        <v>16</v>
      </c>
      <c r="B28" s="2065" t="s">
        <v>1524</v>
      </c>
      <c r="C28" s="2066"/>
      <c r="D28" s="1930"/>
      <c r="E28" s="1930"/>
      <c r="F28" s="1930"/>
      <c r="G28" s="1930"/>
      <c r="H28" s="1930"/>
      <c r="I28" s="1930"/>
      <c r="J28" s="1967"/>
      <c r="K28" s="1967"/>
      <c r="L28" s="1967"/>
      <c r="M28" s="1967"/>
      <c r="N28" s="1967"/>
      <c r="O28" s="2025"/>
      <c r="P28" s="1966">
        <f t="shared" si="1"/>
        <v>16</v>
      </c>
      <c r="Q28" s="2001"/>
    </row>
    <row r="29" spans="1:17" x14ac:dyDescent="0.35">
      <c r="A29" s="1966">
        <f t="shared" si="0"/>
        <v>17</v>
      </c>
      <c r="B29" s="2065" t="s">
        <v>1525</v>
      </c>
      <c r="C29" s="2066">
        <v>282</v>
      </c>
      <c r="D29" s="1930">
        <v>0</v>
      </c>
      <c r="E29" s="1930">
        <v>-387992.58534693881</v>
      </c>
      <c r="F29" s="1930"/>
      <c r="G29" s="1930"/>
      <c r="H29" s="1930">
        <v>0</v>
      </c>
      <c r="I29" s="1930">
        <v>4364.9084712430704</v>
      </c>
      <c r="J29" s="1967">
        <v>13082.841124304316</v>
      </c>
      <c r="K29" s="1967">
        <f t="shared" ref="K29:K31" si="6">SUM(D29:I29)</f>
        <v>-383627.67687569576</v>
      </c>
      <c r="L29" s="1967">
        <f>+'Order 864-2'!I32</f>
        <v>0</v>
      </c>
      <c r="M29" s="1967">
        <f>IF(SUM($K$29:$L$31)&lt;0,0,SUM($K29:$L29))</f>
        <v>0</v>
      </c>
      <c r="N29" s="1967">
        <f>IF(SUM($K$29:$L$31)&lt;0,SUM($K29:$L29),0)</f>
        <v>-383627.67687569576</v>
      </c>
      <c r="O29" s="2025" t="s">
        <v>647</v>
      </c>
      <c r="P29" s="1966">
        <f t="shared" si="1"/>
        <v>17</v>
      </c>
      <c r="Q29" s="2001"/>
    </row>
    <row r="30" spans="1:17" x14ac:dyDescent="0.35">
      <c r="A30" s="1966">
        <f t="shared" si="0"/>
        <v>18</v>
      </c>
      <c r="B30" s="2065" t="s">
        <v>1526</v>
      </c>
      <c r="C30" s="2066">
        <v>282</v>
      </c>
      <c r="D30" s="1930">
        <v>0</v>
      </c>
      <c r="E30" s="1930">
        <v>0</v>
      </c>
      <c r="F30" s="1930"/>
      <c r="G30" s="1930"/>
      <c r="H30" s="1930">
        <v>0</v>
      </c>
      <c r="I30" s="1930">
        <v>0</v>
      </c>
      <c r="J30" s="1967">
        <v>0</v>
      </c>
      <c r="K30" s="1967">
        <f t="shared" si="6"/>
        <v>0</v>
      </c>
      <c r="L30" s="1967">
        <f>+'Order 864-2'!I33</f>
        <v>0</v>
      </c>
      <c r="M30" s="1967">
        <f>IF(SUM($K$29:$L$31)&lt;0,0,SUM($K30:$L30))</f>
        <v>0</v>
      </c>
      <c r="N30" s="1967">
        <f>IF(SUM($K$29:$L$31)&lt;0,SUM($K30:$L30),0)</f>
        <v>0</v>
      </c>
      <c r="O30" s="2025" t="s">
        <v>647</v>
      </c>
      <c r="P30" s="1966">
        <f t="shared" si="1"/>
        <v>18</v>
      </c>
      <c r="Q30" s="2001"/>
    </row>
    <row r="31" spans="1:17" x14ac:dyDescent="0.35">
      <c r="A31" s="1966">
        <f t="shared" si="0"/>
        <v>19</v>
      </c>
      <c r="B31" s="2065" t="s">
        <v>1527</v>
      </c>
      <c r="C31" s="2066">
        <v>282</v>
      </c>
      <c r="D31" s="1930">
        <v>0</v>
      </c>
      <c r="E31" s="1930">
        <v>9750.2280000000028</v>
      </c>
      <c r="F31" s="1930"/>
      <c r="G31" s="1930"/>
      <c r="H31" s="1930">
        <v>0</v>
      </c>
      <c r="I31" s="1930">
        <v>-1058.3739999999998</v>
      </c>
      <c r="J31" s="1967">
        <v>-3352.4279999999999</v>
      </c>
      <c r="K31" s="1967">
        <f t="shared" si="6"/>
        <v>8691.854000000003</v>
      </c>
      <c r="L31" s="1967">
        <f>+'Order 864-2'!I34</f>
        <v>0</v>
      </c>
      <c r="M31" s="1967">
        <f>IF(SUM($K$29:$L$31)&lt;0,0,SUM($K31:$L31))</f>
        <v>0</v>
      </c>
      <c r="N31" s="1967">
        <f>IF(SUM($K$29:$L$31)&lt;0,SUM($K31:$L31),0)</f>
        <v>8691.854000000003</v>
      </c>
      <c r="O31" s="2025" t="s">
        <v>647</v>
      </c>
      <c r="P31" s="1966">
        <f t="shared" si="1"/>
        <v>19</v>
      </c>
      <c r="Q31" s="2001"/>
    </row>
    <row r="32" spans="1:17" x14ac:dyDescent="0.35">
      <c r="A32" s="1966">
        <f t="shared" si="0"/>
        <v>20</v>
      </c>
      <c r="B32" s="1968" t="s">
        <v>1447</v>
      </c>
      <c r="C32" s="1969"/>
      <c r="D32" s="1977">
        <f>SUM(D27:D31)</f>
        <v>108238.47132310043</v>
      </c>
      <c r="E32" s="1977">
        <f t="shared" ref="E32:N32" si="7">SUM(E27:E31)</f>
        <v>-378242.35734693881</v>
      </c>
      <c r="F32" s="1977">
        <f t="shared" si="7"/>
        <v>-232.13202207358322</v>
      </c>
      <c r="G32" s="1977">
        <f t="shared" si="7"/>
        <v>0</v>
      </c>
      <c r="H32" s="1977">
        <f t="shared" si="7"/>
        <v>-1296.3860765170477</v>
      </c>
      <c r="I32" s="1977">
        <f t="shared" si="7"/>
        <v>3306.5344712430706</v>
      </c>
      <c r="J32" s="1977">
        <f t="shared" si="7"/>
        <v>5981.2574030779124</v>
      </c>
      <c r="K32" s="1977">
        <f t="shared" si="7"/>
        <v>-268225.86965118599</v>
      </c>
      <c r="L32" s="1977">
        <f t="shared" si="7"/>
        <v>0</v>
      </c>
      <c r="M32" s="1977">
        <f t="shared" si="7"/>
        <v>106709.95322450979</v>
      </c>
      <c r="N32" s="1977">
        <f t="shared" si="7"/>
        <v>-374935.82287569577</v>
      </c>
      <c r="O32" s="2025" t="s">
        <v>1534</v>
      </c>
      <c r="P32" s="1966">
        <f t="shared" si="1"/>
        <v>20</v>
      </c>
      <c r="Q32" s="2001"/>
    </row>
    <row r="33" spans="1:17" x14ac:dyDescent="0.35">
      <c r="A33" s="1966">
        <f t="shared" si="0"/>
        <v>21</v>
      </c>
      <c r="B33" s="2065"/>
      <c r="C33" s="1969"/>
      <c r="D33" s="1974"/>
      <c r="E33" s="1974"/>
      <c r="F33" s="1975"/>
      <c r="G33" s="1975"/>
      <c r="H33" s="1975"/>
      <c r="I33" s="1975"/>
      <c r="J33" s="1967"/>
      <c r="K33" s="1974"/>
      <c r="L33" s="1974"/>
      <c r="M33" s="1974"/>
      <c r="N33" s="1974"/>
      <c r="O33" s="1967"/>
      <c r="P33" s="1966">
        <f t="shared" si="1"/>
        <v>21</v>
      </c>
      <c r="Q33" s="2001"/>
    </row>
    <row r="34" spans="1:17" x14ac:dyDescent="0.35">
      <c r="A34" s="1966">
        <f t="shared" si="0"/>
        <v>22</v>
      </c>
      <c r="B34" s="2065" t="s">
        <v>1546</v>
      </c>
      <c r="C34" s="1978"/>
      <c r="D34" s="1974"/>
      <c r="E34" s="1974"/>
      <c r="F34" s="1975"/>
      <c r="G34" s="1975"/>
      <c r="H34" s="1975"/>
      <c r="I34" s="1975"/>
      <c r="J34" s="1967"/>
      <c r="K34" s="1974"/>
      <c r="L34" s="1974"/>
      <c r="M34" s="1974"/>
      <c r="N34" s="1974"/>
      <c r="O34" s="1967"/>
      <c r="P34" s="1966">
        <f t="shared" si="1"/>
        <v>22</v>
      </c>
      <c r="Q34" s="2001"/>
    </row>
    <row r="35" spans="1:17" x14ac:dyDescent="0.35">
      <c r="A35" s="1966">
        <f t="shared" si="0"/>
        <v>23</v>
      </c>
      <c r="B35" s="2065" t="s">
        <v>1448</v>
      </c>
      <c r="C35" s="1966">
        <v>282</v>
      </c>
      <c r="D35" s="1930">
        <v>0</v>
      </c>
      <c r="E35" s="1930">
        <v>-12711.191999999999</v>
      </c>
      <c r="F35" s="1930"/>
      <c r="G35" s="1930"/>
      <c r="H35" s="1930"/>
      <c r="I35" s="1930">
        <v>263.35636363636348</v>
      </c>
      <c r="J35" s="1967">
        <v>784.23536363636435</v>
      </c>
      <c r="K35" s="1967">
        <f>SUM(D35:I35)</f>
        <v>-12447.835636363636</v>
      </c>
      <c r="L35" s="1967">
        <f>+'Order 864-2'!I38</f>
        <v>0</v>
      </c>
      <c r="M35" s="1967">
        <f>IF(SUM($K$35:$L$35)&lt;0,0,SUM($K35:$L35))</f>
        <v>0</v>
      </c>
      <c r="N35" s="1967">
        <f>IF(SUM($K$35:$L$35)&lt;0,SUM($K35:$L35),0)</f>
        <v>-12447.835636363636</v>
      </c>
      <c r="O35" s="2025" t="s">
        <v>647</v>
      </c>
      <c r="P35" s="1966">
        <f t="shared" si="1"/>
        <v>23</v>
      </c>
      <c r="Q35" s="2001"/>
    </row>
    <row r="36" spans="1:17" x14ac:dyDescent="0.35">
      <c r="A36" s="1966">
        <f t="shared" si="0"/>
        <v>24</v>
      </c>
      <c r="B36" s="2065" t="s">
        <v>1449</v>
      </c>
      <c r="C36" s="1966">
        <v>282</v>
      </c>
      <c r="D36" s="1930">
        <v>0</v>
      </c>
      <c r="E36" s="1930">
        <v>-35434.561999999998</v>
      </c>
      <c r="F36" s="1930"/>
      <c r="G36" s="1930"/>
      <c r="H36" s="1930"/>
      <c r="I36" s="1930">
        <v>1630.263272727268</v>
      </c>
      <c r="J36" s="1967">
        <v>4850.0302727272683</v>
      </c>
      <c r="K36" s="1967">
        <f t="shared" ref="K36:K37" si="8">SUM(D36:I36)</f>
        <v>-33804.298727272733</v>
      </c>
      <c r="L36" s="1967">
        <f>+'Order 864-2'!I39</f>
        <v>0</v>
      </c>
      <c r="M36" s="1967">
        <f>IF(SUM($K$36:$L$36)&lt;0,0,SUM($K36:$L36))</f>
        <v>0</v>
      </c>
      <c r="N36" s="1967">
        <f>IF(SUM($K$36:$L$36)&lt;0,SUM($K36:$L36),0)</f>
        <v>-33804.298727272733</v>
      </c>
      <c r="O36" s="2025" t="s">
        <v>647</v>
      </c>
      <c r="P36" s="1966">
        <f t="shared" si="1"/>
        <v>24</v>
      </c>
      <c r="Q36" s="2001"/>
    </row>
    <row r="37" spans="1:17" x14ac:dyDescent="0.35">
      <c r="A37" s="1966">
        <f t="shared" si="0"/>
        <v>25</v>
      </c>
      <c r="B37" s="2065" t="s">
        <v>1450</v>
      </c>
      <c r="C37" s="1979">
        <v>282</v>
      </c>
      <c r="D37" s="1930">
        <v>363.41000000000065</v>
      </c>
      <c r="E37" s="1930">
        <v>0</v>
      </c>
      <c r="F37" s="1930"/>
      <c r="G37" s="1930"/>
      <c r="H37" s="1930">
        <v>212.16872727272732</v>
      </c>
      <c r="I37" s="1930"/>
      <c r="J37" s="1967">
        <v>548.76372727272724</v>
      </c>
      <c r="K37" s="1967">
        <f t="shared" si="8"/>
        <v>575.57872727272797</v>
      </c>
      <c r="L37" s="1967">
        <f>+'Order 864-2'!I40</f>
        <v>0</v>
      </c>
      <c r="M37" s="1967">
        <f>IF(SUM($K$37:$L$37)&lt;0,0,SUM($K37:$L37))</f>
        <v>575.57872727272797</v>
      </c>
      <c r="N37" s="1967">
        <f>IF(SUM($K$37:$L$37)&lt;0,SUM($K37:$L37),0)</f>
        <v>0</v>
      </c>
      <c r="O37" s="2025" t="s">
        <v>647</v>
      </c>
      <c r="P37" s="1966">
        <f t="shared" si="1"/>
        <v>25</v>
      </c>
      <c r="Q37" s="2001"/>
    </row>
    <row r="38" spans="1:17" x14ac:dyDescent="0.35">
      <c r="A38" s="1966">
        <f t="shared" si="0"/>
        <v>26</v>
      </c>
      <c r="B38" s="1968" t="s">
        <v>1447</v>
      </c>
      <c r="C38" s="1969"/>
      <c r="D38" s="1977">
        <f t="shared" ref="D38:L38" si="9">SUM(D35:D37)</f>
        <v>363.41000000000065</v>
      </c>
      <c r="E38" s="1977">
        <f t="shared" si="9"/>
        <v>-48145.754000000001</v>
      </c>
      <c r="F38" s="1934">
        <f t="shared" si="9"/>
        <v>0</v>
      </c>
      <c r="G38" s="1934">
        <f t="shared" si="9"/>
        <v>0</v>
      </c>
      <c r="H38" s="1934">
        <f t="shared" si="9"/>
        <v>212.16872727272732</v>
      </c>
      <c r="I38" s="1934">
        <f t="shared" si="9"/>
        <v>1893.6196363636316</v>
      </c>
      <c r="J38" s="1977">
        <f t="shared" ref="J38" si="10">SUM(J35:J37)</f>
        <v>6183.0293636363594</v>
      </c>
      <c r="K38" s="1977">
        <f t="shared" si="9"/>
        <v>-45676.555636363642</v>
      </c>
      <c r="L38" s="1977">
        <f t="shared" si="9"/>
        <v>0</v>
      </c>
      <c r="M38" s="1977">
        <f>SUM(M35:M37)</f>
        <v>575.57872727272797</v>
      </c>
      <c r="N38" s="1977">
        <f>SUM(N35:N37)</f>
        <v>-46252.134363636367</v>
      </c>
      <c r="O38" s="2025" t="s">
        <v>1535</v>
      </c>
      <c r="P38" s="1966">
        <f t="shared" si="1"/>
        <v>26</v>
      </c>
      <c r="Q38" s="2001"/>
    </row>
    <row r="39" spans="1:17" x14ac:dyDescent="0.35">
      <c r="A39" s="1966">
        <f t="shared" si="0"/>
        <v>27</v>
      </c>
      <c r="B39" s="2065"/>
      <c r="C39" s="1969"/>
      <c r="D39" s="1970"/>
      <c r="E39" s="1970"/>
      <c r="F39" s="1971"/>
      <c r="G39" s="1971"/>
      <c r="H39" s="1971"/>
      <c r="I39" s="1971"/>
      <c r="J39" s="1970"/>
      <c r="K39" s="1970"/>
      <c r="L39" s="1970"/>
      <c r="M39" s="1970"/>
      <c r="N39" s="1970"/>
      <c r="O39" s="1967"/>
      <c r="P39" s="1966">
        <f t="shared" si="1"/>
        <v>27</v>
      </c>
      <c r="Q39" s="2001"/>
    </row>
    <row r="40" spans="1:17" x14ac:dyDescent="0.35">
      <c r="A40" s="1966">
        <f t="shared" si="0"/>
        <v>28</v>
      </c>
      <c r="B40" s="2065" t="s">
        <v>1546</v>
      </c>
      <c r="C40" s="1978"/>
      <c r="D40" s="1974"/>
      <c r="E40" s="1974"/>
      <c r="F40" s="1975"/>
      <c r="G40" s="1975"/>
      <c r="H40" s="1975"/>
      <c r="I40" s="1975"/>
      <c r="J40" s="1974"/>
      <c r="K40" s="1974"/>
      <c r="L40" s="1974"/>
      <c r="M40" s="1974"/>
      <c r="N40" s="1974"/>
      <c r="O40" s="1967"/>
      <c r="P40" s="1966">
        <f t="shared" si="1"/>
        <v>28</v>
      </c>
      <c r="Q40" s="2001"/>
    </row>
    <row r="41" spans="1:17" x14ac:dyDescent="0.35">
      <c r="A41" s="1966">
        <f t="shared" si="0"/>
        <v>29</v>
      </c>
      <c r="B41" s="2065" t="s">
        <v>1491</v>
      </c>
      <c r="C41" s="1980">
        <v>282</v>
      </c>
      <c r="D41" s="1998">
        <v>39731.646986429922</v>
      </c>
      <c r="E41" s="2062">
        <v>0</v>
      </c>
      <c r="F41" s="2049"/>
      <c r="G41" s="2049"/>
      <c r="H41" s="2049">
        <v>-474.80667137594071</v>
      </c>
      <c r="I41" s="2049"/>
      <c r="J41" s="1967">
        <v>-1350.4606849460552</v>
      </c>
      <c r="K41" s="2035">
        <f>SUM(D41:I41)</f>
        <v>39256.840315053982</v>
      </c>
      <c r="L41" s="2035">
        <f>+'Order 864-2'!I44</f>
        <v>0</v>
      </c>
      <c r="M41" s="1967">
        <f>IF(SUM($K$41:$L$41)&lt;0,0,SUM($K41:$L41))</f>
        <v>39256.840315053982</v>
      </c>
      <c r="N41" s="1967">
        <f>IF(SUM($K$41:$L$41)&lt;0,SUM($K41:$L41),0)</f>
        <v>0</v>
      </c>
      <c r="O41" s="2025" t="s">
        <v>647</v>
      </c>
      <c r="P41" s="1966">
        <f t="shared" si="1"/>
        <v>29</v>
      </c>
      <c r="Q41" s="2001"/>
    </row>
    <row r="42" spans="1:17" x14ac:dyDescent="0.35">
      <c r="A42" s="1966">
        <f t="shared" si="0"/>
        <v>30</v>
      </c>
      <c r="B42" s="2065"/>
      <c r="C42" s="1969"/>
      <c r="D42" s="1981"/>
      <c r="E42" s="1981"/>
      <c r="F42" s="1982"/>
      <c r="G42" s="1982"/>
      <c r="H42" s="1982"/>
      <c r="I42" s="1982"/>
      <c r="J42" s="1981"/>
      <c r="K42" s="1981"/>
      <c r="L42" s="1981"/>
      <c r="M42" s="1981"/>
      <c r="N42" s="1981"/>
      <c r="O42" s="1967"/>
      <c r="P42" s="1966">
        <f t="shared" si="1"/>
        <v>30</v>
      </c>
      <c r="Q42" s="2001"/>
    </row>
    <row r="43" spans="1:17" ht="15" thickBot="1" x14ac:dyDescent="0.4">
      <c r="A43" s="1966">
        <f t="shared" si="0"/>
        <v>31</v>
      </c>
      <c r="B43" s="1968" t="s">
        <v>1548</v>
      </c>
      <c r="C43" s="1969"/>
      <c r="D43" s="1983">
        <f t="shared" ref="D43:N43" si="11">+D41+D38+D32</f>
        <v>148333.52830953035</v>
      </c>
      <c r="E43" s="1983">
        <f t="shared" si="11"/>
        <v>-426388.11134693882</v>
      </c>
      <c r="F43" s="1923">
        <f t="shared" si="11"/>
        <v>-232.13202207358322</v>
      </c>
      <c r="G43" s="1923">
        <f t="shared" si="11"/>
        <v>0</v>
      </c>
      <c r="H43" s="1923">
        <f t="shared" si="11"/>
        <v>-1559.0240206202611</v>
      </c>
      <c r="I43" s="1923">
        <f t="shared" si="11"/>
        <v>5200.1541076067024</v>
      </c>
      <c r="J43" s="1983">
        <f t="shared" ref="J43" si="12">J32+J38+J41</f>
        <v>10813.826081768217</v>
      </c>
      <c r="K43" s="1983">
        <f t="shared" si="11"/>
        <v>-274645.58497249568</v>
      </c>
      <c r="L43" s="1983">
        <f t="shared" si="11"/>
        <v>0</v>
      </c>
      <c r="M43" s="1983">
        <f t="shared" si="11"/>
        <v>146542.37226683649</v>
      </c>
      <c r="N43" s="1983">
        <f t="shared" si="11"/>
        <v>-421187.95723933214</v>
      </c>
      <c r="O43" s="2073" t="s">
        <v>1536</v>
      </c>
      <c r="P43" s="1966">
        <f t="shared" si="1"/>
        <v>31</v>
      </c>
      <c r="Q43" s="2001"/>
    </row>
    <row r="44" spans="1:17" ht="15" thickTop="1" x14ac:dyDescent="0.35">
      <c r="A44" s="1966">
        <f t="shared" si="0"/>
        <v>32</v>
      </c>
      <c r="B44" s="2065"/>
      <c r="C44" s="1925"/>
      <c r="D44" s="1984"/>
      <c r="E44" s="1984"/>
      <c r="F44" s="1985"/>
      <c r="G44" s="1985"/>
      <c r="H44" s="1985"/>
      <c r="I44" s="1985"/>
      <c r="J44" s="1984"/>
      <c r="K44" s="1984"/>
      <c r="L44" s="1984"/>
      <c r="M44" s="1984"/>
      <c r="N44" s="1984"/>
      <c r="O44" s="1967"/>
      <c r="P44" s="1966">
        <f t="shared" si="1"/>
        <v>32</v>
      </c>
      <c r="Q44" s="2001"/>
    </row>
    <row r="45" spans="1:17" ht="15" thickBot="1" x14ac:dyDescent="0.4">
      <c r="A45" s="1966">
        <f t="shared" si="0"/>
        <v>33</v>
      </c>
      <c r="B45" s="1968" t="s">
        <v>1549</v>
      </c>
      <c r="C45" s="1925"/>
      <c r="D45" s="1983">
        <f t="shared" ref="D45:N45" si="13">D24+D43</f>
        <v>149103.46334925669</v>
      </c>
      <c r="E45" s="1983">
        <f t="shared" si="13"/>
        <v>-426388.11134693882</v>
      </c>
      <c r="F45" s="1923">
        <f t="shared" si="13"/>
        <v>-232.13202207358322</v>
      </c>
      <c r="G45" s="1923">
        <f t="shared" si="13"/>
        <v>0</v>
      </c>
      <c r="H45" s="1923">
        <f t="shared" si="13"/>
        <v>-1933.3186264581627</v>
      </c>
      <c r="I45" s="1923">
        <f t="shared" si="13"/>
        <v>5200.1541076067024</v>
      </c>
      <c r="J45" s="1983">
        <f t="shared" si="13"/>
        <v>12809.914400769238</v>
      </c>
      <c r="K45" s="1983">
        <f t="shared" si="13"/>
        <v>-274249.94453860726</v>
      </c>
      <c r="L45" s="1983">
        <f t="shared" si="13"/>
        <v>0</v>
      </c>
      <c r="M45" s="1983">
        <f t="shared" si="13"/>
        <v>146938.01270072494</v>
      </c>
      <c r="N45" s="1983">
        <f t="shared" si="13"/>
        <v>-421187.95723933214</v>
      </c>
      <c r="O45" s="2025" t="s">
        <v>1537</v>
      </c>
      <c r="P45" s="1966">
        <f t="shared" si="1"/>
        <v>33</v>
      </c>
      <c r="Q45" s="2001"/>
    </row>
    <row r="46" spans="1:17" ht="15" thickTop="1" x14ac:dyDescent="0.35">
      <c r="A46" s="1966"/>
      <c r="B46" s="2065"/>
      <c r="C46" s="1925"/>
      <c r="D46" s="1967"/>
      <c r="E46" s="1967"/>
      <c r="F46" s="1925"/>
      <c r="G46" s="1925"/>
      <c r="H46" s="1925"/>
      <c r="I46" s="1925"/>
      <c r="J46" s="1967"/>
      <c r="K46" s="1967"/>
      <c r="L46" s="1967"/>
      <c r="M46" s="1967">
        <f>'AF-1'!E35-M45</f>
        <v>0</v>
      </c>
      <c r="N46" s="1967">
        <f>N45-'AF-1'!G35</f>
        <v>0</v>
      </c>
      <c r="O46" s="2074"/>
      <c r="P46" s="2001"/>
      <c r="Q46" s="2001"/>
    </row>
    <row r="47" spans="1:17" x14ac:dyDescent="0.35">
      <c r="A47" s="2036"/>
      <c r="B47" s="1912" t="s">
        <v>1451</v>
      </c>
      <c r="C47" s="1986"/>
      <c r="D47" s="2225"/>
      <c r="E47" s="2225"/>
      <c r="F47" s="2226"/>
      <c r="G47" s="2226"/>
      <c r="H47" s="2226"/>
      <c r="I47" s="2226"/>
      <c r="J47" s="2225"/>
      <c r="K47" s="2225"/>
      <c r="L47" s="2225"/>
      <c r="M47" s="2225"/>
      <c r="N47" s="2225"/>
      <c r="O47" s="2074"/>
      <c r="P47" s="2001"/>
      <c r="Q47" s="2001"/>
    </row>
    <row r="48" spans="1:17" x14ac:dyDescent="0.35">
      <c r="A48" s="2036"/>
      <c r="B48" s="2102" t="s">
        <v>1571</v>
      </c>
      <c r="C48" s="1986"/>
      <c r="D48" s="1967"/>
      <c r="E48" s="1967"/>
      <c r="F48" s="2065"/>
      <c r="G48" s="2065"/>
      <c r="H48" s="2065"/>
      <c r="I48" s="2065"/>
      <c r="J48" s="1967"/>
      <c r="K48" s="1967"/>
      <c r="L48" s="1967"/>
      <c r="M48" s="1967"/>
      <c r="N48" s="1967"/>
      <c r="O48" s="2074"/>
      <c r="P48" s="2001"/>
      <c r="Q48" s="2001"/>
    </row>
    <row r="49" spans="1:17" x14ac:dyDescent="0.35">
      <c r="A49" s="2036"/>
      <c r="B49" s="2102" t="s">
        <v>1576</v>
      </c>
      <c r="C49" s="1987"/>
      <c r="D49" s="1988"/>
      <c r="E49" s="1988"/>
      <c r="F49" s="2065"/>
      <c r="G49" s="2065"/>
      <c r="H49" s="2065"/>
      <c r="I49" s="2065"/>
      <c r="J49" s="1967"/>
      <c r="K49" s="1967"/>
      <c r="L49" s="1967"/>
      <c r="M49" s="1967"/>
      <c r="N49" s="1967"/>
      <c r="O49" s="2075"/>
      <c r="P49" s="2001"/>
      <c r="Q49" s="2001"/>
    </row>
    <row r="50" spans="1:17" x14ac:dyDescent="0.35">
      <c r="A50" s="2036"/>
      <c r="B50" s="2102" t="s">
        <v>1577</v>
      </c>
      <c r="C50" s="1988"/>
      <c r="D50" s="1988"/>
      <c r="E50" s="1988"/>
      <c r="F50" s="1967"/>
      <c r="G50" s="1967"/>
      <c r="H50" s="1967"/>
      <c r="I50" s="1967"/>
      <c r="J50" s="1967"/>
      <c r="K50" s="1967"/>
      <c r="L50" s="1967"/>
      <c r="M50" s="1967"/>
      <c r="N50" s="1967"/>
      <c r="O50" s="2075"/>
      <c r="P50" s="2001"/>
      <c r="Q50" s="2001"/>
    </row>
    <row r="51" spans="1:17" x14ac:dyDescent="0.35">
      <c r="A51" s="2036"/>
      <c r="B51" s="2102" t="s">
        <v>1547</v>
      </c>
      <c r="C51" s="1988"/>
      <c r="D51" s="1988"/>
      <c r="E51" s="1988"/>
      <c r="F51" s="1967"/>
      <c r="G51" s="1967"/>
      <c r="H51" s="1967"/>
      <c r="I51" s="1967"/>
      <c r="J51" s="1967"/>
      <c r="K51" s="1967"/>
      <c r="L51" s="1967"/>
      <c r="M51" s="1967"/>
      <c r="N51" s="1967"/>
      <c r="O51" s="2075"/>
      <c r="P51" s="2001"/>
      <c r="Q51" s="2001"/>
    </row>
    <row r="52" spans="1:17" x14ac:dyDescent="0.35">
      <c r="A52" s="1987"/>
      <c r="B52" s="2103" t="s">
        <v>1585</v>
      </c>
      <c r="C52" s="1987"/>
      <c r="D52" s="1988"/>
      <c r="E52" s="1988"/>
      <c r="F52" s="1987"/>
      <c r="G52" s="1987"/>
      <c r="H52" s="1987"/>
      <c r="I52" s="1987"/>
      <c r="J52" s="1988"/>
      <c r="K52" s="1988"/>
      <c r="L52" s="1988"/>
      <c r="M52" s="1988"/>
      <c r="N52" s="1988"/>
      <c r="O52" s="2074"/>
      <c r="P52" s="2001"/>
      <c r="Q52" s="2001"/>
    </row>
    <row r="53" spans="1:17" x14ac:dyDescent="0.35">
      <c r="A53" s="1987"/>
      <c r="B53" s="2102" t="s">
        <v>1572</v>
      </c>
      <c r="C53" s="1988"/>
      <c r="D53" s="1988"/>
      <c r="E53" s="1988"/>
      <c r="F53" s="1988"/>
      <c r="G53" s="1988"/>
      <c r="H53" s="1988"/>
      <c r="I53" s="1988"/>
      <c r="J53" s="1988"/>
      <c r="K53" s="1988"/>
      <c r="L53" s="1988"/>
      <c r="M53" s="1988"/>
      <c r="N53" s="1988"/>
      <c r="O53" s="2076"/>
      <c r="P53" s="2001"/>
      <c r="Q53" s="2001"/>
    </row>
    <row r="54" spans="1:17" x14ac:dyDescent="0.35">
      <c r="A54" s="1987"/>
      <c r="B54" s="2102" t="s">
        <v>1573</v>
      </c>
      <c r="C54" s="1988"/>
      <c r="D54" s="1988"/>
      <c r="E54" s="1988"/>
      <c r="F54" s="1988"/>
      <c r="G54" s="1988"/>
      <c r="H54" s="1988"/>
      <c r="I54" s="1988"/>
      <c r="J54" s="1988"/>
      <c r="K54" s="1988"/>
      <c r="L54" s="1988"/>
      <c r="M54" s="1988"/>
      <c r="N54" s="1988"/>
      <c r="O54" s="2075"/>
      <c r="P54" s="2001"/>
      <c r="Q54" s="2001"/>
    </row>
    <row r="55" spans="1:17" x14ac:dyDescent="0.35">
      <c r="A55" s="1990"/>
      <c r="B55" s="2102" t="s">
        <v>1578</v>
      </c>
      <c r="C55" s="1991"/>
      <c r="D55" s="1991"/>
      <c r="E55" s="1991"/>
      <c r="F55" s="1991"/>
      <c r="G55" s="1991"/>
      <c r="H55" s="1991"/>
      <c r="I55" s="1991"/>
      <c r="J55" s="1991"/>
      <c r="K55" s="1991"/>
      <c r="L55" s="1991"/>
      <c r="M55" s="1990"/>
      <c r="N55" s="1990"/>
    </row>
    <row r="56" spans="1:17" x14ac:dyDescent="0.35">
      <c r="A56" s="1990"/>
      <c r="B56" s="2102" t="s">
        <v>1574</v>
      </c>
      <c r="C56" s="1991"/>
      <c r="D56" s="1991"/>
      <c r="E56" s="1991"/>
      <c r="F56" s="1991"/>
      <c r="G56" s="1991"/>
      <c r="H56" s="1991"/>
      <c r="I56" s="1991"/>
      <c r="J56" s="1991"/>
      <c r="K56" s="1991"/>
      <c r="L56" s="1991"/>
      <c r="M56" s="1990"/>
      <c r="N56" s="1990"/>
    </row>
    <row r="57" spans="1:17" x14ac:dyDescent="0.35">
      <c r="A57" s="1990"/>
      <c r="B57" s="2102" t="s">
        <v>1575</v>
      </c>
      <c r="C57" s="1991"/>
      <c r="D57" s="1991"/>
      <c r="E57" s="1991"/>
      <c r="F57" s="1991"/>
      <c r="G57" s="1991"/>
      <c r="H57" s="1991"/>
      <c r="I57" s="1991"/>
      <c r="J57" s="1991"/>
      <c r="K57" s="1991"/>
      <c r="L57" s="1991"/>
      <c r="M57" s="1990"/>
      <c r="N57" s="1990"/>
    </row>
    <row r="58" spans="1:17" s="2039" customFormat="1" x14ac:dyDescent="0.35">
      <c r="A58" s="1991"/>
      <c r="B58" s="2102"/>
      <c r="C58" s="1991"/>
      <c r="D58" s="1991"/>
      <c r="E58" s="1991"/>
      <c r="F58" s="1991"/>
      <c r="G58" s="1991"/>
      <c r="H58" s="1991"/>
      <c r="I58" s="1991"/>
      <c r="J58" s="1991"/>
      <c r="K58" s="1991"/>
      <c r="L58" s="1991"/>
      <c r="M58" s="1991"/>
      <c r="N58" s="1991"/>
    </row>
    <row r="59" spans="1:17" x14ac:dyDescent="0.35">
      <c r="A59" s="1990"/>
      <c r="B59" s="1989"/>
      <c r="C59" s="2065"/>
      <c r="D59" s="1967"/>
      <c r="E59" s="1967"/>
      <c r="F59" s="2003"/>
      <c r="G59" s="2003"/>
      <c r="H59" s="2104" t="s">
        <v>1562</v>
      </c>
      <c r="I59" s="2104" t="s">
        <v>1565</v>
      </c>
      <c r="J59" s="2104" t="s">
        <v>1566</v>
      </c>
      <c r="K59" s="2104" t="s">
        <v>1569</v>
      </c>
      <c r="L59" s="2104" t="s">
        <v>1570</v>
      </c>
      <c r="M59" s="1990"/>
      <c r="N59" s="1990"/>
    </row>
    <row r="60" spans="1:17" x14ac:dyDescent="0.35">
      <c r="A60" s="1990"/>
      <c r="B60" s="1989"/>
      <c r="C60" s="2065"/>
      <c r="D60" s="1967"/>
      <c r="E60" s="1967"/>
      <c r="F60" s="2003"/>
      <c r="G60" s="2003"/>
      <c r="H60" s="2021" t="s">
        <v>1436</v>
      </c>
      <c r="I60" s="2021" t="s">
        <v>1531</v>
      </c>
      <c r="J60" s="2003"/>
      <c r="M60" s="1990"/>
      <c r="N60" s="1990"/>
    </row>
    <row r="61" spans="1:17" ht="39.5" x14ac:dyDescent="0.35">
      <c r="A61" s="1990"/>
      <c r="B61" s="2105" t="s">
        <v>1561</v>
      </c>
      <c r="C61" s="2065"/>
      <c r="D61" s="2106" t="s">
        <v>1550</v>
      </c>
      <c r="E61" s="2107"/>
      <c r="F61" s="2003"/>
      <c r="G61" s="2003"/>
      <c r="H61" s="2108" t="s">
        <v>1445</v>
      </c>
      <c r="I61" s="2108" t="s">
        <v>1446</v>
      </c>
      <c r="J61" s="2108" t="s">
        <v>1559</v>
      </c>
      <c r="K61" s="2108" t="s">
        <v>1567</v>
      </c>
      <c r="L61" s="2108" t="s">
        <v>1568</v>
      </c>
      <c r="M61" s="1990"/>
      <c r="N61" s="1990"/>
    </row>
    <row r="62" spans="1:17" x14ac:dyDescent="0.35">
      <c r="A62" s="1990"/>
      <c r="B62" s="2004" t="s">
        <v>1551</v>
      </c>
      <c r="C62" s="2109" t="s">
        <v>1387</v>
      </c>
      <c r="D62" s="2110">
        <v>0.21</v>
      </c>
      <c r="E62" s="2111"/>
      <c r="F62" s="2003"/>
      <c r="G62" s="2004" t="s">
        <v>1563</v>
      </c>
      <c r="H62" s="2065">
        <f>M24</f>
        <v>395.64043388843305</v>
      </c>
      <c r="I62" s="2065">
        <f>N24</f>
        <v>0</v>
      </c>
      <c r="J62" s="2112">
        <f>D67-1</f>
        <v>0.38857260290711548</v>
      </c>
      <c r="K62" s="2065">
        <f>H62*J62</f>
        <v>153.73503321132898</v>
      </c>
      <c r="L62" s="2065">
        <f>I62*J62</f>
        <v>0</v>
      </c>
      <c r="M62" s="1990"/>
      <c r="N62" s="1990"/>
    </row>
    <row r="63" spans="1:17" x14ac:dyDescent="0.35">
      <c r="A63" s="1990"/>
      <c r="B63" s="2004" t="s">
        <v>1552</v>
      </c>
      <c r="C63" s="2109" t="s">
        <v>1388</v>
      </c>
      <c r="D63" s="2110">
        <v>8.8400000000000006E-2</v>
      </c>
      <c r="E63" s="2111"/>
      <c r="F63" s="2003"/>
      <c r="G63" s="2004" t="s">
        <v>1564</v>
      </c>
      <c r="H63" s="2065">
        <f>M43</f>
        <v>146542.37226683649</v>
      </c>
      <c r="I63" s="2065">
        <f>N43</f>
        <v>-421187.95723933214</v>
      </c>
      <c r="J63" s="2112">
        <f>D67-1</f>
        <v>0.38857260290711548</v>
      </c>
      <c r="K63" s="2065">
        <f>H63*J63</f>
        <v>56942.351027908153</v>
      </c>
      <c r="L63" s="2065">
        <f>I63*J63</f>
        <v>-163662.10085761815</v>
      </c>
      <c r="M63" s="1990"/>
      <c r="N63" s="1990"/>
    </row>
    <row r="64" spans="1:17" x14ac:dyDescent="0.35">
      <c r="A64" s="1990"/>
      <c r="B64" s="2004" t="s">
        <v>1553</v>
      </c>
      <c r="C64" s="2109" t="s">
        <v>1554</v>
      </c>
      <c r="D64" s="2116">
        <f>-D63*D62</f>
        <v>-1.8564000000000001E-2</v>
      </c>
      <c r="E64" s="2111"/>
      <c r="F64" s="2111"/>
      <c r="G64" s="1990"/>
      <c r="H64" s="1990"/>
      <c r="I64" s="1990"/>
      <c r="J64" s="1990"/>
      <c r="K64" s="1990"/>
      <c r="L64" s="1991"/>
      <c r="M64" s="1990"/>
      <c r="N64" s="1990"/>
    </row>
    <row r="65" spans="2:6" x14ac:dyDescent="0.35">
      <c r="B65" s="2004" t="s">
        <v>1555</v>
      </c>
      <c r="C65" s="2109" t="s">
        <v>1556</v>
      </c>
      <c r="D65" s="2117">
        <f>SUM(D62:D64)</f>
        <v>0.27983599999999997</v>
      </c>
      <c r="E65" s="2113"/>
      <c r="F65" s="2111"/>
    </row>
    <row r="66" spans="2:6" x14ac:dyDescent="0.35">
      <c r="B66" s="2004" t="s">
        <v>1557</v>
      </c>
      <c r="C66" s="2109" t="s">
        <v>1558</v>
      </c>
      <c r="D66" s="2117">
        <f>1-D65</f>
        <v>0.72016400000000003</v>
      </c>
      <c r="E66" s="2113"/>
      <c r="F66" s="2111"/>
    </row>
    <row r="67" spans="2:6" x14ac:dyDescent="0.35">
      <c r="B67" s="2004" t="s">
        <v>1559</v>
      </c>
      <c r="C67" s="2109" t="s">
        <v>1560</v>
      </c>
      <c r="D67" s="2118">
        <f>1/D66</f>
        <v>1.3885726029071155</v>
      </c>
      <c r="E67" s="2114"/>
      <c r="F67" s="2114"/>
    </row>
    <row r="68" spans="2:6" x14ac:dyDescent="0.35">
      <c r="B68" s="1987"/>
      <c r="C68" s="2004"/>
      <c r="D68" s="2038"/>
      <c r="E68" s="2038"/>
    </row>
    <row r="69" spans="2:6" x14ac:dyDescent="0.35">
      <c r="B69" s="1989"/>
      <c r="C69" s="1987"/>
      <c r="D69" s="1988"/>
      <c r="E69" s="1988"/>
    </row>
  </sheetData>
  <mergeCells count="1">
    <mergeCell ref="B5:O5"/>
  </mergeCells>
  <printOptions horizontalCentered="1"/>
  <pageMargins left="0.25" right="0.25" top="0.5" bottom="0.5" header="0.25" footer="0.25"/>
  <pageSetup scale="48" orientation="landscape" r:id="rId1"/>
  <headerFooter scaleWithDoc="0">
    <oddFooter>&amp;C&amp;"Times New Roman,Regular"&amp;10&amp;A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8"/>
  <sheetViews>
    <sheetView zoomScale="80" zoomScaleNormal="80" workbookViewId="0"/>
  </sheetViews>
  <sheetFormatPr defaultColWidth="14.54296875" defaultRowHeight="14.5" x14ac:dyDescent="0.35"/>
  <cols>
    <col min="1" max="1" width="5.90625" customWidth="1"/>
    <col min="2" max="2" width="48.54296875" customWidth="1"/>
    <col min="3" max="3" width="8.90625" customWidth="1"/>
    <col min="4" max="9" width="16.54296875" customWidth="1"/>
    <col min="10" max="10" width="45.90625" customWidth="1"/>
    <col min="11" max="11" width="5.90625" customWidth="1"/>
    <col min="12" max="12" width="18.90625" customWidth="1"/>
  </cols>
  <sheetData>
    <row r="1" spans="1:14" ht="15.5" x14ac:dyDescent="0.35">
      <c r="A1" s="1896"/>
      <c r="B1" s="1897" t="s">
        <v>18</v>
      </c>
      <c r="C1" s="1898"/>
      <c r="D1" s="1898"/>
      <c r="E1" s="1898"/>
      <c r="F1" s="1898"/>
      <c r="G1" s="1898"/>
      <c r="H1" s="1898"/>
      <c r="I1" s="1898"/>
      <c r="J1" s="1898"/>
      <c r="K1" s="1899"/>
    </row>
    <row r="2" spans="1:14" x14ac:dyDescent="0.35">
      <c r="A2" s="1899"/>
      <c r="B2" s="1897" t="s">
        <v>1465</v>
      </c>
      <c r="C2" s="1898"/>
      <c r="D2" s="1898"/>
      <c r="E2" s="1898"/>
      <c r="F2" s="1898"/>
      <c r="G2" s="1898"/>
      <c r="H2" s="1898"/>
      <c r="I2" s="1898"/>
      <c r="J2" s="1898"/>
      <c r="K2" s="1899"/>
    </row>
    <row r="3" spans="1:14" x14ac:dyDescent="0.35">
      <c r="A3" s="1899"/>
      <c r="B3" s="1937" t="s">
        <v>1483</v>
      </c>
      <c r="C3" s="1898"/>
      <c r="D3" s="1898"/>
      <c r="E3" s="1898"/>
      <c r="F3" s="1898"/>
      <c r="G3" s="1898"/>
      <c r="H3" s="1898"/>
      <c r="I3" s="1898"/>
      <c r="J3" s="1898"/>
      <c r="K3" s="1899"/>
    </row>
    <row r="4" spans="1:14" x14ac:dyDescent="0.35">
      <c r="A4" s="1899"/>
      <c r="B4" s="1931" t="s">
        <v>1634</v>
      </c>
      <c r="C4" s="1932"/>
      <c r="D4" s="1932"/>
      <c r="E4" s="1932"/>
      <c r="F4" s="1932"/>
      <c r="G4" s="1932"/>
      <c r="H4" s="1932"/>
      <c r="I4" s="1932"/>
      <c r="J4" s="1932"/>
      <c r="K4" s="1899"/>
    </row>
    <row r="5" spans="1:14" x14ac:dyDescent="0.35">
      <c r="A5" s="1899"/>
      <c r="B5" s="2320" t="s">
        <v>2</v>
      </c>
      <c r="C5" s="2320"/>
      <c r="D5" s="2320"/>
      <c r="E5" s="2320"/>
      <c r="F5" s="2320"/>
      <c r="G5" s="2320"/>
      <c r="H5" s="2320"/>
      <c r="I5" s="2320"/>
      <c r="J5" s="2320"/>
      <c r="K5" s="1916"/>
      <c r="L5" s="1916"/>
      <c r="M5" s="1916"/>
      <c r="N5" s="1916"/>
    </row>
    <row r="6" spans="1:14" x14ac:dyDescent="0.35">
      <c r="A6" s="1899"/>
      <c r="B6" s="1897"/>
      <c r="C6" s="1898"/>
      <c r="D6" s="1898"/>
      <c r="E6" s="1898"/>
      <c r="F6" s="1898"/>
      <c r="G6" s="1898"/>
      <c r="H6" s="1898"/>
      <c r="I6" s="1898"/>
      <c r="J6" s="1898"/>
      <c r="K6" s="1899"/>
    </row>
    <row r="7" spans="1:14" x14ac:dyDescent="0.35">
      <c r="A7" s="1900"/>
      <c r="B7" s="1917"/>
      <c r="C7" s="1918"/>
      <c r="D7" s="1918"/>
      <c r="E7" s="1918"/>
      <c r="F7" s="1918"/>
      <c r="G7" s="1918"/>
      <c r="H7" s="1902" t="s">
        <v>1463</v>
      </c>
      <c r="I7" s="1927">
        <v>2020</v>
      </c>
      <c r="J7" s="1900"/>
      <c r="K7" s="1900"/>
      <c r="L7" s="1900"/>
    </row>
    <row r="8" spans="1:14" x14ac:dyDescent="0.35">
      <c r="A8" s="1900"/>
      <c r="B8" s="1917"/>
      <c r="C8" s="1918"/>
      <c r="D8" s="1918"/>
      <c r="E8" s="1918"/>
      <c r="F8" s="1918"/>
      <c r="G8" s="1918"/>
      <c r="H8" s="1902" t="s">
        <v>1452</v>
      </c>
      <c r="I8" s="1928" t="s">
        <v>7</v>
      </c>
      <c r="J8" s="1900"/>
      <c r="K8" s="1900"/>
      <c r="L8" s="1900"/>
    </row>
    <row r="9" spans="1:14" x14ac:dyDescent="0.35">
      <c r="A9" s="1900"/>
      <c r="B9" s="1901"/>
      <c r="C9" s="1901"/>
      <c r="D9" s="1901"/>
      <c r="E9" s="1901"/>
      <c r="F9" s="1901"/>
      <c r="G9" s="1901"/>
      <c r="H9" s="1914" t="s">
        <v>1453</v>
      </c>
      <c r="I9" s="1929"/>
      <c r="J9" s="1900"/>
      <c r="K9" s="1900"/>
      <c r="L9" s="1900"/>
    </row>
    <row r="10" spans="1:14" x14ac:dyDescent="0.35">
      <c r="A10" s="1900"/>
      <c r="B10" s="1901"/>
      <c r="C10" s="1901"/>
      <c r="D10" s="1901"/>
      <c r="E10" s="1901"/>
      <c r="F10" s="1901"/>
      <c r="G10" s="1901"/>
      <c r="H10" s="1919"/>
      <c r="I10" s="1919"/>
      <c r="J10" s="1900"/>
      <c r="K10" s="1900"/>
      <c r="L10" s="1900"/>
    </row>
    <row r="11" spans="1:14" x14ac:dyDescent="0.35">
      <c r="A11" s="1903"/>
      <c r="B11" s="1904" t="s">
        <v>981</v>
      </c>
      <c r="C11" s="1904" t="s">
        <v>982</v>
      </c>
      <c r="D11" s="1904" t="s">
        <v>983</v>
      </c>
      <c r="E11" s="1904" t="s">
        <v>984</v>
      </c>
      <c r="F11" s="1904" t="s">
        <v>985</v>
      </c>
      <c r="G11" s="1904" t="s">
        <v>986</v>
      </c>
      <c r="H11" s="1904" t="s">
        <v>987</v>
      </c>
      <c r="I11" s="1904" t="s">
        <v>988</v>
      </c>
      <c r="J11" s="1900"/>
      <c r="K11" s="1900"/>
      <c r="L11" s="1900"/>
    </row>
    <row r="12" spans="1:14" ht="15" thickBot="1" x14ac:dyDescent="0.4">
      <c r="A12" s="1900"/>
      <c r="B12" s="1903"/>
      <c r="C12" s="1903"/>
      <c r="D12" s="1900"/>
      <c r="E12" s="1900"/>
      <c r="F12" s="1900"/>
      <c r="G12" s="1900"/>
      <c r="H12" s="1900"/>
      <c r="I12" s="1900"/>
      <c r="J12" s="1900"/>
      <c r="K12" s="1900"/>
      <c r="L12" s="1900"/>
    </row>
    <row r="13" spans="1:14" ht="15" thickBot="1" x14ac:dyDescent="0.4">
      <c r="A13" s="1900"/>
      <c r="B13" s="1903"/>
      <c r="C13" s="1903"/>
      <c r="D13" s="2321" t="s">
        <v>1466</v>
      </c>
      <c r="E13" s="2322"/>
      <c r="F13" s="2322"/>
      <c r="G13" s="2322"/>
      <c r="H13" s="2322"/>
      <c r="I13" s="2323"/>
      <c r="J13" s="1900"/>
      <c r="K13" s="1900"/>
      <c r="L13" s="1900"/>
    </row>
    <row r="14" spans="1:14" ht="15" thickBot="1" x14ac:dyDescent="0.4">
      <c r="A14" s="1900"/>
      <c r="B14" s="1903"/>
      <c r="C14" s="1903"/>
      <c r="D14" s="2077"/>
      <c r="E14" s="2077"/>
      <c r="F14" s="2078" t="s">
        <v>1454</v>
      </c>
      <c r="G14" s="2079" t="s">
        <v>1455</v>
      </c>
      <c r="H14" s="2078" t="s">
        <v>1467</v>
      </c>
      <c r="I14" s="2078" t="s">
        <v>1456</v>
      </c>
      <c r="J14" s="1900"/>
      <c r="K14" s="1900"/>
      <c r="L14" s="1900"/>
    </row>
    <row r="15" spans="1:14" ht="39.5" thickBot="1" x14ac:dyDescent="0.4">
      <c r="A15" s="1905" t="s">
        <v>1437</v>
      </c>
      <c r="B15" s="2115" t="s">
        <v>1543</v>
      </c>
      <c r="C15" s="1907" t="s">
        <v>1438</v>
      </c>
      <c r="D15" s="2080" t="s">
        <v>1528</v>
      </c>
      <c r="E15" s="2080" t="s">
        <v>1538</v>
      </c>
      <c r="F15" s="2080" t="s">
        <v>1529</v>
      </c>
      <c r="G15" s="2080" t="s">
        <v>1457</v>
      </c>
      <c r="H15" s="2080" t="s">
        <v>1458</v>
      </c>
      <c r="I15" s="2080" t="s">
        <v>1459</v>
      </c>
      <c r="J15" s="1906" t="s">
        <v>9</v>
      </c>
      <c r="K15" s="1905" t="s">
        <v>1437</v>
      </c>
      <c r="L15" s="1920"/>
    </row>
    <row r="16" spans="1:14" x14ac:dyDescent="0.35">
      <c r="A16" s="1908">
        <v>1</v>
      </c>
      <c r="B16" s="2065" t="s">
        <v>1542</v>
      </c>
      <c r="C16" s="1909"/>
      <c r="D16" s="1911"/>
      <c r="E16" s="1900"/>
      <c r="F16" s="1900"/>
      <c r="G16" s="1900"/>
      <c r="H16" s="1900"/>
      <c r="I16" s="1900"/>
      <c r="J16" s="2081"/>
      <c r="K16" s="1908">
        <v>1</v>
      </c>
      <c r="L16" s="1920"/>
    </row>
    <row r="17" spans="1:12" x14ac:dyDescent="0.35">
      <c r="A17" s="1908">
        <f t="shared" ref="A17:A48" si="0">+A16+1</f>
        <v>2</v>
      </c>
      <c r="B17" s="2065" t="s">
        <v>1515</v>
      </c>
      <c r="C17" s="2064"/>
      <c r="D17" s="2081"/>
      <c r="E17" s="2081"/>
      <c r="F17" s="1900"/>
      <c r="G17" s="1900"/>
      <c r="H17" s="1900"/>
      <c r="I17" s="1900"/>
      <c r="J17" s="2082"/>
      <c r="K17" s="1908">
        <f t="shared" ref="K17:K48" si="1">+K16+1</f>
        <v>2</v>
      </c>
      <c r="L17" s="1920"/>
    </row>
    <row r="18" spans="1:12" x14ac:dyDescent="0.35">
      <c r="A18" s="1908">
        <f t="shared" si="0"/>
        <v>3</v>
      </c>
      <c r="B18" s="2065" t="s">
        <v>1516</v>
      </c>
      <c r="C18" s="2064">
        <v>190</v>
      </c>
      <c r="D18" s="1926"/>
      <c r="E18" s="1926"/>
      <c r="F18" s="1900">
        <f>+D18*$I$9</f>
        <v>0</v>
      </c>
      <c r="G18" s="1900">
        <f>+E18-F18</f>
        <v>0</v>
      </c>
      <c r="H18" s="1900">
        <f>IF(+$I$8="No",0,'Order 864-1'!K15)</f>
        <v>0</v>
      </c>
      <c r="I18" s="1900">
        <f t="shared" ref="I18:I20" si="2">+G18-H18</f>
        <v>0</v>
      </c>
      <c r="J18" s="2082" t="s">
        <v>647</v>
      </c>
      <c r="K18" s="1908">
        <f t="shared" si="1"/>
        <v>3</v>
      </c>
      <c r="L18" s="1920"/>
    </row>
    <row r="19" spans="1:12" x14ac:dyDescent="0.35">
      <c r="A19" s="1908">
        <f t="shared" si="0"/>
        <v>4</v>
      </c>
      <c r="B19" s="2065" t="s">
        <v>1517</v>
      </c>
      <c r="C19" s="2064">
        <v>190</v>
      </c>
      <c r="D19" s="1926"/>
      <c r="E19" s="1926"/>
      <c r="F19" s="1900">
        <f>+D19*$I$9</f>
        <v>0</v>
      </c>
      <c r="G19" s="1900">
        <f>+E19-F19</f>
        <v>0</v>
      </c>
      <c r="H19" s="1900">
        <f>IF(+$I$8="No",0,'Order 864-1'!K16)</f>
        <v>0</v>
      </c>
      <c r="I19" s="1900">
        <f t="shared" si="2"/>
        <v>0</v>
      </c>
      <c r="J19" s="2082" t="s">
        <v>647</v>
      </c>
      <c r="K19" s="1908">
        <f t="shared" si="1"/>
        <v>4</v>
      </c>
      <c r="L19" s="1920"/>
    </row>
    <row r="20" spans="1:12" x14ac:dyDescent="0.35">
      <c r="A20" s="1908">
        <f t="shared" si="0"/>
        <v>5</v>
      </c>
      <c r="B20" s="2065" t="s">
        <v>1518</v>
      </c>
      <c r="C20" s="2064">
        <v>190</v>
      </c>
      <c r="D20" s="1926"/>
      <c r="E20" s="1926"/>
      <c r="F20" s="1900">
        <f>+D20*$I$9</f>
        <v>0</v>
      </c>
      <c r="G20" s="1900">
        <f>+E20-F20</f>
        <v>0</v>
      </c>
      <c r="H20" s="1900">
        <f>IF(+$I$8="No",0,'Order 864-1'!K17)</f>
        <v>0</v>
      </c>
      <c r="I20" s="1900">
        <f t="shared" si="2"/>
        <v>0</v>
      </c>
      <c r="J20" s="2082" t="s">
        <v>647</v>
      </c>
      <c r="K20" s="1908">
        <f t="shared" si="1"/>
        <v>5</v>
      </c>
      <c r="L20" s="1920"/>
    </row>
    <row r="21" spans="1:12" x14ac:dyDescent="0.35">
      <c r="A21" s="1908">
        <f t="shared" si="0"/>
        <v>6</v>
      </c>
      <c r="B21" s="2065" t="s">
        <v>1519</v>
      </c>
      <c r="C21" s="2064"/>
      <c r="D21" s="1926"/>
      <c r="E21" s="1926"/>
      <c r="F21" s="1900"/>
      <c r="G21" s="1900"/>
      <c r="H21" s="1900"/>
      <c r="I21" s="1900"/>
      <c r="J21" s="2082"/>
      <c r="K21" s="1908">
        <f t="shared" si="1"/>
        <v>6</v>
      </c>
      <c r="L21" s="1920"/>
    </row>
    <row r="22" spans="1:12" x14ac:dyDescent="0.35">
      <c r="A22" s="1908">
        <f t="shared" si="0"/>
        <v>7</v>
      </c>
      <c r="B22" s="2065" t="s">
        <v>1520</v>
      </c>
      <c r="C22" s="2064">
        <v>190</v>
      </c>
      <c r="D22" s="1926"/>
      <c r="E22" s="1926"/>
      <c r="F22" s="1900">
        <f>+D22*$I$9</f>
        <v>0</v>
      </c>
      <c r="G22" s="1900">
        <f>+E22-F22</f>
        <v>0</v>
      </c>
      <c r="H22" s="1900">
        <f>IF(+$I$8="No",0,'Order 864-1'!K19)</f>
        <v>0</v>
      </c>
      <c r="I22" s="1900">
        <f t="shared" ref="I22" si="3">+G22-H22</f>
        <v>0</v>
      </c>
      <c r="J22" s="2082" t="s">
        <v>647</v>
      </c>
      <c r="K22" s="1908">
        <f t="shared" si="1"/>
        <v>7</v>
      </c>
      <c r="L22" s="1920"/>
    </row>
    <row r="23" spans="1:12" x14ac:dyDescent="0.35">
      <c r="A23" s="1908">
        <f t="shared" si="0"/>
        <v>8</v>
      </c>
      <c r="B23" s="2065" t="s">
        <v>1521</v>
      </c>
      <c r="C23" s="2064"/>
      <c r="D23" s="1930"/>
      <c r="E23" s="1930"/>
      <c r="F23" s="1900"/>
      <c r="G23" s="1900"/>
      <c r="H23" s="1900"/>
      <c r="I23" s="1900"/>
      <c r="J23" s="2082"/>
      <c r="K23" s="1908">
        <f t="shared" si="1"/>
        <v>8</v>
      </c>
      <c r="L23" s="1920"/>
    </row>
    <row r="24" spans="1:12" x14ac:dyDescent="0.35">
      <c r="A24" s="1908">
        <f t="shared" si="0"/>
        <v>9</v>
      </c>
      <c r="B24" s="2065" t="s">
        <v>1522</v>
      </c>
      <c r="C24" s="2064">
        <v>283</v>
      </c>
      <c r="D24" s="1930"/>
      <c r="E24" s="1930"/>
      <c r="F24" s="1900">
        <f>+D24*$I$9</f>
        <v>0</v>
      </c>
      <c r="G24" s="1900">
        <f>+E24-F24</f>
        <v>0</v>
      </c>
      <c r="H24" s="1900">
        <f>IF(+$I$8="No",0,'Order 864-1'!K21)</f>
        <v>0</v>
      </c>
      <c r="I24" s="1900">
        <f t="shared" ref="I24:I25" si="4">+G24-H24</f>
        <v>0</v>
      </c>
      <c r="J24" s="2082" t="s">
        <v>647</v>
      </c>
      <c r="K24" s="1908">
        <f t="shared" si="1"/>
        <v>9</v>
      </c>
      <c r="L24" s="1920"/>
    </row>
    <row r="25" spans="1:12" x14ac:dyDescent="0.35">
      <c r="A25" s="1908">
        <f t="shared" si="0"/>
        <v>10</v>
      </c>
      <c r="B25" s="2065" t="s">
        <v>1523</v>
      </c>
      <c r="C25" s="2064">
        <v>283</v>
      </c>
      <c r="D25" s="1930"/>
      <c r="E25" s="1930"/>
      <c r="F25" s="1900">
        <f>+D25*$I$9</f>
        <v>0</v>
      </c>
      <c r="G25" s="1900">
        <f>+E25-F25</f>
        <v>0</v>
      </c>
      <c r="H25" s="1900">
        <f>IF(+$I$8="No",0,'Order 864-1'!K22)</f>
        <v>0</v>
      </c>
      <c r="I25" s="1900">
        <f t="shared" si="4"/>
        <v>0</v>
      </c>
      <c r="J25" s="2082" t="s">
        <v>647</v>
      </c>
      <c r="K25" s="1908">
        <f t="shared" si="1"/>
        <v>10</v>
      </c>
      <c r="L25" s="1920"/>
    </row>
    <row r="26" spans="1:12" x14ac:dyDescent="0.35">
      <c r="A26" s="1908">
        <f t="shared" si="0"/>
        <v>11</v>
      </c>
      <c r="B26" s="1968"/>
      <c r="C26" s="1992"/>
      <c r="D26" s="1922"/>
      <c r="E26" s="1922"/>
      <c r="F26" s="1922"/>
      <c r="G26" s="1922"/>
      <c r="H26" s="1922"/>
      <c r="I26" s="1922"/>
      <c r="J26" s="1967"/>
      <c r="K26" s="1908">
        <f t="shared" si="1"/>
        <v>11</v>
      </c>
      <c r="L26" s="1992"/>
    </row>
    <row r="27" spans="1:12" ht="15" thickBot="1" x14ac:dyDescent="0.4">
      <c r="A27" s="1908">
        <f t="shared" si="0"/>
        <v>12</v>
      </c>
      <c r="B27" s="1968" t="s">
        <v>1544</v>
      </c>
      <c r="C27" s="1925"/>
      <c r="D27" s="1923">
        <f>SUM(D17:D25)</f>
        <v>0</v>
      </c>
      <c r="E27" s="1923">
        <f t="shared" ref="E27:I27" si="5">SUM(E17:E25)</f>
        <v>0</v>
      </c>
      <c r="F27" s="1923">
        <f t="shared" si="5"/>
        <v>0</v>
      </c>
      <c r="G27" s="1923">
        <f t="shared" si="5"/>
        <v>0</v>
      </c>
      <c r="H27" s="1923">
        <f t="shared" si="5"/>
        <v>0</v>
      </c>
      <c r="I27" s="1923">
        <f t="shared" si="5"/>
        <v>0</v>
      </c>
      <c r="J27" s="2025" t="s">
        <v>1533</v>
      </c>
      <c r="K27" s="1908">
        <f t="shared" si="1"/>
        <v>12</v>
      </c>
      <c r="L27" s="1992"/>
    </row>
    <row r="28" spans="1:12" ht="15" thickTop="1" x14ac:dyDescent="0.35">
      <c r="A28" s="1908">
        <f t="shared" si="0"/>
        <v>13</v>
      </c>
      <c r="B28" s="1993"/>
      <c r="C28" s="1994"/>
      <c r="D28" s="1924"/>
      <c r="E28" s="1924"/>
      <c r="F28" s="1924"/>
      <c r="G28" s="1924"/>
      <c r="H28" s="1924"/>
      <c r="I28" s="1924"/>
      <c r="J28" s="1967"/>
      <c r="K28" s="1908">
        <f t="shared" si="1"/>
        <v>13</v>
      </c>
      <c r="L28" s="1992"/>
    </row>
    <row r="29" spans="1:12" x14ac:dyDescent="0.35">
      <c r="A29" s="1908">
        <f t="shared" si="0"/>
        <v>14</v>
      </c>
      <c r="B29" s="2065" t="s">
        <v>1545</v>
      </c>
      <c r="C29" s="1976"/>
      <c r="D29" s="1925"/>
      <c r="E29" s="1925"/>
      <c r="F29" s="1925"/>
      <c r="G29" s="1925"/>
      <c r="H29" s="1925"/>
      <c r="I29" s="1925"/>
      <c r="J29" s="1967"/>
      <c r="K29" s="1908">
        <f t="shared" si="1"/>
        <v>14</v>
      </c>
      <c r="L29" s="1966"/>
    </row>
    <row r="30" spans="1:12" x14ac:dyDescent="0.35">
      <c r="A30" s="1908">
        <f t="shared" si="0"/>
        <v>15</v>
      </c>
      <c r="B30" s="2065" t="s">
        <v>849</v>
      </c>
      <c r="C30" s="1966">
        <v>190</v>
      </c>
      <c r="D30" s="1930"/>
      <c r="E30" s="1930"/>
      <c r="F30" s="1925">
        <f>+D30*$I$9</f>
        <v>0</v>
      </c>
      <c r="G30" s="1925">
        <f>+E30-F30</f>
        <v>0</v>
      </c>
      <c r="H30" s="1925">
        <f>IF(+$I$8="No",0,'Order 864-1'!K27)</f>
        <v>0</v>
      </c>
      <c r="I30" s="1925">
        <f>+G30-H30</f>
        <v>0</v>
      </c>
      <c r="J30" s="2025" t="s">
        <v>647</v>
      </c>
      <c r="K30" s="1908">
        <f t="shared" si="1"/>
        <v>15</v>
      </c>
      <c r="L30" s="1966"/>
    </row>
    <row r="31" spans="1:12" x14ac:dyDescent="0.35">
      <c r="A31" s="1908">
        <f t="shared" si="0"/>
        <v>16</v>
      </c>
      <c r="B31" s="2065" t="s">
        <v>1524</v>
      </c>
      <c r="C31" s="2066"/>
      <c r="D31" s="1930"/>
      <c r="E31" s="1930"/>
      <c r="F31" s="1925"/>
      <c r="G31" s="1925"/>
      <c r="H31" s="1925"/>
      <c r="I31" s="1925"/>
      <c r="J31" s="2025"/>
      <c r="K31" s="1908">
        <f t="shared" si="1"/>
        <v>16</v>
      </c>
      <c r="L31" s="1966"/>
    </row>
    <row r="32" spans="1:12" x14ac:dyDescent="0.35">
      <c r="A32" s="1908">
        <f t="shared" si="0"/>
        <v>17</v>
      </c>
      <c r="B32" s="2065" t="s">
        <v>1525</v>
      </c>
      <c r="C32" s="2066">
        <v>282</v>
      </c>
      <c r="D32" s="1930"/>
      <c r="E32" s="1930"/>
      <c r="F32" s="1925">
        <f t="shared" ref="F32:F34" si="6">+D32*$I$9</f>
        <v>0</v>
      </c>
      <c r="G32" s="1925">
        <f t="shared" ref="G32:G34" si="7">+E32-F32</f>
        <v>0</v>
      </c>
      <c r="H32" s="1925">
        <f>IF(+$I$8="No",0,'Order 864-1'!K29)</f>
        <v>0</v>
      </c>
      <c r="I32" s="1925">
        <f t="shared" ref="I32:I34" si="8">+G32-H32</f>
        <v>0</v>
      </c>
      <c r="J32" s="2025" t="s">
        <v>647</v>
      </c>
      <c r="K32" s="1908">
        <f t="shared" si="1"/>
        <v>17</v>
      </c>
      <c r="L32" s="1966"/>
    </row>
    <row r="33" spans="1:12" x14ac:dyDescent="0.35">
      <c r="A33" s="1908">
        <f t="shared" si="0"/>
        <v>18</v>
      </c>
      <c r="B33" s="2065" t="s">
        <v>1526</v>
      </c>
      <c r="C33" s="2066">
        <v>282</v>
      </c>
      <c r="D33" s="1930"/>
      <c r="E33" s="1930"/>
      <c r="F33" s="1925">
        <f t="shared" si="6"/>
        <v>0</v>
      </c>
      <c r="G33" s="1925">
        <f t="shared" si="7"/>
        <v>0</v>
      </c>
      <c r="H33" s="1925">
        <f>IF(+$I$8="No",0,'Order 864-1'!K30)</f>
        <v>0</v>
      </c>
      <c r="I33" s="1925">
        <f t="shared" si="8"/>
        <v>0</v>
      </c>
      <c r="J33" s="2025" t="s">
        <v>647</v>
      </c>
      <c r="K33" s="1908">
        <f t="shared" si="1"/>
        <v>18</v>
      </c>
      <c r="L33" s="1966"/>
    </row>
    <row r="34" spans="1:12" x14ac:dyDescent="0.35">
      <c r="A34" s="1908">
        <f t="shared" si="0"/>
        <v>19</v>
      </c>
      <c r="B34" s="2065" t="s">
        <v>1527</v>
      </c>
      <c r="C34" s="2066">
        <v>282</v>
      </c>
      <c r="D34" s="1930"/>
      <c r="E34" s="1930"/>
      <c r="F34" s="1925">
        <f t="shared" si="6"/>
        <v>0</v>
      </c>
      <c r="G34" s="1925">
        <f t="shared" si="7"/>
        <v>0</v>
      </c>
      <c r="H34" s="1925">
        <f>IF(+$I$8="No",0,'Order 864-1'!K31)</f>
        <v>0</v>
      </c>
      <c r="I34" s="1925">
        <f t="shared" si="8"/>
        <v>0</v>
      </c>
      <c r="J34" s="2025" t="s">
        <v>647</v>
      </c>
      <c r="K34" s="1908">
        <f t="shared" si="1"/>
        <v>19</v>
      </c>
      <c r="L34" s="1966"/>
    </row>
    <row r="35" spans="1:12" x14ac:dyDescent="0.35">
      <c r="A35" s="1908">
        <f t="shared" si="0"/>
        <v>20</v>
      </c>
      <c r="B35" s="1968" t="s">
        <v>1447</v>
      </c>
      <c r="C35" s="1969"/>
      <c r="D35" s="1934">
        <f>SUM(D30:D34)</f>
        <v>0</v>
      </c>
      <c r="E35" s="1934">
        <f t="shared" ref="E35:I35" si="9">SUM(E30:E34)</f>
        <v>0</v>
      </c>
      <c r="F35" s="1934">
        <f t="shared" si="9"/>
        <v>0</v>
      </c>
      <c r="G35" s="1934">
        <f t="shared" si="9"/>
        <v>0</v>
      </c>
      <c r="H35" s="1934">
        <f t="shared" si="9"/>
        <v>0</v>
      </c>
      <c r="I35" s="1934">
        <f t="shared" si="9"/>
        <v>0</v>
      </c>
      <c r="J35" s="2025" t="s">
        <v>1534</v>
      </c>
      <c r="K35" s="1908">
        <f t="shared" si="1"/>
        <v>20</v>
      </c>
      <c r="L35" s="1966"/>
    </row>
    <row r="36" spans="1:12" x14ac:dyDescent="0.35">
      <c r="A36" s="1908">
        <f t="shared" si="0"/>
        <v>21</v>
      </c>
      <c r="B36" s="2065"/>
      <c r="C36" s="1969"/>
      <c r="D36" s="1925"/>
      <c r="E36" s="1925"/>
      <c r="F36" s="1925"/>
      <c r="G36" s="1925"/>
      <c r="H36" s="1925"/>
      <c r="I36" s="1925"/>
      <c r="J36" s="1967"/>
      <c r="K36" s="1908">
        <f t="shared" si="1"/>
        <v>21</v>
      </c>
      <c r="L36" s="1966"/>
    </row>
    <row r="37" spans="1:12" x14ac:dyDescent="0.35">
      <c r="A37" s="1908">
        <f t="shared" si="0"/>
        <v>22</v>
      </c>
      <c r="B37" s="2065" t="s">
        <v>1546</v>
      </c>
      <c r="C37" s="1978"/>
      <c r="D37" s="1925"/>
      <c r="E37" s="1925"/>
      <c r="F37" s="1925"/>
      <c r="G37" s="1925"/>
      <c r="H37" s="1925"/>
      <c r="I37" s="1925"/>
      <c r="J37" s="1967"/>
      <c r="K37" s="1908">
        <f t="shared" si="1"/>
        <v>22</v>
      </c>
      <c r="L37" s="1966"/>
    </row>
    <row r="38" spans="1:12" x14ac:dyDescent="0.35">
      <c r="A38" s="1908">
        <f t="shared" si="0"/>
        <v>23</v>
      </c>
      <c r="B38" s="2065" t="s">
        <v>1448</v>
      </c>
      <c r="C38" s="1966">
        <v>282</v>
      </c>
      <c r="D38" s="1930"/>
      <c r="E38" s="1930"/>
      <c r="F38" s="1925">
        <f t="shared" ref="F38:F40" si="10">+D38*$I$9</f>
        <v>0</v>
      </c>
      <c r="G38" s="1925">
        <f t="shared" ref="G38:G40" si="11">+E38-F38</f>
        <v>0</v>
      </c>
      <c r="H38" s="1925">
        <f>IF(+$I$8="No",0,'Order 864-1'!K35)</f>
        <v>0</v>
      </c>
      <c r="I38" s="1925">
        <f t="shared" ref="I38:I40" si="12">+G38-H38</f>
        <v>0</v>
      </c>
      <c r="J38" s="2025" t="s">
        <v>647</v>
      </c>
      <c r="K38" s="1908">
        <f t="shared" si="1"/>
        <v>23</v>
      </c>
      <c r="L38" s="1966"/>
    </row>
    <row r="39" spans="1:12" x14ac:dyDescent="0.35">
      <c r="A39" s="1908">
        <f t="shared" si="0"/>
        <v>24</v>
      </c>
      <c r="B39" s="2065" t="s">
        <v>1449</v>
      </c>
      <c r="C39" s="1966">
        <v>282</v>
      </c>
      <c r="D39" s="1930"/>
      <c r="E39" s="1930"/>
      <c r="F39" s="1925">
        <f t="shared" si="10"/>
        <v>0</v>
      </c>
      <c r="G39" s="1925">
        <f t="shared" si="11"/>
        <v>0</v>
      </c>
      <c r="H39" s="1925">
        <f>IF(+$I$8="No",0,'Order 864-1'!K36)</f>
        <v>0</v>
      </c>
      <c r="I39" s="1925">
        <f t="shared" si="12"/>
        <v>0</v>
      </c>
      <c r="J39" s="2025" t="s">
        <v>647</v>
      </c>
      <c r="K39" s="1908">
        <f t="shared" si="1"/>
        <v>24</v>
      </c>
      <c r="L39" s="1966"/>
    </row>
    <row r="40" spans="1:12" x14ac:dyDescent="0.35">
      <c r="A40" s="1908">
        <f t="shared" si="0"/>
        <v>25</v>
      </c>
      <c r="B40" s="2065" t="s">
        <v>1450</v>
      </c>
      <c r="C40" s="1979">
        <v>282</v>
      </c>
      <c r="D40" s="1930"/>
      <c r="E40" s="1930"/>
      <c r="F40" s="1925">
        <f t="shared" si="10"/>
        <v>0</v>
      </c>
      <c r="G40" s="1925">
        <f t="shared" si="11"/>
        <v>0</v>
      </c>
      <c r="H40" s="1925">
        <f>IF(+$I$8="No",0,'Order 864-1'!K37)</f>
        <v>0</v>
      </c>
      <c r="I40" s="1925">
        <f t="shared" si="12"/>
        <v>0</v>
      </c>
      <c r="J40" s="2025" t="s">
        <v>647</v>
      </c>
      <c r="K40" s="1908">
        <f t="shared" si="1"/>
        <v>25</v>
      </c>
      <c r="L40" s="1966"/>
    </row>
    <row r="41" spans="1:12" x14ac:dyDescent="0.35">
      <c r="A41" s="1908">
        <f t="shared" si="0"/>
        <v>26</v>
      </c>
      <c r="B41" s="1968" t="s">
        <v>1447</v>
      </c>
      <c r="C41" s="1969"/>
      <c r="D41" s="1934">
        <f t="shared" ref="D41:I41" si="13">SUM(D38:D40)</f>
        <v>0</v>
      </c>
      <c r="E41" s="1934">
        <f t="shared" si="13"/>
        <v>0</v>
      </c>
      <c r="F41" s="1934">
        <f t="shared" si="13"/>
        <v>0</v>
      </c>
      <c r="G41" s="1934">
        <f t="shared" si="13"/>
        <v>0</v>
      </c>
      <c r="H41" s="1934">
        <f t="shared" si="13"/>
        <v>0</v>
      </c>
      <c r="I41" s="1934">
        <f t="shared" si="13"/>
        <v>0</v>
      </c>
      <c r="J41" s="2025" t="s">
        <v>1535</v>
      </c>
      <c r="K41" s="1908">
        <f t="shared" si="1"/>
        <v>26</v>
      </c>
      <c r="L41" s="1966"/>
    </row>
    <row r="42" spans="1:12" x14ac:dyDescent="0.35">
      <c r="A42" s="1908">
        <f t="shared" si="0"/>
        <v>27</v>
      </c>
      <c r="B42" s="2065"/>
      <c r="C42" s="1969"/>
      <c r="D42" s="1982"/>
      <c r="E42" s="1995"/>
      <c r="F42" s="1982"/>
      <c r="G42" s="1982"/>
      <c r="H42" s="1982"/>
      <c r="I42" s="1982"/>
      <c r="J42" s="1967"/>
      <c r="K42" s="1908">
        <f t="shared" si="1"/>
        <v>27</v>
      </c>
      <c r="L42" s="1966"/>
    </row>
    <row r="43" spans="1:12" x14ac:dyDescent="0.35">
      <c r="A43" s="1908">
        <f t="shared" si="0"/>
        <v>28</v>
      </c>
      <c r="B43" s="2065" t="s">
        <v>1546</v>
      </c>
      <c r="C43" s="1969"/>
      <c r="D43" s="1996"/>
      <c r="E43" s="1997"/>
      <c r="F43" s="1996"/>
      <c r="G43" s="1996"/>
      <c r="H43" s="1996"/>
      <c r="I43" s="1996"/>
      <c r="J43" s="1967"/>
      <c r="K43" s="1908">
        <f t="shared" si="1"/>
        <v>28</v>
      </c>
      <c r="L43" s="1966"/>
    </row>
    <row r="44" spans="1:12" x14ac:dyDescent="0.35">
      <c r="A44" s="1908">
        <f t="shared" si="0"/>
        <v>29</v>
      </c>
      <c r="B44" s="2065" t="s">
        <v>1491</v>
      </c>
      <c r="C44" s="1979">
        <v>282</v>
      </c>
      <c r="D44" s="1998"/>
      <c r="E44" s="1998"/>
      <c r="F44" s="1999">
        <f>+D44*$I$9</f>
        <v>0</v>
      </c>
      <c r="G44" s="1999">
        <f>+E44-F44</f>
        <v>0</v>
      </c>
      <c r="H44" s="1999">
        <f>IF(+$I$8="No",0,'Order 864-1'!K41)</f>
        <v>0</v>
      </c>
      <c r="I44" s="1999">
        <f>+G44-H44</f>
        <v>0</v>
      </c>
      <c r="J44" s="2025" t="s">
        <v>647</v>
      </c>
      <c r="K44" s="1908">
        <f t="shared" si="1"/>
        <v>29</v>
      </c>
      <c r="L44" s="1966"/>
    </row>
    <row r="45" spans="1:12" x14ac:dyDescent="0.35">
      <c r="A45" s="1908">
        <f t="shared" si="0"/>
        <v>30</v>
      </c>
      <c r="B45" s="2065"/>
      <c r="C45" s="1969"/>
      <c r="D45" s="1982"/>
      <c r="E45" s="1982"/>
      <c r="F45" s="1982"/>
      <c r="G45" s="1982"/>
      <c r="H45" s="1982"/>
      <c r="I45" s="1982"/>
      <c r="J45" s="1967"/>
      <c r="K45" s="1908">
        <f t="shared" si="1"/>
        <v>30</v>
      </c>
      <c r="L45" s="1966"/>
    </row>
    <row r="46" spans="1:12" ht="15" thickBot="1" x14ac:dyDescent="0.4">
      <c r="A46" s="1908">
        <f t="shared" si="0"/>
        <v>31</v>
      </c>
      <c r="B46" s="1968" t="s">
        <v>1548</v>
      </c>
      <c r="C46" s="1969"/>
      <c r="D46" s="1923">
        <f t="shared" ref="D46:I46" si="14">+D44+D41+D35</f>
        <v>0</v>
      </c>
      <c r="E46" s="1923">
        <f t="shared" si="14"/>
        <v>0</v>
      </c>
      <c r="F46" s="1923">
        <f t="shared" si="14"/>
        <v>0</v>
      </c>
      <c r="G46" s="1923">
        <f t="shared" si="14"/>
        <v>0</v>
      </c>
      <c r="H46" s="1923">
        <f t="shared" si="14"/>
        <v>0</v>
      </c>
      <c r="I46" s="1923">
        <f t="shared" si="14"/>
        <v>0</v>
      </c>
      <c r="J46" s="2073" t="s">
        <v>1536</v>
      </c>
      <c r="K46" s="1908">
        <f t="shared" si="1"/>
        <v>31</v>
      </c>
      <c r="L46" s="1966"/>
    </row>
    <row r="47" spans="1:12" ht="15" thickTop="1" x14ac:dyDescent="0.35">
      <c r="A47" s="1908">
        <f t="shared" si="0"/>
        <v>32</v>
      </c>
      <c r="B47" s="2065"/>
      <c r="C47" s="1969"/>
      <c r="D47" s="2000"/>
      <c r="E47" s="2000"/>
      <c r="F47" s="2000"/>
      <c r="G47" s="2000"/>
      <c r="H47" s="2000"/>
      <c r="I47" s="2000"/>
      <c r="J47" s="1967"/>
      <c r="K47" s="1908">
        <f t="shared" si="1"/>
        <v>32</v>
      </c>
      <c r="L47" s="1966"/>
    </row>
    <row r="48" spans="1:12" ht="15" thickBot="1" x14ac:dyDescent="0.4">
      <c r="A48" s="1908">
        <f t="shared" si="0"/>
        <v>33</v>
      </c>
      <c r="B48" s="1968" t="s">
        <v>1549</v>
      </c>
      <c r="C48" s="1925"/>
      <c r="D48" s="1923">
        <f t="shared" ref="D48:I48" si="15">D46+D27</f>
        <v>0</v>
      </c>
      <c r="E48" s="1923">
        <f t="shared" si="15"/>
        <v>0</v>
      </c>
      <c r="F48" s="1923">
        <f t="shared" si="15"/>
        <v>0</v>
      </c>
      <c r="G48" s="1923">
        <f t="shared" si="15"/>
        <v>0</v>
      </c>
      <c r="H48" s="1923">
        <f t="shared" si="15"/>
        <v>0</v>
      </c>
      <c r="I48" s="1923">
        <f t="shared" si="15"/>
        <v>0</v>
      </c>
      <c r="J48" s="2025" t="s">
        <v>1537</v>
      </c>
      <c r="K48" s="1908">
        <f t="shared" si="1"/>
        <v>33</v>
      </c>
      <c r="L48" s="1966"/>
    </row>
    <row r="49" spans="1:12" ht="15" thickTop="1" x14ac:dyDescent="0.35">
      <c r="A49" s="1966"/>
      <c r="B49" s="1925"/>
      <c r="C49" s="1925"/>
      <c r="D49" s="1925"/>
      <c r="E49" s="1925"/>
      <c r="F49" s="1925"/>
      <c r="G49" s="1925"/>
      <c r="H49" s="1925"/>
      <c r="I49" s="1925"/>
      <c r="J49" s="1967"/>
      <c r="K49" s="1925"/>
      <c r="L49" s="1925"/>
    </row>
    <row r="50" spans="1:12" x14ac:dyDescent="0.35">
      <c r="A50" s="1966"/>
      <c r="B50" s="1912" t="s">
        <v>1460</v>
      </c>
      <c r="C50" s="1925"/>
      <c r="D50" s="1925"/>
      <c r="E50" s="1925"/>
      <c r="F50" s="1925"/>
      <c r="G50" s="1925"/>
      <c r="H50" s="1925"/>
      <c r="I50" s="1925"/>
      <c r="J50" s="1967"/>
      <c r="K50" s="1925"/>
      <c r="L50" s="1925"/>
    </row>
    <row r="51" spans="1:12" ht="15.5" x14ac:dyDescent="0.45">
      <c r="A51" s="1966"/>
      <c r="B51" s="1989" t="s">
        <v>1514</v>
      </c>
      <c r="C51" s="1925"/>
      <c r="D51" s="1925"/>
      <c r="E51" s="1925"/>
      <c r="F51" s="1925"/>
      <c r="G51" s="1925"/>
      <c r="H51" s="1925"/>
      <c r="I51" s="1925"/>
      <c r="J51" s="1967"/>
      <c r="K51" s="1925"/>
      <c r="L51" s="1925"/>
    </row>
    <row r="52" spans="1:12" x14ac:dyDescent="0.35">
      <c r="A52" s="1966"/>
      <c r="B52" s="1989" t="s">
        <v>1821</v>
      </c>
      <c r="C52" s="1925"/>
      <c r="D52" s="1925"/>
      <c r="E52" s="1925"/>
      <c r="F52" s="1925"/>
      <c r="G52" s="1925"/>
      <c r="H52" s="1925"/>
      <c r="I52" s="1925"/>
      <c r="J52" s="1967"/>
      <c r="K52" s="1925"/>
      <c r="L52" s="1925"/>
    </row>
    <row r="53" spans="1:12" x14ac:dyDescent="0.35">
      <c r="A53" s="1966"/>
      <c r="B53" s="1912" t="s">
        <v>1451</v>
      </c>
      <c r="C53" s="1986"/>
      <c r="D53" s="1925"/>
      <c r="E53" s="1925"/>
      <c r="F53" s="1925"/>
      <c r="G53" s="1925"/>
      <c r="H53" s="1925"/>
      <c r="I53" s="1925"/>
      <c r="J53" s="1925"/>
      <c r="K53" s="1925"/>
      <c r="L53" s="1925"/>
    </row>
    <row r="54" spans="1:12" x14ac:dyDescent="0.35">
      <c r="A54" s="1966"/>
      <c r="B54" s="2102" t="s">
        <v>1571</v>
      </c>
      <c r="C54" s="1987"/>
      <c r="D54" s="1987"/>
      <c r="E54" s="1987"/>
      <c r="F54" s="2065"/>
      <c r="G54" s="2065"/>
      <c r="H54" s="2065"/>
      <c r="I54" s="2065"/>
      <c r="J54" s="2065"/>
      <c r="K54" s="2065"/>
      <c r="L54" s="2065"/>
    </row>
    <row r="55" spans="1:12" x14ac:dyDescent="0.35">
      <c r="A55" s="1987"/>
      <c r="B55" s="2102" t="s">
        <v>1576</v>
      </c>
      <c r="C55" s="1987"/>
      <c r="D55" s="1987"/>
      <c r="E55" s="1987"/>
      <c r="F55" s="1987"/>
      <c r="G55" s="1987"/>
      <c r="H55" s="1987"/>
      <c r="I55" s="1987"/>
      <c r="J55" s="2065"/>
      <c r="K55" s="2065"/>
      <c r="L55" s="2065"/>
    </row>
    <row r="56" spans="1:12" x14ac:dyDescent="0.35">
      <c r="A56" s="1987"/>
      <c r="B56" s="2102" t="s">
        <v>1577</v>
      </c>
      <c r="C56" s="1988"/>
      <c r="D56" s="1988"/>
      <c r="E56" s="1988"/>
      <c r="F56" s="1988"/>
      <c r="G56" s="1988"/>
      <c r="H56" s="1988"/>
      <c r="I56" s="1988"/>
      <c r="J56" s="1967"/>
      <c r="K56" s="2065"/>
      <c r="L56" s="2065"/>
    </row>
    <row r="57" spans="1:12" x14ac:dyDescent="0.35">
      <c r="A57" s="1987"/>
      <c r="B57" s="2102" t="s">
        <v>1547</v>
      </c>
      <c r="C57" s="1988"/>
      <c r="D57" s="1988"/>
      <c r="E57" s="1988"/>
      <c r="F57" s="1988"/>
      <c r="G57" s="1988"/>
      <c r="H57" s="1988"/>
      <c r="I57" s="1988"/>
      <c r="J57" s="1967"/>
      <c r="K57" s="2065"/>
      <c r="L57" s="2065"/>
    </row>
    <row r="58" spans="1:12" x14ac:dyDescent="0.35">
      <c r="A58" s="1987"/>
      <c r="B58" s="2103" t="s">
        <v>1585</v>
      </c>
      <c r="C58" s="1987"/>
      <c r="D58" s="1987"/>
      <c r="E58" s="1987"/>
      <c r="F58" s="1987"/>
      <c r="G58" s="1987"/>
      <c r="H58" s="1987"/>
      <c r="I58" s="1987"/>
      <c r="J58" s="2065"/>
      <c r="K58" s="2065"/>
      <c r="L58" s="2065"/>
    </row>
    <row r="59" spans="1:12" x14ac:dyDescent="0.35">
      <c r="A59" s="2001"/>
      <c r="B59" s="2102" t="s">
        <v>1572</v>
      </c>
      <c r="C59" s="2074"/>
      <c r="D59" s="2074"/>
      <c r="E59" s="2074"/>
      <c r="F59" s="2074"/>
      <c r="G59" s="2074"/>
      <c r="H59" s="2074"/>
      <c r="I59" s="2074"/>
      <c r="J59" s="1967"/>
      <c r="K59" s="2065"/>
      <c r="L59" s="2065"/>
    </row>
    <row r="60" spans="1:12" x14ac:dyDescent="0.35">
      <c r="A60" s="1966"/>
      <c r="B60" s="2102" t="s">
        <v>1573</v>
      </c>
      <c r="C60" s="1967"/>
      <c r="D60" s="1967"/>
      <c r="E60" s="1967"/>
      <c r="F60" s="1967"/>
      <c r="G60" s="2039"/>
      <c r="H60" s="2039"/>
      <c r="I60" s="2039"/>
      <c r="J60" s="2044"/>
      <c r="K60" s="2003"/>
      <c r="L60" s="2003"/>
    </row>
    <row r="61" spans="1:12" x14ac:dyDescent="0.35">
      <c r="A61" s="1966"/>
      <c r="B61" s="2102" t="s">
        <v>1578</v>
      </c>
      <c r="C61" s="1967"/>
      <c r="D61" s="1967"/>
      <c r="E61" s="1967"/>
      <c r="F61" s="1967"/>
      <c r="G61" s="2039"/>
      <c r="H61" s="2039"/>
      <c r="I61" s="2039"/>
      <c r="J61" s="2044"/>
      <c r="K61" s="2003"/>
      <c r="L61" s="2003"/>
    </row>
    <row r="62" spans="1:12" x14ac:dyDescent="0.35">
      <c r="A62" s="1966"/>
      <c r="B62" s="2102" t="s">
        <v>1574</v>
      </c>
      <c r="C62" s="2093"/>
      <c r="D62" s="2037"/>
      <c r="E62" s="1967"/>
      <c r="F62" s="1967"/>
      <c r="G62" s="2039"/>
      <c r="H62" s="2039"/>
      <c r="I62" s="2039"/>
      <c r="J62" s="2044"/>
      <c r="K62" s="2003"/>
      <c r="L62" s="2003"/>
    </row>
    <row r="63" spans="1:12" x14ac:dyDescent="0.35">
      <c r="A63" s="1908"/>
      <c r="B63" s="1989"/>
      <c r="C63" s="2065"/>
      <c r="D63" s="2065"/>
      <c r="E63" s="2065"/>
      <c r="F63" s="2065"/>
      <c r="G63" s="2002"/>
      <c r="H63" s="2002"/>
      <c r="I63" s="2002"/>
      <c r="J63" s="2003"/>
      <c r="K63" s="2003"/>
      <c r="L63" s="2003"/>
    </row>
    <row r="64" spans="1:12" x14ac:dyDescent="0.35">
      <c r="A64" s="1908"/>
      <c r="B64" s="1910"/>
      <c r="C64" s="1914"/>
      <c r="D64" s="1902"/>
      <c r="E64" s="1900"/>
      <c r="F64" s="1900"/>
      <c r="J64" s="1921"/>
      <c r="K64" s="1921"/>
      <c r="L64" s="1921"/>
    </row>
    <row r="65" spans="1:12" x14ac:dyDescent="0.35">
      <c r="A65" s="1908"/>
      <c r="B65" s="1910"/>
      <c r="C65" s="1914"/>
      <c r="D65" s="1915"/>
      <c r="E65" s="1900"/>
      <c r="F65" s="1900"/>
      <c r="J65" s="1921"/>
      <c r="K65" s="1921"/>
      <c r="L65" s="1921"/>
    </row>
    <row r="66" spans="1:12" x14ac:dyDescent="0.35">
      <c r="A66" s="1908"/>
      <c r="B66" s="1913"/>
      <c r="C66" s="1910"/>
      <c r="D66" s="1910"/>
      <c r="E66" s="1910"/>
      <c r="F66" s="1910"/>
      <c r="J66" s="1921"/>
      <c r="K66" s="1921"/>
      <c r="L66" s="1921"/>
    </row>
    <row r="67" spans="1:12" x14ac:dyDescent="0.35">
      <c r="A67" s="1910"/>
      <c r="B67" s="1910"/>
      <c r="C67" s="1914"/>
      <c r="D67" s="1902"/>
      <c r="E67" s="1910"/>
      <c r="F67" s="1910"/>
      <c r="J67" s="1921"/>
      <c r="K67" s="1921"/>
      <c r="L67" s="1921"/>
    </row>
    <row r="68" spans="1:12" x14ac:dyDescent="0.35">
      <c r="A68" s="1910"/>
      <c r="B68" s="1910"/>
      <c r="C68" s="1914"/>
      <c r="D68" s="1915"/>
      <c r="E68" s="1910"/>
      <c r="F68" s="1910"/>
      <c r="J68" s="1921"/>
      <c r="K68" s="1921"/>
      <c r="L68" s="1921"/>
    </row>
    <row r="69" spans="1:12" x14ac:dyDescent="0.35">
      <c r="A69" s="1910"/>
      <c r="B69" s="1913"/>
      <c r="C69" s="1910"/>
      <c r="D69" s="1910"/>
      <c r="E69" s="1910"/>
      <c r="F69" s="1910"/>
      <c r="J69" s="1921"/>
      <c r="K69" s="1921"/>
      <c r="L69" s="1921"/>
    </row>
    <row r="70" spans="1:12" x14ac:dyDescent="0.35">
      <c r="J70" s="1921"/>
      <c r="K70" s="1921"/>
      <c r="L70" s="1921"/>
    </row>
    <row r="71" spans="1:12" x14ac:dyDescent="0.35">
      <c r="J71" s="1921"/>
      <c r="K71" s="1921"/>
      <c r="L71" s="1921"/>
    </row>
    <row r="72" spans="1:12" x14ac:dyDescent="0.35">
      <c r="J72" s="1921"/>
      <c r="K72" s="1921"/>
      <c r="L72" s="1921"/>
    </row>
    <row r="73" spans="1:12" x14ac:dyDescent="0.35">
      <c r="J73" s="1921"/>
      <c r="K73" s="1921"/>
      <c r="L73" s="1921"/>
    </row>
    <row r="74" spans="1:12" x14ac:dyDescent="0.35">
      <c r="J74" s="1921"/>
      <c r="K74" s="1921"/>
      <c r="L74" s="1921"/>
    </row>
    <row r="75" spans="1:12" x14ac:dyDescent="0.35">
      <c r="J75" s="1921"/>
      <c r="K75" s="1921"/>
      <c r="L75" s="1921"/>
    </row>
    <row r="76" spans="1:12" x14ac:dyDescent="0.35">
      <c r="J76" s="1921"/>
      <c r="K76" s="1921"/>
      <c r="L76" s="1921"/>
    </row>
    <row r="77" spans="1:12" x14ac:dyDescent="0.35">
      <c r="J77" s="1921"/>
      <c r="K77" s="1921"/>
      <c r="L77" s="1921"/>
    </row>
    <row r="78" spans="1:12" x14ac:dyDescent="0.35">
      <c r="J78" s="1921"/>
      <c r="K78" s="1921"/>
      <c r="L78" s="1921"/>
    </row>
    <row r="79" spans="1:12" x14ac:dyDescent="0.35">
      <c r="J79" s="1921"/>
      <c r="K79" s="1921"/>
      <c r="L79" s="1921"/>
    </row>
    <row r="80" spans="1:12" x14ac:dyDescent="0.35">
      <c r="J80" s="1921"/>
      <c r="K80" s="1921"/>
      <c r="L80" s="1921"/>
    </row>
    <row r="81" spans="10:12" x14ac:dyDescent="0.35">
      <c r="J81" s="1921"/>
      <c r="K81" s="1921"/>
      <c r="L81" s="1921"/>
    </row>
    <row r="82" spans="10:12" x14ac:dyDescent="0.35">
      <c r="J82" s="1921"/>
      <c r="K82" s="1921"/>
      <c r="L82" s="1921"/>
    </row>
    <row r="83" spans="10:12" x14ac:dyDescent="0.35">
      <c r="J83" s="1921"/>
      <c r="K83" s="1921"/>
      <c r="L83" s="1921"/>
    </row>
    <row r="84" spans="10:12" x14ac:dyDescent="0.35">
      <c r="J84" s="1921"/>
      <c r="K84" s="1921"/>
      <c r="L84" s="1921"/>
    </row>
    <row r="85" spans="10:12" x14ac:dyDescent="0.35">
      <c r="J85" s="1921"/>
      <c r="K85" s="1921"/>
      <c r="L85" s="1921"/>
    </row>
    <row r="86" spans="10:12" x14ac:dyDescent="0.35">
      <c r="J86" s="1921"/>
      <c r="K86" s="1921"/>
      <c r="L86" s="1921"/>
    </row>
    <row r="87" spans="10:12" x14ac:dyDescent="0.35">
      <c r="J87" s="1921"/>
      <c r="K87" s="1921"/>
      <c r="L87" s="1921"/>
    </row>
    <row r="88" spans="10:12" x14ac:dyDescent="0.35">
      <c r="J88" s="1921"/>
      <c r="K88" s="1921"/>
      <c r="L88" s="1921"/>
    </row>
    <row r="89" spans="10:12" x14ac:dyDescent="0.35">
      <c r="J89" s="1921"/>
      <c r="K89" s="1921"/>
      <c r="L89" s="1921"/>
    </row>
    <row r="90" spans="10:12" x14ac:dyDescent="0.35">
      <c r="J90" s="1921"/>
      <c r="K90" s="1921"/>
      <c r="L90" s="1921"/>
    </row>
    <row r="91" spans="10:12" x14ac:dyDescent="0.35">
      <c r="J91" s="1921"/>
      <c r="K91" s="1921"/>
      <c r="L91" s="1921"/>
    </row>
    <row r="92" spans="10:12" x14ac:dyDescent="0.35">
      <c r="J92" s="1921"/>
      <c r="K92" s="1921"/>
      <c r="L92" s="1921"/>
    </row>
    <row r="93" spans="10:12" x14ac:dyDescent="0.35">
      <c r="J93" s="1921"/>
      <c r="K93" s="1921"/>
      <c r="L93" s="1921"/>
    </row>
    <row r="94" spans="10:12" x14ac:dyDescent="0.35">
      <c r="J94" s="1921"/>
      <c r="K94" s="1921"/>
      <c r="L94" s="1921"/>
    </row>
    <row r="95" spans="10:12" x14ac:dyDescent="0.35">
      <c r="J95" s="1921"/>
      <c r="K95" s="1921"/>
      <c r="L95" s="1921"/>
    </row>
    <row r="96" spans="10:12" x14ac:dyDescent="0.35">
      <c r="J96" s="1921"/>
      <c r="K96" s="1921"/>
      <c r="L96" s="1921"/>
    </row>
    <row r="97" spans="10:12" x14ac:dyDescent="0.35">
      <c r="J97" s="1921"/>
      <c r="K97" s="1921"/>
      <c r="L97" s="1921"/>
    </row>
    <row r="98" spans="10:12" x14ac:dyDescent="0.35">
      <c r="J98" s="1921"/>
      <c r="K98" s="1921"/>
      <c r="L98" s="1921"/>
    </row>
  </sheetData>
  <mergeCells count="2">
    <mergeCell ref="B5:J5"/>
    <mergeCell ref="D13:I13"/>
  </mergeCells>
  <printOptions horizontalCentered="1"/>
  <pageMargins left="0.25" right="0.25" top="0.5" bottom="0.5" header="0.25" footer="0.25"/>
  <pageSetup scale="57" orientation="landscape" r:id="rId1"/>
  <headerFooter scaleWithDoc="0">
    <oddFooter>&amp;C&amp;"Times New Roman,Regular"&amp;10&amp;A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R67"/>
  <sheetViews>
    <sheetView zoomScale="80" zoomScaleNormal="80" workbookViewId="0"/>
  </sheetViews>
  <sheetFormatPr defaultColWidth="14.54296875" defaultRowHeight="14.5" x14ac:dyDescent="0.35"/>
  <cols>
    <col min="1" max="1" width="5.90625" style="2002" customWidth="1"/>
    <col min="2" max="2" width="49" style="2002" customWidth="1"/>
    <col min="3" max="3" width="8.90625" style="2002" customWidth="1"/>
    <col min="4" max="5" width="15.90625" style="2039" customWidth="1"/>
    <col min="6" max="9" width="15.90625" style="2002" customWidth="1"/>
    <col min="10" max="10" width="16.453125" style="2002" customWidth="1"/>
    <col min="11" max="11" width="17.08984375" style="2002" customWidth="1"/>
    <col min="12" max="12" width="18.90625" style="2039" customWidth="1"/>
    <col min="13" max="13" width="15.90625" style="2002" customWidth="1"/>
    <col min="14" max="14" width="17.08984375" style="2002" customWidth="1"/>
    <col min="15" max="15" width="30.54296875" style="2002" customWidth="1"/>
    <col min="16" max="16" width="5.90625" style="2002" customWidth="1"/>
    <col min="17" max="16384" width="14.54296875" style="2002"/>
  </cols>
  <sheetData>
    <row r="1" spans="1:18" ht="15.5" x14ac:dyDescent="0.35">
      <c r="A1" s="2006"/>
      <c r="B1" s="2007" t="s">
        <v>18</v>
      </c>
      <c r="C1" s="2008"/>
      <c r="D1" s="2009"/>
      <c r="E1" s="2009"/>
      <c r="F1" s="2008"/>
      <c r="G1" s="2008"/>
      <c r="H1" s="2008"/>
      <c r="I1" s="2008"/>
      <c r="J1" s="2008"/>
      <c r="K1" s="2008"/>
      <c r="L1" s="2009"/>
      <c r="M1" s="2008"/>
      <c r="N1" s="2008"/>
      <c r="O1" s="2008"/>
    </row>
    <row r="2" spans="1:18" x14ac:dyDescent="0.35">
      <c r="A2" s="2010"/>
      <c r="B2" s="2007" t="s">
        <v>1468</v>
      </c>
      <c r="C2" s="2008"/>
      <c r="D2" s="2009"/>
      <c r="E2" s="2009"/>
      <c r="F2" s="2008"/>
      <c r="G2" s="2008"/>
      <c r="H2" s="2008"/>
      <c r="I2" s="2008"/>
      <c r="J2" s="2008"/>
      <c r="K2" s="2008"/>
      <c r="L2" s="2009"/>
      <c r="M2" s="2008"/>
      <c r="N2" s="2008"/>
      <c r="O2" s="2008"/>
    </row>
    <row r="3" spans="1:18" x14ac:dyDescent="0.35">
      <c r="A3" s="2010"/>
      <c r="B3" s="1937" t="s">
        <v>1483</v>
      </c>
      <c r="C3" s="2008"/>
      <c r="D3" s="2009"/>
      <c r="E3" s="2009"/>
      <c r="F3" s="2008"/>
      <c r="G3" s="2008"/>
      <c r="H3" s="2008"/>
      <c r="I3" s="2008"/>
      <c r="J3" s="2008"/>
      <c r="K3" s="2008"/>
      <c r="L3" s="2009"/>
      <c r="M3" s="2008"/>
      <c r="N3" s="2008"/>
      <c r="O3" s="2008"/>
    </row>
    <row r="4" spans="1:18" x14ac:dyDescent="0.35">
      <c r="A4" s="2011"/>
      <c r="B4" s="2012" t="s">
        <v>1633</v>
      </c>
      <c r="C4" s="2013"/>
      <c r="D4" s="2013"/>
      <c r="E4" s="2013"/>
      <c r="F4" s="2013"/>
      <c r="G4" s="2013"/>
      <c r="H4" s="2013"/>
      <c r="I4" s="2013"/>
      <c r="J4" s="2013"/>
      <c r="K4" s="2013"/>
      <c r="L4" s="2013"/>
      <c r="M4" s="2013"/>
      <c r="N4" s="2013"/>
      <c r="O4" s="2014"/>
      <c r="P4" s="2015"/>
      <c r="Q4" s="2015"/>
    </row>
    <row r="5" spans="1:18" x14ac:dyDescent="0.35">
      <c r="A5" s="2011"/>
      <c r="B5" s="2320" t="s">
        <v>2</v>
      </c>
      <c r="C5" s="2320"/>
      <c r="D5" s="2320"/>
      <c r="E5" s="2320"/>
      <c r="F5" s="2320"/>
      <c r="G5" s="2320"/>
      <c r="H5" s="2320"/>
      <c r="I5" s="2320"/>
      <c r="J5" s="2320"/>
      <c r="K5" s="2320"/>
      <c r="L5" s="2320"/>
      <c r="M5" s="2320"/>
      <c r="N5" s="2320"/>
      <c r="O5" s="2320"/>
      <c r="P5" s="2015"/>
      <c r="Q5" s="2015"/>
    </row>
    <row r="6" spans="1:18" x14ac:dyDescent="0.35">
      <c r="A6" s="2011"/>
      <c r="B6" s="1937"/>
      <c r="C6" s="2040"/>
      <c r="D6" s="2041"/>
      <c r="E6" s="2041"/>
      <c r="F6" s="2040"/>
      <c r="G6" s="2040"/>
      <c r="H6" s="2040"/>
      <c r="I6" s="2040"/>
      <c r="J6" s="2040"/>
      <c r="K6" s="2040"/>
      <c r="L6" s="2041"/>
      <c r="M6" s="2040"/>
      <c r="N6" s="2040"/>
      <c r="O6" s="2042"/>
      <c r="P6" s="2015"/>
      <c r="Q6" s="2015"/>
    </row>
    <row r="7" spans="1:18" x14ac:dyDescent="0.35">
      <c r="A7" s="2065"/>
      <c r="B7" s="2043"/>
      <c r="C7" s="2043"/>
      <c r="D7" s="1967"/>
      <c r="E7" s="1967"/>
      <c r="F7" s="2065"/>
      <c r="G7" s="2065"/>
      <c r="H7" s="2065"/>
      <c r="I7" s="2065"/>
      <c r="J7" s="2065"/>
      <c r="K7" s="2065"/>
      <c r="L7" s="2044"/>
      <c r="M7" s="2005" t="s">
        <v>1463</v>
      </c>
      <c r="N7" s="2019">
        <v>2021</v>
      </c>
      <c r="O7" s="2020"/>
      <c r="P7" s="2001"/>
      <c r="Q7" s="2001"/>
    </row>
    <row r="8" spans="1:18" x14ac:dyDescent="0.35">
      <c r="A8" s="2065"/>
      <c r="B8" s="2065"/>
      <c r="C8" s="2065"/>
      <c r="D8" s="1967"/>
      <c r="E8" s="1967"/>
      <c r="F8" s="1967"/>
      <c r="G8" s="1967"/>
      <c r="H8" s="1967"/>
      <c r="I8" s="1967"/>
      <c r="J8" s="1967"/>
      <c r="K8" s="1967"/>
      <c r="L8" s="1967"/>
      <c r="M8" s="1967"/>
      <c r="N8" s="1967"/>
      <c r="O8" s="2069"/>
      <c r="P8" s="2074"/>
      <c r="Q8" s="2074"/>
      <c r="R8" s="2039"/>
    </row>
    <row r="9" spans="1:18" x14ac:dyDescent="0.35">
      <c r="A9" s="1968"/>
      <c r="B9" s="2021" t="s">
        <v>981</v>
      </c>
      <c r="C9" s="2021" t="s">
        <v>982</v>
      </c>
      <c r="D9" s="2022" t="s">
        <v>983</v>
      </c>
      <c r="E9" s="2022" t="s">
        <v>984</v>
      </c>
      <c r="F9" s="2022" t="s">
        <v>985</v>
      </c>
      <c r="G9" s="2022" t="s">
        <v>986</v>
      </c>
      <c r="H9" s="2022" t="s">
        <v>987</v>
      </c>
      <c r="I9" s="2022" t="s">
        <v>988</v>
      </c>
      <c r="J9" s="2022" t="s">
        <v>989</v>
      </c>
      <c r="K9" s="2022" t="s">
        <v>990</v>
      </c>
      <c r="L9" s="2022" t="s">
        <v>991</v>
      </c>
      <c r="M9" s="2022" t="s">
        <v>1436</v>
      </c>
      <c r="N9" s="2022" t="s">
        <v>1531</v>
      </c>
      <c r="O9" s="2070"/>
      <c r="P9" s="2083"/>
      <c r="Q9" s="2083"/>
      <c r="R9" s="2039"/>
    </row>
    <row r="10" spans="1:18" ht="15" thickBot="1" x14ac:dyDescent="0.4">
      <c r="A10" s="2065"/>
      <c r="B10" s="1968"/>
      <c r="C10" s="1968"/>
      <c r="D10" s="2025"/>
      <c r="E10" s="2025"/>
      <c r="F10" s="2025"/>
      <c r="G10" s="2025"/>
      <c r="H10" s="2025"/>
      <c r="I10" s="2025"/>
      <c r="J10" s="2025"/>
      <c r="K10" s="2025"/>
      <c r="L10" s="2025"/>
      <c r="M10" s="2025"/>
      <c r="N10" s="2025"/>
      <c r="O10" s="2070"/>
      <c r="P10" s="2070"/>
      <c r="Q10" s="2070"/>
      <c r="R10" s="2039"/>
    </row>
    <row r="11" spans="1:18" ht="15" thickBot="1" x14ac:dyDescent="0.4">
      <c r="A11" s="2065"/>
      <c r="B11" s="1968"/>
      <c r="C11" s="1968"/>
      <c r="D11" s="2026"/>
      <c r="E11" s="2026"/>
      <c r="F11" s="2026"/>
      <c r="G11" s="2026"/>
      <c r="H11" s="2026"/>
      <c r="I11" s="2026"/>
      <c r="J11" s="2084" t="s">
        <v>647</v>
      </c>
      <c r="K11" s="2068" t="s">
        <v>1541</v>
      </c>
      <c r="L11" s="2028" t="s">
        <v>1469</v>
      </c>
      <c r="M11" s="2028" t="s">
        <v>1532</v>
      </c>
      <c r="N11" s="2028" t="s">
        <v>1532</v>
      </c>
      <c r="O11" s="2070"/>
      <c r="P11" s="2070"/>
      <c r="Q11" s="2070"/>
      <c r="R11" s="2039"/>
    </row>
    <row r="12" spans="1:18" ht="52.5" thickBot="1" x14ac:dyDescent="0.4">
      <c r="A12" s="2029" t="s">
        <v>1437</v>
      </c>
      <c r="B12" s="2115" t="s">
        <v>1543</v>
      </c>
      <c r="C12" s="2030" t="s">
        <v>1438</v>
      </c>
      <c r="D12" s="2031" t="s">
        <v>1439</v>
      </c>
      <c r="E12" s="2031" t="s">
        <v>1440</v>
      </c>
      <c r="F12" s="2031" t="s">
        <v>1539</v>
      </c>
      <c r="G12" s="2031" t="s">
        <v>1540</v>
      </c>
      <c r="H12" s="2033" t="s">
        <v>1441</v>
      </c>
      <c r="I12" s="2031" t="s">
        <v>1442</v>
      </c>
      <c r="J12" s="2031" t="s">
        <v>1530</v>
      </c>
      <c r="K12" s="2031" t="s">
        <v>1443</v>
      </c>
      <c r="L12" s="2033" t="s">
        <v>1444</v>
      </c>
      <c r="M12" s="2031" t="s">
        <v>1445</v>
      </c>
      <c r="N12" s="2031" t="s">
        <v>1446</v>
      </c>
      <c r="O12" s="2072" t="s">
        <v>9</v>
      </c>
      <c r="P12" s="2085" t="s">
        <v>1437</v>
      </c>
      <c r="Q12" s="2086"/>
      <c r="R12" s="2039"/>
    </row>
    <row r="13" spans="1:18" x14ac:dyDescent="0.35">
      <c r="A13" s="1966">
        <v>1</v>
      </c>
      <c r="B13" s="2065" t="s">
        <v>1542</v>
      </c>
      <c r="C13" s="1978"/>
      <c r="D13" s="1967"/>
      <c r="E13" s="1967"/>
      <c r="F13" s="2065"/>
      <c r="G13" s="2065"/>
      <c r="H13" s="2065"/>
      <c r="I13" s="2065"/>
      <c r="J13" s="1967"/>
      <c r="K13" s="1967"/>
      <c r="L13" s="1967"/>
      <c r="M13" s="1967"/>
      <c r="N13" s="1967"/>
      <c r="O13" s="1988"/>
      <c r="P13" s="1966">
        <v>1</v>
      </c>
      <c r="Q13" s="2001"/>
    </row>
    <row r="14" spans="1:18" x14ac:dyDescent="0.35">
      <c r="A14" s="1966">
        <f t="shared" ref="A14:A45" si="0">+A13+1</f>
        <v>2</v>
      </c>
      <c r="B14" s="2065" t="s">
        <v>1515</v>
      </c>
      <c r="C14" s="2066"/>
      <c r="D14" s="1967"/>
      <c r="E14" s="1967"/>
      <c r="F14" s="1930"/>
      <c r="G14" s="1930"/>
      <c r="H14" s="1930"/>
      <c r="I14" s="1930"/>
      <c r="J14" s="1967"/>
      <c r="K14" s="1967"/>
      <c r="L14" s="1967"/>
      <c r="M14" s="1967"/>
      <c r="N14" s="1967"/>
      <c r="O14" s="2025"/>
      <c r="P14" s="1966">
        <f t="shared" ref="P14:P45" si="1">+P13+1</f>
        <v>2</v>
      </c>
      <c r="Q14" s="2001"/>
    </row>
    <row r="15" spans="1:18" x14ac:dyDescent="0.35">
      <c r="A15" s="1966">
        <f t="shared" si="0"/>
        <v>3</v>
      </c>
      <c r="B15" s="2065" t="s">
        <v>1516</v>
      </c>
      <c r="C15" s="2066">
        <v>190</v>
      </c>
      <c r="D15" s="1967">
        <f>'Order 864-1'!M15</f>
        <v>0</v>
      </c>
      <c r="E15" s="1967">
        <f>'Order 864-1'!N15</f>
        <v>0</v>
      </c>
      <c r="F15" s="1930"/>
      <c r="G15" s="1930"/>
      <c r="H15" s="1930"/>
      <c r="I15" s="1930"/>
      <c r="J15" s="1967">
        <f>'Order 864-1'!J15+H15+I15</f>
        <v>-121.75572065244978</v>
      </c>
      <c r="K15" s="1967">
        <f t="shared" ref="K15:K17" si="2">SUM(D15:I15)</f>
        <v>0</v>
      </c>
      <c r="L15" s="1967">
        <f>'Order 864-4'!I21</f>
        <v>0</v>
      </c>
      <c r="M15" s="1967">
        <f>IF(SUM($K$15:$L$17)&lt;0,0,SUM($K15:$L15))</f>
        <v>0</v>
      </c>
      <c r="N15" s="1967">
        <f>IF(SUM($K$15:$L$17)&lt;0,SUM($K15:$L15),0)</f>
        <v>0</v>
      </c>
      <c r="O15" s="2025" t="s">
        <v>647</v>
      </c>
      <c r="P15" s="1966">
        <f t="shared" si="1"/>
        <v>3</v>
      </c>
      <c r="Q15" s="2001"/>
    </row>
    <row r="16" spans="1:18" x14ac:dyDescent="0.35">
      <c r="A16" s="1966">
        <f t="shared" si="0"/>
        <v>4</v>
      </c>
      <c r="B16" s="2065" t="s">
        <v>1517</v>
      </c>
      <c r="C16" s="2066">
        <v>190</v>
      </c>
      <c r="D16" s="1967">
        <f>'Order 864-1'!M16</f>
        <v>0</v>
      </c>
      <c r="E16" s="1967">
        <f>'Order 864-1'!N16</f>
        <v>0</v>
      </c>
      <c r="F16" s="1930"/>
      <c r="G16" s="1930"/>
      <c r="H16" s="1930"/>
      <c r="I16" s="1930"/>
      <c r="J16" s="1967">
        <f>'Order 864-1'!J16+H16+I16</f>
        <v>-67.238548636628664</v>
      </c>
      <c r="K16" s="1967">
        <f t="shared" si="2"/>
        <v>0</v>
      </c>
      <c r="L16" s="1967">
        <f>'Order 864-4'!I23</f>
        <v>0</v>
      </c>
      <c r="M16" s="1967">
        <f>IF(SUM($K$15:$L$17)&lt;0,0,SUM($K16:$L16))</f>
        <v>0</v>
      </c>
      <c r="N16" s="1967">
        <f>IF(SUM($K$15:$L$17)&lt;0,SUM($K16:$L16),0)</f>
        <v>0</v>
      </c>
      <c r="O16" s="2025" t="s">
        <v>647</v>
      </c>
      <c r="P16" s="1966">
        <f t="shared" si="1"/>
        <v>4</v>
      </c>
      <c r="Q16" s="2001"/>
    </row>
    <row r="17" spans="1:17" x14ac:dyDescent="0.35">
      <c r="A17" s="1966">
        <f t="shared" si="0"/>
        <v>5</v>
      </c>
      <c r="B17" s="2065" t="s">
        <v>1518</v>
      </c>
      <c r="C17" s="2066">
        <v>190</v>
      </c>
      <c r="D17" s="1967">
        <f>'Order 864-1'!M17</f>
        <v>214.48517768267459</v>
      </c>
      <c r="E17" s="1967">
        <f>'Order 864-1'!N17</f>
        <v>0</v>
      </c>
      <c r="F17" s="1930"/>
      <c r="G17" s="1930"/>
      <c r="H17" s="1930">
        <v>-214.4</v>
      </c>
      <c r="I17" s="1930"/>
      <c r="J17" s="1967">
        <f>'Order 864-1'!J17+H17+I17</f>
        <v>-214.4</v>
      </c>
      <c r="K17" s="1967">
        <f t="shared" si="2"/>
        <v>8.5177682674583366E-2</v>
      </c>
      <c r="L17" s="1967">
        <f>'Order 864-4'!I26</f>
        <v>0</v>
      </c>
      <c r="M17" s="1967">
        <f>IF(SUM($K$15:$L$17)&lt;0,0,SUM($K17:$L17))</f>
        <v>8.5177682674583366E-2</v>
      </c>
      <c r="N17" s="1967">
        <f>IF(SUM($K$15:$L$17)&lt;0,SUM($K17:$L17),0)</f>
        <v>0</v>
      </c>
      <c r="O17" s="2025" t="s">
        <v>647</v>
      </c>
      <c r="P17" s="1966">
        <f t="shared" si="1"/>
        <v>5</v>
      </c>
      <c r="Q17" s="2001"/>
    </row>
    <row r="18" spans="1:17" x14ac:dyDescent="0.35">
      <c r="A18" s="1966">
        <f t="shared" si="0"/>
        <v>6</v>
      </c>
      <c r="B18" s="2065" t="s">
        <v>1519</v>
      </c>
      <c r="C18" s="2066"/>
      <c r="D18" s="1967"/>
      <c r="E18" s="1967"/>
      <c r="F18" s="1930"/>
      <c r="G18" s="1930"/>
      <c r="H18" s="1930"/>
      <c r="I18" s="1930"/>
      <c r="J18" s="1967">
        <f>'Order 864-1'!J18+H18+I18</f>
        <v>0</v>
      </c>
      <c r="K18" s="1967"/>
      <c r="L18" s="1967"/>
      <c r="M18" s="1967"/>
      <c r="N18" s="1967"/>
      <c r="O18" s="2025"/>
      <c r="P18" s="1966">
        <f t="shared" si="1"/>
        <v>6</v>
      </c>
      <c r="Q18" s="2001"/>
    </row>
    <row r="19" spans="1:17" x14ac:dyDescent="0.35">
      <c r="A19" s="1966">
        <f t="shared" si="0"/>
        <v>7</v>
      </c>
      <c r="B19" s="2065" t="s">
        <v>1520</v>
      </c>
      <c r="C19" s="2066">
        <v>190</v>
      </c>
      <c r="D19" s="1967">
        <f>'Order 864-1'!M19</f>
        <v>181.15525620575846</v>
      </c>
      <c r="E19" s="1967">
        <f>'Order 864-1'!N19</f>
        <v>0</v>
      </c>
      <c r="F19" s="1930"/>
      <c r="G19" s="1930"/>
      <c r="H19" s="1930">
        <v>-181</v>
      </c>
      <c r="I19" s="1930"/>
      <c r="J19" s="1967">
        <f>'Order 864-1'!J19+H19+I19</f>
        <v>-555.2946058379016</v>
      </c>
      <c r="K19" s="1967">
        <f t="shared" ref="K19" si="3">SUM(D19:I19)</f>
        <v>0.15525620575846233</v>
      </c>
      <c r="L19" s="1967">
        <f>'Order 864-4'!I23</f>
        <v>0</v>
      </c>
      <c r="M19" s="1967">
        <f>IF(SUM($K$19:$L$19)&lt;0,0,SUM($K19:$L19))</f>
        <v>0.15525620575846233</v>
      </c>
      <c r="N19" s="1967">
        <f>IF(SUM($K$19:$L$19)&lt;0,SUM($K19:$L19),0)</f>
        <v>0</v>
      </c>
      <c r="O19" s="2025" t="s">
        <v>647</v>
      </c>
      <c r="P19" s="1966">
        <f t="shared" si="1"/>
        <v>7</v>
      </c>
      <c r="Q19" s="2001"/>
    </row>
    <row r="20" spans="1:17" x14ac:dyDescent="0.35">
      <c r="A20" s="1966">
        <f t="shared" si="0"/>
        <v>8</v>
      </c>
      <c r="B20" s="2065" t="s">
        <v>1521</v>
      </c>
      <c r="C20" s="2066"/>
      <c r="D20" s="1967"/>
      <c r="E20" s="1967"/>
      <c r="F20" s="1930"/>
      <c r="G20" s="1930"/>
      <c r="H20" s="1930"/>
      <c r="I20" s="1930"/>
      <c r="J20" s="1967">
        <f>'Order 864-1'!J20+H20+I20</f>
        <v>0</v>
      </c>
      <c r="K20" s="1967"/>
      <c r="L20" s="1967"/>
      <c r="M20" s="1967"/>
      <c r="N20" s="1967"/>
      <c r="O20" s="2025"/>
      <c r="P20" s="1966">
        <f t="shared" si="1"/>
        <v>8</v>
      </c>
      <c r="Q20" s="2001"/>
    </row>
    <row r="21" spans="1:17" x14ac:dyDescent="0.35">
      <c r="A21" s="1966">
        <f t="shared" si="0"/>
        <v>9</v>
      </c>
      <c r="B21" s="2065" t="s">
        <v>1522</v>
      </c>
      <c r="C21" s="2066">
        <v>283</v>
      </c>
      <c r="D21" s="1967">
        <f>'Order 864-1'!M21</f>
        <v>0</v>
      </c>
      <c r="E21" s="1967">
        <f>'Order 864-1'!N21</f>
        <v>0</v>
      </c>
      <c r="F21" s="1930"/>
      <c r="G21" s="1930"/>
      <c r="H21" s="1930"/>
      <c r="I21" s="1930"/>
      <c r="J21" s="1967">
        <f>'Order 864-1'!J21+H21+I21</f>
        <v>-21828.386489951998</v>
      </c>
      <c r="K21" s="1967">
        <f t="shared" ref="K21:K22" si="4">SUM(D21:I21)</f>
        <v>0</v>
      </c>
      <c r="L21" s="1967">
        <f>'Order 864-4'!I26</f>
        <v>0</v>
      </c>
      <c r="M21" s="1967">
        <f>IF(SUM($K$21:$L$22)&lt;0,0,SUM($K21:$L21))</f>
        <v>0</v>
      </c>
      <c r="N21" s="1967">
        <f>IF(SUM($K$21:$L$22)&lt;0,SUM($K21:$L21),0)</f>
        <v>0</v>
      </c>
      <c r="O21" s="2025" t="s">
        <v>647</v>
      </c>
      <c r="P21" s="1966">
        <f t="shared" si="1"/>
        <v>9</v>
      </c>
      <c r="Q21" s="2001"/>
    </row>
    <row r="22" spans="1:17" x14ac:dyDescent="0.35">
      <c r="A22" s="1966">
        <f t="shared" si="0"/>
        <v>10</v>
      </c>
      <c r="B22" s="2065" t="s">
        <v>1523</v>
      </c>
      <c r="C22" s="2066">
        <v>283</v>
      </c>
      <c r="D22" s="1967">
        <f>'Order 864-1'!M22</f>
        <v>0</v>
      </c>
      <c r="E22" s="1967">
        <f>'Order 864-1'!N22</f>
        <v>0</v>
      </c>
      <c r="F22" s="1930"/>
      <c r="G22" s="1930"/>
      <c r="H22" s="1930"/>
      <c r="I22" s="1930"/>
      <c r="J22" s="1967">
        <f>'Order 864-1'!J22+H22+I22</f>
        <v>24387.763684079997</v>
      </c>
      <c r="K22" s="1967">
        <f t="shared" si="4"/>
        <v>0</v>
      </c>
      <c r="L22" s="1967">
        <f>'Order 864-4'!I27</f>
        <v>0</v>
      </c>
      <c r="M22" s="1967">
        <f>IF(SUM($K$21:$L$22)&lt;0,0,SUM($K22:$L22))</f>
        <v>0</v>
      </c>
      <c r="N22" s="1967">
        <f>IF(SUM($K$21:$L$22)&lt;0,SUM($K22:$L22),0)</f>
        <v>0</v>
      </c>
      <c r="O22" s="2025" t="s">
        <v>647</v>
      </c>
      <c r="P22" s="1966">
        <f t="shared" si="1"/>
        <v>10</v>
      </c>
      <c r="Q22" s="2001"/>
    </row>
    <row r="23" spans="1:17" x14ac:dyDescent="0.35">
      <c r="A23" s="1966">
        <f t="shared" si="0"/>
        <v>11</v>
      </c>
      <c r="B23" s="1968"/>
      <c r="C23" s="1969"/>
      <c r="D23" s="2045"/>
      <c r="E23" s="2045"/>
      <c r="F23" s="2060"/>
      <c r="G23" s="2060"/>
      <c r="H23" s="2060"/>
      <c r="I23" s="2060"/>
      <c r="J23" s="2045"/>
      <c r="K23" s="2045"/>
      <c r="L23" s="2045"/>
      <c r="M23" s="2045"/>
      <c r="N23" s="2045"/>
      <c r="O23" s="1967"/>
      <c r="P23" s="1966">
        <f t="shared" si="1"/>
        <v>11</v>
      </c>
      <c r="Q23" s="2001"/>
    </row>
    <row r="24" spans="1:17" ht="15" thickBot="1" x14ac:dyDescent="0.4">
      <c r="A24" s="1966">
        <f t="shared" si="0"/>
        <v>12</v>
      </c>
      <c r="B24" s="1968" t="s">
        <v>1544</v>
      </c>
      <c r="C24" s="2017"/>
      <c r="D24" s="1983">
        <f>SUM(D14:D22)</f>
        <v>395.64043388843305</v>
      </c>
      <c r="E24" s="1983">
        <f t="shared" ref="E24:L24" si="5">SUM(E14:E22)</f>
        <v>0</v>
      </c>
      <c r="F24" s="1983">
        <f t="shared" si="5"/>
        <v>0</v>
      </c>
      <c r="G24" s="1983">
        <f t="shared" si="5"/>
        <v>0</v>
      </c>
      <c r="H24" s="1983">
        <f t="shared" si="5"/>
        <v>-395.4</v>
      </c>
      <c r="I24" s="1983">
        <f t="shared" si="5"/>
        <v>0</v>
      </c>
      <c r="J24" s="1983">
        <f t="shared" ref="J24" si="6">SUM(J14:J22)</f>
        <v>1600.6883190010194</v>
      </c>
      <c r="K24" s="1983">
        <f t="shared" si="5"/>
        <v>0.24043388843304569</v>
      </c>
      <c r="L24" s="1983">
        <f t="shared" si="5"/>
        <v>0</v>
      </c>
      <c r="M24" s="1983">
        <f t="shared" ref="M24:N24" si="7">SUM(M14:M22)</f>
        <v>0.24043388843304569</v>
      </c>
      <c r="N24" s="1983">
        <f t="shared" si="7"/>
        <v>0</v>
      </c>
      <c r="O24" s="2025" t="s">
        <v>1533</v>
      </c>
      <c r="P24" s="1966">
        <f t="shared" si="1"/>
        <v>12</v>
      </c>
      <c r="Q24" s="2001"/>
    </row>
    <row r="25" spans="1:17" ht="15" thickTop="1" x14ac:dyDescent="0.35">
      <c r="A25" s="1966">
        <f t="shared" si="0"/>
        <v>13</v>
      </c>
      <c r="B25" s="2065"/>
      <c r="C25" s="2065"/>
      <c r="D25" s="1974"/>
      <c r="E25" s="1974"/>
      <c r="F25" s="1975"/>
      <c r="G25" s="1975"/>
      <c r="H25" s="1975"/>
      <c r="I25" s="1975"/>
      <c r="J25" s="1974"/>
      <c r="K25" s="1974"/>
      <c r="L25" s="1974"/>
      <c r="M25" s="1974"/>
      <c r="N25" s="1974"/>
      <c r="O25" s="1967"/>
      <c r="P25" s="1966">
        <f t="shared" si="1"/>
        <v>13</v>
      </c>
      <c r="Q25" s="2001"/>
    </row>
    <row r="26" spans="1:17" x14ac:dyDescent="0.35">
      <c r="A26" s="1966">
        <f t="shared" si="0"/>
        <v>14</v>
      </c>
      <c r="B26" s="2065" t="s">
        <v>1545</v>
      </c>
      <c r="C26" s="1976"/>
      <c r="D26" s="1974"/>
      <c r="E26" s="1974"/>
      <c r="F26" s="1975"/>
      <c r="G26" s="1975"/>
      <c r="H26" s="1975"/>
      <c r="I26" s="1975"/>
      <c r="J26" s="1974"/>
      <c r="K26" s="1974"/>
      <c r="L26" s="1974"/>
      <c r="M26" s="1974"/>
      <c r="N26" s="1974"/>
      <c r="O26" s="1967"/>
      <c r="P26" s="1966">
        <f t="shared" si="1"/>
        <v>14</v>
      </c>
      <c r="Q26" s="2001"/>
    </row>
    <row r="27" spans="1:17" x14ac:dyDescent="0.35">
      <c r="A27" s="1966">
        <f t="shared" si="0"/>
        <v>15</v>
      </c>
      <c r="B27" s="2065" t="s">
        <v>849</v>
      </c>
      <c r="C27" s="1966">
        <v>190</v>
      </c>
      <c r="D27" s="1967">
        <f>'Order 864-1'!M27</f>
        <v>106709.95322450979</v>
      </c>
      <c r="E27" s="1967">
        <f>'Order 864-1'!N27</f>
        <v>0</v>
      </c>
      <c r="F27" s="1930">
        <v>-15.203281039115543</v>
      </c>
      <c r="G27" s="1930"/>
      <c r="H27" s="1930">
        <v>-1358.3771498376336</v>
      </c>
      <c r="I27" s="1930"/>
      <c r="J27" s="1967">
        <f>'Order 864-1'!J27+F27+H27+I27</f>
        <v>-5122.7361521031526</v>
      </c>
      <c r="K27" s="1967">
        <f>SUM(D27:I27)</f>
        <v>105336.37279363305</v>
      </c>
      <c r="L27" s="1967">
        <f>'Order 864-4'!I30</f>
        <v>0</v>
      </c>
      <c r="M27" s="1967">
        <f>IF(SUM($K$27:$L$27)&lt;0,0,SUM($K27:$L27))</f>
        <v>105336.37279363305</v>
      </c>
      <c r="N27" s="1967">
        <f>IF(SUM($K$27:$L$27)&lt;0,SUM($K27:$L27),0)</f>
        <v>0</v>
      </c>
      <c r="O27" s="2025" t="s">
        <v>647</v>
      </c>
      <c r="P27" s="1966">
        <f t="shared" si="1"/>
        <v>15</v>
      </c>
      <c r="Q27" s="2001"/>
    </row>
    <row r="28" spans="1:17" x14ac:dyDescent="0.35">
      <c r="A28" s="1966">
        <f t="shared" si="0"/>
        <v>16</v>
      </c>
      <c r="B28" s="2065" t="s">
        <v>1524</v>
      </c>
      <c r="C28" s="2066"/>
      <c r="D28" s="1967"/>
      <c r="E28" s="1967"/>
      <c r="F28" s="1930"/>
      <c r="G28" s="1930"/>
      <c r="H28" s="1930"/>
      <c r="I28" s="1930"/>
      <c r="J28" s="1967">
        <f>'Order 864-1'!J28+H28+I28</f>
        <v>0</v>
      </c>
      <c r="K28" s="1967"/>
      <c r="L28" s="1967"/>
      <c r="M28" s="1967"/>
      <c r="N28" s="1967"/>
      <c r="O28" s="2025"/>
      <c r="P28" s="1966">
        <f t="shared" si="1"/>
        <v>16</v>
      </c>
      <c r="Q28" s="2001"/>
    </row>
    <row r="29" spans="1:17" x14ac:dyDescent="0.35">
      <c r="A29" s="1966">
        <f t="shared" si="0"/>
        <v>17</v>
      </c>
      <c r="B29" s="2065" t="s">
        <v>1525</v>
      </c>
      <c r="C29" s="2066">
        <v>282</v>
      </c>
      <c r="D29" s="1967">
        <f>'Order 864-1'!M29</f>
        <v>0</v>
      </c>
      <c r="E29" s="1967">
        <f>'Order 864-1'!N29</f>
        <v>-383627.67687569576</v>
      </c>
      <c r="F29" s="1930"/>
      <c r="G29" s="1930">
        <v>1041.5441818181362</v>
      </c>
      <c r="H29" s="1930">
        <v>0</v>
      </c>
      <c r="I29" s="1930">
        <v>4867.7146530612245</v>
      </c>
      <c r="J29" s="1967">
        <f>'Order 864-1'!J29+H29+I29</f>
        <v>17950.555777365538</v>
      </c>
      <c r="K29" s="1967">
        <f t="shared" ref="K29" si="8">SUM(D29:I29)</f>
        <v>-377718.41804081638</v>
      </c>
      <c r="L29" s="1967">
        <f>'Order 864-4'!I35</f>
        <v>0</v>
      </c>
      <c r="M29" s="1967">
        <f>IF(SUM($K$29:$L$31)&lt;0,0,SUM($K29:$L29))</f>
        <v>0</v>
      </c>
      <c r="N29" s="1967">
        <f>IF(SUM($K$29:$L$31)&lt;0,SUM($K29:$L29),0)</f>
        <v>-377718.41804081638</v>
      </c>
      <c r="O29" s="2025" t="s">
        <v>647</v>
      </c>
      <c r="P29" s="1966">
        <f t="shared" si="1"/>
        <v>17</v>
      </c>
      <c r="Q29" s="2001"/>
    </row>
    <row r="30" spans="1:17" x14ac:dyDescent="0.35">
      <c r="A30" s="1966">
        <f t="shared" si="0"/>
        <v>18</v>
      </c>
      <c r="B30" s="2065" t="s">
        <v>1526</v>
      </c>
      <c r="C30" s="2066">
        <v>282</v>
      </c>
      <c r="D30" s="1967">
        <f>'Order 864-1'!M30</f>
        <v>0</v>
      </c>
      <c r="E30" s="1967">
        <f>'Order 864-1'!N30</f>
        <v>0</v>
      </c>
      <c r="F30" s="1930"/>
      <c r="G30" s="1930">
        <v>0</v>
      </c>
      <c r="H30" s="1930">
        <v>0</v>
      </c>
      <c r="I30" s="1930">
        <v>0</v>
      </c>
      <c r="J30" s="1967">
        <f>'Order 864-1'!J30+H30+I30</f>
        <v>0</v>
      </c>
      <c r="K30" s="1967">
        <f>SUM(D30:I30)</f>
        <v>0</v>
      </c>
      <c r="L30" s="1967">
        <f>'Order 864-4'!I36</f>
        <v>0</v>
      </c>
      <c r="M30" s="1967">
        <f>IF(SUM($K$29:$L$31)&lt;0,0,SUM($K30:$L30))</f>
        <v>0</v>
      </c>
      <c r="N30" s="1967">
        <f>IF(SUM($K$29:$L$31)&lt;0,SUM($K30:$L30),0)</f>
        <v>0</v>
      </c>
      <c r="O30" s="2025" t="s">
        <v>647</v>
      </c>
      <c r="P30" s="1966">
        <f t="shared" si="1"/>
        <v>18</v>
      </c>
      <c r="Q30" s="2001"/>
    </row>
    <row r="31" spans="1:17" x14ac:dyDescent="0.35">
      <c r="A31" s="1966">
        <f t="shared" si="0"/>
        <v>19</v>
      </c>
      <c r="B31" s="2065" t="s">
        <v>1527</v>
      </c>
      <c r="C31" s="2066">
        <v>282</v>
      </c>
      <c r="D31" s="1967">
        <f>'Order 864-1'!M31</f>
        <v>0</v>
      </c>
      <c r="E31" s="1967">
        <f>'Order 864-1'!N31</f>
        <v>8691.854000000003</v>
      </c>
      <c r="F31" s="1930"/>
      <c r="G31" s="1930">
        <v>-27.932999999999083</v>
      </c>
      <c r="H31" s="1930">
        <v>0</v>
      </c>
      <c r="I31" s="1930">
        <v>-1002.7300000000005</v>
      </c>
      <c r="J31" s="1967">
        <f>'Order 864-1'!J31+H31+I31</f>
        <v>-4355.1580000000004</v>
      </c>
      <c r="K31" s="1967">
        <f>SUM(D31:I31)</f>
        <v>7661.1910000000034</v>
      </c>
      <c r="L31" s="1967">
        <f>'Order 864-4'!I37</f>
        <v>0</v>
      </c>
      <c r="M31" s="1967">
        <f>IF(SUM($K$29:$L$31)&lt;0,0,SUM($K31:$L31))</f>
        <v>0</v>
      </c>
      <c r="N31" s="1967">
        <f>IF(SUM($K$29:$L$31)&lt;0,SUM($K31:$L31),0)</f>
        <v>7661.1910000000034</v>
      </c>
      <c r="O31" s="2025" t="s">
        <v>647</v>
      </c>
      <c r="P31" s="1966">
        <f t="shared" si="1"/>
        <v>19</v>
      </c>
      <c r="Q31" s="2001"/>
    </row>
    <row r="32" spans="1:17" x14ac:dyDescent="0.35">
      <c r="A32" s="1966">
        <f t="shared" si="0"/>
        <v>20</v>
      </c>
      <c r="B32" s="1968" t="s">
        <v>1447</v>
      </c>
      <c r="C32" s="2046"/>
      <c r="D32" s="1977">
        <f>SUM(D27:D31)</f>
        <v>106709.95322450979</v>
      </c>
      <c r="E32" s="1977">
        <f t="shared" ref="E32:L32" si="9">SUM(E27:E31)</f>
        <v>-374935.82287569577</v>
      </c>
      <c r="F32" s="1977">
        <f t="shared" si="9"/>
        <v>-15.203281039115543</v>
      </c>
      <c r="G32" s="1977">
        <f t="shared" si="9"/>
        <v>1013.6111818181371</v>
      </c>
      <c r="H32" s="1977">
        <f>SUM(H27:H31)</f>
        <v>-1358.3771498376336</v>
      </c>
      <c r="I32" s="1977">
        <f t="shared" si="9"/>
        <v>3864.984653061224</v>
      </c>
      <c r="J32" s="1977">
        <f t="shared" ref="J32" si="10">SUM(J27:J31)</f>
        <v>8472.6616252623862</v>
      </c>
      <c r="K32" s="1977">
        <f t="shared" si="9"/>
        <v>-264720.85424718331</v>
      </c>
      <c r="L32" s="1977">
        <f t="shared" si="9"/>
        <v>0</v>
      </c>
      <c r="M32" s="1977">
        <f t="shared" ref="M32:N32" si="11">SUM(M27:M31)</f>
        <v>105336.37279363305</v>
      </c>
      <c r="N32" s="1977">
        <f t="shared" si="11"/>
        <v>-370057.22704081639</v>
      </c>
      <c r="O32" s="2025" t="s">
        <v>1534</v>
      </c>
      <c r="P32" s="1966">
        <f t="shared" si="1"/>
        <v>20</v>
      </c>
      <c r="Q32" s="2001"/>
    </row>
    <row r="33" spans="1:17" x14ac:dyDescent="0.35">
      <c r="A33" s="1966">
        <f t="shared" si="0"/>
        <v>21</v>
      </c>
      <c r="B33" s="2065"/>
      <c r="C33" s="1969"/>
      <c r="D33" s="1967"/>
      <c r="E33" s="1967"/>
      <c r="F33" s="2065"/>
      <c r="G33" s="2065"/>
      <c r="H33" s="2065"/>
      <c r="I33" s="2065"/>
      <c r="J33" s="1967"/>
      <c r="K33" s="1967"/>
      <c r="L33" s="1967"/>
      <c r="M33" s="1967"/>
      <c r="N33" s="1967"/>
      <c r="O33" s="1967"/>
      <c r="P33" s="1966">
        <f t="shared" si="1"/>
        <v>21</v>
      </c>
      <c r="Q33" s="2001"/>
    </row>
    <row r="34" spans="1:17" x14ac:dyDescent="0.35">
      <c r="A34" s="1966">
        <f t="shared" si="0"/>
        <v>22</v>
      </c>
      <c r="B34" s="2065" t="s">
        <v>1546</v>
      </c>
      <c r="C34" s="1978"/>
      <c r="D34" s="1967"/>
      <c r="E34" s="1967"/>
      <c r="F34" s="2065"/>
      <c r="G34" s="2065"/>
      <c r="H34" s="2065"/>
      <c r="I34" s="2065"/>
      <c r="J34" s="1967"/>
      <c r="K34" s="1967"/>
      <c r="L34" s="1967"/>
      <c r="M34" s="1967"/>
      <c r="N34" s="1967"/>
      <c r="O34" s="1967"/>
      <c r="P34" s="1966">
        <f t="shared" si="1"/>
        <v>22</v>
      </c>
      <c r="Q34" s="2001"/>
    </row>
    <row r="35" spans="1:17" x14ac:dyDescent="0.35">
      <c r="A35" s="1966">
        <f t="shared" si="0"/>
        <v>23</v>
      </c>
      <c r="B35" s="2065" t="s">
        <v>1448</v>
      </c>
      <c r="C35" s="1966">
        <v>282</v>
      </c>
      <c r="D35" s="1967">
        <f>'Order 864-1'!M35</f>
        <v>0</v>
      </c>
      <c r="E35" s="1967">
        <f>'Order 864-1'!N35</f>
        <v>-12447.835636363636</v>
      </c>
      <c r="F35" s="1930"/>
      <c r="G35" s="1930">
        <v>33.168636363636153</v>
      </c>
      <c r="H35" s="1930"/>
      <c r="I35" s="1930">
        <v>268.61399999999958</v>
      </c>
      <c r="J35" s="1967">
        <f>'Order 864-1'!J35+H35+I35</f>
        <v>1052.8493636363639</v>
      </c>
      <c r="K35" s="1967">
        <f t="shared" ref="K35:K37" si="12">SUM(D35:I35)</f>
        <v>-12146.053</v>
      </c>
      <c r="L35" s="1967">
        <f>'Order 864-4'!I38</f>
        <v>0</v>
      </c>
      <c r="M35" s="1967">
        <f>IF(SUM($K$35:$L$35)&lt;0,0,SUM($K35:$L35))</f>
        <v>0</v>
      </c>
      <c r="N35" s="1967">
        <f>IF(SUM($K$35:$L$35)&lt;0,SUM($K35:$L35),0)</f>
        <v>-12146.053</v>
      </c>
      <c r="O35" s="2025" t="s">
        <v>647</v>
      </c>
      <c r="P35" s="1966">
        <f t="shared" si="1"/>
        <v>23</v>
      </c>
      <c r="Q35" s="2001"/>
    </row>
    <row r="36" spans="1:17" x14ac:dyDescent="0.35">
      <c r="A36" s="1966">
        <f t="shared" si="0"/>
        <v>24</v>
      </c>
      <c r="B36" s="2065" t="s">
        <v>1449</v>
      </c>
      <c r="C36" s="1966">
        <v>282</v>
      </c>
      <c r="D36" s="1967">
        <f>'Order 864-1'!M36</f>
        <v>0</v>
      </c>
      <c r="E36" s="1967">
        <f>'Order 864-1'!N36</f>
        <v>-33804.298727272733</v>
      </c>
      <c r="F36" s="1930"/>
      <c r="G36" s="1930">
        <v>9.1397272727303971</v>
      </c>
      <c r="H36" s="1930"/>
      <c r="I36" s="1930">
        <v>1427.9730000000018</v>
      </c>
      <c r="J36" s="1967">
        <f>'Order 864-1'!J36+H36+I36</f>
        <v>6278.0032727272701</v>
      </c>
      <c r="K36" s="1967">
        <f t="shared" si="12"/>
        <v>-32367.185999999998</v>
      </c>
      <c r="L36" s="1967">
        <f>'Order 864-4'!I39</f>
        <v>0</v>
      </c>
      <c r="M36" s="1967">
        <f>IF(SUM($K$36:$L$36)&lt;0,0,SUM($K36:$L36))</f>
        <v>0</v>
      </c>
      <c r="N36" s="1967">
        <f>IF(SUM($K$36:$L$36)&lt;0,SUM($K36:$L36),0)</f>
        <v>-32367.185999999998</v>
      </c>
      <c r="O36" s="2025" t="s">
        <v>647</v>
      </c>
      <c r="P36" s="1966">
        <f t="shared" si="1"/>
        <v>24</v>
      </c>
      <c r="Q36" s="2001"/>
    </row>
    <row r="37" spans="1:17" x14ac:dyDescent="0.35">
      <c r="A37" s="1966">
        <f t="shared" si="0"/>
        <v>25</v>
      </c>
      <c r="B37" s="2065" t="s">
        <v>1450</v>
      </c>
      <c r="C37" s="1979">
        <v>282</v>
      </c>
      <c r="D37" s="1967">
        <f>'Order 864-1'!M37</f>
        <v>575.57872727272797</v>
      </c>
      <c r="E37" s="1967">
        <f>'Order 864-1'!N37</f>
        <v>0</v>
      </c>
      <c r="F37" s="1930">
        <v>12835.4331749063</v>
      </c>
      <c r="G37" s="1930"/>
      <c r="H37" s="1930">
        <v>-15.275999999999197</v>
      </c>
      <c r="I37" s="1930"/>
      <c r="J37" s="1967">
        <f>'Order 864-1'!J37+H37+I37</f>
        <v>533.48772727272808</v>
      </c>
      <c r="K37" s="1967">
        <f t="shared" si="12"/>
        <v>13395.735902179029</v>
      </c>
      <c r="L37" s="1967">
        <f>'Order 864-4'!I40</f>
        <v>0</v>
      </c>
      <c r="M37" s="1967">
        <f>IF(SUM($K$37:$L$37)&lt;0,0,SUM($K37:$L37))</f>
        <v>13395.735902179029</v>
      </c>
      <c r="N37" s="1967">
        <f>IF(SUM($K$37:$L$37)&lt;0,SUM($K37:$L37),0)</f>
        <v>0</v>
      </c>
      <c r="O37" s="2025" t="s">
        <v>647</v>
      </c>
      <c r="P37" s="1966">
        <f t="shared" si="1"/>
        <v>25</v>
      </c>
      <c r="Q37" s="2001"/>
    </row>
    <row r="38" spans="1:17" x14ac:dyDescent="0.35">
      <c r="A38" s="1966">
        <f t="shared" si="0"/>
        <v>26</v>
      </c>
      <c r="B38" s="1968" t="s">
        <v>1447</v>
      </c>
      <c r="C38" s="2046"/>
      <c r="D38" s="1977">
        <f t="shared" ref="D38:L38" si="13">SUM(D35:D37)</f>
        <v>575.57872727272797</v>
      </c>
      <c r="E38" s="1977">
        <f t="shared" si="13"/>
        <v>-46252.134363636367</v>
      </c>
      <c r="F38" s="1934">
        <f t="shared" si="13"/>
        <v>12835.4331749063</v>
      </c>
      <c r="G38" s="1934">
        <f t="shared" si="13"/>
        <v>42.308363636366551</v>
      </c>
      <c r="H38" s="1934">
        <f t="shared" si="13"/>
        <v>-15.275999999999197</v>
      </c>
      <c r="I38" s="1934">
        <f t="shared" si="13"/>
        <v>1696.5870000000014</v>
      </c>
      <c r="J38" s="1977">
        <f t="shared" ref="J38" si="14">SUM(J35:J37)</f>
        <v>7864.3403636363619</v>
      </c>
      <c r="K38" s="1977">
        <f t="shared" si="13"/>
        <v>-31117.503097820972</v>
      </c>
      <c r="L38" s="1977">
        <f t="shared" si="13"/>
        <v>0</v>
      </c>
      <c r="M38" s="1977">
        <f>SUM(M35:M37)</f>
        <v>13395.735902179029</v>
      </c>
      <c r="N38" s="1977">
        <f>SUM(N35:N37)</f>
        <v>-44513.239000000001</v>
      </c>
      <c r="O38" s="2025" t="s">
        <v>1535</v>
      </c>
      <c r="P38" s="1966">
        <f t="shared" si="1"/>
        <v>26</v>
      </c>
      <c r="Q38" s="2001"/>
    </row>
    <row r="39" spans="1:17" x14ac:dyDescent="0.35">
      <c r="A39" s="1966">
        <f t="shared" si="0"/>
        <v>27</v>
      </c>
      <c r="B39" s="2065"/>
      <c r="C39" s="1969"/>
      <c r="D39" s="1970"/>
      <c r="E39" s="1970"/>
      <c r="F39" s="1995"/>
      <c r="G39" s="1995"/>
      <c r="H39" s="1995"/>
      <c r="I39" s="1995"/>
      <c r="J39" s="1970"/>
      <c r="K39" s="1970"/>
      <c r="L39" s="1970"/>
      <c r="M39" s="1970"/>
      <c r="N39" s="1970"/>
      <c r="O39" s="1967"/>
      <c r="P39" s="1966">
        <f t="shared" si="1"/>
        <v>27</v>
      </c>
      <c r="Q39" s="2001"/>
    </row>
    <row r="40" spans="1:17" x14ac:dyDescent="0.35">
      <c r="A40" s="1966">
        <f t="shared" si="0"/>
        <v>28</v>
      </c>
      <c r="B40" s="2065" t="s">
        <v>1546</v>
      </c>
      <c r="C40" s="1969"/>
      <c r="D40" s="2047"/>
      <c r="E40" s="2047"/>
      <c r="F40" s="2048"/>
      <c r="G40" s="2048"/>
      <c r="H40" s="2048"/>
      <c r="I40" s="2048"/>
      <c r="J40" s="1974"/>
      <c r="K40" s="2047"/>
      <c r="L40" s="2047"/>
      <c r="M40" s="2047"/>
      <c r="N40" s="2047"/>
      <c r="O40" s="1967"/>
      <c r="P40" s="1966">
        <f t="shared" si="1"/>
        <v>28</v>
      </c>
      <c r="Q40" s="2001"/>
    </row>
    <row r="41" spans="1:17" x14ac:dyDescent="0.35">
      <c r="A41" s="1966">
        <f t="shared" si="0"/>
        <v>29</v>
      </c>
      <c r="B41" s="2065" t="s">
        <v>1491</v>
      </c>
      <c r="C41" s="1979">
        <v>282</v>
      </c>
      <c r="D41" s="2035">
        <f>'Order 864-1'!M41</f>
        <v>39256.840315053982</v>
      </c>
      <c r="E41" s="2035">
        <f>'Order 864-1'!N41</f>
        <v>0</v>
      </c>
      <c r="F41" s="2049">
        <v>-179.31870210307693</v>
      </c>
      <c r="G41" s="2049"/>
      <c r="H41" s="2049">
        <v>-497.51115402315071</v>
      </c>
      <c r="I41" s="2049">
        <v>0</v>
      </c>
      <c r="J41" s="1967">
        <f>'Order 864-1'!J41+H41+I41</f>
        <v>-1847.9718389692059</v>
      </c>
      <c r="K41" s="1967">
        <f t="shared" ref="K41" si="15">SUM(D41:I41)</f>
        <v>38580.010458927754</v>
      </c>
      <c r="L41" s="1967">
        <f>'Order 864-4'!I44</f>
        <v>0</v>
      </c>
      <c r="M41" s="1967">
        <f>IF(SUM($K$41:$L$41)&lt;0,0,SUM($K41:$L41))</f>
        <v>38580.010458927754</v>
      </c>
      <c r="N41" s="1967">
        <f>IF(SUM($K$41:$L$41)&lt;0,SUM($K41:$L41),0)</f>
        <v>0</v>
      </c>
      <c r="O41" s="2025" t="s">
        <v>647</v>
      </c>
      <c r="P41" s="1966">
        <f t="shared" si="1"/>
        <v>29</v>
      </c>
      <c r="Q41" s="2001"/>
    </row>
    <row r="42" spans="1:17" x14ac:dyDescent="0.35">
      <c r="A42" s="1966">
        <f t="shared" si="0"/>
        <v>30</v>
      </c>
      <c r="B42" s="2065"/>
      <c r="C42" s="1969"/>
      <c r="D42" s="1981"/>
      <c r="E42" s="1981"/>
      <c r="F42" s="1982"/>
      <c r="G42" s="1982"/>
      <c r="H42" s="1982"/>
      <c r="I42" s="1982"/>
      <c r="J42" s="1981"/>
      <c r="K42" s="1981"/>
      <c r="L42" s="1981"/>
      <c r="M42" s="1981"/>
      <c r="N42" s="1981"/>
      <c r="O42" s="1967"/>
      <c r="P42" s="1966">
        <f t="shared" si="1"/>
        <v>30</v>
      </c>
      <c r="Q42" s="2001"/>
    </row>
    <row r="43" spans="1:17" ht="15" thickBot="1" x14ac:dyDescent="0.4">
      <c r="A43" s="1966">
        <f t="shared" si="0"/>
        <v>31</v>
      </c>
      <c r="B43" s="1968" t="s">
        <v>1548</v>
      </c>
      <c r="C43" s="2046"/>
      <c r="D43" s="1983">
        <f t="shared" ref="D43:L43" si="16">D32+D38+D41</f>
        <v>146542.37226683652</v>
      </c>
      <c r="E43" s="1983">
        <f t="shared" si="16"/>
        <v>-421187.95723933214</v>
      </c>
      <c r="F43" s="1923">
        <f t="shared" si="16"/>
        <v>12640.911191764108</v>
      </c>
      <c r="G43" s="1923">
        <f t="shared" si="16"/>
        <v>1055.9195454545036</v>
      </c>
      <c r="H43" s="1923">
        <f t="shared" si="16"/>
        <v>-1871.1643038607835</v>
      </c>
      <c r="I43" s="1923">
        <f t="shared" si="16"/>
        <v>5561.5716530612253</v>
      </c>
      <c r="J43" s="1983">
        <f t="shared" si="16"/>
        <v>14489.030149929542</v>
      </c>
      <c r="K43" s="1983">
        <f>K32+K38+K41</f>
        <v>-257258.34688607653</v>
      </c>
      <c r="L43" s="1983">
        <f t="shared" si="16"/>
        <v>0</v>
      </c>
      <c r="M43" s="1983">
        <f t="shared" ref="M43:N43" si="17">+M41+M38+M32</f>
        <v>157312.11915473983</v>
      </c>
      <c r="N43" s="1983">
        <f t="shared" si="17"/>
        <v>-414570.46604081639</v>
      </c>
      <c r="O43" s="2073" t="s">
        <v>1536</v>
      </c>
      <c r="P43" s="1966">
        <f t="shared" si="1"/>
        <v>31</v>
      </c>
      <c r="Q43" s="2001"/>
    </row>
    <row r="44" spans="1:17" ht="15" thickTop="1" x14ac:dyDescent="0.35">
      <c r="A44" s="1966">
        <f t="shared" si="0"/>
        <v>32</v>
      </c>
      <c r="B44" s="2065"/>
      <c r="C44" s="2065"/>
      <c r="D44" s="1984"/>
      <c r="E44" s="1984"/>
      <c r="F44" s="2000"/>
      <c r="G44" s="2000"/>
      <c r="H44" s="2000"/>
      <c r="I44" s="2000"/>
      <c r="J44" s="1984"/>
      <c r="K44" s="1984"/>
      <c r="L44" s="1984"/>
      <c r="M44" s="1984"/>
      <c r="N44" s="1984"/>
      <c r="O44" s="1967"/>
      <c r="P44" s="1966">
        <f t="shared" si="1"/>
        <v>32</v>
      </c>
      <c r="Q44" s="2001"/>
    </row>
    <row r="45" spans="1:17" ht="15" thickBot="1" x14ac:dyDescent="0.4">
      <c r="A45" s="1966">
        <f t="shared" si="0"/>
        <v>33</v>
      </c>
      <c r="B45" s="1968" t="s">
        <v>1549</v>
      </c>
      <c r="C45" s="2017"/>
      <c r="D45" s="1983">
        <f t="shared" ref="D45:N45" si="18">D24+D43</f>
        <v>146938.01270072497</v>
      </c>
      <c r="E45" s="1983">
        <f t="shared" si="18"/>
        <v>-421187.95723933214</v>
      </c>
      <c r="F45" s="1923">
        <f t="shared" si="18"/>
        <v>12640.911191764108</v>
      </c>
      <c r="G45" s="1923">
        <f t="shared" si="18"/>
        <v>1055.9195454545036</v>
      </c>
      <c r="H45" s="1923">
        <f t="shared" si="18"/>
        <v>-2266.5643038607836</v>
      </c>
      <c r="I45" s="1923">
        <f t="shared" si="18"/>
        <v>5561.5716530612253</v>
      </c>
      <c r="J45" s="1983">
        <f t="shared" si="18"/>
        <v>16089.718468930561</v>
      </c>
      <c r="K45" s="1983">
        <f t="shared" si="18"/>
        <v>-257258.10645218811</v>
      </c>
      <c r="L45" s="1983">
        <f t="shared" si="18"/>
        <v>0</v>
      </c>
      <c r="M45" s="1983">
        <f t="shared" si="18"/>
        <v>157312.35958862826</v>
      </c>
      <c r="N45" s="1983">
        <f t="shared" si="18"/>
        <v>-414570.46604081639</v>
      </c>
      <c r="O45" s="2025" t="s">
        <v>1537</v>
      </c>
      <c r="P45" s="1966">
        <f t="shared" si="1"/>
        <v>33</v>
      </c>
      <c r="Q45" s="2001"/>
    </row>
    <row r="46" spans="1:17" ht="15" thickTop="1" x14ac:dyDescent="0.35">
      <c r="A46" s="2036"/>
      <c r="B46" s="2065"/>
      <c r="C46" s="2065"/>
      <c r="D46" s="1967"/>
      <c r="E46" s="1967"/>
      <c r="F46" s="2065"/>
      <c r="G46" s="2065"/>
      <c r="H46" s="2065"/>
      <c r="I46" s="2065"/>
      <c r="J46" s="1967"/>
      <c r="K46" s="1967"/>
      <c r="L46" s="1967"/>
      <c r="M46" s="1967">
        <f>'AF-2'!E35-M45</f>
        <v>0</v>
      </c>
      <c r="N46" s="1967">
        <f>N45-'AF-2'!G35</f>
        <v>0</v>
      </c>
      <c r="O46" s="2074"/>
      <c r="P46" s="2001"/>
      <c r="Q46" s="2001"/>
    </row>
    <row r="47" spans="1:17" x14ac:dyDescent="0.35">
      <c r="A47" s="2036"/>
      <c r="B47" s="1912" t="s">
        <v>1451</v>
      </c>
      <c r="C47" s="1986"/>
      <c r="D47" s="1967"/>
      <c r="E47" s="1967"/>
      <c r="F47" s="1967"/>
      <c r="G47" s="1967"/>
      <c r="H47" s="1967"/>
      <c r="I47" s="1967"/>
      <c r="J47" s="1967"/>
      <c r="K47" s="1967"/>
      <c r="L47" s="1967"/>
      <c r="M47" s="1967"/>
      <c r="N47" s="1967"/>
      <c r="O47" s="2001"/>
      <c r="P47" s="2001"/>
      <c r="Q47" s="2001"/>
    </row>
    <row r="48" spans="1:17" x14ac:dyDescent="0.35">
      <c r="A48" s="2036"/>
      <c r="B48" s="2102" t="s">
        <v>1571</v>
      </c>
      <c r="C48" s="1986"/>
      <c r="D48" s="1967"/>
      <c r="E48" s="1967"/>
      <c r="F48" s="2065"/>
      <c r="G48" s="2065"/>
      <c r="H48" s="2065"/>
      <c r="I48" s="2065"/>
      <c r="J48" s="2065"/>
      <c r="K48" s="2065"/>
      <c r="L48" s="1967"/>
      <c r="M48" s="2065"/>
      <c r="N48" s="2065"/>
      <c r="O48" s="2001"/>
      <c r="P48" s="2001"/>
      <c r="Q48" s="2001"/>
    </row>
    <row r="49" spans="1:17" x14ac:dyDescent="0.35">
      <c r="A49" s="2036"/>
      <c r="B49" s="2102" t="s">
        <v>1576</v>
      </c>
      <c r="C49" s="1987"/>
      <c r="D49" s="1988"/>
      <c r="E49" s="1988"/>
      <c r="F49" s="2065"/>
      <c r="G49" s="2065"/>
      <c r="H49" s="2065"/>
      <c r="I49" s="2065"/>
      <c r="J49" s="2065"/>
      <c r="K49" s="2065"/>
      <c r="L49" s="1967"/>
      <c r="M49" s="2065"/>
      <c r="N49" s="2065"/>
      <c r="O49" s="2001"/>
      <c r="P49" s="2001"/>
      <c r="Q49" s="2001"/>
    </row>
    <row r="50" spans="1:17" x14ac:dyDescent="0.35">
      <c r="A50" s="2036"/>
      <c r="B50" s="2102" t="s">
        <v>1577</v>
      </c>
      <c r="C50" s="1967"/>
      <c r="D50" s="1967"/>
      <c r="E50" s="1967"/>
      <c r="F50" s="1967"/>
      <c r="G50" s="1967"/>
      <c r="H50" s="1967"/>
      <c r="I50" s="1967"/>
      <c r="J50" s="1967"/>
      <c r="K50" s="1967"/>
      <c r="L50" s="1967"/>
      <c r="M50" s="2065"/>
      <c r="P50" s="2001"/>
      <c r="Q50" s="2001"/>
    </row>
    <row r="51" spans="1:17" x14ac:dyDescent="0.35">
      <c r="A51" s="2036"/>
      <c r="B51" s="2102" t="s">
        <v>1547</v>
      </c>
      <c r="C51" s="1967"/>
      <c r="D51" s="2090"/>
      <c r="E51" s="1967"/>
      <c r="F51" s="1967"/>
      <c r="G51" s="1967"/>
      <c r="H51" s="1967"/>
      <c r="I51" s="1967"/>
      <c r="J51" s="1967"/>
      <c r="K51" s="1967"/>
      <c r="L51" s="1967"/>
      <c r="M51" s="2065"/>
      <c r="P51" s="2001"/>
      <c r="Q51" s="2001"/>
    </row>
    <row r="52" spans="1:17" x14ac:dyDescent="0.35">
      <c r="A52" s="2036"/>
      <c r="B52" s="2103" t="s">
        <v>1585</v>
      </c>
      <c r="C52" s="2004"/>
      <c r="D52" s="2050"/>
      <c r="E52" s="2037"/>
      <c r="F52" s="2065"/>
      <c r="G52" s="2065"/>
      <c r="H52" s="2065"/>
      <c r="I52" s="2065"/>
      <c r="J52" s="2065"/>
      <c r="K52" s="2065"/>
      <c r="L52" s="1967"/>
      <c r="M52" s="2065"/>
      <c r="P52" s="2001"/>
      <c r="Q52" s="2001"/>
    </row>
    <row r="53" spans="1:17" x14ac:dyDescent="0.35">
      <c r="B53" s="2102" t="s">
        <v>1572</v>
      </c>
      <c r="C53" s="2093"/>
      <c r="D53" s="2037"/>
      <c r="E53" s="2037"/>
      <c r="F53" s="2039"/>
      <c r="G53" s="2039"/>
      <c r="H53" s="2039"/>
      <c r="I53" s="2039"/>
      <c r="J53" s="2039"/>
      <c r="K53" s="2039"/>
    </row>
    <row r="54" spans="1:17" x14ac:dyDescent="0.35">
      <c r="B54" s="2102" t="s">
        <v>1573</v>
      </c>
      <c r="C54" s="2093"/>
      <c r="D54" s="2038"/>
      <c r="E54" s="2038"/>
      <c r="F54" s="2039"/>
      <c r="G54" s="2039"/>
      <c r="H54" s="2039"/>
      <c r="I54" s="2039"/>
      <c r="J54" s="2039"/>
      <c r="K54" s="2039"/>
    </row>
    <row r="55" spans="1:17" x14ac:dyDescent="0.35">
      <c r="B55" s="2102" t="s">
        <v>1578</v>
      </c>
      <c r="C55" s="1988"/>
      <c r="D55" s="1988"/>
      <c r="E55" s="1988"/>
      <c r="F55" s="2039"/>
      <c r="G55" s="2039"/>
      <c r="H55" s="2039"/>
      <c r="I55" s="2039"/>
      <c r="J55" s="2039"/>
      <c r="K55" s="2039"/>
    </row>
    <row r="56" spans="1:17" x14ac:dyDescent="0.35">
      <c r="B56" s="2102" t="s">
        <v>1574</v>
      </c>
      <c r="C56" s="2039"/>
      <c r="F56" s="2039"/>
      <c r="G56" s="2039"/>
      <c r="H56" s="2039"/>
      <c r="I56" s="2039"/>
      <c r="J56" s="2039"/>
      <c r="K56" s="2039"/>
    </row>
    <row r="57" spans="1:17" x14ac:dyDescent="0.35">
      <c r="B57" s="2102" t="s">
        <v>1575</v>
      </c>
      <c r="C57" s="2039"/>
      <c r="F57" s="2039"/>
      <c r="G57" s="2039"/>
      <c r="H57" s="2039"/>
      <c r="I57" s="2039"/>
      <c r="J57" s="2039"/>
      <c r="K57" s="2039"/>
    </row>
    <row r="59" spans="1:17" x14ac:dyDescent="0.35">
      <c r="B59" s="1989"/>
      <c r="C59" s="2065"/>
      <c r="D59" s="1967"/>
      <c r="E59" s="1967"/>
      <c r="F59" s="2003"/>
      <c r="G59" s="2003"/>
      <c r="H59" s="2104" t="s">
        <v>1562</v>
      </c>
      <c r="I59" s="2104" t="s">
        <v>1565</v>
      </c>
      <c r="J59" s="2104" t="s">
        <v>1566</v>
      </c>
      <c r="K59" s="2104" t="s">
        <v>1569</v>
      </c>
      <c r="L59" s="2104" t="s">
        <v>1570</v>
      </c>
    </row>
    <row r="60" spans="1:17" x14ac:dyDescent="0.35">
      <c r="B60" s="1989"/>
      <c r="C60" s="2065"/>
      <c r="D60" s="1967"/>
      <c r="E60" s="1967"/>
      <c r="F60" s="2003"/>
      <c r="G60" s="2003"/>
      <c r="H60" s="2021" t="s">
        <v>1436</v>
      </c>
      <c r="I60" s="2021" t="s">
        <v>1531</v>
      </c>
      <c r="J60" s="2003"/>
    </row>
    <row r="61" spans="1:17" ht="39.5" x14ac:dyDescent="0.35">
      <c r="B61" s="2105" t="s">
        <v>1561</v>
      </c>
      <c r="C61" s="2065"/>
      <c r="D61" s="2106" t="s">
        <v>1550</v>
      </c>
      <c r="E61" s="2107"/>
      <c r="F61" s="2003"/>
      <c r="G61" s="2003"/>
      <c r="H61" s="2108" t="s">
        <v>1445</v>
      </c>
      <c r="I61" s="2108" t="s">
        <v>1446</v>
      </c>
      <c r="J61" s="2108" t="s">
        <v>1559</v>
      </c>
      <c r="K61" s="2108" t="s">
        <v>1567</v>
      </c>
      <c r="L61" s="2108" t="s">
        <v>1568</v>
      </c>
    </row>
    <row r="62" spans="1:17" x14ac:dyDescent="0.35">
      <c r="B62" s="2004" t="s">
        <v>1551</v>
      </c>
      <c r="C62" s="2109" t="s">
        <v>1387</v>
      </c>
      <c r="D62" s="2110">
        <v>0.21</v>
      </c>
      <c r="E62" s="2111"/>
      <c r="F62" s="2003"/>
      <c r="G62" s="2004" t="s">
        <v>1563</v>
      </c>
      <c r="H62" s="2065">
        <f>M24</f>
        <v>0.24043388843304569</v>
      </c>
      <c r="I62" s="2065">
        <f>N24</f>
        <v>0</v>
      </c>
      <c r="J62" s="2112">
        <f>D67-1</f>
        <v>0.38857260290711548</v>
      </c>
      <c r="K62" s="2065">
        <f>H62*J62</f>
        <v>9.3426021855507566E-2</v>
      </c>
      <c r="L62" s="2065">
        <f>I62*J62</f>
        <v>0</v>
      </c>
    </row>
    <row r="63" spans="1:17" x14ac:dyDescent="0.35">
      <c r="B63" s="2004" t="s">
        <v>1552</v>
      </c>
      <c r="C63" s="2109" t="s">
        <v>1388</v>
      </c>
      <c r="D63" s="2110">
        <v>8.8400000000000006E-2</v>
      </c>
      <c r="E63" s="2111"/>
      <c r="F63" s="2003"/>
      <c r="G63" s="2004" t="s">
        <v>1564</v>
      </c>
      <c r="H63" s="2065">
        <f>M43</f>
        <v>157312.11915473983</v>
      </c>
      <c r="I63" s="2065">
        <f>N43</f>
        <v>-414570.46604081639</v>
      </c>
      <c r="J63" s="2112">
        <f>D67-1</f>
        <v>0.38857260290711548</v>
      </c>
      <c r="K63" s="2065">
        <f>H63*J63</f>
        <v>61127.179608791557</v>
      </c>
      <c r="L63" s="2065">
        <f>I63*J63</f>
        <v>-161090.72507789594</v>
      </c>
    </row>
    <row r="64" spans="1:17" x14ac:dyDescent="0.35">
      <c r="B64" s="2004" t="s">
        <v>1553</v>
      </c>
      <c r="C64" s="2109" t="s">
        <v>1554</v>
      </c>
      <c r="D64" s="2116">
        <f>-D63*D62</f>
        <v>-1.8564000000000001E-2</v>
      </c>
      <c r="E64" s="2111"/>
      <c r="F64" s="2111"/>
      <c r="G64" s="1990"/>
      <c r="H64" s="1990"/>
      <c r="I64" s="1990"/>
      <c r="J64" s="1990"/>
      <c r="K64" s="1990"/>
      <c r="L64" s="1991"/>
    </row>
    <row r="65" spans="2:6" x14ac:dyDescent="0.35">
      <c r="B65" s="2004" t="s">
        <v>1555</v>
      </c>
      <c r="C65" s="2109" t="s">
        <v>1556</v>
      </c>
      <c r="D65" s="2117">
        <f>SUM(D62:D64)</f>
        <v>0.27983599999999997</v>
      </c>
      <c r="E65" s="2113"/>
      <c r="F65" s="2111"/>
    </row>
    <row r="66" spans="2:6" x14ac:dyDescent="0.35">
      <c r="B66" s="2004" t="s">
        <v>1557</v>
      </c>
      <c r="C66" s="2109" t="s">
        <v>1558</v>
      </c>
      <c r="D66" s="2117">
        <f>1-D65</f>
        <v>0.72016400000000003</v>
      </c>
      <c r="E66" s="2113"/>
      <c r="F66" s="2111"/>
    </row>
    <row r="67" spans="2:6" x14ac:dyDescent="0.35">
      <c r="B67" s="2004" t="s">
        <v>1559</v>
      </c>
      <c r="C67" s="2109" t="s">
        <v>1560</v>
      </c>
      <c r="D67" s="2118">
        <f>1/D66</f>
        <v>1.3885726029071155</v>
      </c>
      <c r="E67" s="2114"/>
      <c r="F67" s="2114"/>
    </row>
  </sheetData>
  <mergeCells count="1">
    <mergeCell ref="B5:O5"/>
  </mergeCells>
  <printOptions horizontalCentered="1"/>
  <pageMargins left="0.25" right="0.25" top="0.5" bottom="0.5" header="0.25" footer="0.25"/>
  <pageSetup scale="47" orientation="landscape" r:id="rId1"/>
  <headerFooter scaleWithDoc="0">
    <oddFooter>&amp;C&amp;"Times New Roman,Regular"&amp;10&amp;A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2"/>
  <sheetViews>
    <sheetView zoomScale="80" zoomScaleNormal="80" workbookViewId="0"/>
  </sheetViews>
  <sheetFormatPr defaultColWidth="14.54296875" defaultRowHeight="14.5" x14ac:dyDescent="0.35"/>
  <cols>
    <col min="1" max="1" width="5.90625" style="2002" customWidth="1"/>
    <col min="2" max="2" width="45.90625" style="2002" customWidth="1"/>
    <col min="3" max="3" width="8.90625" style="2002" customWidth="1"/>
    <col min="4" max="9" width="16.54296875" style="2002" customWidth="1"/>
    <col min="10" max="10" width="45.90625" style="2002" customWidth="1"/>
    <col min="11" max="11" width="5.90625" style="2002" customWidth="1"/>
    <col min="12" max="12" width="15.90625" style="2002" customWidth="1"/>
    <col min="13" max="16384" width="14.54296875" style="2002"/>
  </cols>
  <sheetData>
    <row r="1" spans="1:12" x14ac:dyDescent="0.35">
      <c r="A1" s="2010"/>
      <c r="B1" s="2007" t="s">
        <v>18</v>
      </c>
      <c r="C1" s="2008"/>
      <c r="D1" s="2008"/>
      <c r="E1" s="2008"/>
      <c r="F1" s="2008"/>
      <c r="G1" s="2008"/>
      <c r="H1" s="2008"/>
      <c r="I1" s="2008"/>
      <c r="J1" s="2008"/>
      <c r="K1" s="2010"/>
    </row>
    <row r="2" spans="1:12" x14ac:dyDescent="0.35">
      <c r="A2" s="2010"/>
      <c r="B2" s="2007" t="s">
        <v>1470</v>
      </c>
      <c r="C2" s="2008"/>
      <c r="D2" s="2008"/>
      <c r="E2" s="2008"/>
      <c r="F2" s="2008"/>
      <c r="G2" s="2008"/>
      <c r="H2" s="2008"/>
      <c r="I2" s="2008"/>
      <c r="J2" s="2008"/>
      <c r="K2" s="2010"/>
    </row>
    <row r="3" spans="1:12" x14ac:dyDescent="0.35">
      <c r="A3" s="2010"/>
      <c r="B3" s="1937" t="s">
        <v>1483</v>
      </c>
      <c r="C3" s="2008"/>
      <c r="D3" s="2008"/>
      <c r="E3" s="2008"/>
      <c r="F3" s="2008"/>
      <c r="G3" s="2008"/>
      <c r="H3" s="2008"/>
      <c r="I3" s="2008"/>
      <c r="J3" s="2008"/>
      <c r="K3" s="2010"/>
    </row>
    <row r="4" spans="1:12" x14ac:dyDescent="0.35">
      <c r="A4" s="2017"/>
      <c r="B4" s="2051" t="s">
        <v>1633</v>
      </c>
      <c r="C4" s="2052"/>
      <c r="D4" s="2052"/>
      <c r="E4" s="2052"/>
      <c r="F4" s="2052"/>
      <c r="G4" s="2052"/>
      <c r="H4" s="2052"/>
      <c r="I4" s="2052"/>
      <c r="J4" s="2052"/>
      <c r="K4" s="2053"/>
      <c r="L4" s="2015"/>
    </row>
    <row r="5" spans="1:12" x14ac:dyDescent="0.35">
      <c r="A5" s="2017"/>
      <c r="B5" s="2320" t="s">
        <v>2</v>
      </c>
      <c r="C5" s="2320"/>
      <c r="D5" s="2320"/>
      <c r="E5" s="2320"/>
      <c r="F5" s="2320"/>
      <c r="G5" s="2320"/>
      <c r="H5" s="2320"/>
      <c r="I5" s="2320"/>
      <c r="J5" s="2320"/>
      <c r="K5" s="2053"/>
      <c r="L5" s="2015"/>
    </row>
    <row r="6" spans="1:12" x14ac:dyDescent="0.35">
      <c r="A6" s="2065"/>
      <c r="B6" s="2054"/>
      <c r="C6" s="1968"/>
      <c r="D6" s="1968"/>
      <c r="E6" s="1968"/>
      <c r="F6" s="1968"/>
      <c r="G6" s="1968"/>
      <c r="H6" s="1968"/>
      <c r="I6" s="1968"/>
      <c r="J6" s="2020"/>
      <c r="K6" s="2020"/>
      <c r="L6" s="2001"/>
    </row>
    <row r="7" spans="1:12" x14ac:dyDescent="0.35">
      <c r="A7" s="2065"/>
      <c r="B7" s="2054"/>
      <c r="C7" s="1968"/>
      <c r="D7" s="1968"/>
      <c r="E7" s="1968"/>
      <c r="F7" s="1968"/>
      <c r="G7" s="1968"/>
      <c r="H7" s="2005" t="s">
        <v>1463</v>
      </c>
      <c r="I7" s="2019">
        <v>2021</v>
      </c>
      <c r="J7" s="2020"/>
      <c r="K7" s="2020"/>
      <c r="L7" s="2001"/>
    </row>
    <row r="8" spans="1:12" x14ac:dyDescent="0.35">
      <c r="A8" s="2065"/>
      <c r="B8" s="2054"/>
      <c r="C8" s="1968"/>
      <c r="D8" s="1968"/>
      <c r="E8" s="1968"/>
      <c r="F8" s="1968"/>
      <c r="G8" s="1968"/>
      <c r="H8" s="2005" t="s">
        <v>1452</v>
      </c>
      <c r="I8" s="2055" t="s">
        <v>7</v>
      </c>
      <c r="J8" s="2020"/>
      <c r="K8" s="2020"/>
      <c r="L8" s="2001"/>
    </row>
    <row r="9" spans="1:12" x14ac:dyDescent="0.35">
      <c r="A9" s="2065"/>
      <c r="B9" s="2065"/>
      <c r="C9" s="2065"/>
      <c r="D9" s="2065"/>
      <c r="E9" s="2065"/>
      <c r="F9" s="2065"/>
      <c r="G9" s="2065"/>
      <c r="H9" s="2004" t="s">
        <v>1453</v>
      </c>
      <c r="I9" s="2056"/>
      <c r="J9" s="2020"/>
      <c r="K9" s="2020"/>
      <c r="L9" s="2001"/>
    </row>
    <row r="10" spans="1:12" x14ac:dyDescent="0.35">
      <c r="A10" s="2065"/>
      <c r="B10" s="2065"/>
      <c r="C10" s="2065"/>
      <c r="D10" s="2065"/>
      <c r="E10" s="2065"/>
      <c r="F10" s="2065"/>
      <c r="G10" s="2065"/>
      <c r="H10" s="2004"/>
      <c r="I10" s="2004"/>
      <c r="J10" s="2020"/>
      <c r="K10" s="2020"/>
      <c r="L10" s="2001"/>
    </row>
    <row r="11" spans="1:12" x14ac:dyDescent="0.35">
      <c r="A11" s="1968"/>
      <c r="B11" s="2021" t="s">
        <v>981</v>
      </c>
      <c r="C11" s="2021" t="s">
        <v>982</v>
      </c>
      <c r="D11" s="2021" t="s">
        <v>983</v>
      </c>
      <c r="E11" s="2021" t="s">
        <v>984</v>
      </c>
      <c r="F11" s="2021" t="s">
        <v>985</v>
      </c>
      <c r="G11" s="2021" t="s">
        <v>986</v>
      </c>
      <c r="H11" s="2021" t="s">
        <v>987</v>
      </c>
      <c r="I11" s="2021" t="s">
        <v>988</v>
      </c>
      <c r="J11" s="2020"/>
      <c r="K11" s="2020"/>
      <c r="L11" s="2001"/>
    </row>
    <row r="12" spans="1:12" ht="15" thickBot="1" x14ac:dyDescent="0.4">
      <c r="A12" s="2065"/>
      <c r="B12" s="1968"/>
      <c r="C12" s="1968"/>
      <c r="D12" s="2065"/>
      <c r="E12" s="2065"/>
      <c r="F12" s="2065"/>
      <c r="G12" s="2065"/>
      <c r="H12" s="2065"/>
      <c r="I12" s="2065"/>
      <c r="J12" s="2069"/>
      <c r="K12" s="2020"/>
      <c r="L12" s="2001"/>
    </row>
    <row r="13" spans="1:12" ht="15" thickBot="1" x14ac:dyDescent="0.4">
      <c r="A13" s="2065"/>
      <c r="B13" s="1968"/>
      <c r="C13" s="1968"/>
      <c r="D13" s="2324" t="s">
        <v>1461</v>
      </c>
      <c r="E13" s="2325"/>
      <c r="F13" s="2325"/>
      <c r="G13" s="2325"/>
      <c r="H13" s="2325"/>
      <c r="I13" s="2326"/>
      <c r="J13" s="2069"/>
      <c r="K13" s="2020"/>
      <c r="L13" s="2001"/>
    </row>
    <row r="14" spans="1:12" ht="15" thickBot="1" x14ac:dyDescent="0.4">
      <c r="A14" s="2065"/>
      <c r="B14" s="1968"/>
      <c r="C14" s="1968"/>
      <c r="D14" s="2027"/>
      <c r="E14" s="2027"/>
      <c r="F14" s="2057" t="s">
        <v>1454</v>
      </c>
      <c r="G14" s="2058" t="s">
        <v>1455</v>
      </c>
      <c r="H14" s="2057" t="s">
        <v>1471</v>
      </c>
      <c r="I14" s="2057" t="s">
        <v>1456</v>
      </c>
      <c r="J14" s="2069"/>
      <c r="K14" s="2020"/>
      <c r="L14" s="2001"/>
    </row>
    <row r="15" spans="1:12" ht="39.5" thickBot="1" x14ac:dyDescent="0.4">
      <c r="A15" s="2029" t="s">
        <v>1437</v>
      </c>
      <c r="B15" s="2115" t="s">
        <v>1543</v>
      </c>
      <c r="C15" s="2030" t="s">
        <v>1438</v>
      </c>
      <c r="D15" s="2031" t="s">
        <v>1528</v>
      </c>
      <c r="E15" s="2031" t="s">
        <v>1538</v>
      </c>
      <c r="F15" s="2031" t="s">
        <v>1529</v>
      </c>
      <c r="G15" s="2031" t="s">
        <v>1457</v>
      </c>
      <c r="H15" s="2032" t="s">
        <v>1458</v>
      </c>
      <c r="I15" s="2032" t="s">
        <v>1459</v>
      </c>
      <c r="J15" s="2072" t="s">
        <v>9</v>
      </c>
      <c r="K15" s="2029" t="s">
        <v>1437</v>
      </c>
      <c r="L15" s="1992"/>
    </row>
    <row r="16" spans="1:12" x14ac:dyDescent="0.35">
      <c r="A16" s="1966">
        <v>1</v>
      </c>
      <c r="B16" s="2065" t="s">
        <v>1542</v>
      </c>
      <c r="C16" s="1978"/>
      <c r="D16" s="2065"/>
      <c r="E16" s="2065"/>
      <c r="F16" s="2065"/>
      <c r="G16" s="2065"/>
      <c r="H16" s="2065"/>
      <c r="I16" s="2065"/>
      <c r="J16" s="1967"/>
      <c r="K16" s="1966">
        <v>1</v>
      </c>
      <c r="L16" s="2001"/>
    </row>
    <row r="17" spans="1:12" x14ac:dyDescent="0.35">
      <c r="A17" s="1966">
        <f t="shared" ref="A17:A48" si="0">+A16+1</f>
        <v>2</v>
      </c>
      <c r="B17" s="2065" t="s">
        <v>1515</v>
      </c>
      <c r="C17" s="2066"/>
      <c r="D17" s="1930"/>
      <c r="E17" s="1930"/>
      <c r="F17" s="2065"/>
      <c r="G17" s="2065"/>
      <c r="H17" s="2065"/>
      <c r="I17" s="2065"/>
      <c r="J17" s="2025"/>
      <c r="K17" s="1966">
        <f t="shared" ref="K17:K48" si="1">+K16+1</f>
        <v>2</v>
      </c>
      <c r="L17" s="2001"/>
    </row>
    <row r="18" spans="1:12" x14ac:dyDescent="0.35">
      <c r="A18" s="1966">
        <f t="shared" si="0"/>
        <v>3</v>
      </c>
      <c r="B18" s="2065" t="s">
        <v>1516</v>
      </c>
      <c r="C18" s="2066">
        <v>190</v>
      </c>
      <c r="D18" s="1930"/>
      <c r="E18" s="1930"/>
      <c r="F18" s="2065">
        <f t="shared" ref="F18:F20" si="2">+D18*$I$9</f>
        <v>0</v>
      </c>
      <c r="G18" s="2065">
        <f t="shared" ref="G18:G20" si="3">+E18-F18</f>
        <v>0</v>
      </c>
      <c r="H18" s="2065">
        <f>IF(+$I$8="No",0,'Order 864-3'!K15)</f>
        <v>0</v>
      </c>
      <c r="I18" s="2065">
        <f t="shared" ref="I18:I20" si="4">+G18-H18</f>
        <v>0</v>
      </c>
      <c r="J18" s="2025" t="s">
        <v>647</v>
      </c>
      <c r="K18" s="1966">
        <f t="shared" si="1"/>
        <v>3</v>
      </c>
      <c r="L18" s="2001"/>
    </row>
    <row r="19" spans="1:12" x14ac:dyDescent="0.35">
      <c r="A19" s="1966">
        <f t="shared" si="0"/>
        <v>4</v>
      </c>
      <c r="B19" s="2065" t="s">
        <v>1517</v>
      </c>
      <c r="C19" s="2066">
        <v>190</v>
      </c>
      <c r="D19" s="1930"/>
      <c r="E19" s="1930"/>
      <c r="F19" s="2065">
        <f t="shared" si="2"/>
        <v>0</v>
      </c>
      <c r="G19" s="2065">
        <f t="shared" si="3"/>
        <v>0</v>
      </c>
      <c r="H19" s="2065">
        <f>IF(+$I$8="No",0,'Order 864-3'!K16)</f>
        <v>0</v>
      </c>
      <c r="I19" s="2065">
        <f t="shared" si="4"/>
        <v>0</v>
      </c>
      <c r="J19" s="2025" t="s">
        <v>647</v>
      </c>
      <c r="K19" s="1966">
        <f t="shared" si="1"/>
        <v>4</v>
      </c>
      <c r="L19" s="2001"/>
    </row>
    <row r="20" spans="1:12" x14ac:dyDescent="0.35">
      <c r="A20" s="1966">
        <f t="shared" si="0"/>
        <v>5</v>
      </c>
      <c r="B20" s="2065" t="s">
        <v>1518</v>
      </c>
      <c r="C20" s="2066">
        <v>190</v>
      </c>
      <c r="D20" s="1930"/>
      <c r="E20" s="1930"/>
      <c r="F20" s="2065">
        <f t="shared" si="2"/>
        <v>0</v>
      </c>
      <c r="G20" s="2065">
        <f t="shared" si="3"/>
        <v>0</v>
      </c>
      <c r="H20" s="2065">
        <f>IF(+$I$8="No",0,'Order 864-3'!K17)</f>
        <v>0</v>
      </c>
      <c r="I20" s="2065">
        <f t="shared" si="4"/>
        <v>0</v>
      </c>
      <c r="J20" s="2025" t="s">
        <v>647</v>
      </c>
      <c r="K20" s="1966">
        <f t="shared" si="1"/>
        <v>5</v>
      </c>
      <c r="L20" s="2001"/>
    </row>
    <row r="21" spans="1:12" x14ac:dyDescent="0.35">
      <c r="A21" s="1966">
        <f t="shared" si="0"/>
        <v>6</v>
      </c>
      <c r="B21" s="2065" t="s">
        <v>1519</v>
      </c>
      <c r="C21" s="2066"/>
      <c r="D21" s="1930"/>
      <c r="E21" s="1930"/>
      <c r="F21" s="2065"/>
      <c r="G21" s="2065"/>
      <c r="H21" s="2065"/>
      <c r="I21" s="2065"/>
      <c r="J21" s="2025"/>
      <c r="K21" s="1966">
        <f t="shared" si="1"/>
        <v>6</v>
      </c>
      <c r="L21" s="2001"/>
    </row>
    <row r="22" spans="1:12" x14ac:dyDescent="0.35">
      <c r="A22" s="1966">
        <f t="shared" si="0"/>
        <v>7</v>
      </c>
      <c r="B22" s="2065" t="s">
        <v>1520</v>
      </c>
      <c r="C22" s="2066">
        <v>190</v>
      </c>
      <c r="D22" s="1930"/>
      <c r="E22" s="1930"/>
      <c r="F22" s="2065">
        <f t="shared" ref="F22" si="5">+D22*$I$9</f>
        <v>0</v>
      </c>
      <c r="G22" s="2065">
        <f t="shared" ref="G22" si="6">+E22-F22</f>
        <v>0</v>
      </c>
      <c r="H22" s="2065">
        <f>IF(+$I$8="No",0,'Order 864-3'!K19)</f>
        <v>0</v>
      </c>
      <c r="I22" s="2065">
        <f t="shared" ref="I22" si="7">+G22-H22</f>
        <v>0</v>
      </c>
      <c r="J22" s="2025" t="s">
        <v>647</v>
      </c>
      <c r="K22" s="1966">
        <f t="shared" si="1"/>
        <v>7</v>
      </c>
      <c r="L22" s="2001"/>
    </row>
    <row r="23" spans="1:12" x14ac:dyDescent="0.35">
      <c r="A23" s="1966">
        <f t="shared" si="0"/>
        <v>8</v>
      </c>
      <c r="B23" s="2065" t="s">
        <v>1521</v>
      </c>
      <c r="C23" s="2066"/>
      <c r="D23" s="2067"/>
      <c r="E23" s="2067"/>
      <c r="F23" s="2061"/>
      <c r="G23" s="2061"/>
      <c r="H23" s="2061"/>
      <c r="I23" s="2061"/>
      <c r="J23" s="2025"/>
      <c r="K23" s="1966">
        <f t="shared" si="1"/>
        <v>8</v>
      </c>
      <c r="L23" s="2001"/>
    </row>
    <row r="24" spans="1:12" x14ac:dyDescent="0.35">
      <c r="A24" s="1966">
        <f t="shared" si="0"/>
        <v>9</v>
      </c>
      <c r="B24" s="2065" t="s">
        <v>1522</v>
      </c>
      <c r="C24" s="2066">
        <v>283</v>
      </c>
      <c r="D24" s="2067"/>
      <c r="E24" s="2067"/>
      <c r="F24" s="2061">
        <f t="shared" ref="F24:F25" si="8">+D24*$I$9</f>
        <v>0</v>
      </c>
      <c r="G24" s="2061">
        <f t="shared" ref="G24:G25" si="9">+E24-F24</f>
        <v>0</v>
      </c>
      <c r="H24" s="2061">
        <f>IF(+$I$8="No",0,'Order 864-3'!K21)</f>
        <v>0</v>
      </c>
      <c r="I24" s="2061">
        <f t="shared" ref="I24:I25" si="10">+G24-H24</f>
        <v>0</v>
      </c>
      <c r="J24" s="2025" t="s">
        <v>647</v>
      </c>
      <c r="K24" s="1966">
        <f t="shared" si="1"/>
        <v>9</v>
      </c>
      <c r="L24" s="2001"/>
    </row>
    <row r="25" spans="1:12" x14ac:dyDescent="0.35">
      <c r="A25" s="1966">
        <f t="shared" si="0"/>
        <v>10</v>
      </c>
      <c r="B25" s="2065" t="s">
        <v>1523</v>
      </c>
      <c r="C25" s="2066">
        <v>283</v>
      </c>
      <c r="D25" s="1998"/>
      <c r="E25" s="1998"/>
      <c r="F25" s="1999">
        <f t="shared" si="8"/>
        <v>0</v>
      </c>
      <c r="G25" s="1999">
        <f t="shared" si="9"/>
        <v>0</v>
      </c>
      <c r="H25" s="1999">
        <f>IF(+$I$8="No",0,'Order 864-3'!K22)</f>
        <v>0</v>
      </c>
      <c r="I25" s="1999">
        <f t="shared" si="10"/>
        <v>0</v>
      </c>
      <c r="J25" s="2025" t="s">
        <v>647</v>
      </c>
      <c r="K25" s="1966">
        <f t="shared" si="1"/>
        <v>10</v>
      </c>
      <c r="L25" s="2001"/>
    </row>
    <row r="26" spans="1:12" x14ac:dyDescent="0.35">
      <c r="A26" s="1966">
        <f t="shared" si="0"/>
        <v>11</v>
      </c>
      <c r="B26" s="1968"/>
      <c r="C26" s="1969"/>
      <c r="D26" s="2065"/>
      <c r="E26" s="2065"/>
      <c r="F26" s="2065"/>
      <c r="G26" s="2065"/>
      <c r="H26" s="2065"/>
      <c r="I26" s="2065"/>
      <c r="J26" s="1967"/>
      <c r="K26" s="1966">
        <f t="shared" si="1"/>
        <v>11</v>
      </c>
      <c r="L26" s="2001"/>
    </row>
    <row r="27" spans="1:12" ht="15" thickBot="1" x14ac:dyDescent="0.4">
      <c r="A27" s="1966">
        <f t="shared" si="0"/>
        <v>12</v>
      </c>
      <c r="B27" s="1968" t="s">
        <v>1544</v>
      </c>
      <c r="C27" s="1969"/>
      <c r="D27" s="1923">
        <f>SUM(D17:D25)</f>
        <v>0</v>
      </c>
      <c r="E27" s="1923">
        <f t="shared" ref="E27:I27" si="11">SUM(E17:E25)</f>
        <v>0</v>
      </c>
      <c r="F27" s="1923">
        <f t="shared" si="11"/>
        <v>0</v>
      </c>
      <c r="G27" s="1923">
        <f t="shared" si="11"/>
        <v>0</v>
      </c>
      <c r="H27" s="1923">
        <f t="shared" si="11"/>
        <v>0</v>
      </c>
      <c r="I27" s="1923">
        <f t="shared" si="11"/>
        <v>0</v>
      </c>
      <c r="J27" s="2025" t="s">
        <v>1533</v>
      </c>
      <c r="K27" s="1966">
        <f t="shared" si="1"/>
        <v>12</v>
      </c>
      <c r="L27" s="2001"/>
    </row>
    <row r="28" spans="1:12" ht="15" thickTop="1" x14ac:dyDescent="0.35">
      <c r="A28" s="1966">
        <f t="shared" si="0"/>
        <v>13</v>
      </c>
      <c r="B28" s="1993"/>
      <c r="C28" s="1969"/>
      <c r="D28" s="1975"/>
      <c r="E28" s="1975"/>
      <c r="F28" s="1975"/>
      <c r="G28" s="1975"/>
      <c r="H28" s="1975"/>
      <c r="I28" s="1975"/>
      <c r="J28" s="1967"/>
      <c r="K28" s="1966">
        <f t="shared" si="1"/>
        <v>13</v>
      </c>
      <c r="L28" s="2001"/>
    </row>
    <row r="29" spans="1:12" x14ac:dyDescent="0.35">
      <c r="A29" s="1966">
        <f t="shared" si="0"/>
        <v>14</v>
      </c>
      <c r="B29" s="2065" t="s">
        <v>1545</v>
      </c>
      <c r="C29" s="1976"/>
      <c r="D29" s="2065"/>
      <c r="E29" s="2065"/>
      <c r="F29" s="2065"/>
      <c r="G29" s="2065"/>
      <c r="H29" s="2065"/>
      <c r="I29" s="2065"/>
      <c r="J29" s="1967"/>
      <c r="K29" s="1966">
        <f t="shared" si="1"/>
        <v>14</v>
      </c>
      <c r="L29" s="2001"/>
    </row>
    <row r="30" spans="1:12" x14ac:dyDescent="0.35">
      <c r="A30" s="1966">
        <f t="shared" si="0"/>
        <v>15</v>
      </c>
      <c r="B30" s="2065" t="s">
        <v>849</v>
      </c>
      <c r="C30" s="1966">
        <v>190</v>
      </c>
      <c r="D30" s="2059"/>
      <c r="E30" s="1930"/>
      <c r="F30" s="2065">
        <f>+D30*$I$9</f>
        <v>0</v>
      </c>
      <c r="G30" s="2065">
        <f>+E30-F30</f>
        <v>0</v>
      </c>
      <c r="H30" s="2065">
        <f>IF(+$I$8="No",0,'Order 864-3'!K27)</f>
        <v>0</v>
      </c>
      <c r="I30" s="2065">
        <f>+G30-H30</f>
        <v>0</v>
      </c>
      <c r="J30" s="2025" t="s">
        <v>647</v>
      </c>
      <c r="K30" s="1966">
        <f t="shared" si="1"/>
        <v>15</v>
      </c>
      <c r="L30" s="2001"/>
    </row>
    <row r="31" spans="1:12" x14ac:dyDescent="0.35">
      <c r="A31" s="1966">
        <f t="shared" si="0"/>
        <v>16</v>
      </c>
      <c r="B31" s="2065" t="s">
        <v>1524</v>
      </c>
      <c r="C31" s="2066"/>
      <c r="D31" s="2059"/>
      <c r="E31" s="1930"/>
      <c r="F31" s="2065"/>
      <c r="G31" s="2065"/>
      <c r="H31" s="2065"/>
      <c r="I31" s="2065"/>
      <c r="J31" s="2025"/>
      <c r="K31" s="1966">
        <f t="shared" si="1"/>
        <v>16</v>
      </c>
      <c r="L31" s="2001"/>
    </row>
    <row r="32" spans="1:12" x14ac:dyDescent="0.35">
      <c r="A32" s="1966">
        <f t="shared" si="0"/>
        <v>17</v>
      </c>
      <c r="B32" s="2065" t="s">
        <v>1525</v>
      </c>
      <c r="C32" s="2066">
        <v>282</v>
      </c>
      <c r="D32" s="2059"/>
      <c r="E32" s="1930"/>
      <c r="F32" s="2065">
        <f t="shared" ref="F32:F34" si="12">+D32*$I$9</f>
        <v>0</v>
      </c>
      <c r="G32" s="2065">
        <f t="shared" ref="G32:G34" si="13">+E32-F32</f>
        <v>0</v>
      </c>
      <c r="H32" s="2065">
        <f>IF(+$I$8="No",0,'Order 864-3'!K29)</f>
        <v>0</v>
      </c>
      <c r="I32" s="2065">
        <f t="shared" ref="I32:I34" si="14">+G32-H32</f>
        <v>0</v>
      </c>
      <c r="J32" s="2025" t="s">
        <v>647</v>
      </c>
      <c r="K32" s="1966">
        <f t="shared" si="1"/>
        <v>17</v>
      </c>
      <c r="L32" s="2001"/>
    </row>
    <row r="33" spans="1:12" x14ac:dyDescent="0.35">
      <c r="A33" s="1966">
        <f t="shared" si="0"/>
        <v>18</v>
      </c>
      <c r="B33" s="2065" t="s">
        <v>1526</v>
      </c>
      <c r="C33" s="2066">
        <v>282</v>
      </c>
      <c r="D33" s="2059"/>
      <c r="E33" s="1930"/>
      <c r="F33" s="2065">
        <f t="shared" si="12"/>
        <v>0</v>
      </c>
      <c r="G33" s="2065">
        <f t="shared" si="13"/>
        <v>0</v>
      </c>
      <c r="H33" s="2065">
        <f>IF(+$I$8="No",0,'Order 864-3'!K30)</f>
        <v>0</v>
      </c>
      <c r="I33" s="2065">
        <f t="shared" si="14"/>
        <v>0</v>
      </c>
      <c r="J33" s="2025" t="s">
        <v>647</v>
      </c>
      <c r="K33" s="1966">
        <f t="shared" si="1"/>
        <v>18</v>
      </c>
      <c r="L33" s="2001"/>
    </row>
    <row r="34" spans="1:12" x14ac:dyDescent="0.35">
      <c r="A34" s="1966">
        <f t="shared" si="0"/>
        <v>19</v>
      </c>
      <c r="B34" s="2065" t="s">
        <v>1527</v>
      </c>
      <c r="C34" s="2066">
        <v>282</v>
      </c>
      <c r="D34" s="2059"/>
      <c r="E34" s="1930"/>
      <c r="F34" s="2065">
        <f t="shared" si="12"/>
        <v>0</v>
      </c>
      <c r="G34" s="2065">
        <f t="shared" si="13"/>
        <v>0</v>
      </c>
      <c r="H34" s="2065">
        <f>IF(+$I$8="No",0,'Order 864-3'!K31)</f>
        <v>0</v>
      </c>
      <c r="I34" s="2065">
        <f t="shared" si="14"/>
        <v>0</v>
      </c>
      <c r="J34" s="2025" t="s">
        <v>647</v>
      </c>
      <c r="K34" s="1966">
        <f t="shared" si="1"/>
        <v>19</v>
      </c>
      <c r="L34" s="2001"/>
    </row>
    <row r="35" spans="1:12" x14ac:dyDescent="0.35">
      <c r="A35" s="1966">
        <f t="shared" si="0"/>
        <v>20</v>
      </c>
      <c r="B35" s="1968" t="s">
        <v>1447</v>
      </c>
      <c r="C35" s="1969"/>
      <c r="D35" s="1934">
        <f>SUM(D30:D34)</f>
        <v>0</v>
      </c>
      <c r="E35" s="1934">
        <f t="shared" ref="E35:H35" si="15">SUM(E30:E34)</f>
        <v>0</v>
      </c>
      <c r="F35" s="1934">
        <f t="shared" si="15"/>
        <v>0</v>
      </c>
      <c r="G35" s="1934">
        <f t="shared" si="15"/>
        <v>0</v>
      </c>
      <c r="H35" s="1934">
        <f t="shared" si="15"/>
        <v>0</v>
      </c>
      <c r="I35" s="1934">
        <f>SUM(I30:I34)</f>
        <v>0</v>
      </c>
      <c r="J35" s="2025" t="s">
        <v>1534</v>
      </c>
      <c r="K35" s="1966">
        <f t="shared" si="1"/>
        <v>20</v>
      </c>
      <c r="L35" s="2001"/>
    </row>
    <row r="36" spans="1:12" x14ac:dyDescent="0.35">
      <c r="A36" s="1966">
        <f t="shared" si="0"/>
        <v>21</v>
      </c>
      <c r="B36" s="2065"/>
      <c r="C36" s="1969"/>
      <c r="D36" s="2065"/>
      <c r="E36" s="2065"/>
      <c r="F36" s="2065"/>
      <c r="G36" s="2065"/>
      <c r="H36" s="2065"/>
      <c r="I36" s="2065"/>
      <c r="J36" s="1967"/>
      <c r="K36" s="1966">
        <f t="shared" si="1"/>
        <v>21</v>
      </c>
      <c r="L36" s="2001"/>
    </row>
    <row r="37" spans="1:12" x14ac:dyDescent="0.35">
      <c r="A37" s="1966">
        <f t="shared" si="0"/>
        <v>22</v>
      </c>
      <c r="B37" s="2065" t="s">
        <v>1546</v>
      </c>
      <c r="C37" s="1978"/>
      <c r="D37" s="2065"/>
      <c r="E37" s="2065"/>
      <c r="F37" s="2065"/>
      <c r="G37" s="2065"/>
      <c r="H37" s="2065"/>
      <c r="I37" s="2065"/>
      <c r="J37" s="1967"/>
      <c r="K37" s="1966">
        <f t="shared" si="1"/>
        <v>22</v>
      </c>
      <c r="L37" s="2001"/>
    </row>
    <row r="38" spans="1:12" x14ac:dyDescent="0.35">
      <c r="A38" s="1966">
        <f t="shared" si="0"/>
        <v>23</v>
      </c>
      <c r="B38" s="2065" t="s">
        <v>1448</v>
      </c>
      <c r="C38" s="1966">
        <v>282</v>
      </c>
      <c r="D38" s="1930"/>
      <c r="E38" s="1930"/>
      <c r="F38" s="2065">
        <f t="shared" ref="F38:F40" si="16">+D38*$I$9</f>
        <v>0</v>
      </c>
      <c r="G38" s="2065">
        <f t="shared" ref="G38:G40" si="17">+E38-F38</f>
        <v>0</v>
      </c>
      <c r="H38" s="2065">
        <f>IF(+$I$8="No",0,'Order 864-3'!K35)</f>
        <v>0</v>
      </c>
      <c r="I38" s="2065">
        <f t="shared" ref="I38:I40" si="18">+G38-H38</f>
        <v>0</v>
      </c>
      <c r="J38" s="2025" t="s">
        <v>647</v>
      </c>
      <c r="K38" s="1966">
        <f t="shared" si="1"/>
        <v>23</v>
      </c>
      <c r="L38" s="2001"/>
    </row>
    <row r="39" spans="1:12" x14ac:dyDescent="0.35">
      <c r="A39" s="1966">
        <f t="shared" si="0"/>
        <v>24</v>
      </c>
      <c r="B39" s="2065" t="s">
        <v>1449</v>
      </c>
      <c r="C39" s="1966">
        <v>282</v>
      </c>
      <c r="D39" s="1930"/>
      <c r="E39" s="1930"/>
      <c r="F39" s="2065">
        <f t="shared" si="16"/>
        <v>0</v>
      </c>
      <c r="G39" s="2065">
        <f t="shared" si="17"/>
        <v>0</v>
      </c>
      <c r="H39" s="2065">
        <f>IF(+$I$8="No",0,'Order 864-3'!K36)</f>
        <v>0</v>
      </c>
      <c r="I39" s="2065">
        <f t="shared" si="18"/>
        <v>0</v>
      </c>
      <c r="J39" s="2025" t="s">
        <v>647</v>
      </c>
      <c r="K39" s="1966">
        <f t="shared" si="1"/>
        <v>24</v>
      </c>
      <c r="L39" s="2001"/>
    </row>
    <row r="40" spans="1:12" x14ac:dyDescent="0.35">
      <c r="A40" s="1966">
        <f t="shared" si="0"/>
        <v>25</v>
      </c>
      <c r="B40" s="2065" t="s">
        <v>1450</v>
      </c>
      <c r="C40" s="1979">
        <v>282</v>
      </c>
      <c r="D40" s="1930"/>
      <c r="E40" s="1930"/>
      <c r="F40" s="2065">
        <f t="shared" si="16"/>
        <v>0</v>
      </c>
      <c r="G40" s="2065">
        <f t="shared" si="17"/>
        <v>0</v>
      </c>
      <c r="H40" s="2065">
        <f>IF(+$I$8="No",0,'Order 864-3'!K37)</f>
        <v>0</v>
      </c>
      <c r="I40" s="2065">
        <f t="shared" si="18"/>
        <v>0</v>
      </c>
      <c r="J40" s="2025" t="s">
        <v>647</v>
      </c>
      <c r="K40" s="1966">
        <f t="shared" si="1"/>
        <v>25</v>
      </c>
      <c r="L40" s="2001"/>
    </row>
    <row r="41" spans="1:12" x14ac:dyDescent="0.35">
      <c r="A41" s="1966">
        <f t="shared" si="0"/>
        <v>26</v>
      </c>
      <c r="B41" s="1968" t="s">
        <v>1447</v>
      </c>
      <c r="C41" s="1969"/>
      <c r="D41" s="1934">
        <f t="shared" ref="D41:I41" si="19">SUM(D38:D40)</f>
        <v>0</v>
      </c>
      <c r="E41" s="1934">
        <f t="shared" si="19"/>
        <v>0</v>
      </c>
      <c r="F41" s="1934">
        <f t="shared" si="19"/>
        <v>0</v>
      </c>
      <c r="G41" s="1934">
        <f t="shared" si="19"/>
        <v>0</v>
      </c>
      <c r="H41" s="1934">
        <f t="shared" si="19"/>
        <v>0</v>
      </c>
      <c r="I41" s="1934">
        <f t="shared" si="19"/>
        <v>0</v>
      </c>
      <c r="J41" s="2025" t="s">
        <v>1535</v>
      </c>
      <c r="K41" s="1966">
        <f t="shared" si="1"/>
        <v>26</v>
      </c>
      <c r="L41" s="2001"/>
    </row>
    <row r="42" spans="1:12" x14ac:dyDescent="0.35">
      <c r="A42" s="1966">
        <f t="shared" si="0"/>
        <v>27</v>
      </c>
      <c r="B42" s="1993"/>
      <c r="C42" s="1969"/>
      <c r="D42" s="2060"/>
      <c r="E42" s="2060"/>
      <c r="F42" s="2060"/>
      <c r="G42" s="2060"/>
      <c r="H42" s="2060"/>
      <c r="I42" s="2060"/>
      <c r="J42" s="1967"/>
      <c r="K42" s="1966">
        <f t="shared" si="1"/>
        <v>27</v>
      </c>
      <c r="L42" s="2001"/>
    </row>
    <row r="43" spans="1:12" x14ac:dyDescent="0.35">
      <c r="A43" s="1966">
        <f t="shared" si="0"/>
        <v>28</v>
      </c>
      <c r="B43" s="2065" t="s">
        <v>1546</v>
      </c>
      <c r="C43" s="1969"/>
      <c r="D43" s="2061"/>
      <c r="E43" s="2061"/>
      <c r="F43" s="2061"/>
      <c r="G43" s="2061"/>
      <c r="H43" s="2061"/>
      <c r="I43" s="2061"/>
      <c r="J43" s="1967"/>
      <c r="K43" s="1966">
        <f t="shared" si="1"/>
        <v>28</v>
      </c>
      <c r="L43" s="2001"/>
    </row>
    <row r="44" spans="1:12" x14ac:dyDescent="0.35">
      <c r="A44" s="1966">
        <f t="shared" si="0"/>
        <v>29</v>
      </c>
      <c r="B44" s="2065" t="s">
        <v>1491</v>
      </c>
      <c r="C44" s="1979">
        <v>282</v>
      </c>
      <c r="D44" s="2062"/>
      <c r="E44" s="2062"/>
      <c r="F44" s="2063">
        <f t="shared" ref="F44" si="20">+D44*$I$9</f>
        <v>0</v>
      </c>
      <c r="G44" s="2063">
        <f>+E44-F44</f>
        <v>0</v>
      </c>
      <c r="H44" s="2063">
        <f>IF(+$I$8="No",0,'Order 864-3'!K41)</f>
        <v>0</v>
      </c>
      <c r="I44" s="2063">
        <f>+G44-H44</f>
        <v>0</v>
      </c>
      <c r="J44" s="2025" t="s">
        <v>647</v>
      </c>
      <c r="K44" s="1966">
        <f t="shared" si="1"/>
        <v>29</v>
      </c>
      <c r="L44" s="2001"/>
    </row>
    <row r="45" spans="1:12" x14ac:dyDescent="0.35">
      <c r="A45" s="1966">
        <f t="shared" si="0"/>
        <v>30</v>
      </c>
      <c r="B45" s="2065"/>
      <c r="C45" s="1969"/>
      <c r="D45" s="1982"/>
      <c r="E45" s="1982"/>
      <c r="F45" s="1982"/>
      <c r="G45" s="1982"/>
      <c r="H45" s="1982"/>
      <c r="I45" s="1982"/>
      <c r="J45" s="1967"/>
      <c r="K45" s="1966">
        <f t="shared" si="1"/>
        <v>30</v>
      </c>
      <c r="L45" s="2001"/>
    </row>
    <row r="46" spans="1:12" ht="15" thickBot="1" x14ac:dyDescent="0.4">
      <c r="A46" s="1966">
        <f t="shared" si="0"/>
        <v>31</v>
      </c>
      <c r="B46" s="1968" t="s">
        <v>1548</v>
      </c>
      <c r="C46" s="1969"/>
      <c r="D46" s="1973">
        <f t="shared" ref="D46:I46" si="21">D35+D41+D44</f>
        <v>0</v>
      </c>
      <c r="E46" s="1973">
        <f t="shared" si="21"/>
        <v>0</v>
      </c>
      <c r="F46" s="1973">
        <f t="shared" si="21"/>
        <v>0</v>
      </c>
      <c r="G46" s="1973">
        <f t="shared" si="21"/>
        <v>0</v>
      </c>
      <c r="H46" s="1973">
        <f t="shared" si="21"/>
        <v>0</v>
      </c>
      <c r="I46" s="1973">
        <f t="shared" si="21"/>
        <v>0</v>
      </c>
      <c r="J46" s="2073" t="s">
        <v>1536</v>
      </c>
      <c r="K46" s="1966">
        <f t="shared" si="1"/>
        <v>31</v>
      </c>
      <c r="L46" s="2001"/>
    </row>
    <row r="47" spans="1:12" ht="15" thickTop="1" x14ac:dyDescent="0.35">
      <c r="A47" s="1966">
        <f t="shared" si="0"/>
        <v>32</v>
      </c>
      <c r="B47" s="2065"/>
      <c r="C47" s="1969"/>
      <c r="D47" s="2065"/>
      <c r="E47" s="2065"/>
      <c r="F47" s="2065"/>
      <c r="G47" s="2065"/>
      <c r="H47" s="2065"/>
      <c r="I47" s="2065"/>
      <c r="J47" s="1967"/>
      <c r="K47" s="1966">
        <f t="shared" si="1"/>
        <v>32</v>
      </c>
      <c r="L47" s="2001"/>
    </row>
    <row r="48" spans="1:12" ht="15" thickBot="1" x14ac:dyDescent="0.4">
      <c r="A48" s="1966">
        <f t="shared" si="0"/>
        <v>33</v>
      </c>
      <c r="B48" s="1968" t="s">
        <v>1549</v>
      </c>
      <c r="C48" s="2065"/>
      <c r="D48" s="1973">
        <f t="shared" ref="D48:I48" si="22">D27+D46</f>
        <v>0</v>
      </c>
      <c r="E48" s="1973">
        <f t="shared" si="22"/>
        <v>0</v>
      </c>
      <c r="F48" s="1973">
        <f t="shared" si="22"/>
        <v>0</v>
      </c>
      <c r="G48" s="1973">
        <f t="shared" si="22"/>
        <v>0</v>
      </c>
      <c r="H48" s="1973">
        <f t="shared" si="22"/>
        <v>0</v>
      </c>
      <c r="I48" s="1973">
        <f t="shared" si="22"/>
        <v>0</v>
      </c>
      <c r="J48" s="2025" t="s">
        <v>1537</v>
      </c>
      <c r="K48" s="1966">
        <f t="shared" si="1"/>
        <v>33</v>
      </c>
      <c r="L48" s="2001"/>
    </row>
    <row r="49" spans="1:12" ht="15" thickTop="1" x14ac:dyDescent="0.35">
      <c r="A49" s="2036"/>
      <c r="B49" s="2065"/>
      <c r="C49" s="2065"/>
      <c r="D49" s="2065"/>
      <c r="E49" s="2065"/>
      <c r="F49" s="2065"/>
      <c r="G49" s="2065"/>
      <c r="H49" s="2065"/>
      <c r="I49" s="2065"/>
      <c r="J49" s="2074"/>
      <c r="K49" s="2001"/>
      <c r="L49" s="2001"/>
    </row>
    <row r="50" spans="1:12" x14ac:dyDescent="0.35">
      <c r="A50" s="2036"/>
      <c r="B50" s="1912" t="s">
        <v>1460</v>
      </c>
      <c r="C50" s="2065"/>
      <c r="D50" s="2065"/>
      <c r="E50" s="2065"/>
      <c r="F50" s="2065"/>
      <c r="G50" s="2065"/>
      <c r="H50" s="2065"/>
      <c r="I50" s="2065"/>
      <c r="J50" s="2001"/>
      <c r="K50" s="2001"/>
      <c r="L50" s="2001"/>
    </row>
    <row r="51" spans="1:12" ht="15.5" x14ac:dyDescent="0.45">
      <c r="A51" s="2036"/>
      <c r="B51" s="1989" t="s">
        <v>1514</v>
      </c>
      <c r="C51" s="2065"/>
      <c r="D51" s="2065"/>
      <c r="E51" s="2065"/>
      <c r="F51" s="2065"/>
      <c r="G51" s="2065"/>
      <c r="H51" s="2065"/>
      <c r="I51" s="2065"/>
      <c r="J51" s="2001"/>
      <c r="K51" s="2001"/>
      <c r="L51" s="2001"/>
    </row>
    <row r="52" spans="1:12" x14ac:dyDescent="0.35">
      <c r="A52" s="2036"/>
      <c r="B52" s="1989" t="s">
        <v>1821</v>
      </c>
      <c r="C52" s="2065"/>
      <c r="D52" s="2065"/>
      <c r="E52" s="2065"/>
      <c r="F52" s="2065"/>
      <c r="G52" s="2065"/>
      <c r="H52" s="2065"/>
      <c r="I52" s="2065"/>
      <c r="J52" s="2001"/>
      <c r="K52" s="2001"/>
      <c r="L52" s="2001"/>
    </row>
    <row r="53" spans="1:12" x14ac:dyDescent="0.35">
      <c r="A53" s="2036"/>
      <c r="B53" s="1912" t="s">
        <v>1451</v>
      </c>
      <c r="C53" s="1986"/>
      <c r="D53" s="2065"/>
      <c r="E53" s="2065"/>
      <c r="F53" s="2065"/>
      <c r="G53" s="2065"/>
      <c r="H53" s="2065"/>
      <c r="I53" s="2065"/>
      <c r="J53" s="2001"/>
      <c r="K53" s="2001"/>
      <c r="L53" s="2001"/>
    </row>
    <row r="54" spans="1:12" x14ac:dyDescent="0.35">
      <c r="A54" s="2036"/>
      <c r="B54" s="2102" t="s">
        <v>1571</v>
      </c>
      <c r="C54" s="1987"/>
      <c r="D54" s="1987"/>
      <c r="E54" s="1987"/>
      <c r="F54" s="2065"/>
      <c r="G54" s="2065"/>
      <c r="H54" s="2065"/>
      <c r="I54" s="2065"/>
      <c r="J54" s="2001"/>
      <c r="K54" s="2001"/>
      <c r="L54" s="2001"/>
    </row>
    <row r="55" spans="1:12" x14ac:dyDescent="0.35">
      <c r="A55" s="2036"/>
      <c r="B55" s="2102" t="s">
        <v>1576</v>
      </c>
      <c r="C55" s="1987"/>
      <c r="D55" s="1987"/>
      <c r="E55" s="1987"/>
      <c r="F55" s="2065"/>
      <c r="G55" s="2065"/>
      <c r="H55" s="2065"/>
      <c r="I55" s="2065"/>
      <c r="J55" s="2001"/>
      <c r="K55" s="2001"/>
      <c r="L55" s="2001"/>
    </row>
    <row r="56" spans="1:12" x14ac:dyDescent="0.35">
      <c r="A56" s="2036"/>
      <c r="B56" s="2102" t="s">
        <v>1577</v>
      </c>
      <c r="C56" s="1967"/>
      <c r="D56" s="1967"/>
      <c r="E56" s="1967"/>
      <c r="F56" s="1988"/>
      <c r="G56" s="1988"/>
      <c r="H56" s="1967"/>
      <c r="I56" s="1967"/>
      <c r="J56" s="2074"/>
      <c r="K56" s="2001"/>
      <c r="L56" s="2001"/>
    </row>
    <row r="57" spans="1:12" x14ac:dyDescent="0.35">
      <c r="A57" s="1987"/>
      <c r="B57" s="2102" t="s">
        <v>1547</v>
      </c>
      <c r="C57" s="1988"/>
      <c r="D57" s="1988"/>
      <c r="E57" s="1988"/>
      <c r="F57" s="1988"/>
      <c r="G57" s="1988"/>
      <c r="H57" s="1988"/>
      <c r="I57" s="1988"/>
      <c r="J57" s="2074"/>
      <c r="K57" s="2001"/>
      <c r="L57" s="2001"/>
    </row>
    <row r="58" spans="1:12" x14ac:dyDescent="0.35">
      <c r="A58" s="1987"/>
      <c r="B58" s="2103" t="s">
        <v>1585</v>
      </c>
      <c r="C58" s="1987"/>
      <c r="D58" s="1987"/>
      <c r="E58" s="1987"/>
      <c r="F58" s="1987"/>
      <c r="G58" s="1987"/>
      <c r="H58" s="1987"/>
      <c r="I58" s="1987"/>
      <c r="J58" s="2001"/>
      <c r="K58" s="2001"/>
      <c r="L58" s="2001"/>
    </row>
    <row r="59" spans="1:12" x14ac:dyDescent="0.35">
      <c r="A59" s="1987"/>
      <c r="B59" s="2102" t="s">
        <v>1572</v>
      </c>
      <c r="C59" s="1988"/>
      <c r="D59" s="1988"/>
      <c r="E59" s="1988"/>
      <c r="F59" s="1988"/>
      <c r="G59" s="1988"/>
      <c r="H59" s="1988"/>
      <c r="I59" s="1988"/>
      <c r="J59" s="2074"/>
      <c r="K59" s="2001"/>
      <c r="L59" s="2001"/>
    </row>
    <row r="60" spans="1:12" x14ac:dyDescent="0.35">
      <c r="A60" s="1987"/>
      <c r="B60" s="2102" t="s">
        <v>1573</v>
      </c>
      <c r="C60" s="1988"/>
      <c r="D60" s="1988"/>
      <c r="E60" s="1988"/>
      <c r="F60" s="1988"/>
      <c r="G60" s="1988"/>
      <c r="H60" s="1988"/>
      <c r="I60" s="1988"/>
      <c r="J60" s="2074"/>
      <c r="K60" s="2001"/>
      <c r="L60" s="2001"/>
    </row>
    <row r="61" spans="1:12" x14ac:dyDescent="0.35">
      <c r="A61" s="1987"/>
      <c r="B61" s="2102" t="s">
        <v>1578</v>
      </c>
      <c r="C61" s="2074"/>
      <c r="D61" s="2074"/>
      <c r="E61" s="2074"/>
      <c r="F61" s="1988"/>
      <c r="G61" s="1988"/>
      <c r="H61" s="1988"/>
      <c r="I61" s="1988"/>
      <c r="J61" s="2074"/>
      <c r="K61" s="2001"/>
      <c r="L61" s="2001"/>
    </row>
    <row r="62" spans="1:12" x14ac:dyDescent="0.35">
      <c r="A62" s="1987"/>
      <c r="B62" s="2102" t="s">
        <v>1574</v>
      </c>
      <c r="C62" s="1988"/>
      <c r="D62" s="1988"/>
      <c r="E62" s="1988"/>
      <c r="F62" s="1988"/>
      <c r="G62" s="1988"/>
      <c r="H62" s="1988"/>
      <c r="I62" s="1988"/>
      <c r="J62" s="2074"/>
      <c r="K62" s="2001"/>
      <c r="L62" s="2001"/>
    </row>
  </sheetData>
  <mergeCells count="2">
    <mergeCell ref="B5:J5"/>
    <mergeCell ref="D13:I13"/>
  </mergeCells>
  <printOptions horizontalCentered="1"/>
  <pageMargins left="0.25" right="0.25" top="0.5" bottom="0.5" header="0.25" footer="0.25"/>
  <pageSetup scale="57" orientation="landscape" r:id="rId1"/>
  <headerFooter scaleWithDoc="0">
    <oddFooter>&amp;C&amp;"Times New Roman,Regular"&amp;10&amp;A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Q46"/>
  <sheetViews>
    <sheetView zoomScale="80" zoomScaleNormal="80" workbookViewId="0"/>
  </sheetViews>
  <sheetFormatPr defaultColWidth="9.08984375" defaultRowHeight="15.5" x14ac:dyDescent="0.35"/>
  <cols>
    <col min="1" max="1" width="5.08984375" style="945" customWidth="1"/>
    <col min="2" max="2" width="12.54296875" style="7" customWidth="1"/>
    <col min="3" max="3" width="20" style="7" customWidth="1"/>
    <col min="4" max="5" width="21.54296875" style="7" customWidth="1"/>
    <col min="6" max="7" width="21.54296875" style="229" customWidth="1"/>
    <col min="8" max="8" width="22.90625" style="7" bestFit="1" customWidth="1"/>
    <col min="9" max="13" width="21.54296875" style="7" customWidth="1"/>
    <col min="14" max="14" width="5.08984375" style="945" customWidth="1"/>
    <col min="15" max="15" width="13.54296875" style="7" customWidth="1"/>
    <col min="16" max="16" width="12.54296875" style="7" customWidth="1"/>
    <col min="17" max="16384" width="9.08984375" style="7"/>
  </cols>
  <sheetData>
    <row r="1" spans="1:14" x14ac:dyDescent="0.35">
      <c r="I1" s="1343"/>
    </row>
    <row r="2" spans="1:14" x14ac:dyDescent="0.35">
      <c r="B2" s="2308" t="s">
        <v>18</v>
      </c>
      <c r="C2" s="2308"/>
      <c r="D2" s="2308"/>
      <c r="E2" s="2308"/>
      <c r="F2" s="2308"/>
      <c r="G2" s="2308"/>
      <c r="H2" s="2308"/>
      <c r="I2" s="2308"/>
      <c r="J2" s="2308"/>
      <c r="K2" s="2308"/>
      <c r="L2" s="2308"/>
      <c r="M2" s="2308"/>
      <c r="N2" s="1732"/>
    </row>
    <row r="3" spans="1:14" x14ac:dyDescent="0.35">
      <c r="B3" s="2315" t="s">
        <v>1635</v>
      </c>
      <c r="C3" s="2315"/>
      <c r="D3" s="2315"/>
      <c r="E3" s="2315"/>
      <c r="F3" s="2315"/>
      <c r="G3" s="2315"/>
      <c r="H3" s="2315"/>
      <c r="I3" s="2315"/>
      <c r="J3" s="2315"/>
      <c r="K3" s="2315"/>
      <c r="L3" s="2315"/>
      <c r="M3" s="2315"/>
      <c r="N3" s="1732"/>
    </row>
    <row r="4" spans="1:14" x14ac:dyDescent="0.35">
      <c r="B4" s="2315" t="s">
        <v>1636</v>
      </c>
      <c r="C4" s="2315"/>
      <c r="D4" s="2315"/>
      <c r="E4" s="2315"/>
      <c r="F4" s="2315"/>
      <c r="G4" s="2315"/>
      <c r="H4" s="2315"/>
      <c r="I4" s="2315"/>
      <c r="J4" s="2315"/>
      <c r="K4" s="2315"/>
      <c r="L4" s="2315"/>
      <c r="M4" s="2315"/>
      <c r="N4" s="1732"/>
    </row>
    <row r="5" spans="1:14" x14ac:dyDescent="0.35">
      <c r="B5" s="2327" t="s">
        <v>2</v>
      </c>
      <c r="C5" s="2327"/>
      <c r="D5" s="2327"/>
      <c r="E5" s="2327"/>
      <c r="F5" s="2327"/>
      <c r="G5" s="2327"/>
      <c r="H5" s="2327"/>
      <c r="I5" s="2327"/>
      <c r="J5" s="2327"/>
      <c r="K5" s="2327"/>
      <c r="L5" s="2327"/>
      <c r="M5" s="2327"/>
      <c r="N5" s="1732"/>
    </row>
    <row r="6" spans="1:14" x14ac:dyDescent="0.35">
      <c r="A6" s="1732"/>
      <c r="B6" s="1732"/>
      <c r="C6" s="1732"/>
      <c r="D6" s="1732"/>
      <c r="E6" s="1732"/>
      <c r="F6" s="1732"/>
      <c r="G6" s="1732"/>
      <c r="H6" s="1732"/>
      <c r="I6" s="1732"/>
      <c r="J6" s="1732"/>
      <c r="K6" s="1732"/>
      <c r="L6" s="1732"/>
      <c r="M6" s="1732"/>
      <c r="N6" s="1732"/>
    </row>
    <row r="7" spans="1:14" x14ac:dyDescent="0.35">
      <c r="A7" s="1730" t="s">
        <v>3</v>
      </c>
      <c r="B7" s="944"/>
      <c r="E7" s="1345"/>
      <c r="F7" s="1346"/>
      <c r="G7" s="1346"/>
      <c r="N7" s="1730" t="s">
        <v>3</v>
      </c>
    </row>
    <row r="8" spans="1:14" x14ac:dyDescent="0.35">
      <c r="A8" s="6" t="s">
        <v>25</v>
      </c>
      <c r="B8" s="944"/>
      <c r="E8" s="1345"/>
      <c r="F8" s="1346"/>
      <c r="G8" s="1346"/>
      <c r="N8" s="6" t="s">
        <v>25</v>
      </c>
    </row>
    <row r="9" spans="1:14" x14ac:dyDescent="0.35">
      <c r="A9" s="1347"/>
      <c r="B9" s="944"/>
      <c r="E9" s="1345"/>
      <c r="F9" s="1305" t="s">
        <v>9</v>
      </c>
      <c r="G9" s="1305"/>
      <c r="H9" s="331"/>
      <c r="N9" s="1347"/>
    </row>
    <row r="10" spans="1:14" ht="18" x14ac:dyDescent="0.35">
      <c r="A10" s="1730">
        <v>1</v>
      </c>
      <c r="B10" s="1345" t="s">
        <v>945</v>
      </c>
      <c r="C10" s="953"/>
      <c r="E10" s="233">
        <f>'TO5 True-Up BK-1'!E93</f>
        <v>986580.3395142887</v>
      </c>
      <c r="F10" s="1345" t="s">
        <v>1642</v>
      </c>
      <c r="G10" s="1345"/>
      <c r="H10" s="227"/>
      <c r="I10" s="227"/>
      <c r="N10" s="1730">
        <f>A10</f>
        <v>1</v>
      </c>
    </row>
    <row r="11" spans="1:14" x14ac:dyDescent="0.35">
      <c r="A11" s="1730">
        <f>A10+1</f>
        <v>2</v>
      </c>
      <c r="B11" s="229" t="s">
        <v>732</v>
      </c>
      <c r="D11" s="618">
        <v>1.0274999999999999E-2</v>
      </c>
      <c r="E11" s="251">
        <f>E10*D11</f>
        <v>10137.112988509316</v>
      </c>
      <c r="F11" s="229" t="s">
        <v>997</v>
      </c>
      <c r="H11" s="81"/>
      <c r="I11" s="1348"/>
      <c r="J11" s="1348"/>
      <c r="N11" s="1730">
        <f>N10+1</f>
        <v>2</v>
      </c>
    </row>
    <row r="12" spans="1:14" ht="18.5" thickBot="1" x14ac:dyDescent="0.4">
      <c r="A12" s="1730">
        <f t="shared" ref="A12:A35" si="0">A11+1</f>
        <v>3</v>
      </c>
      <c r="B12" s="229" t="s">
        <v>1701</v>
      </c>
      <c r="D12" s="618">
        <v>1.73E-3</v>
      </c>
      <c r="E12" s="1889">
        <f>E10*D12</f>
        <v>1706.7839873597195</v>
      </c>
      <c r="F12" s="1349" t="s">
        <v>998</v>
      </c>
      <c r="G12" s="1349"/>
      <c r="H12" s="499"/>
      <c r="I12" s="1348"/>
      <c r="J12" s="1348"/>
      <c r="N12" s="1730">
        <f t="shared" ref="N12:N35" si="1">N11+1</f>
        <v>3</v>
      </c>
    </row>
    <row r="13" spans="1:14" ht="16" thickTop="1" x14ac:dyDescent="0.35">
      <c r="A13" s="1730">
        <f t="shared" si="0"/>
        <v>4</v>
      </c>
      <c r="B13" s="229" t="s">
        <v>788</v>
      </c>
      <c r="E13" s="432">
        <f>E10+E11+E12</f>
        <v>998424.23649015778</v>
      </c>
      <c r="F13" s="1349" t="s">
        <v>1203</v>
      </c>
      <c r="G13" s="1349"/>
      <c r="H13" s="499"/>
      <c r="I13" s="1348"/>
      <c r="J13" s="1348"/>
      <c r="N13" s="1730">
        <f t="shared" si="1"/>
        <v>4</v>
      </c>
    </row>
    <row r="14" spans="1:14" x14ac:dyDescent="0.35">
      <c r="A14" s="1730">
        <f t="shared" si="0"/>
        <v>5</v>
      </c>
      <c r="E14" s="1350"/>
      <c r="I14" s="1348"/>
      <c r="J14" s="1348"/>
      <c r="N14" s="1730">
        <f t="shared" si="1"/>
        <v>5</v>
      </c>
    </row>
    <row r="15" spans="1:14" x14ac:dyDescent="0.35">
      <c r="A15" s="1730">
        <f t="shared" si="0"/>
        <v>6</v>
      </c>
      <c r="C15" s="1351" t="s">
        <v>981</v>
      </c>
      <c r="D15" s="1351" t="s">
        <v>982</v>
      </c>
      <c r="E15" s="1351" t="s">
        <v>983</v>
      </c>
      <c r="F15" s="1352" t="s">
        <v>984</v>
      </c>
      <c r="G15" s="1352" t="s">
        <v>985</v>
      </c>
      <c r="H15" s="1352" t="s">
        <v>986</v>
      </c>
      <c r="I15" s="1351" t="s">
        <v>987</v>
      </c>
      <c r="J15" s="1351" t="s">
        <v>988</v>
      </c>
      <c r="K15" s="1351" t="s">
        <v>989</v>
      </c>
      <c r="L15" s="1351" t="s">
        <v>990</v>
      </c>
      <c r="M15" s="1351" t="s">
        <v>991</v>
      </c>
      <c r="N15" s="1730">
        <f t="shared" si="1"/>
        <v>6</v>
      </c>
    </row>
    <row r="16" spans="1:14" x14ac:dyDescent="0.35">
      <c r="A16" s="1730">
        <f t="shared" si="0"/>
        <v>7</v>
      </c>
      <c r="B16" s="949" t="s">
        <v>668</v>
      </c>
      <c r="C16" s="1730"/>
      <c r="D16" s="1730" t="s">
        <v>999</v>
      </c>
      <c r="E16" s="1730"/>
      <c r="F16" s="1304" t="s">
        <v>1000</v>
      </c>
      <c r="G16" s="1304"/>
      <c r="H16" s="1303" t="s">
        <v>1001</v>
      </c>
      <c r="I16" s="414" t="s">
        <v>1002</v>
      </c>
      <c r="J16" s="1730"/>
      <c r="K16" s="1730" t="s">
        <v>1003</v>
      </c>
      <c r="L16" s="1730" t="s">
        <v>1004</v>
      </c>
      <c r="M16" s="414" t="s">
        <v>1005</v>
      </c>
      <c r="N16" s="1730">
        <f t="shared" si="1"/>
        <v>7</v>
      </c>
    </row>
    <row r="17" spans="1:17" x14ac:dyDescent="0.35">
      <c r="A17" s="1730">
        <f t="shared" si="0"/>
        <v>8</v>
      </c>
      <c r="B17" s="949"/>
      <c r="C17" s="1730"/>
      <c r="D17" s="1730"/>
      <c r="E17" s="1730"/>
      <c r="F17" s="1304"/>
      <c r="G17" s="1304"/>
      <c r="H17" s="1303"/>
      <c r="I17" s="414"/>
      <c r="J17" s="1730"/>
      <c r="K17" s="1730"/>
      <c r="L17" s="1730"/>
      <c r="M17" s="414"/>
      <c r="N17" s="1730">
        <f t="shared" si="1"/>
        <v>8</v>
      </c>
    </row>
    <row r="18" spans="1:17" x14ac:dyDescent="0.35">
      <c r="A18" s="1730">
        <f t="shared" si="0"/>
        <v>9</v>
      </c>
      <c r="C18" s="1351"/>
      <c r="H18" s="1353"/>
      <c r="K18" s="1726" t="s">
        <v>669</v>
      </c>
      <c r="M18" s="1726" t="s">
        <v>669</v>
      </c>
      <c r="N18" s="1730">
        <f t="shared" si="1"/>
        <v>9</v>
      </c>
    </row>
    <row r="19" spans="1:17" x14ac:dyDescent="0.35">
      <c r="A19" s="1730">
        <f t="shared" si="0"/>
        <v>10</v>
      </c>
      <c r="C19" s="1351"/>
      <c r="F19" s="1353"/>
      <c r="G19" s="1353"/>
      <c r="H19" s="1354"/>
      <c r="I19" s="1726" t="s">
        <v>670</v>
      </c>
      <c r="J19" s="1726"/>
      <c r="K19" s="1726" t="s">
        <v>794</v>
      </c>
      <c r="M19" s="1726" t="s">
        <v>794</v>
      </c>
      <c r="N19" s="1730">
        <f t="shared" si="1"/>
        <v>10</v>
      </c>
    </row>
    <row r="20" spans="1:17" x14ac:dyDescent="0.35">
      <c r="A20" s="1730">
        <f t="shared" si="0"/>
        <v>11</v>
      </c>
      <c r="C20" s="1726"/>
      <c r="D20" s="1726" t="s">
        <v>670</v>
      </c>
      <c r="E20" s="1354" t="s">
        <v>670</v>
      </c>
      <c r="F20" s="1354" t="s">
        <v>790</v>
      </c>
      <c r="G20" s="1354"/>
      <c r="H20" s="1354" t="s">
        <v>796</v>
      </c>
      <c r="I20" s="1726" t="s">
        <v>794</v>
      </c>
      <c r="J20" s="1726" t="s">
        <v>670</v>
      </c>
      <c r="K20" s="1726" t="s">
        <v>795</v>
      </c>
      <c r="M20" s="1726" t="s">
        <v>795</v>
      </c>
      <c r="N20" s="1730">
        <f t="shared" si="1"/>
        <v>11</v>
      </c>
    </row>
    <row r="21" spans="1:17" x14ac:dyDescent="0.35">
      <c r="A21" s="1730">
        <f t="shared" si="0"/>
        <v>12</v>
      </c>
      <c r="C21" s="1726"/>
      <c r="D21" s="1726" t="s">
        <v>970</v>
      </c>
      <c r="E21" s="1354" t="s">
        <v>970</v>
      </c>
      <c r="F21" s="1354" t="s">
        <v>970</v>
      </c>
      <c r="G21" s="1354" t="s">
        <v>964</v>
      </c>
      <c r="H21" s="1354" t="s">
        <v>970</v>
      </c>
      <c r="I21" s="1726" t="s">
        <v>795</v>
      </c>
      <c r="J21" s="1726" t="s">
        <v>672</v>
      </c>
      <c r="K21" s="1726" t="s">
        <v>671</v>
      </c>
      <c r="L21" s="1726"/>
      <c r="M21" s="1726" t="s">
        <v>671</v>
      </c>
      <c r="N21" s="1730">
        <f t="shared" si="1"/>
        <v>12</v>
      </c>
    </row>
    <row r="22" spans="1:17" ht="18" x14ac:dyDescent="0.35">
      <c r="A22" s="1730">
        <f t="shared" si="0"/>
        <v>13</v>
      </c>
      <c r="B22" s="1355" t="s">
        <v>23</v>
      </c>
      <c r="C22" s="1355" t="s">
        <v>308</v>
      </c>
      <c r="D22" s="1312" t="s">
        <v>789</v>
      </c>
      <c r="E22" s="1346" t="s">
        <v>950</v>
      </c>
      <c r="F22" s="1346" t="s">
        <v>951</v>
      </c>
      <c r="G22" s="1346" t="s">
        <v>965</v>
      </c>
      <c r="H22" s="1346" t="s">
        <v>674</v>
      </c>
      <c r="I22" s="1312" t="s">
        <v>671</v>
      </c>
      <c r="J22" s="1312" t="s">
        <v>966</v>
      </c>
      <c r="K22" s="1312" t="s">
        <v>946</v>
      </c>
      <c r="L22" s="1379" t="s">
        <v>672</v>
      </c>
      <c r="M22" s="1312" t="s">
        <v>675</v>
      </c>
      <c r="N22" s="1730">
        <f t="shared" si="1"/>
        <v>13</v>
      </c>
    </row>
    <row r="23" spans="1:17" x14ac:dyDescent="0.35">
      <c r="A23" s="1730">
        <f t="shared" si="0"/>
        <v>14</v>
      </c>
      <c r="B23" s="1356" t="s">
        <v>676</v>
      </c>
      <c r="C23" s="1357" t="str">
        <f>RIGHT(B4,4)</f>
        <v>2021</v>
      </c>
      <c r="D23" s="452">
        <f t="shared" ref="D23:D34" si="2">$E$13/12</f>
        <v>83202.019707513144</v>
      </c>
      <c r="E23" s="2201">
        <v>72520.216</v>
      </c>
      <c r="F23" s="453">
        <f t="shared" ref="F23:F34" si="3">$F$35/12</f>
        <v>-6040.4532217631922</v>
      </c>
      <c r="G23" s="453">
        <f>$G$35/12</f>
        <v>0</v>
      </c>
      <c r="H23" s="454">
        <f>SUM(E23:G23)</f>
        <v>66479.762778236807</v>
      </c>
      <c r="I23" s="453">
        <f>D23-H23</f>
        <v>16722.256929276336</v>
      </c>
      <c r="J23" s="455">
        <v>2.8E-3</v>
      </c>
      <c r="K23" s="456">
        <f>I23</f>
        <v>16722.256929276336</v>
      </c>
      <c r="L23" s="457">
        <f>(I23/2)*J23</f>
        <v>23.411159700986872</v>
      </c>
      <c r="M23" s="457">
        <f t="shared" ref="M23:M34" si="4">K23+L23</f>
        <v>16745.668088977323</v>
      </c>
      <c r="N23" s="1730">
        <f t="shared" si="1"/>
        <v>14</v>
      </c>
      <c r="O23" s="346"/>
    </row>
    <row r="24" spans="1:17" x14ac:dyDescent="0.35">
      <c r="A24" s="1730">
        <f t="shared" si="0"/>
        <v>15</v>
      </c>
      <c r="B24" s="1358" t="s">
        <v>677</v>
      </c>
      <c r="C24" s="1357" t="str">
        <f>C23</f>
        <v>2021</v>
      </c>
      <c r="D24" s="458">
        <f t="shared" si="2"/>
        <v>83202.019707513144</v>
      </c>
      <c r="E24" s="2201">
        <v>65170.847000000002</v>
      </c>
      <c r="F24" s="347">
        <f t="shared" si="3"/>
        <v>-6040.4532217631922</v>
      </c>
      <c r="G24" s="347">
        <f>$G$35/12</f>
        <v>0</v>
      </c>
      <c r="H24" s="459">
        <f>SUM(E24:G24)</f>
        <v>59130.393778236808</v>
      </c>
      <c r="I24" s="347">
        <f t="shared" ref="I24:I34" si="5">D24-H24</f>
        <v>24071.625929276335</v>
      </c>
      <c r="J24" s="455">
        <v>2.5000000000000001E-3</v>
      </c>
      <c r="K24" s="460">
        <f>M23+I24</f>
        <v>40817.294018253655</v>
      </c>
      <c r="L24" s="461">
        <f t="shared" ref="L24:L34" si="6">(M23+K24)/2*J24</f>
        <v>71.953702634038734</v>
      </c>
      <c r="M24" s="461">
        <f t="shared" si="4"/>
        <v>40889.247720887695</v>
      </c>
      <c r="N24" s="1730">
        <f t="shared" si="1"/>
        <v>15</v>
      </c>
      <c r="O24" s="1359"/>
    </row>
    <row r="25" spans="1:17" x14ac:dyDescent="0.35">
      <c r="A25" s="1730">
        <f t="shared" si="0"/>
        <v>16</v>
      </c>
      <c r="B25" s="1358" t="s">
        <v>733</v>
      </c>
      <c r="C25" s="1357" t="str">
        <f>C23</f>
        <v>2021</v>
      </c>
      <c r="D25" s="458">
        <f t="shared" si="2"/>
        <v>83202.019707513144</v>
      </c>
      <c r="E25" s="2201">
        <v>80171.360000000001</v>
      </c>
      <c r="F25" s="347">
        <f t="shared" si="3"/>
        <v>-6040.4532217631922</v>
      </c>
      <c r="G25" s="347">
        <f t="shared" ref="G25:G34" si="7">$G$35/12</f>
        <v>0</v>
      </c>
      <c r="H25" s="459">
        <f t="shared" ref="H25:H33" si="8">SUM(E25:G25)</f>
        <v>74130.906778236807</v>
      </c>
      <c r="I25" s="347">
        <f t="shared" si="5"/>
        <v>9071.1129292763362</v>
      </c>
      <c r="J25" s="455">
        <v>2.8E-3</v>
      </c>
      <c r="K25" s="460">
        <f>M24+I25</f>
        <v>49960.360650164032</v>
      </c>
      <c r="L25" s="461">
        <f>(M24+K25)/2*J25</f>
        <v>127.18945171947242</v>
      </c>
      <c r="M25" s="461">
        <f t="shared" si="4"/>
        <v>50087.550101883506</v>
      </c>
      <c r="N25" s="1730">
        <f t="shared" si="1"/>
        <v>16</v>
      </c>
      <c r="O25" s="1359"/>
    </row>
    <row r="26" spans="1:17" x14ac:dyDescent="0.35">
      <c r="A26" s="1730">
        <f t="shared" si="0"/>
        <v>17</v>
      </c>
      <c r="B26" s="1356" t="s">
        <v>734</v>
      </c>
      <c r="C26" s="1357" t="str">
        <f>C23</f>
        <v>2021</v>
      </c>
      <c r="D26" s="458">
        <f t="shared" si="2"/>
        <v>83202.019707513144</v>
      </c>
      <c r="E26" s="2201">
        <v>66329.073999999993</v>
      </c>
      <c r="F26" s="347">
        <f t="shared" si="3"/>
        <v>-6040.4532217631922</v>
      </c>
      <c r="G26" s="347">
        <f t="shared" si="7"/>
        <v>0</v>
      </c>
      <c r="H26" s="459">
        <f t="shared" si="8"/>
        <v>60288.6207782368</v>
      </c>
      <c r="I26" s="347">
        <f>D26-H26</f>
        <v>22913.398929276344</v>
      </c>
      <c r="J26" s="455">
        <v>2.7000000000000001E-3</v>
      </c>
      <c r="K26" s="460">
        <f>M25+I26</f>
        <v>73000.949031159849</v>
      </c>
      <c r="L26" s="461">
        <f>(M25+K26)/2*J26</f>
        <v>166.16947382960853</v>
      </c>
      <c r="M26" s="461">
        <f t="shared" si="4"/>
        <v>73167.118504989456</v>
      </c>
      <c r="N26" s="1730">
        <f t="shared" si="1"/>
        <v>17</v>
      </c>
      <c r="O26" s="1359"/>
      <c r="Q26" s="1360"/>
    </row>
    <row r="27" spans="1:17" x14ac:dyDescent="0.35">
      <c r="A27" s="1730">
        <f t="shared" si="0"/>
        <v>18</v>
      </c>
      <c r="B27" s="1358" t="s">
        <v>735</v>
      </c>
      <c r="C27" s="1357" t="str">
        <f>C23</f>
        <v>2021</v>
      </c>
      <c r="D27" s="458">
        <f t="shared" si="2"/>
        <v>83202.019707513144</v>
      </c>
      <c r="E27" s="2201">
        <v>71089.271999999997</v>
      </c>
      <c r="F27" s="347">
        <f t="shared" si="3"/>
        <v>-6040.4532217631922</v>
      </c>
      <c r="G27" s="347">
        <f t="shared" si="7"/>
        <v>0</v>
      </c>
      <c r="H27" s="459">
        <f t="shared" si="8"/>
        <v>65048.818778236804</v>
      </c>
      <c r="I27" s="347">
        <f t="shared" si="5"/>
        <v>18153.20092927634</v>
      </c>
      <c r="J27" s="455">
        <v>2.8E-3</v>
      </c>
      <c r="K27" s="460">
        <f t="shared" ref="K27:K34" si="9">M26+I27</f>
        <v>91320.319434265795</v>
      </c>
      <c r="L27" s="461">
        <f t="shared" si="6"/>
        <v>230.28241311495736</v>
      </c>
      <c r="M27" s="461">
        <f t="shared" si="4"/>
        <v>91550.601847380749</v>
      </c>
      <c r="N27" s="1730">
        <f t="shared" si="1"/>
        <v>18</v>
      </c>
      <c r="O27" s="1359"/>
    </row>
    <row r="28" spans="1:17" x14ac:dyDescent="0.35">
      <c r="A28" s="1730">
        <f t="shared" si="0"/>
        <v>19</v>
      </c>
      <c r="B28" s="1358" t="s">
        <v>736</v>
      </c>
      <c r="C28" s="1357" t="str">
        <f>C23</f>
        <v>2021</v>
      </c>
      <c r="D28" s="458">
        <f t="shared" si="2"/>
        <v>83202.019707513144</v>
      </c>
      <c r="E28" s="2201">
        <v>82978.339000000007</v>
      </c>
      <c r="F28" s="347">
        <f t="shared" si="3"/>
        <v>-6040.4532217631922</v>
      </c>
      <c r="G28" s="347">
        <f t="shared" si="7"/>
        <v>0</v>
      </c>
      <c r="H28" s="459">
        <f t="shared" si="8"/>
        <v>76937.885778236814</v>
      </c>
      <c r="I28" s="347">
        <f t="shared" si="5"/>
        <v>6264.1339292763296</v>
      </c>
      <c r="J28" s="455">
        <v>2.7000000000000001E-3</v>
      </c>
      <c r="K28" s="460">
        <f t="shared" si="9"/>
        <v>97814.735776657079</v>
      </c>
      <c r="L28" s="461">
        <f>(M27+K28)/2*J28</f>
        <v>255.64320579245106</v>
      </c>
      <c r="M28" s="461">
        <f t="shared" si="4"/>
        <v>98070.378982449532</v>
      </c>
      <c r="N28" s="1730">
        <f t="shared" si="1"/>
        <v>19</v>
      </c>
      <c r="O28" s="1359"/>
    </row>
    <row r="29" spans="1:17" x14ac:dyDescent="0.35">
      <c r="A29" s="1730">
        <f t="shared" si="0"/>
        <v>20</v>
      </c>
      <c r="B29" s="1356" t="s">
        <v>737</v>
      </c>
      <c r="C29" s="1357" t="str">
        <f>C23</f>
        <v>2021</v>
      </c>
      <c r="D29" s="458">
        <f t="shared" si="2"/>
        <v>83202.019707513144</v>
      </c>
      <c r="E29" s="2201">
        <v>87914.724000000002</v>
      </c>
      <c r="F29" s="347">
        <f t="shared" si="3"/>
        <v>-6040.4532217631922</v>
      </c>
      <c r="G29" s="347">
        <f t="shared" si="7"/>
        <v>0</v>
      </c>
      <c r="H29" s="459">
        <f t="shared" si="8"/>
        <v>81874.270778236809</v>
      </c>
      <c r="I29" s="347">
        <f t="shared" si="5"/>
        <v>1327.7489292763348</v>
      </c>
      <c r="J29" s="455">
        <v>2.8E-3</v>
      </c>
      <c r="K29" s="460">
        <f t="shared" si="9"/>
        <v>99398.127911725867</v>
      </c>
      <c r="L29" s="461">
        <f t="shared" si="6"/>
        <v>276.45590965184556</v>
      </c>
      <c r="M29" s="461">
        <f t="shared" si="4"/>
        <v>99674.583821377717</v>
      </c>
      <c r="N29" s="1730">
        <f t="shared" si="1"/>
        <v>20</v>
      </c>
      <c r="O29" s="1359"/>
    </row>
    <row r="30" spans="1:17" x14ac:dyDescent="0.35">
      <c r="A30" s="1730">
        <f t="shared" si="0"/>
        <v>21</v>
      </c>
      <c r="B30" s="1358" t="s">
        <v>738</v>
      </c>
      <c r="C30" s="1357" t="str">
        <f>C23</f>
        <v>2021</v>
      </c>
      <c r="D30" s="458">
        <f t="shared" si="2"/>
        <v>83202.019707513144</v>
      </c>
      <c r="E30" s="2201">
        <v>94841.111000000004</v>
      </c>
      <c r="F30" s="347">
        <f t="shared" si="3"/>
        <v>-6040.4532217631922</v>
      </c>
      <c r="G30" s="347">
        <f t="shared" si="7"/>
        <v>0</v>
      </c>
      <c r="H30" s="459">
        <f t="shared" si="8"/>
        <v>88800.657778236811</v>
      </c>
      <c r="I30" s="347">
        <f t="shared" si="5"/>
        <v>-5598.6380707236676</v>
      </c>
      <c r="J30" s="455">
        <v>2.8E-3</v>
      </c>
      <c r="K30" s="460">
        <f t="shared" si="9"/>
        <v>94075.945750654049</v>
      </c>
      <c r="L30" s="461">
        <f t="shared" si="6"/>
        <v>271.25074140084445</v>
      </c>
      <c r="M30" s="461">
        <f t="shared" si="4"/>
        <v>94347.196492054893</v>
      </c>
      <c r="N30" s="1730">
        <f t="shared" si="1"/>
        <v>21</v>
      </c>
      <c r="O30" s="1359"/>
    </row>
    <row r="31" spans="1:17" x14ac:dyDescent="0.35">
      <c r="A31" s="1730">
        <f t="shared" si="0"/>
        <v>22</v>
      </c>
      <c r="B31" s="1358" t="s">
        <v>739</v>
      </c>
      <c r="C31" s="1357" t="str">
        <f>C23</f>
        <v>2021</v>
      </c>
      <c r="D31" s="458">
        <f t="shared" si="2"/>
        <v>83202.019707513144</v>
      </c>
      <c r="E31" s="2201">
        <v>111478.648</v>
      </c>
      <c r="F31" s="347">
        <f t="shared" si="3"/>
        <v>-6040.4532217631922</v>
      </c>
      <c r="G31" s="347">
        <f t="shared" si="7"/>
        <v>0</v>
      </c>
      <c r="H31" s="459">
        <f t="shared" si="8"/>
        <v>105438.19477823681</v>
      </c>
      <c r="I31" s="347">
        <f t="shared" si="5"/>
        <v>-22236.175070723664</v>
      </c>
      <c r="J31" s="455">
        <v>2.7000000000000001E-3</v>
      </c>
      <c r="K31" s="460">
        <f t="shared" si="9"/>
        <v>72111.021421331228</v>
      </c>
      <c r="L31" s="461">
        <f t="shared" si="6"/>
        <v>224.71859418307127</v>
      </c>
      <c r="M31" s="461">
        <f t="shared" si="4"/>
        <v>72335.740015514297</v>
      </c>
      <c r="N31" s="1730">
        <f t="shared" si="1"/>
        <v>22</v>
      </c>
      <c r="O31" s="1359"/>
    </row>
    <row r="32" spans="1:17" x14ac:dyDescent="0.35">
      <c r="A32" s="1730">
        <f t="shared" si="0"/>
        <v>23</v>
      </c>
      <c r="B32" s="1356" t="s">
        <v>740</v>
      </c>
      <c r="C32" s="1357" t="str">
        <f>C23</f>
        <v>2021</v>
      </c>
      <c r="D32" s="458">
        <f t="shared" si="2"/>
        <v>83202.019707513144</v>
      </c>
      <c r="E32" s="2201">
        <v>94530.89</v>
      </c>
      <c r="F32" s="347">
        <f t="shared" si="3"/>
        <v>-6040.4532217631922</v>
      </c>
      <c r="G32" s="347">
        <f t="shared" si="7"/>
        <v>0</v>
      </c>
      <c r="H32" s="459">
        <f t="shared" si="8"/>
        <v>88490.436778236806</v>
      </c>
      <c r="I32" s="347">
        <f t="shared" si="5"/>
        <v>-5288.4170707236626</v>
      </c>
      <c r="J32" s="455">
        <v>2.8E-3</v>
      </c>
      <c r="K32" s="460">
        <f t="shared" si="9"/>
        <v>67047.322944790634</v>
      </c>
      <c r="L32" s="461">
        <f t="shared" si="6"/>
        <v>195.13628814442691</v>
      </c>
      <c r="M32" s="461">
        <f t="shared" si="4"/>
        <v>67242.459232935056</v>
      </c>
      <c r="N32" s="1730">
        <f t="shared" si="1"/>
        <v>23</v>
      </c>
      <c r="O32" s="1359"/>
    </row>
    <row r="33" spans="1:17" x14ac:dyDescent="0.35">
      <c r="A33" s="1730">
        <f t="shared" si="0"/>
        <v>24</v>
      </c>
      <c r="B33" s="1356" t="s">
        <v>741</v>
      </c>
      <c r="C33" s="1357" t="str">
        <f>C23</f>
        <v>2021</v>
      </c>
      <c r="D33" s="458">
        <f t="shared" si="2"/>
        <v>83202.019707513144</v>
      </c>
      <c r="E33" s="2201">
        <v>81535.305999999997</v>
      </c>
      <c r="F33" s="347">
        <f t="shared" si="3"/>
        <v>-6040.4532217631922</v>
      </c>
      <c r="G33" s="347">
        <f t="shared" si="7"/>
        <v>0</v>
      </c>
      <c r="H33" s="459">
        <f t="shared" si="8"/>
        <v>75494.852778236804</v>
      </c>
      <c r="I33" s="347">
        <f t="shared" si="5"/>
        <v>7707.1669292763399</v>
      </c>
      <c r="J33" s="455">
        <v>2.7000000000000001E-3</v>
      </c>
      <c r="K33" s="460">
        <f t="shared" si="9"/>
        <v>74949.626162211396</v>
      </c>
      <c r="L33" s="1664">
        <f t="shared" si="6"/>
        <v>191.95931528344772</v>
      </c>
      <c r="M33" s="1664">
        <f t="shared" si="4"/>
        <v>75141.585477494838</v>
      </c>
      <c r="N33" s="1730">
        <f t="shared" si="1"/>
        <v>24</v>
      </c>
      <c r="O33" s="1359"/>
    </row>
    <row r="34" spans="1:17" x14ac:dyDescent="0.35">
      <c r="A34" s="1730">
        <f t="shared" si="0"/>
        <v>25</v>
      </c>
      <c r="B34" s="1844" t="s">
        <v>742</v>
      </c>
      <c r="C34" s="1845" t="str">
        <f>C23</f>
        <v>2021</v>
      </c>
      <c r="D34" s="1846">
        <f t="shared" si="2"/>
        <v>83202.019707513144</v>
      </c>
      <c r="E34" s="2201">
        <v>87131.528000000006</v>
      </c>
      <c r="F34" s="1847">
        <f t="shared" si="3"/>
        <v>-6040.4532217631922</v>
      </c>
      <c r="G34" s="1847">
        <f t="shared" si="7"/>
        <v>0</v>
      </c>
      <c r="H34" s="102">
        <f>SUM(E34:G34)</f>
        <v>81091.074778236813</v>
      </c>
      <c r="I34" s="1847">
        <f t="shared" si="5"/>
        <v>2110.9449292763311</v>
      </c>
      <c r="J34" s="1848">
        <v>2.8E-3</v>
      </c>
      <c r="K34" s="1849">
        <f t="shared" si="9"/>
        <v>77252.53040677117</v>
      </c>
      <c r="L34" s="102">
        <f t="shared" si="6"/>
        <v>213.35176223797242</v>
      </c>
      <c r="M34" s="102">
        <f t="shared" si="4"/>
        <v>77465.882169009143</v>
      </c>
      <c r="N34" s="1730">
        <f t="shared" si="1"/>
        <v>25</v>
      </c>
      <c r="O34" s="1359"/>
    </row>
    <row r="35" spans="1:17" ht="16" thickBot="1" x14ac:dyDescent="0.4">
      <c r="A35" s="1730">
        <f t="shared" si="0"/>
        <v>26</v>
      </c>
      <c r="D35" s="464">
        <f>SUM(D23:D34)</f>
        <v>998424.23649015778</v>
      </c>
      <c r="E35" s="464">
        <f>SUM(E23:E34)</f>
        <v>995691.31500000018</v>
      </c>
      <c r="F35" s="465">
        <v>-72485.438661158303</v>
      </c>
      <c r="G35" s="465">
        <v>0</v>
      </c>
      <c r="H35" s="464">
        <f>SUM(H23:H34)</f>
        <v>923205.87633884163</v>
      </c>
      <c r="I35" s="464">
        <f>SUM(I23:I34)</f>
        <v>75218.360151316025</v>
      </c>
      <c r="J35" s="466"/>
      <c r="K35" s="467"/>
      <c r="L35" s="1890">
        <f>SUM(L23:L34)</f>
        <v>2247.5220176931234</v>
      </c>
      <c r="M35" s="1891"/>
      <c r="N35" s="1730">
        <f t="shared" si="1"/>
        <v>26</v>
      </c>
    </row>
    <row r="36" spans="1:17" ht="16" thickTop="1" x14ac:dyDescent="0.35">
      <c r="D36" s="485"/>
      <c r="E36" s="485"/>
      <c r="F36" s="2246"/>
      <c r="G36" s="485"/>
      <c r="H36" s="2246"/>
      <c r="I36" s="2246"/>
      <c r="J36" s="1363"/>
      <c r="K36" s="1363"/>
      <c r="L36" s="1892"/>
      <c r="M36" s="1892"/>
    </row>
    <row r="37" spans="1:17" x14ac:dyDescent="0.35">
      <c r="B37" s="95"/>
      <c r="F37" s="1364"/>
      <c r="G37" s="1364"/>
    </row>
    <row r="38" spans="1:17" ht="18" x14ac:dyDescent="0.35">
      <c r="A38" s="1330">
        <v>1</v>
      </c>
      <c r="B38" s="7" t="s">
        <v>947</v>
      </c>
      <c r="F38" s="1364"/>
      <c r="G38" s="1364"/>
      <c r="H38" s="229"/>
      <c r="I38" s="229"/>
      <c r="J38" s="229"/>
      <c r="K38" s="229"/>
      <c r="L38" s="229"/>
      <c r="M38" s="229"/>
      <c r="N38" s="1617"/>
      <c r="O38" s="229"/>
      <c r="P38" s="229"/>
      <c r="Q38" s="229"/>
    </row>
    <row r="39" spans="1:17" ht="18" x14ac:dyDescent="0.35">
      <c r="A39" s="1330">
        <v>2</v>
      </c>
      <c r="B39" s="7" t="s">
        <v>948</v>
      </c>
      <c r="F39" s="336"/>
      <c r="G39" s="336"/>
      <c r="H39" s="336"/>
      <c r="I39" s="229"/>
      <c r="J39" s="229"/>
      <c r="K39" s="229"/>
      <c r="L39" s="229"/>
      <c r="M39" s="229"/>
      <c r="N39" s="1617"/>
      <c r="O39" s="229"/>
      <c r="P39" s="229"/>
      <c r="Q39" s="229"/>
    </row>
    <row r="40" spans="1:17" ht="18" x14ac:dyDescent="0.35">
      <c r="A40" s="1330">
        <v>3</v>
      </c>
      <c r="B40" s="7" t="s">
        <v>973</v>
      </c>
      <c r="H40" s="229"/>
      <c r="I40" s="229"/>
      <c r="J40" s="229"/>
      <c r="K40" s="229"/>
      <c r="L40" s="229"/>
      <c r="M40" s="229"/>
      <c r="N40" s="1617"/>
      <c r="O40" s="229"/>
      <c r="P40" s="229"/>
      <c r="Q40" s="229"/>
    </row>
    <row r="41" spans="1:17" ht="18" x14ac:dyDescent="0.35">
      <c r="A41" s="1330">
        <v>4</v>
      </c>
      <c r="B41" s="229" t="s">
        <v>1704</v>
      </c>
      <c r="C41" s="229"/>
      <c r="D41" s="229"/>
      <c r="E41" s="229"/>
      <c r="H41" s="229"/>
      <c r="I41" s="229"/>
      <c r="J41" s="229"/>
      <c r="K41" s="229"/>
    </row>
    <row r="42" spans="1:17" ht="18" x14ac:dyDescent="0.35">
      <c r="A42" s="1330"/>
      <c r="B42" s="229" t="s">
        <v>1695</v>
      </c>
      <c r="C42" s="229"/>
      <c r="D42" s="229"/>
      <c r="E42" s="229"/>
      <c r="H42" s="229"/>
      <c r="I42" s="229"/>
      <c r="J42" s="229"/>
      <c r="K42" s="229"/>
    </row>
    <row r="43" spans="1:17" ht="18" x14ac:dyDescent="0.35">
      <c r="A43" s="1330">
        <v>5</v>
      </c>
      <c r="B43" s="7" t="s">
        <v>949</v>
      </c>
      <c r="C43" s="1332"/>
    </row>
    <row r="44" spans="1:17" ht="18" x14ac:dyDescent="0.35">
      <c r="A44" s="1330">
        <v>6</v>
      </c>
      <c r="B44" s="7" t="s">
        <v>967</v>
      </c>
    </row>
    <row r="45" spans="1:17" ht="18" x14ac:dyDescent="0.35">
      <c r="A45" s="1330">
        <v>7</v>
      </c>
      <c r="B45" s="7" t="s">
        <v>968</v>
      </c>
    </row>
    <row r="46" spans="1:17" ht="18" x14ac:dyDescent="0.35">
      <c r="A46" s="1330">
        <v>8</v>
      </c>
      <c r="B46" s="7" t="s">
        <v>1702</v>
      </c>
    </row>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95"/>
  <sheetViews>
    <sheetView zoomScale="80" zoomScaleNormal="80" workbookViewId="0"/>
  </sheetViews>
  <sheetFormatPr defaultColWidth="9.08984375" defaultRowHeight="15.5" x14ac:dyDescent="0.35"/>
  <cols>
    <col min="1" max="1" width="5.08984375" style="1390" customWidth="1"/>
    <col min="2" max="2" width="78.453125" style="1391" customWidth="1"/>
    <col min="3" max="3" width="10.453125" style="1391" customWidth="1"/>
    <col min="4" max="4" width="1.54296875" style="1391" customWidth="1"/>
    <col min="5" max="5" width="16.90625" style="1391" customWidth="1"/>
    <col min="6" max="6" width="1.54296875" style="1391" customWidth="1"/>
    <col min="7" max="7" width="51.453125" style="1391" customWidth="1"/>
    <col min="8" max="8" width="5.08984375" style="1390" customWidth="1"/>
    <col min="9" max="9" width="31.54296875" style="1391" customWidth="1"/>
    <col min="10" max="10" width="10.90625" style="1391" customWidth="1"/>
    <col min="11" max="16384" width="9.08984375" style="1391"/>
  </cols>
  <sheetData>
    <row r="2" spans="1:10" x14ac:dyDescent="0.35">
      <c r="A2" s="499"/>
      <c r="B2" s="2281" t="s">
        <v>18</v>
      </c>
      <c r="C2" s="2278"/>
      <c r="D2" s="2278"/>
      <c r="E2" s="2278"/>
      <c r="F2" s="2278"/>
      <c r="G2" s="2278"/>
      <c r="J2" s="1392"/>
    </row>
    <row r="3" spans="1:10" x14ac:dyDescent="0.35">
      <c r="A3" s="499" t="s">
        <v>10</v>
      </c>
      <c r="B3" s="2281" t="s">
        <v>573</v>
      </c>
      <c r="C3" s="2278"/>
      <c r="D3" s="2278"/>
      <c r="E3" s="2278"/>
      <c r="F3" s="2278"/>
      <c r="G3" s="2278"/>
      <c r="J3" s="1393"/>
    </row>
    <row r="4" spans="1:10" ht="18" x14ac:dyDescent="0.35">
      <c r="A4" s="499"/>
      <c r="B4" s="2281" t="s">
        <v>574</v>
      </c>
      <c r="C4" s="2282"/>
      <c r="D4" s="2282"/>
      <c r="E4" s="2282"/>
      <c r="F4" s="2282"/>
      <c r="G4" s="2282"/>
      <c r="J4" s="1393"/>
    </row>
    <row r="5" spans="1:10" x14ac:dyDescent="0.35">
      <c r="A5" s="499"/>
      <c r="B5" s="2279" t="s">
        <v>1586</v>
      </c>
      <c r="C5" s="2279"/>
      <c r="D5" s="2279"/>
      <c r="E5" s="2279"/>
      <c r="F5" s="2279"/>
      <c r="G5" s="2279"/>
      <c r="J5" s="1393"/>
    </row>
    <row r="6" spans="1:10" x14ac:dyDescent="0.35">
      <c r="A6" s="499"/>
      <c r="B6" s="2277" t="s">
        <v>2</v>
      </c>
      <c r="C6" s="2278"/>
      <c r="D6" s="2278"/>
      <c r="E6" s="2278"/>
      <c r="F6" s="2278"/>
      <c r="G6" s="2278"/>
      <c r="J6" s="1393"/>
    </row>
    <row r="7" spans="1:10" x14ac:dyDescent="0.35">
      <c r="A7" s="499"/>
      <c r="B7" s="1394"/>
      <c r="C7" s="1395"/>
      <c r="D7" s="1395"/>
      <c r="E7" s="1395"/>
      <c r="F7" s="1395"/>
      <c r="G7" s="1395"/>
      <c r="J7" s="1393"/>
    </row>
    <row r="8" spans="1:10" x14ac:dyDescent="0.35">
      <c r="A8" s="1396" t="s">
        <v>3</v>
      </c>
      <c r="B8" s="1397"/>
      <c r="C8" s="1397"/>
      <c r="D8" s="1397"/>
      <c r="E8" s="507"/>
      <c r="G8" s="1390"/>
      <c r="H8" s="1396" t="s">
        <v>3</v>
      </c>
      <c r="J8" s="1393"/>
    </row>
    <row r="9" spans="1:10" x14ac:dyDescent="0.35">
      <c r="A9" s="1396" t="s">
        <v>25</v>
      </c>
      <c r="B9" s="1398" t="s">
        <v>10</v>
      </c>
      <c r="C9" s="1399"/>
      <c r="D9" s="1399"/>
      <c r="E9" s="1400" t="s">
        <v>1672</v>
      </c>
      <c r="G9" s="1401" t="s">
        <v>9</v>
      </c>
      <c r="H9" s="1396" t="s">
        <v>25</v>
      </c>
    </row>
    <row r="10" spans="1:10" x14ac:dyDescent="0.35">
      <c r="A10" s="499"/>
      <c r="B10" s="1403" t="s">
        <v>575</v>
      </c>
      <c r="C10" s="1404"/>
      <c r="D10" s="1404"/>
      <c r="E10" s="507"/>
      <c r="G10" s="1390"/>
      <c r="H10" s="499"/>
    </row>
    <row r="11" spans="1:10" x14ac:dyDescent="0.35">
      <c r="A11" s="499">
        <f t="shared" ref="A11:A86" si="0">A10+1</f>
        <v>1</v>
      </c>
      <c r="B11" s="1405" t="s">
        <v>576</v>
      </c>
      <c r="C11" s="1406"/>
      <c r="D11" s="1406"/>
      <c r="E11" s="11">
        <f>'Stmt AH'!E19</f>
        <v>100282.34526999999</v>
      </c>
      <c r="G11" s="1390" t="s">
        <v>1049</v>
      </c>
      <c r="H11" s="499">
        <f>H10+1</f>
        <v>1</v>
      </c>
      <c r="I11" s="684"/>
    </row>
    <row r="12" spans="1:10" x14ac:dyDescent="0.35">
      <c r="A12" s="499">
        <f t="shared" si="0"/>
        <v>2</v>
      </c>
      <c r="B12" s="1405" t="s">
        <v>10</v>
      </c>
      <c r="C12" s="1406"/>
      <c r="D12" s="1406"/>
      <c r="E12" s="488" t="s">
        <v>10</v>
      </c>
      <c r="G12" s="1390"/>
      <c r="H12" s="499">
        <f>H11+1</f>
        <v>2</v>
      </c>
      <c r="I12" s="684"/>
    </row>
    <row r="13" spans="1:10" x14ac:dyDescent="0.35">
      <c r="A13" s="499">
        <f t="shared" si="0"/>
        <v>3</v>
      </c>
      <c r="B13" s="1407" t="s">
        <v>577</v>
      </c>
      <c r="C13" s="1406"/>
      <c r="D13" s="1406"/>
      <c r="E13" s="489">
        <f>'Stmt AH'!E41</f>
        <v>98092.337878637874</v>
      </c>
      <c r="F13" s="1395"/>
      <c r="G13" s="1390" t="s">
        <v>1050</v>
      </c>
      <c r="H13" s="499">
        <f>H12+1</f>
        <v>3</v>
      </c>
      <c r="I13" s="684"/>
    </row>
    <row r="14" spans="1:10" x14ac:dyDescent="0.35">
      <c r="A14" s="499">
        <f t="shared" si="0"/>
        <v>4</v>
      </c>
      <c r="B14" s="1405"/>
      <c r="C14" s="1406"/>
      <c r="D14" s="1406"/>
      <c r="E14" s="488"/>
      <c r="F14" s="1395"/>
      <c r="G14" s="1390"/>
      <c r="H14" s="499">
        <f t="shared" ref="H14:H86" si="1">H13+1</f>
        <v>4</v>
      </c>
      <c r="I14" s="684"/>
    </row>
    <row r="15" spans="1:10" x14ac:dyDescent="0.35">
      <c r="A15" s="499">
        <f t="shared" si="0"/>
        <v>5</v>
      </c>
      <c r="B15" s="1405" t="s">
        <v>214</v>
      </c>
      <c r="C15" s="1406"/>
      <c r="D15" s="1406"/>
      <c r="E15" s="73">
        <f>-'Stmt AH'!E26</f>
        <v>0</v>
      </c>
      <c r="G15" s="1390" t="s">
        <v>1051</v>
      </c>
      <c r="H15" s="499">
        <f t="shared" si="1"/>
        <v>5</v>
      </c>
      <c r="I15" s="684"/>
    </row>
    <row r="16" spans="1:10" x14ac:dyDescent="0.35">
      <c r="A16" s="1304">
        <f t="shared" si="0"/>
        <v>6</v>
      </c>
      <c r="B16" s="1405" t="s">
        <v>578</v>
      </c>
      <c r="C16" s="1406"/>
      <c r="D16" s="1406"/>
      <c r="E16" s="15">
        <f>E11+E13+E15</f>
        <v>198374.68314863788</v>
      </c>
      <c r="F16" s="1395"/>
      <c r="G16" s="1390" t="s">
        <v>1048</v>
      </c>
      <c r="H16" s="1304">
        <f t="shared" si="1"/>
        <v>6</v>
      </c>
      <c r="I16" s="684"/>
    </row>
    <row r="17" spans="1:10" x14ac:dyDescent="0.35">
      <c r="A17" s="499">
        <f t="shared" si="0"/>
        <v>7</v>
      </c>
      <c r="B17" s="1399"/>
      <c r="C17" s="1399"/>
      <c r="D17" s="1399"/>
      <c r="E17" s="490"/>
      <c r="G17" s="1390"/>
      <c r="H17" s="499">
        <f t="shared" si="1"/>
        <v>7</v>
      </c>
      <c r="I17" s="684"/>
    </row>
    <row r="18" spans="1:10" x14ac:dyDescent="0.35">
      <c r="A18" s="499">
        <f t="shared" si="0"/>
        <v>8</v>
      </c>
      <c r="B18" s="1391" t="s">
        <v>579</v>
      </c>
      <c r="C18" s="1406"/>
      <c r="D18" s="1406"/>
      <c r="E18" s="17">
        <f>'Stmt AJ'!E27</f>
        <v>241768.75874268185</v>
      </c>
      <c r="F18" s="1408"/>
      <c r="G18" s="1390" t="s">
        <v>1052</v>
      </c>
      <c r="H18" s="499">
        <f t="shared" si="1"/>
        <v>8</v>
      </c>
      <c r="I18" s="684"/>
    </row>
    <row r="19" spans="1:10" x14ac:dyDescent="0.35">
      <c r="A19" s="1304">
        <f t="shared" si="0"/>
        <v>9</v>
      </c>
      <c r="B19" s="1399"/>
      <c r="C19" s="1399"/>
      <c r="D19" s="1399"/>
      <c r="E19" s="491"/>
      <c r="G19" s="1390"/>
      <c r="H19" s="1304">
        <f t="shared" si="1"/>
        <v>9</v>
      </c>
    </row>
    <row r="20" spans="1:10" ht="18" x14ac:dyDescent="0.35">
      <c r="A20" s="499">
        <f t="shared" si="0"/>
        <v>10</v>
      </c>
      <c r="B20" s="2142" t="s">
        <v>905</v>
      </c>
      <c r="C20" s="1399"/>
      <c r="D20" s="1399"/>
      <c r="E20" s="19">
        <f>'Stmt AJ'!E33</f>
        <v>0</v>
      </c>
      <c r="G20" s="1390" t="s">
        <v>1053</v>
      </c>
      <c r="H20" s="499">
        <f t="shared" si="1"/>
        <v>10</v>
      </c>
      <c r="I20" s="684"/>
    </row>
    <row r="21" spans="1:10" x14ac:dyDescent="0.35">
      <c r="A21" s="499">
        <f t="shared" si="0"/>
        <v>11</v>
      </c>
      <c r="B21" s="1399"/>
      <c r="C21" s="1399"/>
      <c r="D21" s="1399"/>
      <c r="E21" s="491"/>
      <c r="G21" s="1390"/>
      <c r="H21" s="499">
        <f t="shared" si="1"/>
        <v>11</v>
      </c>
      <c r="I21" s="684"/>
    </row>
    <row r="22" spans="1:10" x14ac:dyDescent="0.35">
      <c r="A22" s="499">
        <f t="shared" si="0"/>
        <v>12</v>
      </c>
      <c r="B22" s="1391" t="s">
        <v>358</v>
      </c>
      <c r="C22" s="1406"/>
      <c r="D22" s="1406"/>
      <c r="E22" s="489">
        <f>'Stmt AK'!E23</f>
        <v>63662.727644327359</v>
      </c>
      <c r="F22" s="1395"/>
      <c r="G22" s="1390" t="s">
        <v>1054</v>
      </c>
      <c r="H22" s="499">
        <f t="shared" si="1"/>
        <v>12</v>
      </c>
      <c r="I22" s="684"/>
    </row>
    <row r="23" spans="1:10" x14ac:dyDescent="0.35">
      <c r="A23" s="499">
        <f t="shared" si="0"/>
        <v>13</v>
      </c>
      <c r="B23" s="1407"/>
      <c r="C23" s="1406"/>
      <c r="D23" s="1406"/>
      <c r="E23" s="492"/>
      <c r="G23" s="1390"/>
      <c r="H23" s="499">
        <f t="shared" si="1"/>
        <v>13</v>
      </c>
      <c r="I23" s="684"/>
    </row>
    <row r="24" spans="1:10" x14ac:dyDescent="0.35">
      <c r="A24" s="499">
        <f t="shared" si="0"/>
        <v>14</v>
      </c>
      <c r="B24" s="1699" t="s">
        <v>359</v>
      </c>
      <c r="C24" s="1406"/>
      <c r="D24" s="1406"/>
      <c r="E24" s="493">
        <f>'Stmt AK'!E30</f>
        <v>3394.3201018580767</v>
      </c>
      <c r="F24" s="1700"/>
      <c r="G24" s="1390" t="s">
        <v>1055</v>
      </c>
      <c r="H24" s="499">
        <f t="shared" si="1"/>
        <v>14</v>
      </c>
      <c r="I24" s="684"/>
    </row>
    <row r="25" spans="1:10" x14ac:dyDescent="0.35">
      <c r="A25" s="1304">
        <f t="shared" si="0"/>
        <v>15</v>
      </c>
      <c r="B25" s="1407" t="s">
        <v>580</v>
      </c>
      <c r="C25" s="1406"/>
      <c r="D25" s="1406"/>
      <c r="E25" s="22">
        <f>SUM(E16:E24)</f>
        <v>507200.48963750509</v>
      </c>
      <c r="F25" s="1700"/>
      <c r="G25" s="2143" t="s">
        <v>1186</v>
      </c>
      <c r="H25" s="1304">
        <f t="shared" si="1"/>
        <v>15</v>
      </c>
      <c r="I25" s="684"/>
    </row>
    <row r="26" spans="1:10" x14ac:dyDescent="0.35">
      <c r="A26" s="499">
        <f t="shared" si="0"/>
        <v>16</v>
      </c>
      <c r="B26" s="1407"/>
      <c r="C26" s="1409"/>
      <c r="D26" s="1409"/>
      <c r="E26" s="494"/>
      <c r="F26" s="1410"/>
      <c r="G26" s="1402"/>
      <c r="H26" s="499">
        <f t="shared" si="1"/>
        <v>16</v>
      </c>
      <c r="I26" s="686"/>
    </row>
    <row r="27" spans="1:10" ht="17.5" x14ac:dyDescent="0.35">
      <c r="A27" s="499">
        <f t="shared" si="0"/>
        <v>17</v>
      </c>
      <c r="B27" s="2144" t="s">
        <v>1393</v>
      </c>
      <c r="C27" s="1406"/>
      <c r="D27" s="488"/>
      <c r="E27" s="495">
        <f>'True-Up Stmt AV'!G148</f>
        <v>9.5314154520847405E-2</v>
      </c>
      <c r="F27" s="1700"/>
      <c r="G27" s="2143" t="s">
        <v>1696</v>
      </c>
      <c r="H27" s="499">
        <f t="shared" si="1"/>
        <v>17</v>
      </c>
      <c r="I27" s="684"/>
    </row>
    <row r="28" spans="1:10" x14ac:dyDescent="0.35">
      <c r="A28" s="499">
        <f t="shared" si="0"/>
        <v>18</v>
      </c>
      <c r="B28" s="2144" t="s">
        <v>581</v>
      </c>
      <c r="C28" s="1406"/>
      <c r="D28" s="1406"/>
      <c r="E28" s="496">
        <f>E136</f>
        <v>4876268.2636402026</v>
      </c>
      <c r="F28" s="1700"/>
      <c r="G28" s="2143" t="s">
        <v>1264</v>
      </c>
      <c r="H28" s="499">
        <f t="shared" si="1"/>
        <v>18</v>
      </c>
      <c r="I28" s="2243"/>
    </row>
    <row r="29" spans="1:10" x14ac:dyDescent="0.35">
      <c r="A29" s="499">
        <f t="shared" si="0"/>
        <v>19</v>
      </c>
      <c r="B29" s="2142" t="s">
        <v>1258</v>
      </c>
      <c r="C29" s="1399"/>
      <c r="D29" s="1399"/>
      <c r="E29" s="26">
        <f>E28*E27</f>
        <v>464777.38676570653</v>
      </c>
      <c r="F29" s="1700"/>
      <c r="G29" s="2143" t="s">
        <v>1187</v>
      </c>
      <c r="H29" s="499">
        <f t="shared" si="1"/>
        <v>19</v>
      </c>
      <c r="I29" s="1880"/>
      <c r="J29" s="1425"/>
    </row>
    <row r="30" spans="1:10" s="2138" customFormat="1" x14ac:dyDescent="0.35">
      <c r="A30" s="1304">
        <f t="shared" si="0"/>
        <v>20</v>
      </c>
      <c r="B30" s="2142"/>
      <c r="C30" s="1399"/>
      <c r="D30" s="1399"/>
      <c r="E30" s="1661"/>
      <c r="F30" s="2137"/>
      <c r="G30" s="2143"/>
      <c r="H30" s="1304">
        <f t="shared" si="1"/>
        <v>20</v>
      </c>
      <c r="I30" s="1880"/>
      <c r="J30" s="1425"/>
    </row>
    <row r="31" spans="1:10" s="2138" customFormat="1" ht="17.5" x14ac:dyDescent="0.35">
      <c r="A31" s="1304">
        <f t="shared" si="0"/>
        <v>21</v>
      </c>
      <c r="B31" s="2144" t="s">
        <v>1394</v>
      </c>
      <c r="C31" s="1399"/>
      <c r="D31" s="1399"/>
      <c r="E31" s="2199">
        <f>'True-Up Stmt AV'!G182</f>
        <v>3.9113461135350091E-3</v>
      </c>
      <c r="F31" s="2137"/>
      <c r="G31" s="2143" t="s">
        <v>1697</v>
      </c>
      <c r="H31" s="1304">
        <f t="shared" si="1"/>
        <v>21</v>
      </c>
      <c r="I31" s="1880"/>
      <c r="J31" s="1425"/>
    </row>
    <row r="32" spans="1:10" s="2138" customFormat="1" x14ac:dyDescent="0.35">
      <c r="A32" s="1304">
        <f t="shared" si="0"/>
        <v>22</v>
      </c>
      <c r="B32" s="2144" t="s">
        <v>581</v>
      </c>
      <c r="C32" s="1399"/>
      <c r="D32" s="1399"/>
      <c r="E32" s="2149">
        <f>E136-E119</f>
        <v>4876268.2636402026</v>
      </c>
      <c r="F32" s="2137"/>
      <c r="G32" s="2143" t="s">
        <v>1428</v>
      </c>
      <c r="H32" s="1304">
        <f t="shared" si="1"/>
        <v>22</v>
      </c>
      <c r="I32" s="1880"/>
      <c r="J32" s="1425"/>
    </row>
    <row r="33" spans="1:10" s="2138" customFormat="1" x14ac:dyDescent="0.35">
      <c r="A33" s="1304">
        <f t="shared" si="0"/>
        <v>23</v>
      </c>
      <c r="B33" s="2142" t="s">
        <v>1259</v>
      </c>
      <c r="C33" s="1399"/>
      <c r="D33" s="1399"/>
      <c r="E33" s="1661">
        <f>E31*E32</f>
        <v>19072.772921543212</v>
      </c>
      <c r="F33" s="2137"/>
      <c r="G33" s="2143" t="s">
        <v>1235</v>
      </c>
      <c r="H33" s="1304">
        <f t="shared" si="1"/>
        <v>23</v>
      </c>
      <c r="I33" s="1880"/>
      <c r="J33" s="1425"/>
    </row>
    <row r="34" spans="1:10" s="2138" customFormat="1" x14ac:dyDescent="0.35">
      <c r="A34" s="1304">
        <f t="shared" si="0"/>
        <v>24</v>
      </c>
      <c r="B34" s="2142"/>
      <c r="C34" s="1399"/>
      <c r="D34" s="1399"/>
      <c r="E34" s="1661"/>
      <c r="F34" s="2137"/>
      <c r="G34" s="2141"/>
      <c r="H34" s="1304">
        <f t="shared" si="1"/>
        <v>24</v>
      </c>
      <c r="I34" s="1880"/>
      <c r="J34" s="1425"/>
    </row>
    <row r="35" spans="1:10" x14ac:dyDescent="0.35">
      <c r="A35" s="1304">
        <f t="shared" si="0"/>
        <v>25</v>
      </c>
      <c r="B35" s="2142" t="s">
        <v>712</v>
      </c>
      <c r="C35" s="1699"/>
      <c r="D35" s="1699"/>
      <c r="E35" s="2146">
        <f>'Stmt AQ'!E13</f>
        <v>1304.0991895338727</v>
      </c>
      <c r="F35" s="1699"/>
      <c r="G35" s="2143" t="s">
        <v>1355</v>
      </c>
      <c r="H35" s="1304">
        <f t="shared" si="1"/>
        <v>25</v>
      </c>
      <c r="I35" s="684"/>
    </row>
    <row r="36" spans="1:10" x14ac:dyDescent="0.35">
      <c r="A36" s="1304">
        <f t="shared" si="0"/>
        <v>26</v>
      </c>
      <c r="B36" s="2142" t="s">
        <v>582</v>
      </c>
      <c r="C36" s="1399"/>
      <c r="D36" s="1399"/>
      <c r="E36" s="2146">
        <f>'Stmt AU'!E23</f>
        <v>-5774.4090000000006</v>
      </c>
      <c r="F36" s="1699"/>
      <c r="G36" s="2143" t="s">
        <v>1056</v>
      </c>
      <c r="H36" s="1304">
        <f t="shared" si="1"/>
        <v>26</v>
      </c>
      <c r="I36" s="684"/>
    </row>
    <row r="37" spans="1:10" x14ac:dyDescent="0.35">
      <c r="A37" s="1304">
        <f t="shared" si="0"/>
        <v>27</v>
      </c>
      <c r="B37" s="2142" t="s">
        <v>895</v>
      </c>
      <c r="C37" s="1399"/>
      <c r="D37" s="1399"/>
      <c r="E37" s="497">
        <f>'Stmt Misc.'!E10</f>
        <v>0</v>
      </c>
      <c r="F37" s="1700"/>
      <c r="G37" s="2143" t="s">
        <v>1057</v>
      </c>
      <c r="H37" s="1304">
        <f t="shared" si="1"/>
        <v>27</v>
      </c>
      <c r="I37" s="684"/>
    </row>
    <row r="38" spans="1:10" x14ac:dyDescent="0.35">
      <c r="A38" s="1304">
        <f t="shared" si="0"/>
        <v>28</v>
      </c>
      <c r="B38" s="2145" t="s">
        <v>583</v>
      </c>
      <c r="C38" s="1399"/>
      <c r="D38" s="1399"/>
      <c r="E38" s="2147">
        <f>'Stmt AU'!E25</f>
        <v>0</v>
      </c>
      <c r="F38" s="1699"/>
      <c r="G38" s="2143" t="s">
        <v>1058</v>
      </c>
      <c r="H38" s="1304">
        <f t="shared" si="1"/>
        <v>28</v>
      </c>
      <c r="I38" s="684"/>
    </row>
    <row r="39" spans="1:10" x14ac:dyDescent="0.35">
      <c r="A39" s="1304">
        <f t="shared" si="0"/>
        <v>29</v>
      </c>
      <c r="B39" s="1699"/>
      <c r="C39" s="1399"/>
      <c r="D39" s="1399"/>
      <c r="E39" s="491" t="s">
        <v>10</v>
      </c>
      <c r="F39" s="1699"/>
      <c r="G39" s="2141"/>
      <c r="H39" s="1304">
        <f t="shared" si="1"/>
        <v>29</v>
      </c>
      <c r="I39" s="1699"/>
    </row>
    <row r="40" spans="1:10" ht="16" thickBot="1" x14ac:dyDescent="0.4">
      <c r="A40" s="1304">
        <f t="shared" si="0"/>
        <v>30</v>
      </c>
      <c r="B40" s="2138" t="s">
        <v>1644</v>
      </c>
      <c r="C40" s="1409"/>
      <c r="D40" s="1409"/>
      <c r="E40" s="31">
        <f>E25+E29+E33+SUM(E35:E38)</f>
        <v>986580.3395142887</v>
      </c>
      <c r="F40" s="1700"/>
      <c r="G40" s="2143" t="s">
        <v>1236</v>
      </c>
      <c r="H40" s="1304">
        <f t="shared" si="1"/>
        <v>30</v>
      </c>
      <c r="I40" s="1880"/>
    </row>
    <row r="41" spans="1:10" s="2138" customFormat="1" ht="16" thickTop="1" x14ac:dyDescent="0.35">
      <c r="A41" s="1304"/>
      <c r="B41" s="1399"/>
      <c r="C41" s="1409"/>
      <c r="D41" s="1409"/>
      <c r="E41" s="1662"/>
      <c r="F41" s="2137"/>
      <c r="G41" s="2141"/>
      <c r="H41" s="1304"/>
      <c r="I41" s="2243"/>
    </row>
    <row r="42" spans="1:10" s="2237" customFormat="1" x14ac:dyDescent="0.35">
      <c r="A42" s="1304"/>
      <c r="B42" s="1399"/>
      <c r="C42" s="1409"/>
      <c r="D42" s="1409"/>
      <c r="E42" s="1662"/>
      <c r="F42" s="2236"/>
      <c r="G42" s="2241"/>
      <c r="H42" s="1304"/>
      <c r="I42" s="2243"/>
    </row>
    <row r="43" spans="1:10" s="2237" customFormat="1" ht="18" x14ac:dyDescent="0.35">
      <c r="A43" s="749">
        <v>1</v>
      </c>
      <c r="B43" s="2237" t="s">
        <v>587</v>
      </c>
      <c r="C43" s="1409"/>
      <c r="D43" s="1409"/>
      <c r="E43" s="1662"/>
      <c r="F43" s="2236"/>
      <c r="G43" s="2241"/>
      <c r="H43" s="1304"/>
      <c r="I43" s="2243"/>
    </row>
    <row r="44" spans="1:10" s="2237" customFormat="1" ht="18" x14ac:dyDescent="0.35">
      <c r="A44" s="749"/>
      <c r="C44" s="1409"/>
      <c r="D44" s="1409"/>
      <c r="E44" s="1662"/>
      <c r="F44" s="2236"/>
      <c r="G44" s="2241"/>
      <c r="H44" s="1304"/>
      <c r="I44" s="2243"/>
    </row>
    <row r="45" spans="1:10" s="2138" customFormat="1" x14ac:dyDescent="0.35">
      <c r="A45" s="1304"/>
      <c r="B45" s="1399"/>
      <c r="C45" s="1409"/>
      <c r="D45" s="1409"/>
      <c r="E45" s="1662"/>
      <c r="F45" s="2137"/>
      <c r="G45" s="2141"/>
      <c r="H45" s="1304"/>
      <c r="I45" s="1880"/>
    </row>
    <row r="46" spans="1:10" s="2138" customFormat="1" x14ac:dyDescent="0.35">
      <c r="A46" s="1304"/>
      <c r="B46" s="2328" t="s">
        <v>18</v>
      </c>
      <c r="C46" s="2329"/>
      <c r="D46" s="2329"/>
      <c r="E46" s="2329"/>
      <c r="F46" s="2329"/>
      <c r="G46" s="2329"/>
      <c r="H46" s="1304"/>
      <c r="I46" s="2141"/>
    </row>
    <row r="47" spans="1:10" s="2138" customFormat="1" x14ac:dyDescent="0.35">
      <c r="A47" s="1304"/>
      <c r="B47" s="2328" t="s">
        <v>573</v>
      </c>
      <c r="C47" s="2329"/>
      <c r="D47" s="2329"/>
      <c r="E47" s="2329"/>
      <c r="F47" s="2329"/>
      <c r="G47" s="2329"/>
      <c r="H47" s="1304"/>
      <c r="I47" s="2141"/>
    </row>
    <row r="48" spans="1:10" s="2138" customFormat="1" ht="18" x14ac:dyDescent="0.35">
      <c r="A48" s="1304"/>
      <c r="B48" s="2328" t="s">
        <v>574</v>
      </c>
      <c r="C48" s="2330"/>
      <c r="D48" s="2330"/>
      <c r="E48" s="2330"/>
      <c r="F48" s="2330"/>
      <c r="G48" s="2330"/>
      <c r="H48" s="1304"/>
      <c r="I48" s="2141"/>
    </row>
    <row r="49" spans="1:9" s="2138" customFormat="1" x14ac:dyDescent="0.35">
      <c r="A49" s="1304"/>
      <c r="B49" s="2331" t="str">
        <f>B5</f>
        <v>For the Base Period &amp; True-Up Period Ending December 31, 2021</v>
      </c>
      <c r="C49" s="2332"/>
      <c r="D49" s="2332"/>
      <c r="E49" s="2332"/>
      <c r="F49" s="2332"/>
      <c r="G49" s="2332"/>
      <c r="H49" s="1304"/>
      <c r="I49" s="2141"/>
    </row>
    <row r="50" spans="1:9" s="2138" customFormat="1" x14ac:dyDescent="0.35">
      <c r="A50" s="1304"/>
      <c r="B50" s="2333" t="s">
        <v>2</v>
      </c>
      <c r="C50" s="2329"/>
      <c r="D50" s="2329"/>
      <c r="E50" s="2329"/>
      <c r="F50" s="2329"/>
      <c r="G50" s="2329"/>
      <c r="H50" s="1304"/>
      <c r="I50" s="2141"/>
    </row>
    <row r="51" spans="1:9" s="2138" customFormat="1" x14ac:dyDescent="0.35">
      <c r="A51" s="1304"/>
      <c r="B51" s="1399"/>
      <c r="C51" s="1409"/>
      <c r="D51" s="1409"/>
      <c r="E51" s="1662"/>
      <c r="F51" s="2137"/>
      <c r="G51" s="2141"/>
      <c r="H51" s="1304"/>
      <c r="I51" s="2141"/>
    </row>
    <row r="52" spans="1:9" s="2138" customFormat="1" x14ac:dyDescent="0.35">
      <c r="A52" s="2143" t="s">
        <v>3</v>
      </c>
      <c r="B52" s="1399"/>
      <c r="C52" s="1409"/>
      <c r="D52" s="1409"/>
      <c r="E52" s="1662"/>
      <c r="F52" s="2137"/>
      <c r="G52" s="2141"/>
      <c r="H52" s="2143" t="s">
        <v>3</v>
      </c>
      <c r="I52" s="2141"/>
    </row>
    <row r="53" spans="1:9" s="2138" customFormat="1" x14ac:dyDescent="0.35">
      <c r="A53" s="2143" t="s">
        <v>25</v>
      </c>
      <c r="B53" s="1399"/>
      <c r="C53" s="1409"/>
      <c r="D53" s="1409"/>
      <c r="E53" s="1662"/>
      <c r="F53" s="2137"/>
      <c r="G53" s="2141"/>
      <c r="H53" s="2143" t="s">
        <v>25</v>
      </c>
      <c r="I53" s="2141"/>
    </row>
    <row r="54" spans="1:9" ht="18" x14ac:dyDescent="0.35">
      <c r="A54" s="499"/>
      <c r="B54" s="2148" t="s">
        <v>944</v>
      </c>
      <c r="C54" s="1399"/>
      <c r="D54" s="1399"/>
      <c r="E54" s="499"/>
      <c r="F54" s="1699"/>
      <c r="G54" s="1390"/>
      <c r="H54" s="1304"/>
      <c r="I54" s="684"/>
    </row>
    <row r="55" spans="1:9" x14ac:dyDescent="0.35">
      <c r="A55" s="499">
        <f t="shared" si="0"/>
        <v>1</v>
      </c>
      <c r="B55" s="1405" t="s">
        <v>508</v>
      </c>
      <c r="C55" s="1409"/>
      <c r="D55" s="1409"/>
      <c r="E55" s="34">
        <f>'Stmt AJ'!E29</f>
        <v>0</v>
      </c>
      <c r="F55" s="1410"/>
      <c r="G55" s="1390" t="s">
        <v>1059</v>
      </c>
      <c r="H55" s="499">
        <f t="shared" si="1"/>
        <v>1</v>
      </c>
      <c r="I55" s="684"/>
    </row>
    <row r="56" spans="1:9" x14ac:dyDescent="0.35">
      <c r="A56" s="499">
        <f t="shared" si="0"/>
        <v>2</v>
      </c>
      <c r="B56" s="1407"/>
      <c r="C56" s="1409"/>
      <c r="D56" s="1409"/>
      <c r="E56" s="32"/>
      <c r="F56" s="1410"/>
      <c r="G56" s="1402"/>
      <c r="H56" s="499">
        <f t="shared" si="1"/>
        <v>2</v>
      </c>
      <c r="I56" s="686"/>
    </row>
    <row r="57" spans="1:9" ht="18" x14ac:dyDescent="0.35">
      <c r="A57" s="499">
        <f t="shared" si="0"/>
        <v>3</v>
      </c>
      <c r="B57" s="2144" t="s">
        <v>1395</v>
      </c>
      <c r="C57" s="1406"/>
      <c r="D57" s="1406"/>
      <c r="E57" s="495">
        <f>'True-Up Stmt AV'!G225</f>
        <v>1.6599077318567683E-2</v>
      </c>
      <c r="F57" s="1412"/>
      <c r="G57" s="2143" t="s">
        <v>1698</v>
      </c>
      <c r="H57" s="499">
        <f t="shared" si="1"/>
        <v>3</v>
      </c>
      <c r="I57" s="684"/>
    </row>
    <row r="58" spans="1:9" x14ac:dyDescent="0.35">
      <c r="A58" s="499">
        <f t="shared" si="0"/>
        <v>4</v>
      </c>
      <c r="B58" s="2142" t="s">
        <v>585</v>
      </c>
      <c r="C58" s="1406"/>
      <c r="D58" s="1406"/>
      <c r="E58" s="496">
        <f>E141</f>
        <v>0</v>
      </c>
      <c r="G58" s="2143" t="s">
        <v>1265</v>
      </c>
      <c r="H58" s="499">
        <f t="shared" si="1"/>
        <v>4</v>
      </c>
      <c r="I58" s="684"/>
    </row>
    <row r="59" spans="1:9" x14ac:dyDescent="0.35">
      <c r="A59" s="499">
        <f t="shared" si="0"/>
        <v>5</v>
      </c>
      <c r="B59" s="2142" t="s">
        <v>1262</v>
      </c>
      <c r="C59" s="1399"/>
      <c r="D59" s="1399"/>
      <c r="E59" s="35">
        <f>E58*E57</f>
        <v>0</v>
      </c>
      <c r="G59" s="2143" t="s">
        <v>1274</v>
      </c>
      <c r="H59" s="499">
        <f t="shared" si="1"/>
        <v>5</v>
      </c>
      <c r="I59" s="684"/>
    </row>
    <row r="60" spans="1:9" s="2138" customFormat="1" x14ac:dyDescent="0.35">
      <c r="A60" s="1304">
        <f t="shared" si="0"/>
        <v>6</v>
      </c>
      <c r="B60" s="2142"/>
      <c r="C60" s="1399"/>
      <c r="D60" s="1399"/>
      <c r="E60" s="1661"/>
      <c r="G60" s="2143"/>
      <c r="H60" s="1304">
        <f t="shared" si="1"/>
        <v>6</v>
      </c>
      <c r="I60" s="2141"/>
    </row>
    <row r="61" spans="1:9" s="2138" customFormat="1" ht="17.5" x14ac:dyDescent="0.35">
      <c r="A61" s="1304">
        <f t="shared" si="0"/>
        <v>7</v>
      </c>
      <c r="B61" s="2144" t="s">
        <v>1394</v>
      </c>
      <c r="C61" s="1399"/>
      <c r="D61" s="1399"/>
      <c r="E61" s="2199">
        <f>IFERROR('True-Up Stmt AV'!G259,0)</f>
        <v>0</v>
      </c>
      <c r="G61" s="2143" t="s">
        <v>1699</v>
      </c>
      <c r="H61" s="1304">
        <f t="shared" si="1"/>
        <v>7</v>
      </c>
      <c r="I61" s="2141"/>
    </row>
    <row r="62" spans="1:9" s="2138" customFormat="1" x14ac:dyDescent="0.35">
      <c r="A62" s="1304">
        <f t="shared" si="0"/>
        <v>8</v>
      </c>
      <c r="B62" s="2142" t="s">
        <v>585</v>
      </c>
      <c r="C62" s="1399"/>
      <c r="D62" s="1399"/>
      <c r="E62" s="2149">
        <f>E141</f>
        <v>0</v>
      </c>
      <c r="G62" s="2143" t="s">
        <v>1265</v>
      </c>
      <c r="H62" s="1304">
        <f t="shared" si="1"/>
        <v>8</v>
      </c>
      <c r="I62" s="2141"/>
    </row>
    <row r="63" spans="1:9" s="2138" customFormat="1" x14ac:dyDescent="0.35">
      <c r="A63" s="1304">
        <f t="shared" si="0"/>
        <v>9</v>
      </c>
      <c r="B63" s="2142" t="s">
        <v>1259</v>
      </c>
      <c r="C63" s="1399"/>
      <c r="D63" s="1399"/>
      <c r="E63" s="1661">
        <f>E61*E62</f>
        <v>0</v>
      </c>
      <c r="G63" s="2143" t="s">
        <v>1275</v>
      </c>
      <c r="H63" s="1304">
        <f t="shared" si="1"/>
        <v>9</v>
      </c>
      <c r="I63" s="2141"/>
    </row>
    <row r="64" spans="1:9" s="2138" customFormat="1" x14ac:dyDescent="0.35">
      <c r="A64" s="1304">
        <f t="shared" si="0"/>
        <v>10</v>
      </c>
      <c r="C64" s="1399"/>
      <c r="D64" s="1399"/>
      <c r="E64" s="1661"/>
      <c r="G64" s="2143"/>
      <c r="H64" s="1304">
        <f t="shared" si="1"/>
        <v>10</v>
      </c>
      <c r="I64" s="2141"/>
    </row>
    <row r="65" spans="1:9" s="2138" customFormat="1" ht="16" thickBot="1" x14ac:dyDescent="0.4">
      <c r="A65" s="1304">
        <f t="shared" si="0"/>
        <v>11</v>
      </c>
      <c r="B65" s="2142" t="s">
        <v>878</v>
      </c>
      <c r="C65" s="1399"/>
      <c r="D65" s="1399"/>
      <c r="E65" s="57">
        <f>E55+E59+E63</f>
        <v>0</v>
      </c>
      <c r="G65" s="2143" t="s">
        <v>1276</v>
      </c>
      <c r="H65" s="1304">
        <f t="shared" si="1"/>
        <v>11</v>
      </c>
      <c r="I65" s="2141"/>
    </row>
    <row r="66" spans="1:9" ht="16" thickTop="1" x14ac:dyDescent="0.35">
      <c r="A66" s="1304">
        <f t="shared" si="0"/>
        <v>12</v>
      </c>
      <c r="B66" s="1399"/>
      <c r="C66" s="1399"/>
      <c r="D66" s="1399"/>
      <c r="E66" s="22"/>
      <c r="G66" s="1390"/>
      <c r="H66" s="1304">
        <f t="shared" si="1"/>
        <v>12</v>
      </c>
      <c r="I66" s="684"/>
    </row>
    <row r="67" spans="1:9" ht="18" x14ac:dyDescent="0.35">
      <c r="A67" s="499">
        <f t="shared" si="0"/>
        <v>13</v>
      </c>
      <c r="B67" s="2150" t="s">
        <v>943</v>
      </c>
      <c r="C67" s="1399"/>
      <c r="D67" s="1399"/>
      <c r="E67" s="22"/>
      <c r="G67" s="1390"/>
      <c r="H67" s="1304">
        <f t="shared" si="1"/>
        <v>13</v>
      </c>
      <c r="I67" s="684"/>
    </row>
    <row r="68" spans="1:9" x14ac:dyDescent="0.35">
      <c r="A68" s="499">
        <f t="shared" si="0"/>
        <v>14</v>
      </c>
      <c r="B68" s="1405" t="s">
        <v>510</v>
      </c>
      <c r="C68" s="1399"/>
      <c r="D68" s="1399"/>
      <c r="E68" s="37">
        <f>'Stmt AJ'!E31</f>
        <v>0</v>
      </c>
      <c r="G68" s="1390" t="s">
        <v>1060</v>
      </c>
      <c r="H68" s="499">
        <f t="shared" si="1"/>
        <v>14</v>
      </c>
      <c r="I68" s="684"/>
    </row>
    <row r="69" spans="1:9" x14ac:dyDescent="0.35">
      <c r="A69" s="499">
        <f t="shared" si="0"/>
        <v>15</v>
      </c>
      <c r="B69" s="1405"/>
      <c r="C69" s="1399"/>
      <c r="D69" s="1399"/>
      <c r="E69" s="500"/>
      <c r="G69" s="1390"/>
      <c r="H69" s="499">
        <f t="shared" si="1"/>
        <v>15</v>
      </c>
      <c r="I69" s="684"/>
    </row>
    <row r="70" spans="1:9" x14ac:dyDescent="0.35">
      <c r="A70" s="499">
        <f t="shared" si="0"/>
        <v>16</v>
      </c>
      <c r="B70" s="2144" t="s">
        <v>586</v>
      </c>
      <c r="C70" s="1399"/>
      <c r="D70" s="1399"/>
      <c r="E70" s="37">
        <f>E146</f>
        <v>0</v>
      </c>
      <c r="G70" s="2143" t="s">
        <v>1266</v>
      </c>
      <c r="H70" s="499">
        <f t="shared" si="1"/>
        <v>16</v>
      </c>
      <c r="I70" s="33"/>
    </row>
    <row r="71" spans="1:9" ht="17.5" x14ac:dyDescent="0.35">
      <c r="A71" s="499">
        <f t="shared" si="0"/>
        <v>17</v>
      </c>
      <c r="B71" s="2144" t="s">
        <v>1393</v>
      </c>
      <c r="C71" s="1406"/>
      <c r="D71" s="488"/>
      <c r="E71" s="2151">
        <f>'True-Up Stmt AV'!G148</f>
        <v>9.5314154520847405E-2</v>
      </c>
      <c r="F71" s="1395"/>
      <c r="G71" s="2143" t="s">
        <v>1696</v>
      </c>
      <c r="H71" s="499">
        <f t="shared" si="1"/>
        <v>17</v>
      </c>
      <c r="I71" s="684"/>
    </row>
    <row r="72" spans="1:9" x14ac:dyDescent="0.35">
      <c r="A72" s="499">
        <f t="shared" si="0"/>
        <v>18</v>
      </c>
      <c r="B72" s="2142" t="s">
        <v>1311</v>
      </c>
      <c r="C72" s="1399"/>
      <c r="D72" s="1399"/>
      <c r="E72" s="35">
        <f>E70*E71</f>
        <v>0</v>
      </c>
      <c r="G72" s="2143" t="s">
        <v>1277</v>
      </c>
      <c r="H72" s="499">
        <f t="shared" si="1"/>
        <v>18</v>
      </c>
      <c r="I72" s="684"/>
    </row>
    <row r="73" spans="1:9" s="2138" customFormat="1" x14ac:dyDescent="0.35">
      <c r="A73" s="1304">
        <f t="shared" si="0"/>
        <v>19</v>
      </c>
      <c r="B73" s="2142"/>
      <c r="C73" s="1399"/>
      <c r="D73" s="1399"/>
      <c r="E73" s="1661"/>
      <c r="G73" s="2143"/>
      <c r="H73" s="1304">
        <f t="shared" si="1"/>
        <v>19</v>
      </c>
      <c r="I73" s="2141"/>
    </row>
    <row r="74" spans="1:9" s="2138" customFormat="1" x14ac:dyDescent="0.35">
      <c r="A74" s="1304">
        <f t="shared" si="0"/>
        <v>20</v>
      </c>
      <c r="B74" s="2144" t="s">
        <v>586</v>
      </c>
      <c r="C74" s="1399"/>
      <c r="D74" s="1399"/>
      <c r="E74" s="49">
        <f>E146</f>
        <v>0</v>
      </c>
      <c r="G74" s="2143" t="s">
        <v>1266</v>
      </c>
      <c r="H74" s="1304">
        <f t="shared" si="1"/>
        <v>20</v>
      </c>
      <c r="I74" s="2141"/>
    </row>
    <row r="75" spans="1:9" s="2138" customFormat="1" ht="17.5" x14ac:dyDescent="0.35">
      <c r="A75" s="1304">
        <f t="shared" si="0"/>
        <v>21</v>
      </c>
      <c r="B75" s="2144" t="s">
        <v>1394</v>
      </c>
      <c r="C75" s="1399"/>
      <c r="D75" s="1399"/>
      <c r="E75" s="2152">
        <v>0</v>
      </c>
      <c r="G75" s="2143" t="s">
        <v>151</v>
      </c>
      <c r="H75" s="1304">
        <f t="shared" si="1"/>
        <v>21</v>
      </c>
      <c r="I75" s="2141"/>
    </row>
    <row r="76" spans="1:9" s="2138" customFormat="1" x14ac:dyDescent="0.35">
      <c r="A76" s="1304">
        <f t="shared" si="0"/>
        <v>22</v>
      </c>
      <c r="B76" s="2142" t="s">
        <v>1312</v>
      </c>
      <c r="C76" s="1399"/>
      <c r="D76" s="1399"/>
      <c r="E76" s="1661">
        <f>E74*E75</f>
        <v>0</v>
      </c>
      <c r="G76" s="2143" t="s">
        <v>1278</v>
      </c>
      <c r="H76" s="1304">
        <f t="shared" si="1"/>
        <v>22</v>
      </c>
      <c r="I76" s="2141"/>
    </row>
    <row r="77" spans="1:9" s="2138" customFormat="1" x14ac:dyDescent="0.35">
      <c r="A77" s="1304">
        <f t="shared" si="0"/>
        <v>23</v>
      </c>
      <c r="C77" s="1399"/>
      <c r="D77" s="1399"/>
      <c r="E77" s="1661"/>
      <c r="G77" s="2143"/>
      <c r="H77" s="1304">
        <f t="shared" si="1"/>
        <v>23</v>
      </c>
      <c r="I77" s="2141"/>
    </row>
    <row r="78" spans="1:9" s="2138" customFormat="1" ht="16" thickBot="1" x14ac:dyDescent="0.4">
      <c r="A78" s="1304">
        <f t="shared" si="0"/>
        <v>24</v>
      </c>
      <c r="B78" s="2142" t="s">
        <v>879</v>
      </c>
      <c r="C78" s="1399"/>
      <c r="D78" s="1399"/>
      <c r="E78" s="57">
        <f>E68+E72+E76</f>
        <v>0</v>
      </c>
      <c r="G78" s="2143" t="s">
        <v>1279</v>
      </c>
      <c r="H78" s="1304">
        <f t="shared" si="1"/>
        <v>24</v>
      </c>
      <c r="I78" s="2141"/>
    </row>
    <row r="79" spans="1:9" ht="16" thickTop="1" x14ac:dyDescent="0.35">
      <c r="A79" s="1304">
        <f t="shared" si="0"/>
        <v>25</v>
      </c>
      <c r="B79" s="1399"/>
      <c r="C79" s="1399"/>
      <c r="D79" s="1399"/>
      <c r="E79" s="22"/>
      <c r="G79" s="1390"/>
      <c r="H79" s="1304">
        <f t="shared" si="1"/>
        <v>25</v>
      </c>
      <c r="I79" s="684"/>
    </row>
    <row r="80" spans="1:9" ht="18" x14ac:dyDescent="0.35">
      <c r="A80" s="1304">
        <f t="shared" si="0"/>
        <v>26</v>
      </c>
      <c r="B80" s="2150" t="s">
        <v>941</v>
      </c>
      <c r="C80" s="1409"/>
      <c r="D80" s="1409"/>
      <c r="E80" s="32"/>
      <c r="F80" s="1410"/>
      <c r="G80" s="1402"/>
      <c r="H80" s="1304">
        <f t="shared" si="1"/>
        <v>26</v>
      </c>
      <c r="I80" s="686"/>
    </row>
    <row r="81" spans="1:9" x14ac:dyDescent="0.35">
      <c r="A81" s="1304">
        <f t="shared" si="0"/>
        <v>27</v>
      </c>
      <c r="B81" s="2142" t="s">
        <v>942</v>
      </c>
      <c r="C81" s="1409"/>
      <c r="D81" s="1409"/>
      <c r="E81" s="34">
        <f>E148</f>
        <v>0</v>
      </c>
      <c r="F81" s="1410"/>
      <c r="G81" s="2143" t="s">
        <v>1267</v>
      </c>
      <c r="H81" s="1304">
        <f t="shared" si="1"/>
        <v>27</v>
      </c>
      <c r="I81" s="684"/>
    </row>
    <row r="82" spans="1:9" ht="17.5" x14ac:dyDescent="0.35">
      <c r="A82" s="499">
        <f t="shared" si="0"/>
        <v>28</v>
      </c>
      <c r="B82" s="2144" t="s">
        <v>1393</v>
      </c>
      <c r="C82" s="1409"/>
      <c r="D82" s="1409"/>
      <c r="E82" s="40">
        <f>'True-Up Stmt AV'!G148</f>
        <v>9.5314154520847405E-2</v>
      </c>
      <c r="F82" s="1395"/>
      <c r="G82" s="2143" t="s">
        <v>1696</v>
      </c>
      <c r="H82" s="499">
        <f t="shared" si="1"/>
        <v>28</v>
      </c>
      <c r="I82" s="684"/>
    </row>
    <row r="83" spans="1:9" x14ac:dyDescent="0.35">
      <c r="A83" s="499">
        <f t="shared" si="0"/>
        <v>29</v>
      </c>
      <c r="B83" s="2142" t="s">
        <v>1263</v>
      </c>
      <c r="C83" s="1409"/>
      <c r="D83" s="1409"/>
      <c r="E83" s="35">
        <f>E81*E82</f>
        <v>0</v>
      </c>
      <c r="F83" s="1410"/>
      <c r="G83" s="2143" t="s">
        <v>1134</v>
      </c>
      <c r="H83" s="499">
        <f t="shared" si="1"/>
        <v>29</v>
      </c>
      <c r="I83" s="684"/>
    </row>
    <row r="84" spans="1:9" x14ac:dyDescent="0.35">
      <c r="A84" s="499">
        <f t="shared" si="0"/>
        <v>30</v>
      </c>
      <c r="B84" s="2142"/>
      <c r="C84" s="1409"/>
      <c r="D84" s="1409"/>
      <c r="E84" s="22"/>
      <c r="F84" s="1410"/>
      <c r="G84" s="2143"/>
      <c r="H84" s="499">
        <f t="shared" si="1"/>
        <v>30</v>
      </c>
      <c r="I84" s="684"/>
    </row>
    <row r="85" spans="1:9" x14ac:dyDescent="0.35">
      <c r="A85" s="499">
        <f t="shared" si="0"/>
        <v>31</v>
      </c>
      <c r="B85" s="2142" t="s">
        <v>942</v>
      </c>
      <c r="C85" s="1399"/>
      <c r="D85" s="1399"/>
      <c r="E85" s="49">
        <f>E148</f>
        <v>0</v>
      </c>
      <c r="G85" s="2143" t="s">
        <v>1267</v>
      </c>
      <c r="H85" s="499">
        <f t="shared" si="1"/>
        <v>31</v>
      </c>
      <c r="I85" s="684"/>
    </row>
    <row r="86" spans="1:9" s="2138" customFormat="1" ht="17.5" x14ac:dyDescent="0.35">
      <c r="A86" s="1304">
        <f t="shared" si="0"/>
        <v>32</v>
      </c>
      <c r="B86" s="2144" t="s">
        <v>1394</v>
      </c>
      <c r="C86" s="1399"/>
      <c r="D86" s="1399"/>
      <c r="E86" s="2200">
        <f>'True-Up Stmt AV'!G182</f>
        <v>3.9113461135350091E-3</v>
      </c>
      <c r="G86" s="2143" t="s">
        <v>1697</v>
      </c>
      <c r="H86" s="1304">
        <f t="shared" si="1"/>
        <v>32</v>
      </c>
      <c r="I86" s="2141"/>
    </row>
    <row r="87" spans="1:9" s="2138" customFormat="1" x14ac:dyDescent="0.35">
      <c r="A87" s="1304">
        <f t="shared" ref="A87:A93" si="2">A86+1</f>
        <v>33</v>
      </c>
      <c r="B87" s="2142" t="s">
        <v>1261</v>
      </c>
      <c r="C87" s="1399"/>
      <c r="D87" s="1399"/>
      <c r="E87" s="1661">
        <f>E85*E86</f>
        <v>0</v>
      </c>
      <c r="G87" s="2143" t="s">
        <v>1280</v>
      </c>
      <c r="H87" s="1304">
        <f t="shared" ref="H87:H93" si="3">H86+1</f>
        <v>33</v>
      </c>
      <c r="I87" s="2141"/>
    </row>
    <row r="88" spans="1:9" s="2138" customFormat="1" x14ac:dyDescent="0.35">
      <c r="A88" s="1304">
        <f t="shared" si="2"/>
        <v>34</v>
      </c>
      <c r="B88" s="2142"/>
      <c r="C88" s="1399"/>
      <c r="D88" s="1399"/>
      <c r="E88" s="1661"/>
      <c r="G88" s="2143"/>
      <c r="H88" s="1304">
        <f t="shared" si="3"/>
        <v>34</v>
      </c>
      <c r="I88" s="2141"/>
    </row>
    <row r="89" spans="1:9" s="2138" customFormat="1" ht="16" thickBot="1" x14ac:dyDescent="0.4">
      <c r="A89" s="1304">
        <f t="shared" si="2"/>
        <v>35</v>
      </c>
      <c r="B89" s="2142" t="s">
        <v>1260</v>
      </c>
      <c r="C89" s="1399"/>
      <c r="D89" s="1399"/>
      <c r="E89" s="57">
        <f>E83+E87</f>
        <v>0</v>
      </c>
      <c r="G89" s="2143" t="s">
        <v>1281</v>
      </c>
      <c r="H89" s="1304">
        <f t="shared" si="3"/>
        <v>35</v>
      </c>
      <c r="I89" s="2141"/>
    </row>
    <row r="90" spans="1:9" s="2138" customFormat="1" ht="16" thickTop="1" x14ac:dyDescent="0.35">
      <c r="A90" s="1304">
        <f t="shared" si="2"/>
        <v>36</v>
      </c>
      <c r="B90" s="2142"/>
      <c r="C90" s="1399"/>
      <c r="D90" s="1399"/>
      <c r="E90" s="1661"/>
      <c r="G90" s="2143"/>
      <c r="H90" s="1304">
        <f t="shared" si="3"/>
        <v>36</v>
      </c>
      <c r="I90" s="2141"/>
    </row>
    <row r="91" spans="1:9" ht="18" thickBot="1" x14ac:dyDescent="0.4">
      <c r="A91" s="1304">
        <f t="shared" si="2"/>
        <v>37</v>
      </c>
      <c r="B91" s="2142" t="s">
        <v>880</v>
      </c>
      <c r="C91" s="1409"/>
      <c r="D91" s="1409"/>
      <c r="E91" s="31">
        <f>E65+E78+E89</f>
        <v>0</v>
      </c>
      <c r="F91" s="1410"/>
      <c r="G91" s="2143" t="s">
        <v>1282</v>
      </c>
      <c r="H91" s="1304">
        <f t="shared" si="3"/>
        <v>37</v>
      </c>
      <c r="I91" s="686"/>
    </row>
    <row r="92" spans="1:9" s="2138" customFormat="1" ht="16" thickTop="1" x14ac:dyDescent="0.35">
      <c r="A92" s="1304">
        <f t="shared" si="2"/>
        <v>38</v>
      </c>
      <c r="B92" s="2142"/>
      <c r="C92" s="1409"/>
      <c r="D92" s="1409"/>
      <c r="E92" s="1662"/>
      <c r="F92" s="1494"/>
      <c r="G92" s="2143"/>
      <c r="H92" s="1304">
        <f t="shared" si="3"/>
        <v>38</v>
      </c>
      <c r="I92" s="1771"/>
    </row>
    <row r="93" spans="1:9" ht="24.75" customHeight="1" thickBot="1" x14ac:dyDescent="0.4">
      <c r="A93" s="1304">
        <f t="shared" si="2"/>
        <v>39</v>
      </c>
      <c r="B93" s="1413" t="s">
        <v>764</v>
      </c>
      <c r="C93" s="1409"/>
      <c r="D93" s="1409"/>
      <c r="E93" s="31">
        <f>E40+E91</f>
        <v>986580.3395142887</v>
      </c>
      <c r="F93" s="1395"/>
      <c r="G93" s="2143" t="s">
        <v>1283</v>
      </c>
      <c r="H93" s="1304">
        <f t="shared" si="3"/>
        <v>39</v>
      </c>
      <c r="I93" s="686"/>
    </row>
    <row r="94" spans="1:9" ht="16" thickTop="1" x14ac:dyDescent="0.35">
      <c r="A94" s="499"/>
      <c r="B94" s="1413"/>
      <c r="C94" s="1409"/>
      <c r="D94" s="1409"/>
      <c r="E94" s="32"/>
      <c r="F94" s="1408"/>
      <c r="G94" s="1402"/>
      <c r="H94" s="499"/>
    </row>
    <row r="95" spans="1:9" x14ac:dyDescent="0.35">
      <c r="A95" s="499"/>
      <c r="B95" s="1413"/>
      <c r="C95" s="1409"/>
      <c r="D95" s="1409"/>
      <c r="E95" s="32"/>
      <c r="F95" s="1408"/>
      <c r="G95" s="1402"/>
      <c r="H95" s="499"/>
    </row>
    <row r="96" spans="1:9" ht="18" x14ac:dyDescent="0.35">
      <c r="A96" s="2153">
        <v>1</v>
      </c>
      <c r="B96" s="2142" t="s">
        <v>587</v>
      </c>
      <c r="C96" s="1409"/>
      <c r="D96" s="1409"/>
      <c r="E96" s="42"/>
      <c r="F96" s="1408"/>
      <c r="G96" s="1402"/>
      <c r="H96" s="499"/>
    </row>
    <row r="97" spans="1:8" ht="18" x14ac:dyDescent="0.35">
      <c r="A97" s="2153">
        <v>2</v>
      </c>
      <c r="B97" s="2142" t="s">
        <v>927</v>
      </c>
      <c r="C97" s="1409"/>
      <c r="D97" s="1409"/>
      <c r="E97" s="42"/>
      <c r="F97" s="1408"/>
      <c r="G97" s="1402"/>
      <c r="H97" s="499"/>
    </row>
    <row r="98" spans="1:8" ht="18" x14ac:dyDescent="0.35">
      <c r="A98" s="2153">
        <v>3</v>
      </c>
      <c r="B98" s="2142" t="s">
        <v>716</v>
      </c>
      <c r="C98" s="1409"/>
      <c r="D98" s="1409"/>
      <c r="E98" s="42"/>
      <c r="F98" s="1408"/>
      <c r="G98" s="1402"/>
      <c r="H98" s="499"/>
    </row>
    <row r="99" spans="1:8" x14ac:dyDescent="0.35">
      <c r="A99" s="499"/>
      <c r="B99" s="1395"/>
      <c r="C99" s="1409"/>
      <c r="D99" s="1409"/>
      <c r="E99" s="32"/>
      <c r="G99" s="1390"/>
      <c r="H99" s="499"/>
    </row>
    <row r="100" spans="1:8" x14ac:dyDescent="0.35">
      <c r="A100" s="499"/>
      <c r="B100" s="1399"/>
      <c r="C100" s="1409"/>
      <c r="D100" s="1409"/>
      <c r="E100" s="32"/>
      <c r="G100" s="1390"/>
      <c r="H100" s="499"/>
    </row>
    <row r="101" spans="1:8" x14ac:dyDescent="0.35">
      <c r="A101" s="499"/>
      <c r="B101" s="2281" t="s">
        <v>18</v>
      </c>
      <c r="C101" s="2278"/>
      <c r="D101" s="2278"/>
      <c r="E101" s="2278"/>
      <c r="F101" s="2278"/>
      <c r="G101" s="2278"/>
      <c r="H101" s="499"/>
    </row>
    <row r="102" spans="1:8" x14ac:dyDescent="0.35">
      <c r="A102" s="499"/>
      <c r="B102" s="2281" t="s">
        <v>573</v>
      </c>
      <c r="C102" s="2278"/>
      <c r="D102" s="2278"/>
      <c r="E102" s="2278"/>
      <c r="F102" s="2278"/>
      <c r="G102" s="2278"/>
    </row>
    <row r="103" spans="1:8" ht="18" x14ac:dyDescent="0.35">
      <c r="A103" s="499" t="s">
        <v>10</v>
      </c>
      <c r="B103" s="2281" t="s">
        <v>574</v>
      </c>
      <c r="C103" s="2282"/>
      <c r="D103" s="2282"/>
      <c r="E103" s="2282"/>
      <c r="F103" s="2282"/>
      <c r="G103" s="2282"/>
      <c r="H103" s="499" t="s">
        <v>10</v>
      </c>
    </row>
    <row r="104" spans="1:8" x14ac:dyDescent="0.35">
      <c r="A104" s="499"/>
      <c r="B104" s="2283" t="str">
        <f>B5</f>
        <v>For the Base Period &amp; True-Up Period Ending December 31, 2021</v>
      </c>
      <c r="C104" s="2284"/>
      <c r="D104" s="2284"/>
      <c r="E104" s="2284"/>
      <c r="F104" s="2284"/>
      <c r="G104" s="2284"/>
      <c r="H104" s="499"/>
    </row>
    <row r="105" spans="1:8" x14ac:dyDescent="0.35">
      <c r="A105" s="499"/>
      <c r="B105" s="2277" t="s">
        <v>2</v>
      </c>
      <c r="C105" s="2278"/>
      <c r="D105" s="2278"/>
      <c r="E105" s="2278"/>
      <c r="F105" s="2278"/>
      <c r="G105" s="2278"/>
      <c r="H105" s="499"/>
    </row>
    <row r="106" spans="1:8" x14ac:dyDescent="0.35">
      <c r="A106" s="499"/>
      <c r="B106" s="1394"/>
      <c r="C106" s="1395"/>
      <c r="D106" s="1395"/>
      <c r="E106" s="1395"/>
      <c r="F106" s="1395"/>
      <c r="G106" s="1395"/>
      <c r="H106" s="499"/>
    </row>
    <row r="107" spans="1:8" x14ac:dyDescent="0.35">
      <c r="A107" s="1396" t="s">
        <v>3</v>
      </c>
      <c r="B107" s="1397"/>
      <c r="C107" s="1397"/>
      <c r="D107" s="1397"/>
      <c r="E107" s="507"/>
      <c r="G107" s="1390"/>
      <c r="H107" s="1396" t="s">
        <v>3</v>
      </c>
    </row>
    <row r="108" spans="1:8" x14ac:dyDescent="0.35">
      <c r="A108" s="1396" t="s">
        <v>25</v>
      </c>
      <c r="B108" s="1398" t="s">
        <v>10</v>
      </c>
      <c r="C108" s="1399"/>
      <c r="D108" s="1399"/>
      <c r="E108" s="1400" t="s">
        <v>135</v>
      </c>
      <c r="G108" s="1401" t="s">
        <v>9</v>
      </c>
      <c r="H108" s="1396" t="s">
        <v>25</v>
      </c>
    </row>
    <row r="109" spans="1:8" x14ac:dyDescent="0.35">
      <c r="A109" s="499"/>
      <c r="B109" s="1415" t="s">
        <v>588</v>
      </c>
      <c r="C109" s="1416"/>
      <c r="D109" s="1416"/>
      <c r="E109" s="1416"/>
      <c r="G109" s="1390"/>
      <c r="H109" s="499"/>
    </row>
    <row r="110" spans="1:8" x14ac:dyDescent="0.35">
      <c r="A110" s="499">
        <v>1</v>
      </c>
      <c r="B110" s="1417" t="s">
        <v>554</v>
      </c>
      <c r="C110" s="1416"/>
      <c r="D110" s="1416"/>
      <c r="E110" s="1416"/>
      <c r="G110" s="1390"/>
      <c r="H110" s="499">
        <f>A110</f>
        <v>1</v>
      </c>
    </row>
    <row r="111" spans="1:8" x14ac:dyDescent="0.35">
      <c r="A111" s="499">
        <f t="shared" ref="A111:A148" si="4">A110+1</f>
        <v>2</v>
      </c>
      <c r="B111" s="1405" t="s">
        <v>132</v>
      </c>
      <c r="C111" s="1416"/>
      <c r="D111" s="1416"/>
      <c r="E111" s="43">
        <f>E179</f>
        <v>5550598.5240176916</v>
      </c>
      <c r="F111" s="1408"/>
      <c r="G111" s="1390" t="s">
        <v>1268</v>
      </c>
      <c r="H111" s="499">
        <f>H110+1</f>
        <v>2</v>
      </c>
    </row>
    <row r="112" spans="1:8" x14ac:dyDescent="0.35">
      <c r="A112" s="499">
        <f t="shared" si="4"/>
        <v>3</v>
      </c>
      <c r="B112" s="1405" t="s">
        <v>13</v>
      </c>
      <c r="C112" s="1416"/>
      <c r="D112" s="1416"/>
      <c r="E112" s="501">
        <f>E180</f>
        <v>5093.7317215840376</v>
      </c>
      <c r="F112" s="1408"/>
      <c r="G112" s="1390" t="s">
        <v>1201</v>
      </c>
      <c r="H112" s="499">
        <f>H111+1</f>
        <v>3</v>
      </c>
    </row>
    <row r="113" spans="1:10" x14ac:dyDescent="0.35">
      <c r="A113" s="499">
        <f t="shared" si="4"/>
        <v>4</v>
      </c>
      <c r="B113" s="1405" t="s">
        <v>14</v>
      </c>
      <c r="C113" s="1416"/>
      <c r="D113" s="1416"/>
      <c r="E113" s="501">
        <f>E181</f>
        <v>59576.62398636053</v>
      </c>
      <c r="G113" s="1390" t="s">
        <v>1269</v>
      </c>
      <c r="H113" s="499">
        <f>H112+1</f>
        <v>4</v>
      </c>
    </row>
    <row r="114" spans="1:10" x14ac:dyDescent="0.35">
      <c r="A114" s="499">
        <f t="shared" si="4"/>
        <v>5</v>
      </c>
      <c r="B114" s="1407" t="s">
        <v>555</v>
      </c>
      <c r="C114" s="1416"/>
      <c r="D114" s="1416"/>
      <c r="E114" s="502">
        <f>E182</f>
        <v>149391.98389468517</v>
      </c>
      <c r="G114" s="1390" t="s">
        <v>1270</v>
      </c>
      <c r="H114" s="499">
        <f>H113+1</f>
        <v>5</v>
      </c>
    </row>
    <row r="115" spans="1:10" x14ac:dyDescent="0.35">
      <c r="A115" s="499">
        <f t="shared" si="4"/>
        <v>6</v>
      </c>
      <c r="B115" s="1405" t="s">
        <v>556</v>
      </c>
      <c r="C115" s="499"/>
      <c r="D115" s="499"/>
      <c r="E115" s="26">
        <f>SUM(E111:E114)</f>
        <v>5764660.8636203213</v>
      </c>
      <c r="F115" s="1408"/>
      <c r="G115" s="1390" t="s">
        <v>1061</v>
      </c>
      <c r="H115" s="499">
        <f t="shared" ref="H115:H148" si="5">H114+1</f>
        <v>6</v>
      </c>
    </row>
    <row r="116" spans="1:10" x14ac:dyDescent="0.35">
      <c r="A116" s="499">
        <f t="shared" si="4"/>
        <v>7</v>
      </c>
      <c r="B116" s="1399"/>
      <c r="C116" s="499"/>
      <c r="D116" s="499"/>
      <c r="E116" s="491"/>
      <c r="G116" s="1390"/>
      <c r="H116" s="499">
        <f t="shared" si="5"/>
        <v>7</v>
      </c>
    </row>
    <row r="117" spans="1:10" x14ac:dyDescent="0.35">
      <c r="A117" s="499">
        <f t="shared" si="4"/>
        <v>8</v>
      </c>
      <c r="B117" s="1417" t="s">
        <v>557</v>
      </c>
      <c r="C117" s="499"/>
      <c r="D117" s="499"/>
      <c r="E117" s="491"/>
      <c r="G117" s="1390"/>
      <c r="H117" s="499">
        <f t="shared" si="5"/>
        <v>8</v>
      </c>
    </row>
    <row r="118" spans="1:10" x14ac:dyDescent="0.35">
      <c r="A118" s="499">
        <f t="shared" si="4"/>
        <v>9</v>
      </c>
      <c r="B118" s="1405" t="s">
        <v>558</v>
      </c>
      <c r="C118" s="499"/>
      <c r="D118" s="499"/>
      <c r="E118" s="46">
        <f>'Stmt AG'!E11</f>
        <v>0</v>
      </c>
      <c r="F118" s="1408"/>
      <c r="G118" s="499" t="s">
        <v>1188</v>
      </c>
      <c r="H118" s="499">
        <f t="shared" si="5"/>
        <v>9</v>
      </c>
      <c r="I118" s="1418"/>
    </row>
    <row r="119" spans="1:10" x14ac:dyDescent="0.35">
      <c r="A119" s="499">
        <f t="shared" si="4"/>
        <v>10</v>
      </c>
      <c r="B119" s="1405" t="s">
        <v>559</v>
      </c>
      <c r="C119" s="499"/>
      <c r="D119" s="499"/>
      <c r="E119" s="47">
        <f>'Stmt Misc.'!E12</f>
        <v>0</v>
      </c>
      <c r="F119" s="1699"/>
      <c r="G119" s="684" t="s">
        <v>1062</v>
      </c>
      <c r="H119" s="499">
        <f t="shared" si="5"/>
        <v>10</v>
      </c>
    </row>
    <row r="120" spans="1:10" x14ac:dyDescent="0.35">
      <c r="A120" s="499">
        <f t="shared" si="4"/>
        <v>11</v>
      </c>
      <c r="B120" s="1405" t="s">
        <v>560</v>
      </c>
      <c r="C120" s="499"/>
      <c r="D120" s="499"/>
      <c r="E120" s="48">
        <f>SUM(E118:E119)</f>
        <v>0</v>
      </c>
      <c r="F120" s="1408"/>
      <c r="G120" s="1390" t="s">
        <v>1063</v>
      </c>
      <c r="H120" s="499">
        <f t="shared" si="5"/>
        <v>11</v>
      </c>
    </row>
    <row r="121" spans="1:10" x14ac:dyDescent="0.35">
      <c r="A121" s="499">
        <f t="shared" si="4"/>
        <v>12</v>
      </c>
      <c r="B121" s="1405"/>
      <c r="C121" s="499"/>
      <c r="D121" s="499"/>
      <c r="E121" s="32"/>
      <c r="F121" s="1699"/>
      <c r="G121" s="1390"/>
      <c r="H121" s="499">
        <f t="shared" si="5"/>
        <v>12</v>
      </c>
    </row>
    <row r="122" spans="1:10" x14ac:dyDescent="0.35">
      <c r="A122" s="499">
        <f t="shared" si="4"/>
        <v>13</v>
      </c>
      <c r="B122" s="1417" t="s">
        <v>561</v>
      </c>
      <c r="C122" s="1399"/>
      <c r="D122" s="1399"/>
      <c r="E122" s="491"/>
      <c r="F122" s="1699"/>
      <c r="G122" s="1390"/>
      <c r="H122" s="499">
        <f t="shared" si="5"/>
        <v>13</v>
      </c>
    </row>
    <row r="123" spans="1:10" ht="18" x14ac:dyDescent="0.35">
      <c r="A123" s="499">
        <f t="shared" si="4"/>
        <v>14</v>
      </c>
      <c r="B123" s="2237" t="s">
        <v>1673</v>
      </c>
      <c r="C123" s="1396"/>
      <c r="D123" s="1396"/>
      <c r="E123" s="49">
        <f>'TO5 Stmt AF Proration'!I25</f>
        <v>-992662.84164364648</v>
      </c>
      <c r="F123" s="1699"/>
      <c r="G123" s="499" t="s">
        <v>1359</v>
      </c>
      <c r="H123" s="499">
        <f t="shared" si="5"/>
        <v>14</v>
      </c>
      <c r="I123" s="1418"/>
    </row>
    <row r="124" spans="1:10" x14ac:dyDescent="0.35">
      <c r="A124" s="499">
        <f t="shared" si="4"/>
        <v>15</v>
      </c>
      <c r="B124" s="1399" t="s">
        <v>562</v>
      </c>
      <c r="C124" s="1396"/>
      <c r="D124" s="1396"/>
      <c r="E124" s="29">
        <f>'Stmt AF'!I21</f>
        <v>0</v>
      </c>
      <c r="F124" s="1699"/>
      <c r="G124" s="499" t="s">
        <v>1190</v>
      </c>
      <c r="H124" s="499">
        <f t="shared" si="5"/>
        <v>15</v>
      </c>
      <c r="I124" s="1537"/>
    </row>
    <row r="125" spans="1:10" x14ac:dyDescent="0.35">
      <c r="A125" s="499">
        <f t="shared" si="4"/>
        <v>16</v>
      </c>
      <c r="B125" s="1405" t="s">
        <v>563</v>
      </c>
      <c r="C125" s="1396"/>
      <c r="D125" s="1396"/>
      <c r="E125" s="26">
        <f>SUM(E123:E124)</f>
        <v>-992662.84164364648</v>
      </c>
      <c r="F125" s="1699"/>
      <c r="G125" s="1390" t="s">
        <v>1064</v>
      </c>
      <c r="H125" s="499">
        <f t="shared" si="5"/>
        <v>16</v>
      </c>
      <c r="I125" s="242"/>
      <c r="J125" s="1425"/>
    </row>
    <row r="126" spans="1:10" x14ac:dyDescent="0.35">
      <c r="A126" s="499">
        <f t="shared" si="4"/>
        <v>17</v>
      </c>
      <c r="B126" s="1399"/>
      <c r="C126" s="1396"/>
      <c r="D126" s="1396"/>
      <c r="E126" s="503"/>
      <c r="F126" s="1699"/>
      <c r="G126" s="1390"/>
      <c r="H126" s="499">
        <f t="shared" si="5"/>
        <v>17</v>
      </c>
      <c r="J126" s="1886"/>
    </row>
    <row r="127" spans="1:10" x14ac:dyDescent="0.35">
      <c r="A127" s="499">
        <f t="shared" si="4"/>
        <v>18</v>
      </c>
      <c r="B127" s="1417" t="s">
        <v>564</v>
      </c>
      <c r="C127" s="499"/>
      <c r="D127" s="499"/>
      <c r="E127" s="503"/>
      <c r="F127" s="1699"/>
      <c r="G127" s="1390"/>
      <c r="H127" s="499">
        <f t="shared" si="5"/>
        <v>18</v>
      </c>
      <c r="J127" s="1887"/>
    </row>
    <row r="128" spans="1:10" x14ac:dyDescent="0.35">
      <c r="A128" s="499">
        <f t="shared" si="4"/>
        <v>19</v>
      </c>
      <c r="B128" s="1405" t="s">
        <v>565</v>
      </c>
      <c r="C128" s="499"/>
      <c r="D128" s="499"/>
      <c r="E128" s="43">
        <f>'Stmt AL'!G15</f>
        <v>48582.618939592867</v>
      </c>
      <c r="F128" s="1408"/>
      <c r="G128" s="1390" t="s">
        <v>1065</v>
      </c>
      <c r="H128" s="499">
        <f t="shared" si="5"/>
        <v>19</v>
      </c>
    </row>
    <row r="129" spans="1:9" x14ac:dyDescent="0.35">
      <c r="A129" s="499">
        <f t="shared" si="4"/>
        <v>20</v>
      </c>
      <c r="B129" s="1405" t="s">
        <v>566</v>
      </c>
      <c r="C129" s="499"/>
      <c r="D129" s="499"/>
      <c r="E129" s="501">
        <f>'Stmt AL'!G19</f>
        <v>41912.408153349672</v>
      </c>
      <c r="F129" s="1408"/>
      <c r="G129" s="1390" t="s">
        <v>1066</v>
      </c>
      <c r="H129" s="499">
        <f t="shared" si="5"/>
        <v>20</v>
      </c>
    </row>
    <row r="130" spans="1:9" x14ac:dyDescent="0.35">
      <c r="A130" s="499">
        <f t="shared" si="4"/>
        <v>21</v>
      </c>
      <c r="B130" s="1407" t="s">
        <v>567</v>
      </c>
      <c r="C130" s="1396"/>
      <c r="D130" s="1396"/>
      <c r="E130" s="502">
        <f>'Stmt AL'!E29</f>
        <v>24796.835393579735</v>
      </c>
      <c r="F130" s="1395"/>
      <c r="G130" s="1390" t="s">
        <v>1067</v>
      </c>
      <c r="H130" s="499">
        <f t="shared" si="5"/>
        <v>21</v>
      </c>
    </row>
    <row r="131" spans="1:9" x14ac:dyDescent="0.35">
      <c r="A131" s="499">
        <f t="shared" si="4"/>
        <v>22</v>
      </c>
      <c r="B131" s="1405" t="s">
        <v>842</v>
      </c>
      <c r="C131" s="1399"/>
      <c r="D131" s="1399"/>
      <c r="E131" s="26">
        <f>SUM(E128:E130)</f>
        <v>115291.86248652227</v>
      </c>
      <c r="F131" s="1395"/>
      <c r="G131" s="1390" t="s">
        <v>1068</v>
      </c>
      <c r="H131" s="499">
        <f t="shared" si="5"/>
        <v>22</v>
      </c>
    </row>
    <row r="132" spans="1:9" x14ac:dyDescent="0.35">
      <c r="A132" s="499">
        <f t="shared" si="4"/>
        <v>23</v>
      </c>
      <c r="B132" s="1405"/>
      <c r="C132" s="1399"/>
      <c r="D132" s="1399"/>
      <c r="E132" s="504"/>
      <c r="G132" s="1390"/>
      <c r="H132" s="499">
        <f t="shared" si="5"/>
        <v>23</v>
      </c>
    </row>
    <row r="133" spans="1:9" s="2138" customFormat="1" x14ac:dyDescent="0.35">
      <c r="A133" s="1304">
        <f t="shared" si="4"/>
        <v>24</v>
      </c>
      <c r="B133" s="2144" t="s">
        <v>568</v>
      </c>
      <c r="C133" s="1399"/>
      <c r="D133" s="1399"/>
      <c r="E133" s="2154">
        <f>'Stmt Misc.'!E14</f>
        <v>0</v>
      </c>
      <c r="G133" s="2143" t="s">
        <v>1069</v>
      </c>
      <c r="H133" s="1304">
        <f t="shared" si="5"/>
        <v>24</v>
      </c>
    </row>
    <row r="134" spans="1:9" x14ac:dyDescent="0.35">
      <c r="A134" s="1304">
        <f t="shared" si="4"/>
        <v>25</v>
      </c>
      <c r="B134" s="2144" t="s">
        <v>1241</v>
      </c>
      <c r="C134" s="1399"/>
      <c r="D134" s="1399"/>
      <c r="E134" s="505">
        <f>'Stmt Misc.'!E16</f>
        <v>-11021.620822994773</v>
      </c>
      <c r="G134" s="2143" t="s">
        <v>1071</v>
      </c>
      <c r="H134" s="1304">
        <f t="shared" si="5"/>
        <v>25</v>
      </c>
    </row>
    <row r="135" spans="1:9" x14ac:dyDescent="0.35">
      <c r="A135" s="1304">
        <f t="shared" si="4"/>
        <v>26</v>
      </c>
      <c r="B135" s="1405"/>
      <c r="C135" s="1399"/>
      <c r="D135" s="1399"/>
      <c r="E135" s="504"/>
      <c r="G135" s="1390"/>
      <c r="H135" s="1304">
        <f t="shared" si="5"/>
        <v>26</v>
      </c>
      <c r="I135" s="1425"/>
    </row>
    <row r="136" spans="1:9" ht="16" thickBot="1" x14ac:dyDescent="0.4">
      <c r="A136" s="1304">
        <f t="shared" si="4"/>
        <v>27</v>
      </c>
      <c r="B136" s="1405" t="s">
        <v>569</v>
      </c>
      <c r="C136" s="1399"/>
      <c r="D136" s="1399"/>
      <c r="E136" s="52">
        <f>E134+E131+E125+E120+E115</f>
        <v>4876268.2636402026</v>
      </c>
      <c r="F136" s="1395"/>
      <c r="G136" s="2143" t="s">
        <v>1242</v>
      </c>
      <c r="H136" s="499">
        <f t="shared" si="5"/>
        <v>27</v>
      </c>
      <c r="I136" s="2205"/>
    </row>
    <row r="137" spans="1:9" ht="16" thickTop="1" x14ac:dyDescent="0.35">
      <c r="A137" s="499">
        <f t="shared" si="4"/>
        <v>28</v>
      </c>
      <c r="B137" s="1407"/>
      <c r="C137" s="1397"/>
      <c r="D137" s="1397"/>
      <c r="E137" s="22"/>
      <c r="F137" s="1410"/>
      <c r="G137" s="1402"/>
      <c r="H137" s="499">
        <f t="shared" si="5"/>
        <v>28</v>
      </c>
    </row>
    <row r="138" spans="1:9" ht="18" x14ac:dyDescent="0.35">
      <c r="A138" s="499">
        <f t="shared" si="4"/>
        <v>29</v>
      </c>
      <c r="B138" s="2245" t="s">
        <v>1500</v>
      </c>
      <c r="C138" s="1399"/>
      <c r="D138" s="1399"/>
      <c r="E138" s="22"/>
      <c r="G138" s="1390"/>
      <c r="H138" s="499">
        <f t="shared" si="5"/>
        <v>29</v>
      </c>
    </row>
    <row r="139" spans="1:9" x14ac:dyDescent="0.35">
      <c r="A139" s="499">
        <f t="shared" si="4"/>
        <v>30</v>
      </c>
      <c r="B139" s="1405" t="s">
        <v>900</v>
      </c>
      <c r="C139" s="1399"/>
      <c r="D139" s="1399"/>
      <c r="E139" s="37">
        <f>E188</f>
        <v>0</v>
      </c>
      <c r="G139" s="2143" t="s">
        <v>1271</v>
      </c>
      <c r="H139" s="499">
        <f t="shared" si="5"/>
        <v>30</v>
      </c>
    </row>
    <row r="140" spans="1:9" x14ac:dyDescent="0.35">
      <c r="A140" s="499">
        <f t="shared" si="4"/>
        <v>31</v>
      </c>
      <c r="B140" s="1405" t="s">
        <v>589</v>
      </c>
      <c r="C140" s="1399"/>
      <c r="D140" s="1399"/>
      <c r="E140" s="29">
        <f>'Stmt AF'!I19</f>
        <v>0</v>
      </c>
      <c r="G140" s="2143" t="s">
        <v>1191</v>
      </c>
      <c r="H140" s="499">
        <f t="shared" si="5"/>
        <v>31</v>
      </c>
      <c r="I140" s="1418"/>
    </row>
    <row r="141" spans="1:9" x14ac:dyDescent="0.35">
      <c r="A141" s="499">
        <f t="shared" si="4"/>
        <v>32</v>
      </c>
      <c r="B141" s="1399" t="s">
        <v>590</v>
      </c>
      <c r="C141" s="1399"/>
      <c r="D141" s="1399"/>
      <c r="E141" s="35">
        <f>SUM(E139:E140)</f>
        <v>0</v>
      </c>
      <c r="G141" s="2143" t="s">
        <v>1245</v>
      </c>
      <c r="H141" s="499">
        <f t="shared" si="5"/>
        <v>32</v>
      </c>
    </row>
    <row r="142" spans="1:9" x14ac:dyDescent="0.35">
      <c r="A142" s="499">
        <f t="shared" si="4"/>
        <v>33</v>
      </c>
      <c r="B142" s="1405"/>
      <c r="C142" s="1399"/>
      <c r="D142" s="1399"/>
      <c r="E142" s="22"/>
      <c r="G142" s="2141"/>
      <c r="H142" s="499">
        <f t="shared" si="5"/>
        <v>33</v>
      </c>
    </row>
    <row r="143" spans="1:9" ht="18" x14ac:dyDescent="0.35">
      <c r="A143" s="499">
        <f t="shared" si="4"/>
        <v>34</v>
      </c>
      <c r="B143" s="2245" t="s">
        <v>1501</v>
      </c>
      <c r="C143" s="1399"/>
      <c r="D143" s="1399"/>
      <c r="E143" s="22"/>
      <c r="G143" s="2141"/>
      <c r="H143" s="499">
        <f t="shared" si="5"/>
        <v>34</v>
      </c>
    </row>
    <row r="144" spans="1:9" x14ac:dyDescent="0.35">
      <c r="A144" s="499">
        <f t="shared" si="4"/>
        <v>35</v>
      </c>
      <c r="B144" s="2139" t="s">
        <v>591</v>
      </c>
      <c r="C144" s="1399"/>
      <c r="D144" s="1399"/>
      <c r="E144" s="37">
        <f>'Stmt Misc.'!E18</f>
        <v>0</v>
      </c>
      <c r="G144" s="2143" t="s">
        <v>1244</v>
      </c>
      <c r="H144" s="499">
        <f t="shared" si="5"/>
        <v>35</v>
      </c>
    </row>
    <row r="145" spans="1:9" x14ac:dyDescent="0.35">
      <c r="A145" s="499">
        <f t="shared" si="4"/>
        <v>36</v>
      </c>
      <c r="B145" s="2138" t="s">
        <v>592</v>
      </c>
      <c r="C145" s="1399"/>
      <c r="D145" s="1399"/>
      <c r="E145" s="498">
        <f>'Stmt AF'!I23</f>
        <v>0</v>
      </c>
      <c r="G145" s="2143" t="s">
        <v>1192</v>
      </c>
      <c r="H145" s="499">
        <f t="shared" si="5"/>
        <v>36</v>
      </c>
      <c r="I145" s="1418"/>
    </row>
    <row r="146" spans="1:9" x14ac:dyDescent="0.35">
      <c r="A146" s="499">
        <f t="shared" si="4"/>
        <v>37</v>
      </c>
      <c r="B146" s="2138" t="s">
        <v>843</v>
      </c>
      <c r="C146" s="1399"/>
      <c r="D146" s="1399"/>
      <c r="E146" s="35">
        <f>SUM(E144:E145)</f>
        <v>0</v>
      </c>
      <c r="G146" s="2143" t="s">
        <v>1246</v>
      </c>
      <c r="H146" s="499">
        <f t="shared" si="5"/>
        <v>37</v>
      </c>
    </row>
    <row r="147" spans="1:9" x14ac:dyDescent="0.35">
      <c r="A147" s="499">
        <f t="shared" si="4"/>
        <v>38</v>
      </c>
      <c r="B147" s="1405"/>
      <c r="C147" s="1399"/>
      <c r="D147" s="1399"/>
      <c r="E147" s="22"/>
      <c r="G147" s="2141"/>
      <c r="H147" s="499">
        <f t="shared" si="5"/>
        <v>38</v>
      </c>
    </row>
    <row r="148" spans="1:9" ht="18" x14ac:dyDescent="0.35">
      <c r="A148" s="499">
        <f t="shared" si="4"/>
        <v>39</v>
      </c>
      <c r="B148" s="2245" t="s">
        <v>763</v>
      </c>
      <c r="C148" s="1399"/>
      <c r="D148" s="1399"/>
      <c r="E148" s="37">
        <f>'Stmt AM'!E11</f>
        <v>0</v>
      </c>
      <c r="G148" s="2141" t="s">
        <v>1072</v>
      </c>
      <c r="H148" s="499">
        <f t="shared" si="5"/>
        <v>39</v>
      </c>
    </row>
    <row r="149" spans="1:9" x14ac:dyDescent="0.35">
      <c r="A149" s="499"/>
      <c r="B149" s="1405"/>
      <c r="C149" s="1399"/>
      <c r="D149" s="1399"/>
      <c r="E149" s="22"/>
      <c r="G149" s="1390"/>
      <c r="H149" s="499"/>
    </row>
    <row r="150" spans="1:9" x14ac:dyDescent="0.35">
      <c r="A150" s="499"/>
      <c r="B150" s="1405"/>
      <c r="C150" s="1399"/>
      <c r="D150" s="1399"/>
      <c r="E150" s="22"/>
      <c r="G150" s="1390"/>
      <c r="H150" s="499"/>
    </row>
    <row r="151" spans="1:9" ht="18" x14ac:dyDescent="0.35">
      <c r="A151" s="749">
        <v>1</v>
      </c>
      <c r="B151" s="2238" t="s">
        <v>1493</v>
      </c>
      <c r="C151" s="1399"/>
      <c r="D151" s="1399"/>
      <c r="E151" s="22"/>
      <c r="G151" s="1390"/>
      <c r="H151" s="499"/>
    </row>
    <row r="152" spans="1:9" s="2237" customFormat="1" ht="18" x14ac:dyDescent="0.35">
      <c r="A152" s="749">
        <v>2</v>
      </c>
      <c r="B152" s="2237" t="s">
        <v>927</v>
      </c>
      <c r="C152" s="1399"/>
      <c r="D152" s="1399"/>
      <c r="E152" s="1661"/>
      <c r="G152" s="2241"/>
      <c r="H152" s="1304"/>
    </row>
    <row r="153" spans="1:9" x14ac:dyDescent="0.35">
      <c r="A153" s="499"/>
      <c r="B153" s="1395"/>
      <c r="C153" s="1399"/>
      <c r="D153" s="1399"/>
      <c r="E153" s="22"/>
      <c r="G153" s="1390"/>
      <c r="H153" s="499"/>
    </row>
    <row r="154" spans="1:9" x14ac:dyDescent="0.35">
      <c r="A154" s="499"/>
      <c r="B154" s="1395"/>
      <c r="C154" s="1399"/>
      <c r="D154" s="1399"/>
      <c r="E154" s="22"/>
      <c r="G154" s="1390"/>
      <c r="H154" s="499"/>
    </row>
    <row r="155" spans="1:9" x14ac:dyDescent="0.35">
      <c r="A155" s="499"/>
      <c r="B155" s="2281" t="s">
        <v>18</v>
      </c>
      <c r="C155" s="2278"/>
      <c r="D155" s="2278"/>
      <c r="E155" s="2278"/>
      <c r="F155" s="2278"/>
      <c r="G155" s="2278"/>
      <c r="H155" s="499"/>
    </row>
    <row r="156" spans="1:9" x14ac:dyDescent="0.35">
      <c r="A156" s="499" t="s">
        <v>10</v>
      </c>
      <c r="B156" s="2281" t="s">
        <v>573</v>
      </c>
      <c r="C156" s="2278"/>
      <c r="D156" s="2278"/>
      <c r="E156" s="2278"/>
      <c r="F156" s="2278"/>
      <c r="G156" s="2278"/>
    </row>
    <row r="157" spans="1:9" ht="18" x14ac:dyDescent="0.35">
      <c r="A157" s="499"/>
      <c r="B157" s="2281" t="s">
        <v>574</v>
      </c>
      <c r="C157" s="2282"/>
      <c r="D157" s="2282"/>
      <c r="E157" s="2282"/>
      <c r="F157" s="2282"/>
      <c r="G157" s="2282"/>
      <c r="H157" s="499"/>
    </row>
    <row r="158" spans="1:9" x14ac:dyDescent="0.35">
      <c r="A158" s="499"/>
      <c r="B158" s="2283" t="str">
        <f>B5</f>
        <v>For the Base Period &amp; True-Up Period Ending December 31, 2021</v>
      </c>
      <c r="C158" s="2284"/>
      <c r="D158" s="2284"/>
      <c r="E158" s="2284"/>
      <c r="F158" s="2284"/>
      <c r="G158" s="2284"/>
      <c r="H158" s="499"/>
    </row>
    <row r="159" spans="1:9" x14ac:dyDescent="0.35">
      <c r="A159" s="499"/>
      <c r="B159" s="2277" t="s">
        <v>2</v>
      </c>
      <c r="C159" s="2278"/>
      <c r="D159" s="2278"/>
      <c r="E159" s="2278"/>
      <c r="F159" s="2278"/>
      <c r="G159" s="2278"/>
      <c r="H159" s="499"/>
    </row>
    <row r="160" spans="1:9" x14ac:dyDescent="0.35">
      <c r="A160" s="499"/>
      <c r="B160" s="1419"/>
      <c r="H160" s="499"/>
    </row>
    <row r="161" spans="1:10" x14ac:dyDescent="0.35">
      <c r="A161" s="1396" t="s">
        <v>3</v>
      </c>
      <c r="B161" s="1397"/>
      <c r="C161" s="1397"/>
      <c r="D161" s="1397"/>
      <c r="E161" s="507"/>
      <c r="G161" s="1390"/>
      <c r="H161" s="1396" t="s">
        <v>3</v>
      </c>
    </row>
    <row r="162" spans="1:10" x14ac:dyDescent="0.35">
      <c r="A162" s="1396" t="s">
        <v>25</v>
      </c>
      <c r="B162" s="1398" t="s">
        <v>10</v>
      </c>
      <c r="C162" s="1399"/>
      <c r="D162" s="1399"/>
      <c r="E162" s="1400" t="s">
        <v>135</v>
      </c>
      <c r="G162" s="1401" t="s">
        <v>9</v>
      </c>
      <c r="H162" s="1396" t="s">
        <v>25</v>
      </c>
    </row>
    <row r="163" spans="1:10" x14ac:dyDescent="0.35">
      <c r="A163" s="1396"/>
      <c r="B163" s="1415" t="s">
        <v>593</v>
      </c>
      <c r="C163" s="1399"/>
      <c r="D163" s="1399"/>
      <c r="E163" s="507"/>
      <c r="G163" s="1390"/>
      <c r="H163" s="1396"/>
    </row>
    <row r="164" spans="1:10" x14ac:dyDescent="0.35">
      <c r="A164" s="499">
        <v>1</v>
      </c>
      <c r="B164" s="1417" t="s">
        <v>594</v>
      </c>
      <c r="C164" s="1399"/>
      <c r="D164" s="1399"/>
      <c r="E164" s="507"/>
      <c r="G164" s="1390"/>
      <c r="H164" s="499">
        <f>A164</f>
        <v>1</v>
      </c>
    </row>
    <row r="165" spans="1:10" x14ac:dyDescent="0.35">
      <c r="A165" s="499">
        <f t="shared" ref="A165:A188" si="6">A164+1</f>
        <v>2</v>
      </c>
      <c r="B165" s="1405" t="s">
        <v>132</v>
      </c>
      <c r="C165" s="1399"/>
      <c r="D165" s="1399"/>
      <c r="E165" s="27">
        <f>'Stmt AD'!I21</f>
        <v>7094919.3161269231</v>
      </c>
      <c r="F165" s="1408"/>
      <c r="G165" s="1390" t="s">
        <v>1073</v>
      </c>
      <c r="H165" s="499">
        <f t="shared" ref="H165:H188" si="7">H164+1</f>
        <v>2</v>
      </c>
      <c r="I165" s="1420"/>
    </row>
    <row r="166" spans="1:10" x14ac:dyDescent="0.35">
      <c r="A166" s="499">
        <f t="shared" si="6"/>
        <v>3</v>
      </c>
      <c r="B166" s="1405" t="s">
        <v>595</v>
      </c>
      <c r="C166" s="1399"/>
      <c r="D166" s="1399"/>
      <c r="E166" s="506">
        <f>'Stmt AD'!I37</f>
        <v>38763.894961183643</v>
      </c>
      <c r="F166" s="1408"/>
      <c r="G166" s="1390" t="s">
        <v>1074</v>
      </c>
      <c r="H166" s="499">
        <f t="shared" si="7"/>
        <v>3</v>
      </c>
      <c r="I166" s="1420"/>
    </row>
    <row r="167" spans="1:10" x14ac:dyDescent="0.35">
      <c r="A167" s="499">
        <f t="shared" si="6"/>
        <v>4</v>
      </c>
      <c r="B167" s="1405" t="s">
        <v>14</v>
      </c>
      <c r="C167" s="1399"/>
      <c r="D167" s="1399"/>
      <c r="E167" s="506">
        <f>'Stmt AD'!I39</f>
        <v>101769.80346132621</v>
      </c>
      <c r="F167" s="1395"/>
      <c r="G167" s="1390" t="s">
        <v>1075</v>
      </c>
      <c r="H167" s="499">
        <f t="shared" si="7"/>
        <v>4</v>
      </c>
      <c r="I167" s="1420"/>
      <c r="J167" s="1421"/>
    </row>
    <row r="168" spans="1:10" x14ac:dyDescent="0.35">
      <c r="A168" s="499">
        <f t="shared" si="6"/>
        <v>5</v>
      </c>
      <c r="B168" s="1407" t="s">
        <v>555</v>
      </c>
      <c r="C168" s="1396"/>
      <c r="D168" s="1396"/>
      <c r="E168" s="493">
        <f>'Stmt AD'!I41</f>
        <v>276230.81071417732</v>
      </c>
      <c r="F168" s="1395"/>
      <c r="G168" s="1390" t="s">
        <v>1076</v>
      </c>
      <c r="H168" s="499">
        <f t="shared" si="7"/>
        <v>5</v>
      </c>
    </row>
    <row r="169" spans="1:10" x14ac:dyDescent="0.35">
      <c r="A169" s="499">
        <f t="shared" si="6"/>
        <v>6</v>
      </c>
      <c r="B169" s="1405" t="s">
        <v>596</v>
      </c>
      <c r="C169" s="1397"/>
      <c r="D169" s="1397"/>
      <c r="E169" s="26">
        <f>SUM(E165:E168)</f>
        <v>7511683.8252636101</v>
      </c>
      <c r="F169" s="1408"/>
      <c r="G169" s="1390" t="s">
        <v>1061</v>
      </c>
      <c r="H169" s="499">
        <f t="shared" si="7"/>
        <v>6</v>
      </c>
      <c r="I169" s="1420"/>
    </row>
    <row r="170" spans="1:10" x14ac:dyDescent="0.35">
      <c r="A170" s="499">
        <f t="shared" si="6"/>
        <v>7</v>
      </c>
      <c r="B170" s="1399"/>
      <c r="C170" s="499"/>
      <c r="D170" s="499"/>
      <c r="E170" s="507"/>
      <c r="G170" s="1390"/>
      <c r="H170" s="499">
        <f t="shared" si="7"/>
        <v>7</v>
      </c>
    </row>
    <row r="171" spans="1:10" x14ac:dyDescent="0.35">
      <c r="A171" s="499">
        <f t="shared" si="6"/>
        <v>8</v>
      </c>
      <c r="B171" s="1422" t="s">
        <v>597</v>
      </c>
      <c r="C171" s="1399"/>
      <c r="D171" s="1399"/>
      <c r="E171" s="507"/>
      <c r="G171" s="1390"/>
      <c r="H171" s="499">
        <f t="shared" si="7"/>
        <v>8</v>
      </c>
    </row>
    <row r="172" spans="1:10" x14ac:dyDescent="0.35">
      <c r="A172" s="499">
        <f t="shared" si="6"/>
        <v>9</v>
      </c>
      <c r="B172" s="1399" t="s">
        <v>598</v>
      </c>
      <c r="C172" s="1399"/>
      <c r="D172" s="1399"/>
      <c r="E172" s="27">
        <f>'Stmt AE'!I11</f>
        <v>1544320.792109231</v>
      </c>
      <c r="F172" s="1408"/>
      <c r="G172" s="1390" t="s">
        <v>1077</v>
      </c>
      <c r="H172" s="499">
        <f t="shared" si="7"/>
        <v>9</v>
      </c>
    </row>
    <row r="173" spans="1:10" x14ac:dyDescent="0.35">
      <c r="A173" s="499">
        <f t="shared" si="6"/>
        <v>10</v>
      </c>
      <c r="B173" s="1391" t="s">
        <v>108</v>
      </c>
      <c r="C173" s="1399"/>
      <c r="D173" s="1399"/>
      <c r="E173" s="506">
        <f>'Stmt AE'!I21</f>
        <v>33670.163239599606</v>
      </c>
      <c r="F173" s="1408"/>
      <c r="G173" s="1390" t="s">
        <v>1078</v>
      </c>
      <c r="H173" s="499">
        <f t="shared" si="7"/>
        <v>10</v>
      </c>
    </row>
    <row r="174" spans="1:10" x14ac:dyDescent="0.35">
      <c r="A174" s="499">
        <f t="shared" si="6"/>
        <v>11</v>
      </c>
      <c r="B174" s="1397" t="s">
        <v>599</v>
      </c>
      <c r="C174" s="1399"/>
      <c r="D174" s="1399"/>
      <c r="E174" s="506">
        <f>'Stmt AE'!I23</f>
        <v>42193.179474965684</v>
      </c>
      <c r="F174" s="1395"/>
      <c r="G174" s="1390" t="s">
        <v>1079</v>
      </c>
      <c r="H174" s="499">
        <f t="shared" si="7"/>
        <v>11</v>
      </c>
    </row>
    <row r="175" spans="1:10" x14ac:dyDescent="0.35">
      <c r="A175" s="499">
        <f t="shared" si="6"/>
        <v>12</v>
      </c>
      <c r="B175" s="1397" t="s">
        <v>600</v>
      </c>
      <c r="C175" s="1399"/>
      <c r="D175" s="1399"/>
      <c r="E175" s="493">
        <f>'Stmt AE'!I25</f>
        <v>126838.82681949215</v>
      </c>
      <c r="F175" s="1395"/>
      <c r="G175" s="1390" t="s">
        <v>1080</v>
      </c>
      <c r="H175" s="499">
        <f t="shared" si="7"/>
        <v>12</v>
      </c>
    </row>
    <row r="176" spans="1:10" x14ac:dyDescent="0.35">
      <c r="A176" s="499">
        <f t="shared" si="6"/>
        <v>13</v>
      </c>
      <c r="B176" s="1423" t="s">
        <v>105</v>
      </c>
      <c r="C176" s="1423"/>
      <c r="D176" s="1423"/>
      <c r="E176" s="55">
        <f>SUM(E172:E175)</f>
        <v>1747022.9616432884</v>
      </c>
      <c r="F176" s="1408"/>
      <c r="G176" s="1390" t="s">
        <v>1081</v>
      </c>
      <c r="H176" s="499">
        <f t="shared" si="7"/>
        <v>13</v>
      </c>
    </row>
    <row r="177" spans="1:8" x14ac:dyDescent="0.35">
      <c r="A177" s="499">
        <f t="shared" si="6"/>
        <v>14</v>
      </c>
      <c r="B177" s="1423"/>
      <c r="C177" s="1423"/>
      <c r="D177" s="1423"/>
      <c r="E177" s="503"/>
      <c r="G177" s="1390"/>
      <c r="H177" s="499">
        <f t="shared" si="7"/>
        <v>14</v>
      </c>
    </row>
    <row r="178" spans="1:8" x14ac:dyDescent="0.35">
      <c r="A178" s="499">
        <f t="shared" si="6"/>
        <v>15</v>
      </c>
      <c r="B178" s="1417" t="s">
        <v>554</v>
      </c>
      <c r="C178" s="1423"/>
      <c r="D178" s="1423"/>
      <c r="E178" s="503"/>
      <c r="G178" s="1390"/>
      <c r="H178" s="499">
        <f t="shared" si="7"/>
        <v>15</v>
      </c>
    </row>
    <row r="179" spans="1:8" x14ac:dyDescent="0.35">
      <c r="A179" s="499">
        <f t="shared" si="6"/>
        <v>16</v>
      </c>
      <c r="B179" s="1405" t="s">
        <v>132</v>
      </c>
      <c r="C179" s="1399"/>
      <c r="D179" s="1399"/>
      <c r="E179" s="22">
        <f>+E165-E172</f>
        <v>5550598.5240176916</v>
      </c>
      <c r="F179" s="1408"/>
      <c r="G179" s="1390" t="s">
        <v>1082</v>
      </c>
      <c r="H179" s="499">
        <f t="shared" si="7"/>
        <v>16</v>
      </c>
    </row>
    <row r="180" spans="1:8" x14ac:dyDescent="0.35">
      <c r="A180" s="499">
        <f t="shared" si="6"/>
        <v>17</v>
      </c>
      <c r="B180" s="1405" t="s">
        <v>13</v>
      </c>
      <c r="C180" s="1399"/>
      <c r="D180" s="1399"/>
      <c r="E180" s="492">
        <f>+E166-E173</f>
        <v>5093.7317215840376</v>
      </c>
      <c r="F180" s="1408"/>
      <c r="G180" s="1390" t="s">
        <v>1083</v>
      </c>
      <c r="H180" s="499">
        <f t="shared" si="7"/>
        <v>17</v>
      </c>
    </row>
    <row r="181" spans="1:8" x14ac:dyDescent="0.35">
      <c r="A181" s="499">
        <f t="shared" si="6"/>
        <v>18</v>
      </c>
      <c r="B181" s="1405" t="s">
        <v>14</v>
      </c>
      <c r="C181" s="1399"/>
      <c r="D181" s="1399"/>
      <c r="E181" s="492">
        <f>+E167-E174</f>
        <v>59576.62398636053</v>
      </c>
      <c r="G181" s="1390" t="s">
        <v>1084</v>
      </c>
      <c r="H181" s="499">
        <f t="shared" si="7"/>
        <v>18</v>
      </c>
    </row>
    <row r="182" spans="1:8" x14ac:dyDescent="0.35">
      <c r="A182" s="499">
        <f t="shared" si="6"/>
        <v>19</v>
      </c>
      <c r="B182" s="1407" t="s">
        <v>555</v>
      </c>
      <c r="C182" s="1397"/>
      <c r="D182" s="1397"/>
      <c r="E182" s="508">
        <f>+E168-E175</f>
        <v>149391.98389468517</v>
      </c>
      <c r="G182" s="1390" t="s">
        <v>1085</v>
      </c>
      <c r="H182" s="499">
        <f t="shared" si="7"/>
        <v>19</v>
      </c>
    </row>
    <row r="183" spans="1:8" ht="16" thickBot="1" x14ac:dyDescent="0.4">
      <c r="A183" s="499">
        <f t="shared" si="6"/>
        <v>20</v>
      </c>
      <c r="B183" s="1399" t="s">
        <v>556</v>
      </c>
      <c r="C183" s="1399"/>
      <c r="D183" s="1399"/>
      <c r="E183" s="57">
        <f>SUM(E179:E182)</f>
        <v>5764660.8636203213</v>
      </c>
      <c r="F183" s="1408"/>
      <c r="G183" s="1390" t="s">
        <v>1086</v>
      </c>
      <c r="H183" s="499">
        <f t="shared" si="7"/>
        <v>20</v>
      </c>
    </row>
    <row r="184" spans="1:8" ht="16" thickTop="1" x14ac:dyDescent="0.35">
      <c r="A184" s="1396">
        <f t="shared" si="6"/>
        <v>21</v>
      </c>
      <c r="B184" s="1397"/>
      <c r="C184" s="1397"/>
      <c r="D184" s="1397"/>
      <c r="E184" s="22"/>
      <c r="F184" s="1410"/>
      <c r="G184" s="1402"/>
      <c r="H184" s="1396">
        <f t="shared" si="7"/>
        <v>21</v>
      </c>
    </row>
    <row r="185" spans="1:8" ht="18" x14ac:dyDescent="0.35">
      <c r="A185" s="499">
        <f t="shared" si="6"/>
        <v>22</v>
      </c>
      <c r="B185" s="1424" t="s">
        <v>901</v>
      </c>
      <c r="C185" s="1399"/>
      <c r="D185" s="1399"/>
      <c r="E185" s="22"/>
      <c r="G185" s="1390"/>
      <c r="H185" s="499">
        <f t="shared" si="7"/>
        <v>22</v>
      </c>
    </row>
    <row r="186" spans="1:8" x14ac:dyDescent="0.35">
      <c r="A186" s="499">
        <f t="shared" si="6"/>
        <v>23</v>
      </c>
      <c r="B186" s="1405" t="s">
        <v>902</v>
      </c>
      <c r="C186" s="1399"/>
      <c r="D186" s="1399"/>
      <c r="E186" s="37">
        <f>'Stmt AD'!I23</f>
        <v>0</v>
      </c>
      <c r="G186" s="1390" t="s">
        <v>1087</v>
      </c>
      <c r="H186" s="499">
        <f t="shared" si="7"/>
        <v>23</v>
      </c>
    </row>
    <row r="187" spans="1:8" x14ac:dyDescent="0.35">
      <c r="A187" s="499">
        <f t="shared" si="6"/>
        <v>24</v>
      </c>
      <c r="B187" s="1399" t="s">
        <v>903</v>
      </c>
      <c r="C187" s="1399"/>
      <c r="D187" s="1399"/>
      <c r="E187" s="498">
        <f>'Stmt AE'!I29</f>
        <v>0</v>
      </c>
      <c r="G187" s="1390" t="s">
        <v>1088</v>
      </c>
      <c r="H187" s="499">
        <f t="shared" si="7"/>
        <v>24</v>
      </c>
    </row>
    <row r="188" spans="1:8" ht="16" thickBot="1" x14ac:dyDescent="0.4">
      <c r="A188" s="499">
        <f t="shared" si="6"/>
        <v>25</v>
      </c>
      <c r="B188" s="1405" t="s">
        <v>601</v>
      </c>
      <c r="C188" s="1399"/>
      <c r="D188" s="1399"/>
      <c r="E188" s="58">
        <f>E186-E187</f>
        <v>0</v>
      </c>
      <c r="G188" s="1390" t="s">
        <v>1089</v>
      </c>
      <c r="H188" s="499">
        <f t="shared" si="7"/>
        <v>25</v>
      </c>
    </row>
    <row r="189" spans="1:8" ht="16" thickTop="1" x14ac:dyDescent="0.35">
      <c r="A189" s="499"/>
      <c r="B189" s="1405"/>
      <c r="C189" s="1399"/>
      <c r="D189" s="1399"/>
      <c r="E189" s="22"/>
      <c r="G189" s="1390"/>
      <c r="H189" s="499"/>
    </row>
    <row r="190" spans="1:8" x14ac:dyDescent="0.35">
      <c r="A190" s="499"/>
      <c r="B190" s="1405"/>
      <c r="C190" s="1399"/>
      <c r="D190" s="1399"/>
      <c r="E190" s="22"/>
      <c r="G190" s="1390"/>
      <c r="H190" s="499"/>
    </row>
    <row r="191" spans="1:8" ht="18" x14ac:dyDescent="0.35">
      <c r="A191" s="1330">
        <v>1</v>
      </c>
      <c r="B191" s="1399" t="s">
        <v>1090</v>
      </c>
      <c r="C191" s="1399"/>
      <c r="D191" s="1399"/>
      <c r="E191" s="22"/>
      <c r="G191" s="1390"/>
      <c r="H191" s="499"/>
    </row>
    <row r="192" spans="1:8" x14ac:dyDescent="0.35">
      <c r="A192" s="499"/>
      <c r="B192" s="1399"/>
      <c r="C192" s="1399"/>
      <c r="D192" s="1399"/>
      <c r="E192" s="22"/>
      <c r="G192" s="1390"/>
      <c r="H192" s="499"/>
    </row>
    <row r="193" spans="1:9" x14ac:dyDescent="0.35">
      <c r="A193" s="499"/>
      <c r="B193" s="1399"/>
      <c r="C193" s="1399"/>
      <c r="D193" s="1399"/>
      <c r="E193" s="22"/>
      <c r="G193" s="1390"/>
      <c r="H193" s="499"/>
    </row>
    <row r="194" spans="1:9" x14ac:dyDescent="0.35">
      <c r="A194" s="1408"/>
      <c r="B194" s="1399"/>
      <c r="C194" s="1399"/>
      <c r="D194" s="1399"/>
      <c r="E194" s="22"/>
      <c r="G194" s="1390"/>
      <c r="H194" s="499"/>
    </row>
    <row r="195" spans="1:9" x14ac:dyDescent="0.35">
      <c r="A195" s="1396"/>
      <c r="E195" s="22"/>
      <c r="G195" s="1390"/>
      <c r="H195" s="499"/>
      <c r="I195" s="1425"/>
    </row>
  </sheetData>
  <mergeCells count="20">
    <mergeCell ref="B157:G157"/>
    <mergeCell ref="B158:G158"/>
    <mergeCell ref="B159:G159"/>
    <mergeCell ref="B102:G102"/>
    <mergeCell ref="B103:G103"/>
    <mergeCell ref="B104:G104"/>
    <mergeCell ref="B105:G105"/>
    <mergeCell ref="B155:G155"/>
    <mergeCell ref="B156:G156"/>
    <mergeCell ref="B101:G101"/>
    <mergeCell ref="B2:G2"/>
    <mergeCell ref="B3:G3"/>
    <mergeCell ref="B4:G4"/>
    <mergeCell ref="B5:G5"/>
    <mergeCell ref="B6:G6"/>
    <mergeCell ref="B46:G46"/>
    <mergeCell ref="B47:G47"/>
    <mergeCell ref="B48:G48"/>
    <mergeCell ref="B49:G49"/>
    <mergeCell ref="B50:G50"/>
  </mergeCells>
  <printOptions horizontalCentered="1"/>
  <pageMargins left="0.5" right="0.5" top="0.5" bottom="0.5" header="0.25" footer="0.25"/>
  <pageSetup scale="54" fitToHeight="0" orientation="portrait" r:id="rId1"/>
  <headerFooter scaleWithDoc="0">
    <oddFooter>&amp;C&amp;"Times New Roman,Regular"&amp;10&amp;A
Page &amp;P of &amp;N</oddFooter>
    <evenFooter>&amp;C&amp;"Times New Roman,Regular"&amp;10Page 2 of 3</evenFooter>
    <firstFooter>&amp;C&amp;"Times New Roman,Regular"&amp;10Page 1 of 3</firstFooter>
  </headerFooter>
  <rowBreaks count="4" manualBreakCount="4">
    <brk id="44" max="16383" man="1"/>
    <brk id="99" max="7" man="1"/>
    <brk id="153" max="7" man="1"/>
    <brk id="193" max="9"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5"/>
  <sheetViews>
    <sheetView zoomScale="80" zoomScaleNormal="80" workbookViewId="0"/>
  </sheetViews>
  <sheetFormatPr defaultRowHeight="15.5" x14ac:dyDescent="0.35"/>
  <cols>
    <col min="1" max="1" width="5.08984375" style="1390" customWidth="1"/>
    <col min="2" max="2" width="46.90625" customWidth="1"/>
    <col min="3" max="3" width="16.453125" bestFit="1" customWidth="1"/>
    <col min="4" max="4" width="14.54296875" customWidth="1"/>
    <col min="5" max="5" width="15.54296875" bestFit="1" customWidth="1"/>
    <col min="6" max="6" width="17" bestFit="1" customWidth="1"/>
    <col min="7" max="7" width="17.453125" bestFit="1" customWidth="1"/>
    <col min="8" max="8" width="18.08984375" bestFit="1" customWidth="1"/>
    <col min="9" max="9" width="22" bestFit="1" customWidth="1"/>
    <col min="10" max="10" width="5.08984375" style="1390" customWidth="1"/>
  </cols>
  <sheetData>
    <row r="2" spans="1:10" x14ac:dyDescent="0.35">
      <c r="A2" s="499"/>
      <c r="B2" s="2288" t="s">
        <v>18</v>
      </c>
      <c r="C2" s="2288"/>
      <c r="D2" s="2288"/>
      <c r="E2" s="2288"/>
      <c r="F2" s="2288"/>
      <c r="G2" s="2288"/>
      <c r="H2" s="2288"/>
      <c r="I2" s="2288"/>
      <c r="J2" s="499"/>
    </row>
    <row r="3" spans="1:10" x14ac:dyDescent="0.35">
      <c r="A3" s="499"/>
      <c r="B3" s="2288" t="s">
        <v>1352</v>
      </c>
      <c r="C3" s="2288"/>
      <c r="D3" s="2288"/>
      <c r="E3" s="2288"/>
      <c r="F3" s="2288"/>
      <c r="G3" s="2288"/>
      <c r="H3" s="2288"/>
      <c r="I3" s="2288"/>
      <c r="J3" s="499"/>
    </row>
    <row r="4" spans="1:10" x14ac:dyDescent="0.35">
      <c r="A4" s="499"/>
      <c r="B4" s="2288" t="s">
        <v>123</v>
      </c>
      <c r="C4" s="2288"/>
      <c r="D4" s="2288"/>
      <c r="E4" s="2288"/>
      <c r="F4" s="2288"/>
      <c r="G4" s="2288"/>
      <c r="H4" s="2288"/>
      <c r="I4" s="2288"/>
      <c r="J4" s="499"/>
    </row>
    <row r="5" spans="1:10" x14ac:dyDescent="0.35">
      <c r="A5" s="499"/>
      <c r="B5" s="2315" t="s">
        <v>1636</v>
      </c>
      <c r="C5" s="2315"/>
      <c r="D5" s="2315"/>
      <c r="E5" s="2315"/>
      <c r="F5" s="2315"/>
      <c r="G5" s="2315"/>
      <c r="H5" s="2315"/>
      <c r="I5" s="2315"/>
      <c r="J5" s="499"/>
    </row>
    <row r="6" spans="1:10" x14ac:dyDescent="0.35">
      <c r="A6" s="499"/>
      <c r="B6" s="2291" t="s">
        <v>2</v>
      </c>
      <c r="C6" s="2291"/>
      <c r="D6" s="2291"/>
      <c r="E6" s="2291"/>
      <c r="F6" s="2291"/>
      <c r="G6" s="2291"/>
      <c r="H6" s="2291"/>
      <c r="I6" s="2291"/>
      <c r="J6" s="499"/>
    </row>
    <row r="7" spans="1:10" x14ac:dyDescent="0.35">
      <c r="A7" s="499"/>
      <c r="J7" s="499"/>
    </row>
    <row r="8" spans="1:10" x14ac:dyDescent="0.35">
      <c r="A8" s="1396" t="s">
        <v>3</v>
      </c>
      <c r="B8" s="1665" t="s">
        <v>981</v>
      </c>
      <c r="C8" s="1665" t="s">
        <v>982</v>
      </c>
      <c r="D8" s="1665" t="s">
        <v>983</v>
      </c>
      <c r="E8" s="1665" t="s">
        <v>984</v>
      </c>
      <c r="F8" s="1665" t="s">
        <v>985</v>
      </c>
      <c r="G8" s="1665" t="s">
        <v>986</v>
      </c>
      <c r="H8" s="1665" t="s">
        <v>987</v>
      </c>
      <c r="I8" s="1665" t="s">
        <v>988</v>
      </c>
      <c r="J8" s="1396" t="s">
        <v>3</v>
      </c>
    </row>
    <row r="9" spans="1:10" x14ac:dyDescent="0.35">
      <c r="A9" s="1396" t="s">
        <v>25</v>
      </c>
      <c r="B9" s="1666"/>
      <c r="C9" s="1667"/>
      <c r="D9" s="1667"/>
      <c r="E9" s="1668"/>
      <c r="F9" s="1668"/>
      <c r="G9" s="1682" t="s">
        <v>1346</v>
      </c>
      <c r="H9" s="1683" t="s">
        <v>1347</v>
      </c>
      <c r="I9" s="1667"/>
      <c r="J9" s="1396" t="s">
        <v>25</v>
      </c>
    </row>
    <row r="10" spans="1:10" x14ac:dyDescent="0.35">
      <c r="A10" s="1396"/>
      <c r="B10" s="1666"/>
      <c r="C10" s="1669"/>
      <c r="D10" s="1669"/>
      <c r="E10" s="1668"/>
      <c r="F10" s="1668"/>
      <c r="G10" s="1668"/>
      <c r="H10" s="1670"/>
      <c r="I10" s="1671"/>
      <c r="J10" s="1396"/>
    </row>
    <row r="11" spans="1:10" x14ac:dyDescent="0.35">
      <c r="A11" s="499"/>
      <c r="B11" s="1672"/>
      <c r="C11" s="1667" t="s">
        <v>1334</v>
      </c>
      <c r="D11" s="1667" t="s">
        <v>1335</v>
      </c>
      <c r="E11" s="1667"/>
      <c r="F11" s="1667" t="s">
        <v>1336</v>
      </c>
      <c r="G11" s="1667" t="s">
        <v>1337</v>
      </c>
      <c r="H11" s="1673" t="s">
        <v>1338</v>
      </c>
      <c r="I11" s="1673" t="s">
        <v>1339</v>
      </c>
      <c r="J11" s="499"/>
    </row>
    <row r="12" spans="1:10" ht="18.5" x14ac:dyDescent="0.35">
      <c r="A12" s="499"/>
      <c r="B12" s="1672" t="s">
        <v>1340</v>
      </c>
      <c r="C12" s="1674" t="s">
        <v>1349</v>
      </c>
      <c r="D12" s="1674" t="s">
        <v>1350</v>
      </c>
      <c r="E12" s="1674" t="s">
        <v>1341</v>
      </c>
      <c r="F12" s="1674" t="s">
        <v>1342</v>
      </c>
      <c r="G12" s="1674" t="s">
        <v>1343</v>
      </c>
      <c r="H12" s="1675" t="s">
        <v>1344</v>
      </c>
      <c r="I12" s="1675" t="s">
        <v>1345</v>
      </c>
      <c r="J12" s="499"/>
    </row>
    <row r="13" spans="1:10" x14ac:dyDescent="0.35">
      <c r="A13" s="499">
        <v>1</v>
      </c>
      <c r="B13" s="1676" t="s">
        <v>1643</v>
      </c>
      <c r="C13" s="1677"/>
      <c r="D13" s="451">
        <f>'Stmt AF'!E17</f>
        <v>-971678.86541228381</v>
      </c>
      <c r="E13" s="1668"/>
      <c r="F13" s="1678">
        <f>SUM(E14:E25)</f>
        <v>365</v>
      </c>
      <c r="G13" s="1679">
        <f xml:space="preserve"> 1</f>
        <v>1</v>
      </c>
      <c r="H13" s="1680"/>
      <c r="I13" s="453">
        <f>+D13</f>
        <v>-971678.86541228381</v>
      </c>
      <c r="J13" s="499">
        <v>1</v>
      </c>
    </row>
    <row r="14" spans="1:10" x14ac:dyDescent="0.35">
      <c r="A14" s="499">
        <f>A13+1</f>
        <v>2</v>
      </c>
      <c r="B14" s="1676" t="s">
        <v>676</v>
      </c>
      <c r="C14" s="451">
        <f>('Stmt AF'!$G$17-'Stmt AF'!$E$17)/12</f>
        <v>-3797.298623920331</v>
      </c>
      <c r="D14" s="347">
        <f>D13+C14</f>
        <v>-975476.16403620411</v>
      </c>
      <c r="E14" s="1684">
        <v>31</v>
      </c>
      <c r="F14" s="1688">
        <f t="shared" ref="F14:F25" si="0">+F13-E14</f>
        <v>334</v>
      </c>
      <c r="G14" s="1679">
        <f>F14/F13</f>
        <v>0.91506849315068495</v>
      </c>
      <c r="H14" s="453">
        <f t="shared" ref="H14:H25" si="1">C14*G14</f>
        <v>-3474.7883298339466</v>
      </c>
      <c r="I14" s="347">
        <f t="shared" ref="I14:I25" si="2">I13+H14</f>
        <v>-975153.65374211781</v>
      </c>
      <c r="J14" s="499">
        <f>J13+1</f>
        <v>2</v>
      </c>
    </row>
    <row r="15" spans="1:10" x14ac:dyDescent="0.35">
      <c r="A15" s="499">
        <f>A14+1</f>
        <v>3</v>
      </c>
      <c r="B15" s="1676" t="s">
        <v>677</v>
      </c>
      <c r="C15" s="2155">
        <f>('Stmt AF'!$G$17-'Stmt AF'!$E$17)/12</f>
        <v>-3797.298623920331</v>
      </c>
      <c r="D15" s="347">
        <f>D14+C15</f>
        <v>-979273.46266012441</v>
      </c>
      <c r="E15" s="1684">
        <v>28</v>
      </c>
      <c r="F15" s="1688">
        <f t="shared" si="0"/>
        <v>306</v>
      </c>
      <c r="G15" s="1679">
        <f>F15/F13</f>
        <v>0.83835616438356164</v>
      </c>
      <c r="H15" s="347">
        <f t="shared" si="1"/>
        <v>-3183.4887093688253</v>
      </c>
      <c r="I15" s="347">
        <f t="shared" si="2"/>
        <v>-978337.14245148667</v>
      </c>
      <c r="J15" s="499">
        <f>J14+1</f>
        <v>3</v>
      </c>
    </row>
    <row r="16" spans="1:10" x14ac:dyDescent="0.35">
      <c r="A16" s="499">
        <f t="shared" ref="A16:A25" si="3">A15+1</f>
        <v>4</v>
      </c>
      <c r="B16" s="1676" t="s">
        <v>678</v>
      </c>
      <c r="C16" s="2155">
        <f>('Stmt AF'!$G$17-'Stmt AF'!$E$17)/12</f>
        <v>-3797.298623920331</v>
      </c>
      <c r="D16" s="347">
        <f>D15+C16</f>
        <v>-983070.76128404471</v>
      </c>
      <c r="E16" s="1684">
        <v>31</v>
      </c>
      <c r="F16" s="1688">
        <f t="shared" si="0"/>
        <v>275</v>
      </c>
      <c r="G16" s="1679">
        <f>F16/F13</f>
        <v>0.75342465753424659</v>
      </c>
      <c r="H16" s="347">
        <f t="shared" si="1"/>
        <v>-2860.9784152824413</v>
      </c>
      <c r="I16" s="347">
        <f t="shared" si="2"/>
        <v>-981198.12086676911</v>
      </c>
      <c r="J16" s="499">
        <f t="shared" ref="J16:J25" si="4">J15+1</f>
        <v>4</v>
      </c>
    </row>
    <row r="17" spans="1:10" x14ac:dyDescent="0.35">
      <c r="A17" s="499">
        <f t="shared" si="3"/>
        <v>5</v>
      </c>
      <c r="B17" s="1676" t="s">
        <v>679</v>
      </c>
      <c r="C17" s="2155">
        <f>('Stmt AF'!$G$17-'Stmt AF'!$E$17)/12</f>
        <v>-3797.298623920331</v>
      </c>
      <c r="D17" s="347">
        <f t="shared" ref="D17:D25" si="5">D16+C17</f>
        <v>-986868.05990796501</v>
      </c>
      <c r="E17" s="1684">
        <v>30</v>
      </c>
      <c r="F17" s="1688">
        <f t="shared" si="0"/>
        <v>245</v>
      </c>
      <c r="G17" s="1679">
        <f>F17/F13</f>
        <v>0.67123287671232879</v>
      </c>
      <c r="H17" s="347">
        <f t="shared" si="1"/>
        <v>-2548.8716790698113</v>
      </c>
      <c r="I17" s="347">
        <f t="shared" si="2"/>
        <v>-983746.99254583893</v>
      </c>
      <c r="J17" s="499">
        <f t="shared" si="4"/>
        <v>5</v>
      </c>
    </row>
    <row r="18" spans="1:10" x14ac:dyDescent="0.35">
      <c r="A18" s="499">
        <f>A17+1</f>
        <v>6</v>
      </c>
      <c r="B18" s="1676" t="s">
        <v>40</v>
      </c>
      <c r="C18" s="2155">
        <f>('Stmt AF'!$G$17-'Stmt AF'!$E$17)/12</f>
        <v>-3797.298623920331</v>
      </c>
      <c r="D18" s="347">
        <f t="shared" si="5"/>
        <v>-990665.35853188531</v>
      </c>
      <c r="E18" s="1684">
        <v>31</v>
      </c>
      <c r="F18" s="1688">
        <f t="shared" si="0"/>
        <v>214</v>
      </c>
      <c r="G18" s="1679">
        <f>F18/F13</f>
        <v>0.58630136986301373</v>
      </c>
      <c r="H18" s="347">
        <f t="shared" si="1"/>
        <v>-2226.3613849834269</v>
      </c>
      <c r="I18" s="347">
        <f t="shared" si="2"/>
        <v>-985973.35393082234</v>
      </c>
      <c r="J18" s="499">
        <f>J17+1</f>
        <v>6</v>
      </c>
    </row>
    <row r="19" spans="1:10" x14ac:dyDescent="0.35">
      <c r="A19" s="499">
        <f t="shared" si="3"/>
        <v>7</v>
      </c>
      <c r="B19" s="1676" t="s">
        <v>691</v>
      </c>
      <c r="C19" s="2155">
        <f>('Stmt AF'!$G$17-'Stmt AF'!$E$17)/12</f>
        <v>-3797.298623920331</v>
      </c>
      <c r="D19" s="347">
        <f t="shared" si="5"/>
        <v>-994462.65715580562</v>
      </c>
      <c r="E19" s="1684">
        <v>30</v>
      </c>
      <c r="F19" s="1688">
        <f t="shared" si="0"/>
        <v>184</v>
      </c>
      <c r="G19" s="1679">
        <f>F19/F13</f>
        <v>0.50410958904109593</v>
      </c>
      <c r="H19" s="347">
        <f t="shared" si="1"/>
        <v>-1914.2546487707971</v>
      </c>
      <c r="I19" s="347">
        <f t="shared" si="2"/>
        <v>-987887.60857959313</v>
      </c>
      <c r="J19" s="499">
        <f t="shared" si="4"/>
        <v>7</v>
      </c>
    </row>
    <row r="20" spans="1:10" x14ac:dyDescent="0.35">
      <c r="A20" s="499">
        <f t="shared" si="3"/>
        <v>8</v>
      </c>
      <c r="B20" s="1676" t="s">
        <v>681</v>
      </c>
      <c r="C20" s="2155">
        <f>('Stmt AF'!$G$17-'Stmt AF'!$E$17)/12</f>
        <v>-3797.298623920331</v>
      </c>
      <c r="D20" s="347">
        <f t="shared" si="5"/>
        <v>-998259.95577972592</v>
      </c>
      <c r="E20" s="1684">
        <v>31</v>
      </c>
      <c r="F20" s="1688">
        <f t="shared" si="0"/>
        <v>153</v>
      </c>
      <c r="G20" s="1679">
        <f>F20/F13</f>
        <v>0.41917808219178082</v>
      </c>
      <c r="H20" s="347">
        <f t="shared" si="1"/>
        <v>-1591.7443546844127</v>
      </c>
      <c r="I20" s="347">
        <f t="shared" si="2"/>
        <v>-989479.3529342775</v>
      </c>
      <c r="J20" s="499">
        <f t="shared" si="4"/>
        <v>8</v>
      </c>
    </row>
    <row r="21" spans="1:10" x14ac:dyDescent="0.35">
      <c r="A21" s="499">
        <f t="shared" si="3"/>
        <v>9</v>
      </c>
      <c r="B21" s="1676" t="s">
        <v>682</v>
      </c>
      <c r="C21" s="2155">
        <f>('Stmt AF'!$G$17-'Stmt AF'!$E$17)/12</f>
        <v>-3797.298623920331</v>
      </c>
      <c r="D21" s="347">
        <f t="shared" si="5"/>
        <v>-1002057.2544036462</v>
      </c>
      <c r="E21" s="1684">
        <v>31</v>
      </c>
      <c r="F21" s="1688">
        <f t="shared" si="0"/>
        <v>122</v>
      </c>
      <c r="G21" s="1679">
        <f>F21/F13</f>
        <v>0.33424657534246577</v>
      </c>
      <c r="H21" s="347">
        <f t="shared" si="1"/>
        <v>-1269.2340605980285</v>
      </c>
      <c r="I21" s="347">
        <f t="shared" si="2"/>
        <v>-990748.58699487557</v>
      </c>
      <c r="J21" s="499">
        <f t="shared" si="4"/>
        <v>9</v>
      </c>
    </row>
    <row r="22" spans="1:10" x14ac:dyDescent="0.35">
      <c r="A22" s="499">
        <f t="shared" si="3"/>
        <v>10</v>
      </c>
      <c r="B22" s="1676" t="s">
        <v>683</v>
      </c>
      <c r="C22" s="2155">
        <f>('Stmt AF'!$G$17-'Stmt AF'!$E$17)/12</f>
        <v>-3797.298623920331</v>
      </c>
      <c r="D22" s="347">
        <f t="shared" si="5"/>
        <v>-1005854.5530275665</v>
      </c>
      <c r="E22" s="1684">
        <v>30</v>
      </c>
      <c r="F22" s="1688">
        <f t="shared" si="0"/>
        <v>92</v>
      </c>
      <c r="G22" s="1679">
        <f>F22/F13</f>
        <v>0.25205479452054796</v>
      </c>
      <c r="H22" s="347">
        <f t="shared" si="1"/>
        <v>-957.12732438539854</v>
      </c>
      <c r="I22" s="347">
        <f t="shared" si="2"/>
        <v>-991705.71431926102</v>
      </c>
      <c r="J22" s="499">
        <f t="shared" si="4"/>
        <v>10</v>
      </c>
    </row>
    <row r="23" spans="1:10" x14ac:dyDescent="0.35">
      <c r="A23" s="499">
        <f t="shared" si="3"/>
        <v>11</v>
      </c>
      <c r="B23" s="1676" t="s">
        <v>684</v>
      </c>
      <c r="C23" s="2155">
        <f>('Stmt AF'!$G$17-'Stmt AF'!$E$17)/12</f>
        <v>-3797.298623920331</v>
      </c>
      <c r="D23" s="347">
        <f t="shared" si="5"/>
        <v>-1009651.8516514868</v>
      </c>
      <c r="E23" s="1684">
        <v>31</v>
      </c>
      <c r="F23" s="1688">
        <f t="shared" si="0"/>
        <v>61</v>
      </c>
      <c r="G23" s="1679">
        <f>F23/F13</f>
        <v>0.16712328767123288</v>
      </c>
      <c r="H23" s="347">
        <f t="shared" si="1"/>
        <v>-634.61703029901423</v>
      </c>
      <c r="I23" s="347">
        <f t="shared" si="2"/>
        <v>-992340.33134956006</v>
      </c>
      <c r="J23" s="499">
        <f t="shared" si="4"/>
        <v>11</v>
      </c>
    </row>
    <row r="24" spans="1:10" x14ac:dyDescent="0.35">
      <c r="A24" s="499">
        <f t="shared" si="3"/>
        <v>12</v>
      </c>
      <c r="B24" s="1676" t="s">
        <v>685</v>
      </c>
      <c r="C24" s="2155">
        <f>('Stmt AF'!$G$17-'Stmt AF'!$E$17)/12</f>
        <v>-3797.298623920331</v>
      </c>
      <c r="D24" s="347">
        <f t="shared" si="5"/>
        <v>-1013449.1502754071</v>
      </c>
      <c r="E24" s="1684">
        <v>30</v>
      </c>
      <c r="F24" s="1688">
        <f t="shared" si="0"/>
        <v>31</v>
      </c>
      <c r="G24" s="1679">
        <f>F24/F13</f>
        <v>8.4931506849315067E-2</v>
      </c>
      <c r="H24" s="347">
        <f t="shared" si="1"/>
        <v>-322.51029408638425</v>
      </c>
      <c r="I24" s="347">
        <f t="shared" si="2"/>
        <v>-992662.84164364648</v>
      </c>
      <c r="J24" s="499">
        <f t="shared" si="4"/>
        <v>12</v>
      </c>
    </row>
    <row r="25" spans="1:10" x14ac:dyDescent="0.35">
      <c r="A25" s="499">
        <f t="shared" si="3"/>
        <v>13</v>
      </c>
      <c r="B25" s="1676" t="s">
        <v>686</v>
      </c>
      <c r="C25" s="2155">
        <f>('Stmt AF'!$G$17-'Stmt AF'!$E$17)/12</f>
        <v>-3797.298623920331</v>
      </c>
      <c r="D25" s="347">
        <f t="shared" si="5"/>
        <v>-1017246.4488993274</v>
      </c>
      <c r="E25" s="1684">
        <v>31</v>
      </c>
      <c r="F25" s="1688">
        <f t="shared" si="0"/>
        <v>0</v>
      </c>
      <c r="G25" s="1679">
        <f>F25/F13</f>
        <v>0</v>
      </c>
      <c r="H25" s="347">
        <f t="shared" si="1"/>
        <v>0</v>
      </c>
      <c r="I25" s="453">
        <f t="shared" si="2"/>
        <v>-992662.84164364648</v>
      </c>
      <c r="J25" s="499">
        <f t="shared" si="4"/>
        <v>13</v>
      </c>
    </row>
    <row r="26" spans="1:10" x14ac:dyDescent="0.35">
      <c r="A26" s="499"/>
      <c r="B26" s="1676" t="s">
        <v>1645</v>
      </c>
      <c r="C26" s="1681"/>
      <c r="D26" s="451">
        <f>'Stmt AF'!G17</f>
        <v>-1017246.4488993278</v>
      </c>
      <c r="E26" s="1681"/>
      <c r="F26" s="1681"/>
      <c r="G26" s="1681"/>
      <c r="H26" s="1681"/>
      <c r="I26" s="1681"/>
      <c r="J26" s="499"/>
    </row>
    <row r="27" spans="1:10" x14ac:dyDescent="0.35">
      <c r="A27" s="499"/>
      <c r="J27" s="499"/>
    </row>
    <row r="28" spans="1:10" x14ac:dyDescent="0.35">
      <c r="A28" s="499"/>
      <c r="J28" s="499"/>
    </row>
    <row r="29" spans="1:10" ht="18" x14ac:dyDescent="0.35">
      <c r="A29" s="1330">
        <v>1</v>
      </c>
      <c r="B29" s="7" t="s">
        <v>1348</v>
      </c>
      <c r="J29" s="499"/>
    </row>
    <row r="30" spans="1:10" ht="18" x14ac:dyDescent="0.35">
      <c r="A30" s="1330">
        <v>2</v>
      </c>
      <c r="B30" s="7" t="s">
        <v>1351</v>
      </c>
      <c r="J30" s="499"/>
    </row>
    <row r="31" spans="1:10" x14ac:dyDescent="0.35">
      <c r="A31" s="499"/>
      <c r="J31" s="499"/>
    </row>
    <row r="32" spans="1:10" x14ac:dyDescent="0.35">
      <c r="A32" s="499"/>
      <c r="J32" s="499"/>
    </row>
    <row r="33" spans="1:10" x14ac:dyDescent="0.35">
      <c r="A33" s="499"/>
      <c r="J33" s="499"/>
    </row>
    <row r="34" spans="1:10" x14ac:dyDescent="0.35">
      <c r="A34" s="499"/>
      <c r="J34" s="499"/>
    </row>
    <row r="35" spans="1:10" x14ac:dyDescent="0.35">
      <c r="A35" s="499"/>
      <c r="J35" s="499"/>
    </row>
    <row r="36" spans="1:10" x14ac:dyDescent="0.35">
      <c r="A36" s="499"/>
      <c r="J36" s="499"/>
    </row>
    <row r="37" spans="1:10" x14ac:dyDescent="0.35">
      <c r="A37" s="499"/>
      <c r="J37" s="499"/>
    </row>
    <row r="38" spans="1:10" x14ac:dyDescent="0.35">
      <c r="A38" s="499"/>
      <c r="J38" s="499"/>
    </row>
    <row r="39" spans="1:10" x14ac:dyDescent="0.35">
      <c r="A39" s="499"/>
      <c r="J39" s="499"/>
    </row>
    <row r="40" spans="1:10" x14ac:dyDescent="0.35">
      <c r="A40" s="499"/>
      <c r="J40" s="499"/>
    </row>
    <row r="41" spans="1:10" x14ac:dyDescent="0.35">
      <c r="A41" s="499"/>
      <c r="J41" s="499"/>
    </row>
    <row r="42" spans="1:10" x14ac:dyDescent="0.35">
      <c r="A42" s="499"/>
      <c r="J42" s="499"/>
    </row>
    <row r="43" spans="1:10" x14ac:dyDescent="0.35">
      <c r="A43" s="499"/>
      <c r="J43" s="499"/>
    </row>
    <row r="44" spans="1:10" x14ac:dyDescent="0.35">
      <c r="A44" s="499"/>
      <c r="J44" s="499"/>
    </row>
    <row r="45" spans="1:10" x14ac:dyDescent="0.35">
      <c r="A45" s="499"/>
      <c r="J45" s="499"/>
    </row>
    <row r="46" spans="1:10" x14ac:dyDescent="0.35">
      <c r="A46" s="499"/>
      <c r="J46" s="499"/>
    </row>
    <row r="47" spans="1:10" x14ac:dyDescent="0.35">
      <c r="A47" s="499"/>
      <c r="J47" s="499"/>
    </row>
    <row r="48" spans="1:10" x14ac:dyDescent="0.35">
      <c r="A48" s="499"/>
      <c r="J48" s="499"/>
    </row>
    <row r="49" spans="1:10" x14ac:dyDescent="0.35">
      <c r="A49" s="499"/>
      <c r="J49" s="499"/>
    </row>
    <row r="50" spans="1:10" x14ac:dyDescent="0.35">
      <c r="A50" s="499"/>
      <c r="J50" s="499"/>
    </row>
    <row r="51" spans="1:10" x14ac:dyDescent="0.35">
      <c r="A51" s="499"/>
      <c r="J51" s="499"/>
    </row>
    <row r="52" spans="1:10" x14ac:dyDescent="0.35">
      <c r="A52" s="499"/>
      <c r="J52" s="499"/>
    </row>
    <row r="53" spans="1:10" x14ac:dyDescent="0.35">
      <c r="A53" s="499"/>
      <c r="J53" s="499"/>
    </row>
    <row r="54" spans="1:10" x14ac:dyDescent="0.35">
      <c r="A54" s="499"/>
      <c r="J54" s="499"/>
    </row>
    <row r="55" spans="1:10" x14ac:dyDescent="0.35">
      <c r="A55" s="499"/>
      <c r="J55" s="499"/>
    </row>
    <row r="56" spans="1:10" x14ac:dyDescent="0.35">
      <c r="A56" s="499"/>
      <c r="J56" s="499"/>
    </row>
    <row r="57" spans="1:10" x14ac:dyDescent="0.35">
      <c r="A57" s="499"/>
      <c r="J57" s="499"/>
    </row>
    <row r="58" spans="1:10" x14ac:dyDescent="0.35">
      <c r="A58" s="499"/>
      <c r="J58" s="499"/>
    </row>
    <row r="59" spans="1:10" x14ac:dyDescent="0.35">
      <c r="A59" s="499"/>
      <c r="J59" s="499"/>
    </row>
    <row r="60" spans="1:10" x14ac:dyDescent="0.35">
      <c r="A60" s="499"/>
      <c r="J60" s="499"/>
    </row>
    <row r="61" spans="1:10" x14ac:dyDescent="0.35">
      <c r="A61" s="499"/>
      <c r="J61" s="499"/>
    </row>
    <row r="62" spans="1:10" x14ac:dyDescent="0.35">
      <c r="A62" s="499"/>
      <c r="J62" s="499"/>
    </row>
    <row r="63" spans="1:10" x14ac:dyDescent="0.35">
      <c r="A63" s="499"/>
      <c r="J63" s="499"/>
    </row>
    <row r="64" spans="1:10" x14ac:dyDescent="0.35">
      <c r="A64" s="499"/>
      <c r="J64" s="499"/>
    </row>
    <row r="65" spans="1:10" x14ac:dyDescent="0.35">
      <c r="A65" s="499"/>
      <c r="J65" s="499"/>
    </row>
    <row r="66" spans="1:10" x14ac:dyDescent="0.35">
      <c r="A66" s="499"/>
      <c r="J66" s="499"/>
    </row>
    <row r="67" spans="1:10" x14ac:dyDescent="0.35">
      <c r="A67" s="499"/>
      <c r="J67" s="499"/>
    </row>
    <row r="68" spans="1:10" x14ac:dyDescent="0.35">
      <c r="A68" s="499"/>
      <c r="J68" s="499"/>
    </row>
    <row r="69" spans="1:10" x14ac:dyDescent="0.35">
      <c r="A69" s="499"/>
      <c r="J69" s="499"/>
    </row>
    <row r="70" spans="1:10" x14ac:dyDescent="0.35">
      <c r="A70" s="499"/>
      <c r="J70" s="499"/>
    </row>
    <row r="71" spans="1:10" x14ac:dyDescent="0.35">
      <c r="A71" s="499"/>
      <c r="J71" s="499"/>
    </row>
    <row r="72" spans="1:10" x14ac:dyDescent="0.35">
      <c r="A72" s="499"/>
      <c r="J72" s="499"/>
    </row>
    <row r="73" spans="1:10" ht="18" x14ac:dyDescent="0.35">
      <c r="A73" s="1330"/>
      <c r="J73" s="1330"/>
    </row>
    <row r="74" spans="1:10" ht="18" x14ac:dyDescent="0.35">
      <c r="A74" s="1330"/>
      <c r="J74" s="1330"/>
    </row>
    <row r="75" spans="1:10" ht="18" x14ac:dyDescent="0.35">
      <c r="A75" s="1330"/>
      <c r="J75" s="1330"/>
    </row>
    <row r="76" spans="1:10" ht="18" x14ac:dyDescent="0.35">
      <c r="A76" s="1330"/>
      <c r="J76" s="1330"/>
    </row>
    <row r="77" spans="1:10" ht="18" x14ac:dyDescent="0.35">
      <c r="A77" s="1330"/>
      <c r="J77" s="1330"/>
    </row>
    <row r="78" spans="1:10" ht="18" x14ac:dyDescent="0.35">
      <c r="A78" s="1330"/>
      <c r="J78" s="1330"/>
    </row>
    <row r="79" spans="1:10" ht="18" x14ac:dyDescent="0.35">
      <c r="A79" s="1330"/>
      <c r="J79" s="1330"/>
    </row>
    <row r="80" spans="1:10" x14ac:dyDescent="0.35">
      <c r="A80" s="499"/>
      <c r="J80" s="499"/>
    </row>
    <row r="81" spans="1:10" x14ac:dyDescent="0.35">
      <c r="A81" s="499"/>
      <c r="J81" s="499"/>
    </row>
    <row r="82" spans="1:10" x14ac:dyDescent="0.35">
      <c r="A82" s="499"/>
      <c r="J82" s="499"/>
    </row>
    <row r="83" spans="1:10" x14ac:dyDescent="0.35">
      <c r="A83" s="499"/>
      <c r="J83" s="499"/>
    </row>
    <row r="84" spans="1:10" x14ac:dyDescent="0.35">
      <c r="A84" s="499"/>
      <c r="J84" s="499"/>
    </row>
    <row r="85" spans="1:10" x14ac:dyDescent="0.35">
      <c r="A85" s="499"/>
      <c r="J85" s="499"/>
    </row>
    <row r="86" spans="1:10" x14ac:dyDescent="0.35">
      <c r="A86" s="499"/>
      <c r="J86" s="499"/>
    </row>
    <row r="87" spans="1:10" x14ac:dyDescent="0.35">
      <c r="A87" s="499"/>
      <c r="J87" s="499"/>
    </row>
    <row r="88" spans="1:10" x14ac:dyDescent="0.35">
      <c r="A88" s="1396"/>
      <c r="J88" s="1396"/>
    </row>
    <row r="89" spans="1:10" x14ac:dyDescent="0.35">
      <c r="A89" s="1396"/>
      <c r="J89" s="1396"/>
    </row>
    <row r="90" spans="1:10" x14ac:dyDescent="0.35">
      <c r="A90" s="499"/>
      <c r="J90" s="499"/>
    </row>
    <row r="91" spans="1:10" x14ac:dyDescent="0.35">
      <c r="A91" s="499"/>
      <c r="J91" s="499"/>
    </row>
    <row r="92" spans="1:10" x14ac:dyDescent="0.35">
      <c r="A92" s="499"/>
      <c r="J92" s="499"/>
    </row>
    <row r="93" spans="1:10" x14ac:dyDescent="0.35">
      <c r="A93" s="499"/>
      <c r="J93" s="499"/>
    </row>
    <row r="94" spans="1:10" x14ac:dyDescent="0.35">
      <c r="A94" s="499"/>
      <c r="J94" s="499"/>
    </row>
    <row r="95" spans="1:10" x14ac:dyDescent="0.35">
      <c r="A95" s="499"/>
      <c r="J95" s="499"/>
    </row>
    <row r="96" spans="1:10" x14ac:dyDescent="0.35">
      <c r="A96" s="499"/>
      <c r="J96" s="499"/>
    </row>
    <row r="97" spans="1:10" x14ac:dyDescent="0.35">
      <c r="A97" s="499"/>
      <c r="J97" s="499"/>
    </row>
    <row r="98" spans="1:10" x14ac:dyDescent="0.35">
      <c r="A98" s="499"/>
      <c r="J98" s="499"/>
    </row>
    <row r="99" spans="1:10" x14ac:dyDescent="0.35">
      <c r="A99" s="499"/>
      <c r="J99" s="499"/>
    </row>
    <row r="100" spans="1:10" x14ac:dyDescent="0.35">
      <c r="A100" s="499"/>
      <c r="J100" s="499"/>
    </row>
    <row r="101" spans="1:10" x14ac:dyDescent="0.35">
      <c r="A101" s="499"/>
      <c r="J101" s="499"/>
    </row>
    <row r="102" spans="1:10" x14ac:dyDescent="0.35">
      <c r="A102" s="499"/>
      <c r="J102" s="499"/>
    </row>
    <row r="103" spans="1:10" x14ac:dyDescent="0.35">
      <c r="A103" s="499"/>
      <c r="J103" s="499"/>
    </row>
    <row r="104" spans="1:10" x14ac:dyDescent="0.35">
      <c r="A104" s="499"/>
      <c r="J104" s="499"/>
    </row>
    <row r="105" spans="1:10" x14ac:dyDescent="0.35">
      <c r="A105" s="499"/>
      <c r="J105" s="499"/>
    </row>
    <row r="106" spans="1:10" x14ac:dyDescent="0.35">
      <c r="A106" s="499"/>
      <c r="J106" s="499"/>
    </row>
    <row r="107" spans="1:10" x14ac:dyDescent="0.35">
      <c r="A107" s="499"/>
      <c r="J107" s="499"/>
    </row>
    <row r="108" spans="1:10" x14ac:dyDescent="0.35">
      <c r="A108" s="499"/>
      <c r="J108" s="499"/>
    </row>
    <row r="109" spans="1:10" x14ac:dyDescent="0.35">
      <c r="A109" s="499"/>
      <c r="J109" s="499"/>
    </row>
    <row r="110" spans="1:10" x14ac:dyDescent="0.35">
      <c r="A110" s="499"/>
      <c r="J110" s="499"/>
    </row>
    <row r="111" spans="1:10" x14ac:dyDescent="0.35">
      <c r="A111" s="499"/>
      <c r="J111" s="499"/>
    </row>
    <row r="112" spans="1:10" x14ac:dyDescent="0.35">
      <c r="A112" s="499"/>
      <c r="J112" s="499"/>
    </row>
    <row r="113" spans="1:10" x14ac:dyDescent="0.35">
      <c r="A113" s="499"/>
      <c r="J113" s="499"/>
    </row>
    <row r="114" spans="1:10" x14ac:dyDescent="0.35">
      <c r="A114" s="499"/>
      <c r="J114" s="499"/>
    </row>
    <row r="115" spans="1:10" x14ac:dyDescent="0.35">
      <c r="A115" s="499"/>
      <c r="J115" s="499"/>
    </row>
    <row r="116" spans="1:10" x14ac:dyDescent="0.35">
      <c r="A116" s="499"/>
      <c r="J116" s="499"/>
    </row>
    <row r="117" spans="1:10" x14ac:dyDescent="0.35">
      <c r="A117" s="499"/>
      <c r="J117" s="499"/>
    </row>
    <row r="118" spans="1:10" x14ac:dyDescent="0.35">
      <c r="A118" s="499"/>
      <c r="J118" s="499"/>
    </row>
    <row r="119" spans="1:10" x14ac:dyDescent="0.35">
      <c r="A119" s="499"/>
      <c r="J119" s="499"/>
    </row>
    <row r="120" spans="1:10" x14ac:dyDescent="0.35">
      <c r="A120" s="499"/>
      <c r="J120" s="499"/>
    </row>
    <row r="121" spans="1:10" x14ac:dyDescent="0.35">
      <c r="A121" s="499"/>
      <c r="J121" s="499"/>
    </row>
    <row r="122" spans="1:10" x14ac:dyDescent="0.35">
      <c r="A122" s="499"/>
      <c r="J122" s="499"/>
    </row>
    <row r="123" spans="1:10" x14ac:dyDescent="0.35">
      <c r="A123" s="499"/>
      <c r="J123" s="499"/>
    </row>
    <row r="124" spans="1:10" x14ac:dyDescent="0.35">
      <c r="A124" s="499"/>
      <c r="J124" s="499"/>
    </row>
    <row r="125" spans="1:10" x14ac:dyDescent="0.35">
      <c r="A125" s="499"/>
      <c r="J125" s="499"/>
    </row>
    <row r="126" spans="1:10" x14ac:dyDescent="0.35">
      <c r="A126" s="499"/>
      <c r="J126" s="499"/>
    </row>
    <row r="127" spans="1:10" x14ac:dyDescent="0.35">
      <c r="A127" s="499"/>
      <c r="J127" s="499"/>
    </row>
    <row r="128" spans="1:10" x14ac:dyDescent="0.35">
      <c r="A128" s="499"/>
      <c r="J128" s="499"/>
    </row>
    <row r="129" spans="1:10" x14ac:dyDescent="0.35">
      <c r="A129" s="499"/>
      <c r="J129" s="499"/>
    </row>
    <row r="130" spans="1:10" x14ac:dyDescent="0.35">
      <c r="A130" s="499"/>
      <c r="J130" s="499"/>
    </row>
    <row r="131" spans="1:10" ht="18" x14ac:dyDescent="0.35">
      <c r="A131" s="1330"/>
      <c r="J131" s="1330"/>
    </row>
    <row r="132" spans="1:10" ht="18" x14ac:dyDescent="0.35">
      <c r="A132" s="1330"/>
      <c r="J132" s="1330"/>
    </row>
    <row r="133" spans="1:10" x14ac:dyDescent="0.35">
      <c r="A133" s="499"/>
      <c r="J133" s="499"/>
    </row>
    <row r="134" spans="1:10" x14ac:dyDescent="0.35">
      <c r="A134" s="499"/>
      <c r="J134" s="499"/>
    </row>
    <row r="135" spans="1:10" x14ac:dyDescent="0.35">
      <c r="A135" s="499"/>
      <c r="J135" s="499"/>
    </row>
    <row r="136" spans="1:10" x14ac:dyDescent="0.35">
      <c r="A136" s="499"/>
      <c r="J136" s="499"/>
    </row>
    <row r="137" spans="1:10" x14ac:dyDescent="0.35">
      <c r="A137" s="499"/>
      <c r="J137" s="499"/>
    </row>
    <row r="138" spans="1:10" x14ac:dyDescent="0.35">
      <c r="A138" s="499"/>
      <c r="J138" s="499"/>
    </row>
    <row r="139" spans="1:10" x14ac:dyDescent="0.35">
      <c r="A139" s="499"/>
      <c r="J139" s="499"/>
    </row>
    <row r="140" spans="1:10" x14ac:dyDescent="0.35">
      <c r="A140" s="499"/>
      <c r="J140" s="499"/>
    </row>
    <row r="141" spans="1:10" x14ac:dyDescent="0.35">
      <c r="A141" s="1396"/>
      <c r="J141" s="1396"/>
    </row>
    <row r="142" spans="1:10" x14ac:dyDescent="0.35">
      <c r="A142" s="1396"/>
      <c r="J142" s="1396"/>
    </row>
    <row r="143" spans="1:10" x14ac:dyDescent="0.35">
      <c r="A143" s="1396"/>
      <c r="J143" s="1396"/>
    </row>
    <row r="144" spans="1:10" x14ac:dyDescent="0.35">
      <c r="A144" s="499"/>
      <c r="J144" s="499"/>
    </row>
    <row r="145" spans="1:10" x14ac:dyDescent="0.35">
      <c r="A145" s="499"/>
      <c r="J145" s="499"/>
    </row>
    <row r="146" spans="1:10" x14ac:dyDescent="0.35">
      <c r="A146" s="499"/>
      <c r="J146" s="499"/>
    </row>
    <row r="147" spans="1:10" x14ac:dyDescent="0.35">
      <c r="A147" s="499"/>
      <c r="J147" s="499"/>
    </row>
    <row r="148" spans="1:10" x14ac:dyDescent="0.35">
      <c r="A148" s="499"/>
      <c r="J148" s="499"/>
    </row>
    <row r="149" spans="1:10" x14ac:dyDescent="0.35">
      <c r="A149" s="499"/>
      <c r="J149" s="499"/>
    </row>
    <row r="150" spans="1:10" x14ac:dyDescent="0.35">
      <c r="A150" s="499"/>
      <c r="J150" s="499"/>
    </row>
    <row r="151" spans="1:10" x14ac:dyDescent="0.35">
      <c r="A151" s="499"/>
      <c r="J151" s="499"/>
    </row>
    <row r="152" spans="1:10" x14ac:dyDescent="0.35">
      <c r="A152" s="499"/>
      <c r="J152" s="499"/>
    </row>
    <row r="153" spans="1:10" x14ac:dyDescent="0.35">
      <c r="A153" s="499"/>
      <c r="J153" s="499"/>
    </row>
    <row r="154" spans="1:10" x14ac:dyDescent="0.35">
      <c r="A154" s="499"/>
      <c r="J154" s="499"/>
    </row>
    <row r="155" spans="1:10" x14ac:dyDescent="0.35">
      <c r="A155" s="499"/>
      <c r="J155" s="499"/>
    </row>
    <row r="156" spans="1:10" x14ac:dyDescent="0.35">
      <c r="A156" s="499"/>
      <c r="J156" s="499"/>
    </row>
    <row r="157" spans="1:10" x14ac:dyDescent="0.35">
      <c r="A157" s="499"/>
      <c r="J157" s="499"/>
    </row>
    <row r="158" spans="1:10" x14ac:dyDescent="0.35">
      <c r="A158" s="499"/>
      <c r="J158" s="499"/>
    </row>
    <row r="159" spans="1:10" x14ac:dyDescent="0.35">
      <c r="A159" s="499"/>
      <c r="J159" s="499"/>
    </row>
    <row r="160" spans="1:10" x14ac:dyDescent="0.35">
      <c r="A160" s="499"/>
      <c r="J160" s="499"/>
    </row>
    <row r="161" spans="1:10" x14ac:dyDescent="0.35">
      <c r="A161" s="499"/>
      <c r="J161" s="499"/>
    </row>
    <row r="162" spans="1:10" x14ac:dyDescent="0.35">
      <c r="A162" s="499"/>
      <c r="J162" s="499"/>
    </row>
    <row r="163" spans="1:10" x14ac:dyDescent="0.35">
      <c r="A163" s="499"/>
      <c r="J163" s="499"/>
    </row>
    <row r="164" spans="1:10" x14ac:dyDescent="0.35">
      <c r="A164" s="1396"/>
      <c r="J164" s="1396"/>
    </row>
    <row r="165" spans="1:10" x14ac:dyDescent="0.35">
      <c r="A165" s="499"/>
      <c r="J165" s="499"/>
    </row>
    <row r="166" spans="1:10" x14ac:dyDescent="0.35">
      <c r="A166" s="499"/>
      <c r="J166" s="499"/>
    </row>
    <row r="167" spans="1:10" x14ac:dyDescent="0.35">
      <c r="A167" s="499"/>
      <c r="J167" s="499"/>
    </row>
    <row r="168" spans="1:10" x14ac:dyDescent="0.35">
      <c r="A168" s="499"/>
      <c r="J168" s="499"/>
    </row>
    <row r="169" spans="1:10" x14ac:dyDescent="0.35">
      <c r="A169" s="499"/>
      <c r="J169" s="499"/>
    </row>
    <row r="170" spans="1:10" x14ac:dyDescent="0.35">
      <c r="A170" s="499"/>
      <c r="J170" s="499"/>
    </row>
    <row r="171" spans="1:10" ht="18" x14ac:dyDescent="0.35">
      <c r="A171" s="1330"/>
      <c r="J171" s="1330"/>
    </row>
    <row r="172" spans="1:10" x14ac:dyDescent="0.35">
      <c r="A172" s="499"/>
      <c r="J172" s="499"/>
    </row>
    <row r="173" spans="1:10" x14ac:dyDescent="0.35">
      <c r="A173" s="499"/>
      <c r="J173" s="499"/>
    </row>
    <row r="174" spans="1:10" ht="15" x14ac:dyDescent="0.35">
      <c r="A174" s="1408"/>
      <c r="J174" s="1408"/>
    </row>
    <row r="175" spans="1:10" x14ac:dyDescent="0.35">
      <c r="A175" s="1396"/>
      <c r="J175" s="1396"/>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scaleWithDoc="0">
    <oddFooter>&amp;C&amp;"Times New Roman,Regular"&amp;10Stmt AF Proration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271"/>
  <sheetViews>
    <sheetView zoomScale="80" zoomScaleNormal="80" workbookViewId="0"/>
  </sheetViews>
  <sheetFormatPr defaultColWidth="8.90625" defaultRowHeight="15.5" x14ac:dyDescent="0.35"/>
  <cols>
    <col min="1" max="1" width="5.08984375" style="1569" customWidth="1"/>
    <col min="2" max="2" width="55.453125" style="220" customWidth="1"/>
    <col min="3" max="5" width="15.54296875" style="220" customWidth="1"/>
    <col min="6" max="6" width="1.54296875" style="220" customWidth="1"/>
    <col min="7" max="7" width="16.90625" style="220" customWidth="1"/>
    <col min="8" max="8" width="1.54296875" style="220" customWidth="1"/>
    <col min="9" max="9" width="41.08984375" style="726" customWidth="1"/>
    <col min="10" max="10" width="5.08984375" style="220" customWidth="1"/>
    <col min="11" max="11" width="10.08984375" style="220" customWidth="1"/>
    <col min="12" max="12" width="15" style="220" customWidth="1"/>
    <col min="13" max="13" width="10.453125" style="220" customWidth="1"/>
    <col min="14" max="16384" width="8.90625" style="220"/>
  </cols>
  <sheetData>
    <row r="1" spans="1:12" x14ac:dyDescent="0.35">
      <c r="A1" s="1586"/>
      <c r="G1" s="310"/>
      <c r="H1" s="310"/>
      <c r="I1" s="1113"/>
      <c r="J1" s="236"/>
      <c r="L1" s="1343"/>
    </row>
    <row r="2" spans="1:12" x14ac:dyDescent="0.35">
      <c r="B2" s="2288" t="s">
        <v>18</v>
      </c>
      <c r="C2" s="2288"/>
      <c r="D2" s="2288"/>
      <c r="E2" s="2288"/>
      <c r="F2" s="2288"/>
      <c r="G2" s="2288"/>
      <c r="H2" s="2288"/>
      <c r="I2" s="2289"/>
      <c r="J2" s="234"/>
    </row>
    <row r="3" spans="1:12" x14ac:dyDescent="0.35">
      <c r="B3" s="2288" t="s">
        <v>1822</v>
      </c>
      <c r="C3" s="2288"/>
      <c r="D3" s="2288"/>
      <c r="E3" s="2288"/>
      <c r="F3" s="2288"/>
      <c r="G3" s="2288"/>
      <c r="H3" s="2288"/>
      <c r="I3" s="2289"/>
      <c r="J3" s="234"/>
    </row>
    <row r="4" spans="1:12" x14ac:dyDescent="0.35">
      <c r="B4" s="2288" t="s">
        <v>427</v>
      </c>
      <c r="C4" s="2288"/>
      <c r="D4" s="2288"/>
      <c r="E4" s="2288"/>
      <c r="F4" s="2288"/>
      <c r="G4" s="2288"/>
      <c r="H4" s="2288"/>
      <c r="I4" s="2289"/>
      <c r="J4" s="234"/>
    </row>
    <row r="5" spans="1:12" x14ac:dyDescent="0.35">
      <c r="B5" s="2293" t="str">
        <f>'Stmt AD'!B5</f>
        <v>Base Period &amp; True-Up Period 12 - Months Ending December 31, 2021</v>
      </c>
      <c r="C5" s="2293"/>
      <c r="D5" s="2293"/>
      <c r="E5" s="2293"/>
      <c r="F5" s="2293"/>
      <c r="G5" s="2293"/>
      <c r="H5" s="2293"/>
      <c r="I5" s="2283"/>
      <c r="J5" s="234"/>
    </row>
    <row r="6" spans="1:12" x14ac:dyDescent="0.35">
      <c r="B6" s="2291" t="s">
        <v>2</v>
      </c>
      <c r="C6" s="2278"/>
      <c r="D6" s="2278"/>
      <c r="E6" s="2278"/>
      <c r="F6" s="2278"/>
      <c r="G6" s="2278"/>
      <c r="H6" s="2278"/>
      <c r="I6" s="2278"/>
      <c r="J6" s="234"/>
    </row>
    <row r="7" spans="1:12" x14ac:dyDescent="0.35">
      <c r="B7" s="236"/>
      <c r="C7" s="236"/>
      <c r="D7" s="236"/>
      <c r="E7" s="236"/>
      <c r="F7" s="236"/>
      <c r="G7" s="236"/>
      <c r="H7" s="236"/>
      <c r="I7" s="255"/>
      <c r="J7" s="234"/>
    </row>
    <row r="8" spans="1:12" x14ac:dyDescent="0.35">
      <c r="A8" s="1569" t="s">
        <v>3</v>
      </c>
      <c r="B8" s="932"/>
      <c r="C8" s="932"/>
      <c r="D8" s="932"/>
      <c r="E8" s="236" t="s">
        <v>648</v>
      </c>
      <c r="F8" s="932"/>
      <c r="G8" s="932"/>
      <c r="H8" s="932"/>
      <c r="I8" s="255"/>
      <c r="J8" s="234" t="s">
        <v>3</v>
      </c>
      <c r="L8" s="1391"/>
    </row>
    <row r="9" spans="1:12" x14ac:dyDescent="0.35">
      <c r="A9" s="6" t="s">
        <v>25</v>
      </c>
      <c r="B9" s="236"/>
      <c r="C9" s="236"/>
      <c r="D9" s="236"/>
      <c r="E9" s="732" t="s">
        <v>646</v>
      </c>
      <c r="F9" s="236"/>
      <c r="G9" s="935" t="s">
        <v>135</v>
      </c>
      <c r="H9" s="932"/>
      <c r="I9" s="1293" t="s">
        <v>9</v>
      </c>
      <c r="J9" s="6" t="s">
        <v>25</v>
      </c>
    </row>
    <row r="10" spans="1:12" x14ac:dyDescent="0.35">
      <c r="B10" s="236"/>
      <c r="C10" s="236"/>
      <c r="D10" s="236"/>
      <c r="E10" s="236"/>
      <c r="F10" s="236"/>
      <c r="G10" s="236"/>
      <c r="H10" s="236"/>
      <c r="I10" s="943"/>
      <c r="J10" s="234"/>
      <c r="L10" s="1343"/>
    </row>
    <row r="11" spans="1:12" x14ac:dyDescent="0.35">
      <c r="A11" s="1569">
        <v>1</v>
      </c>
      <c r="B11" s="988" t="s">
        <v>428</v>
      </c>
      <c r="H11" s="932"/>
      <c r="I11" s="255"/>
      <c r="J11" s="234">
        <f>A11</f>
        <v>1</v>
      </c>
      <c r="L11" s="1343"/>
    </row>
    <row r="12" spans="1:12" x14ac:dyDescent="0.35">
      <c r="A12" s="1569">
        <f>A11+1</f>
        <v>2</v>
      </c>
      <c r="B12" s="989" t="s">
        <v>747</v>
      </c>
      <c r="E12" s="234" t="s">
        <v>1802</v>
      </c>
      <c r="F12" s="7"/>
      <c r="G12" s="1858">
        <v>6417859</v>
      </c>
      <c r="H12" s="932"/>
      <c r="I12" s="1294"/>
      <c r="J12" s="234">
        <f>J11+1</f>
        <v>2</v>
      </c>
    </row>
    <row r="13" spans="1:12" x14ac:dyDescent="0.35">
      <c r="A13" s="1569">
        <f t="shared" ref="A13:A52" si="0">A12+1</f>
        <v>3</v>
      </c>
      <c r="B13" s="989" t="s">
        <v>748</v>
      </c>
      <c r="E13" s="234" t="s">
        <v>1803</v>
      </c>
      <c r="F13" s="7"/>
      <c r="G13" s="115">
        <v>0</v>
      </c>
      <c r="H13" s="932"/>
      <c r="I13" s="1294"/>
      <c r="J13" s="234">
        <f t="shared" ref="J13:J52" si="1">J12+1</f>
        <v>3</v>
      </c>
      <c r="K13" s="1391"/>
    </row>
    <row r="14" spans="1:12" x14ac:dyDescent="0.35">
      <c r="A14" s="1569">
        <f t="shared" si="0"/>
        <v>4</v>
      </c>
      <c r="B14" s="989" t="s">
        <v>749</v>
      </c>
      <c r="E14" s="234" t="s">
        <v>1804</v>
      </c>
      <c r="F14" s="7"/>
      <c r="G14" s="115">
        <v>0</v>
      </c>
      <c r="H14" s="932"/>
      <c r="I14" s="1294"/>
      <c r="J14" s="234">
        <f t="shared" si="1"/>
        <v>4</v>
      </c>
    </row>
    <row r="15" spans="1:12" x14ac:dyDescent="0.35">
      <c r="A15" s="1569">
        <f t="shared" si="0"/>
        <v>5</v>
      </c>
      <c r="B15" s="989" t="s">
        <v>702</v>
      </c>
      <c r="E15" s="234" t="s">
        <v>1805</v>
      </c>
      <c r="F15" s="7"/>
      <c r="G15" s="115">
        <v>0</v>
      </c>
      <c r="H15" s="932"/>
      <c r="I15" s="1294"/>
      <c r="J15" s="234">
        <f t="shared" si="1"/>
        <v>5</v>
      </c>
    </row>
    <row r="16" spans="1:12" x14ac:dyDescent="0.35">
      <c r="A16" s="1569">
        <f t="shared" si="0"/>
        <v>6</v>
      </c>
      <c r="B16" s="989" t="s">
        <v>703</v>
      </c>
      <c r="E16" s="234" t="s">
        <v>1806</v>
      </c>
      <c r="F16" s="7"/>
      <c r="G16" s="2259">
        <v>-16893.71</v>
      </c>
      <c r="H16" s="932"/>
      <c r="I16" s="1294"/>
      <c r="J16" s="234">
        <f t="shared" si="1"/>
        <v>6</v>
      </c>
    </row>
    <row r="17" spans="1:10" x14ac:dyDescent="0.35">
      <c r="A17" s="1569">
        <f t="shared" si="0"/>
        <v>7</v>
      </c>
      <c r="B17" s="989" t="s">
        <v>704</v>
      </c>
      <c r="C17" s="989"/>
      <c r="D17" s="989"/>
      <c r="E17" s="989"/>
      <c r="F17" s="989"/>
      <c r="G17" s="268">
        <f>SUM(G12:G16)</f>
        <v>6400965.29</v>
      </c>
      <c r="H17" s="235"/>
      <c r="I17" s="255" t="s">
        <v>1031</v>
      </c>
      <c r="J17" s="234">
        <f t="shared" si="1"/>
        <v>7</v>
      </c>
    </row>
    <row r="18" spans="1:10" x14ac:dyDescent="0.35">
      <c r="A18" s="1569">
        <f t="shared" si="0"/>
        <v>8</v>
      </c>
      <c r="B18" s="989"/>
      <c r="I18" s="255"/>
      <c r="J18" s="234">
        <f t="shared" si="1"/>
        <v>8</v>
      </c>
    </row>
    <row r="19" spans="1:10" x14ac:dyDescent="0.35">
      <c r="A19" s="1569">
        <f t="shared" si="0"/>
        <v>9</v>
      </c>
      <c r="B19" s="1295" t="s">
        <v>429</v>
      </c>
      <c r="G19" s="9"/>
      <c r="H19" s="932"/>
      <c r="I19" s="255"/>
      <c r="J19" s="234">
        <f t="shared" si="1"/>
        <v>9</v>
      </c>
    </row>
    <row r="20" spans="1:10" x14ac:dyDescent="0.35">
      <c r="A20" s="1569">
        <f t="shared" si="0"/>
        <v>10</v>
      </c>
      <c r="B20" s="220" t="s">
        <v>750</v>
      </c>
      <c r="E20" s="234" t="s">
        <v>1807</v>
      </c>
      <c r="F20" s="7"/>
      <c r="G20" s="1858">
        <v>237653.59599999999</v>
      </c>
      <c r="H20" s="932"/>
      <c r="I20" s="1296"/>
      <c r="J20" s="234">
        <f t="shared" si="1"/>
        <v>10</v>
      </c>
    </row>
    <row r="21" spans="1:10" x14ac:dyDescent="0.35">
      <c r="A21" s="1569">
        <f t="shared" si="0"/>
        <v>11</v>
      </c>
      <c r="B21" s="220" t="s">
        <v>751</v>
      </c>
      <c r="E21" s="234" t="s">
        <v>1808</v>
      </c>
      <c r="F21" s="7"/>
      <c r="G21" s="115">
        <v>4408.152</v>
      </c>
      <c r="H21" s="932"/>
      <c r="I21" s="1296"/>
      <c r="J21" s="234">
        <f t="shared" si="1"/>
        <v>11</v>
      </c>
    </row>
    <row r="22" spans="1:10" x14ac:dyDescent="0.35">
      <c r="A22" s="1569">
        <f t="shared" si="0"/>
        <v>12</v>
      </c>
      <c r="B22" s="220" t="s">
        <v>752</v>
      </c>
      <c r="E22" s="234" t="s">
        <v>1809</v>
      </c>
      <c r="F22" s="7"/>
      <c r="G22" s="115">
        <v>1275.181</v>
      </c>
      <c r="H22" s="932"/>
      <c r="I22" s="1296"/>
      <c r="J22" s="234">
        <f t="shared" si="1"/>
        <v>12</v>
      </c>
    </row>
    <row r="23" spans="1:10" x14ac:dyDescent="0.35">
      <c r="A23" s="1569">
        <f t="shared" si="0"/>
        <v>13</v>
      </c>
      <c r="B23" s="220" t="s">
        <v>753</v>
      </c>
      <c r="E23" s="234" t="s">
        <v>1810</v>
      </c>
      <c r="F23" s="7"/>
      <c r="G23" s="115">
        <v>0</v>
      </c>
      <c r="H23" s="932"/>
      <c r="I23" s="1296"/>
      <c r="J23" s="234">
        <f t="shared" si="1"/>
        <v>13</v>
      </c>
    </row>
    <row r="24" spans="1:10" x14ac:dyDescent="0.35">
      <c r="A24" s="1569">
        <f t="shared" si="0"/>
        <v>14</v>
      </c>
      <c r="B24" s="220" t="s">
        <v>754</v>
      </c>
      <c r="E24" s="234" t="s">
        <v>1811</v>
      </c>
      <c r="F24" s="7"/>
      <c r="G24" s="2259">
        <v>0</v>
      </c>
      <c r="H24" s="932"/>
      <c r="I24" s="1296"/>
      <c r="J24" s="234">
        <f t="shared" si="1"/>
        <v>14</v>
      </c>
    </row>
    <row r="25" spans="1:10" x14ac:dyDescent="0.35">
      <c r="A25" s="1569">
        <f t="shared" si="0"/>
        <v>15</v>
      </c>
      <c r="B25" s="989" t="s">
        <v>705</v>
      </c>
      <c r="C25" s="989"/>
      <c r="D25" s="989"/>
      <c r="E25" s="989"/>
      <c r="F25" s="989"/>
      <c r="G25" s="509">
        <f>SUM(G20:G24)</f>
        <v>243336.929</v>
      </c>
      <c r="H25" s="313"/>
      <c r="I25" s="255" t="s">
        <v>1032</v>
      </c>
      <c r="J25" s="234">
        <f t="shared" si="1"/>
        <v>15</v>
      </c>
    </row>
    <row r="26" spans="1:10" x14ac:dyDescent="0.35">
      <c r="A26" s="1569">
        <f t="shared" si="0"/>
        <v>16</v>
      </c>
      <c r="B26" s="989"/>
      <c r="I26" s="255"/>
      <c r="J26" s="234">
        <f t="shared" si="1"/>
        <v>16</v>
      </c>
    </row>
    <row r="27" spans="1:10" ht="16" thickBot="1" x14ac:dyDescent="0.4">
      <c r="A27" s="1569">
        <f t="shared" si="0"/>
        <v>17</v>
      </c>
      <c r="B27" s="988" t="s">
        <v>430</v>
      </c>
      <c r="G27" s="409">
        <f>G25/G17</f>
        <v>3.8015661384722177E-2</v>
      </c>
      <c r="H27" s="649"/>
      <c r="I27" s="255" t="s">
        <v>1033</v>
      </c>
      <c r="J27" s="234">
        <f t="shared" si="1"/>
        <v>17</v>
      </c>
    </row>
    <row r="28" spans="1:10" ht="16" thickTop="1" x14ac:dyDescent="0.35">
      <c r="A28" s="1569">
        <f t="shared" si="0"/>
        <v>18</v>
      </c>
      <c r="B28" s="989"/>
      <c r="I28" s="255"/>
      <c r="J28" s="234">
        <f t="shared" si="1"/>
        <v>18</v>
      </c>
    </row>
    <row r="29" spans="1:10" x14ac:dyDescent="0.35">
      <c r="A29" s="1569">
        <f t="shared" si="0"/>
        <v>19</v>
      </c>
      <c r="B29" s="988" t="s">
        <v>431</v>
      </c>
      <c r="I29" s="255"/>
      <c r="J29" s="234">
        <f t="shared" si="1"/>
        <v>19</v>
      </c>
    </row>
    <row r="30" spans="1:10" x14ac:dyDescent="0.35">
      <c r="A30" s="1569">
        <f t="shared" si="0"/>
        <v>20</v>
      </c>
      <c r="B30" s="989" t="s">
        <v>755</v>
      </c>
      <c r="E30" s="234" t="s">
        <v>1812</v>
      </c>
      <c r="F30" s="7"/>
      <c r="G30" s="1858">
        <v>0</v>
      </c>
      <c r="H30" s="932"/>
      <c r="I30" s="1296"/>
      <c r="J30" s="234">
        <f t="shared" si="1"/>
        <v>20</v>
      </c>
    </row>
    <row r="31" spans="1:10" x14ac:dyDescent="0.35">
      <c r="A31" s="1569">
        <f t="shared" si="0"/>
        <v>21</v>
      </c>
      <c r="B31" s="989" t="s">
        <v>756</v>
      </c>
      <c r="C31" s="989"/>
      <c r="D31" s="989"/>
      <c r="E31" s="234" t="s">
        <v>1813</v>
      </c>
      <c r="F31" s="7"/>
      <c r="G31" s="2260">
        <v>0</v>
      </c>
      <c r="H31" s="932"/>
      <c r="I31" s="1296"/>
      <c r="J31" s="234">
        <f t="shared" si="1"/>
        <v>21</v>
      </c>
    </row>
    <row r="32" spans="1:10" ht="16" thickBot="1" x14ac:dyDescent="0.4">
      <c r="A32" s="1569">
        <f t="shared" si="0"/>
        <v>22</v>
      </c>
      <c r="B32" s="989" t="s">
        <v>432</v>
      </c>
      <c r="G32" s="409">
        <f>IFERROR((G31/G30),0)</f>
        <v>0</v>
      </c>
      <c r="H32" s="649"/>
      <c r="I32" s="255" t="s">
        <v>1034</v>
      </c>
      <c r="J32" s="234">
        <f t="shared" si="1"/>
        <v>22</v>
      </c>
    </row>
    <row r="33" spans="1:16" ht="16" thickTop="1" x14ac:dyDescent="0.35">
      <c r="A33" s="1569">
        <f t="shared" si="0"/>
        <v>23</v>
      </c>
      <c r="B33" s="989"/>
      <c r="I33" s="255"/>
      <c r="J33" s="234">
        <f t="shared" si="1"/>
        <v>23</v>
      </c>
    </row>
    <row r="34" spans="1:16" x14ac:dyDescent="0.35">
      <c r="A34" s="1569">
        <f t="shared" si="0"/>
        <v>24</v>
      </c>
      <c r="B34" s="988" t="s">
        <v>433</v>
      </c>
      <c r="I34" s="255"/>
      <c r="J34" s="234">
        <f t="shared" si="1"/>
        <v>24</v>
      </c>
    </row>
    <row r="35" spans="1:16" x14ac:dyDescent="0.35">
      <c r="A35" s="1569">
        <f t="shared" si="0"/>
        <v>25</v>
      </c>
      <c r="B35" s="989" t="s">
        <v>706</v>
      </c>
      <c r="E35" s="234" t="s">
        <v>1814</v>
      </c>
      <c r="F35" s="7"/>
      <c r="G35" s="1858">
        <v>8248583.6459999997</v>
      </c>
      <c r="H35" s="932"/>
      <c r="I35" s="1296"/>
      <c r="J35" s="234">
        <f t="shared" si="1"/>
        <v>25</v>
      </c>
    </row>
    <row r="36" spans="1:16" x14ac:dyDescent="0.35">
      <c r="A36" s="1569">
        <f t="shared" si="0"/>
        <v>26</v>
      </c>
      <c r="B36" s="989" t="s">
        <v>759</v>
      </c>
      <c r="E36" s="234" t="s">
        <v>1812</v>
      </c>
      <c r="G36" s="411">
        <f>G30</f>
        <v>0</v>
      </c>
      <c r="H36" s="411"/>
      <c r="I36" s="1878" t="s">
        <v>1093</v>
      </c>
      <c r="J36" s="234">
        <f t="shared" si="1"/>
        <v>26</v>
      </c>
    </row>
    <row r="37" spans="1:16" x14ac:dyDescent="0.35">
      <c r="A37" s="1569">
        <f t="shared" si="0"/>
        <v>27</v>
      </c>
      <c r="B37" s="989" t="s">
        <v>757</v>
      </c>
      <c r="E37" s="234" t="s">
        <v>1815</v>
      </c>
      <c r="G37" s="115">
        <v>0</v>
      </c>
      <c r="H37" s="932"/>
      <c r="I37" s="1296"/>
      <c r="J37" s="234">
        <f t="shared" si="1"/>
        <v>27</v>
      </c>
    </row>
    <row r="38" spans="1:16" x14ac:dyDescent="0.35">
      <c r="A38" s="1569">
        <f t="shared" si="0"/>
        <v>28</v>
      </c>
      <c r="B38" s="989" t="s">
        <v>758</v>
      </c>
      <c r="E38" s="234" t="s">
        <v>1816</v>
      </c>
      <c r="G38" s="115">
        <v>10117.040000000001</v>
      </c>
      <c r="H38" s="932"/>
      <c r="I38" s="1296"/>
      <c r="J38" s="234">
        <f t="shared" si="1"/>
        <v>28</v>
      </c>
    </row>
    <row r="39" spans="1:16" ht="16" thickBot="1" x14ac:dyDescent="0.4">
      <c r="A39" s="1569">
        <f t="shared" si="0"/>
        <v>29</v>
      </c>
      <c r="B39" s="989" t="s">
        <v>434</v>
      </c>
      <c r="C39" s="989"/>
      <c r="D39" s="989"/>
      <c r="E39" s="989"/>
      <c r="F39" s="989"/>
      <c r="G39" s="412">
        <f>SUM(G35:G38)</f>
        <v>8258700.6859999998</v>
      </c>
      <c r="H39" s="650"/>
      <c r="I39" s="255" t="s">
        <v>1035</v>
      </c>
      <c r="J39" s="234">
        <f t="shared" si="1"/>
        <v>29</v>
      </c>
    </row>
    <row r="40" spans="1:16" ht="16.5" thickTop="1" thickBot="1" x14ac:dyDescent="0.4">
      <c r="A40" s="639">
        <f t="shared" si="0"/>
        <v>30</v>
      </c>
      <c r="B40" s="1298"/>
      <c r="C40" s="405"/>
      <c r="D40" s="405"/>
      <c r="E40" s="405"/>
      <c r="F40" s="405"/>
      <c r="G40" s="405"/>
      <c r="H40" s="405"/>
      <c r="I40" s="1299"/>
      <c r="J40" s="639">
        <f t="shared" si="1"/>
        <v>30</v>
      </c>
    </row>
    <row r="41" spans="1:16" x14ac:dyDescent="0.35">
      <c r="A41" s="6">
        <f>A40+1</f>
        <v>31</v>
      </c>
      <c r="B41" s="1300"/>
      <c r="C41" s="297"/>
      <c r="D41" s="297"/>
      <c r="E41" s="297"/>
      <c r="F41" s="297"/>
      <c r="G41" s="297"/>
      <c r="H41" s="297"/>
      <c r="I41" s="943"/>
      <c r="J41" s="6">
        <f>J40+1</f>
        <v>31</v>
      </c>
    </row>
    <row r="42" spans="1:16" ht="16" thickBot="1" x14ac:dyDescent="0.4">
      <c r="A42" s="1569">
        <f>A41+1</f>
        <v>32</v>
      </c>
      <c r="B42" s="988" t="s">
        <v>454</v>
      </c>
      <c r="G42" s="413">
        <v>0.10100000000000001</v>
      </c>
      <c r="H42" s="932"/>
      <c r="I42" s="1878" t="s">
        <v>1624</v>
      </c>
      <c r="J42" s="234">
        <f>J41+1</f>
        <v>32</v>
      </c>
      <c r="P42" s="1343"/>
    </row>
    <row r="43" spans="1:16" ht="16" thickTop="1" x14ac:dyDescent="0.35">
      <c r="A43" s="1569">
        <f t="shared" si="0"/>
        <v>33</v>
      </c>
      <c r="B43" s="989"/>
      <c r="C43" s="414" t="s">
        <v>4</v>
      </c>
      <c r="D43" s="414" t="s">
        <v>5</v>
      </c>
      <c r="E43" s="414" t="s">
        <v>390</v>
      </c>
      <c r="F43" s="414"/>
      <c r="G43" s="414" t="s">
        <v>435</v>
      </c>
      <c r="H43" s="414"/>
      <c r="I43" s="255"/>
      <c r="J43" s="234">
        <f t="shared" si="1"/>
        <v>33</v>
      </c>
    </row>
    <row r="44" spans="1:16" x14ac:dyDescent="0.35">
      <c r="A44" s="1569">
        <f t="shared" si="0"/>
        <v>34</v>
      </c>
      <c r="B44" s="989"/>
      <c r="D44" s="234" t="s">
        <v>436</v>
      </c>
      <c r="E44" s="234" t="s">
        <v>455</v>
      </c>
      <c r="F44" s="234"/>
      <c r="G44" s="234" t="s">
        <v>437</v>
      </c>
      <c r="H44" s="234"/>
      <c r="I44" s="255"/>
      <c r="J44" s="234">
        <f t="shared" si="1"/>
        <v>34</v>
      </c>
    </row>
    <row r="45" spans="1:16" ht="18" x14ac:dyDescent="0.35">
      <c r="A45" s="1569">
        <f t="shared" si="0"/>
        <v>35</v>
      </c>
      <c r="B45" s="988" t="s">
        <v>438</v>
      </c>
      <c r="C45" s="415" t="s">
        <v>937</v>
      </c>
      <c r="D45" s="415" t="s">
        <v>439</v>
      </c>
      <c r="E45" s="415" t="s">
        <v>456</v>
      </c>
      <c r="F45" s="415"/>
      <c r="G45" s="415" t="s">
        <v>440</v>
      </c>
      <c r="H45" s="6"/>
      <c r="I45" s="255"/>
      <c r="J45" s="234">
        <f t="shared" si="1"/>
        <v>35</v>
      </c>
    </row>
    <row r="46" spans="1:16" x14ac:dyDescent="0.35">
      <c r="A46" s="1569">
        <f t="shared" si="0"/>
        <v>36</v>
      </c>
      <c r="B46" s="989"/>
      <c r="I46" s="255"/>
      <c r="J46" s="234">
        <f t="shared" si="1"/>
        <v>36</v>
      </c>
    </row>
    <row r="47" spans="1:16" x14ac:dyDescent="0.35">
      <c r="A47" s="1569">
        <f t="shared" si="0"/>
        <v>37</v>
      </c>
      <c r="B47" s="989" t="s">
        <v>441</v>
      </c>
      <c r="C47" s="249">
        <f>G17</f>
        <v>6400965.29</v>
      </c>
      <c r="D47" s="418">
        <f>C47/C$50</f>
        <v>0.43663786749843475</v>
      </c>
      <c r="E47" s="419">
        <f>G27</f>
        <v>3.8015661384722177E-2</v>
      </c>
      <c r="G47" s="416">
        <f>D47*E47</f>
        <v>1.6599077318567683E-2</v>
      </c>
      <c r="H47" s="416"/>
      <c r="I47" s="255" t="s">
        <v>1036</v>
      </c>
      <c r="J47" s="234">
        <f t="shared" si="1"/>
        <v>37</v>
      </c>
    </row>
    <row r="48" spans="1:16" x14ac:dyDescent="0.35">
      <c r="A48" s="1569">
        <f t="shared" si="0"/>
        <v>38</v>
      </c>
      <c r="B48" s="989" t="s">
        <v>442</v>
      </c>
      <c r="C48" s="251">
        <f>G30</f>
        <v>0</v>
      </c>
      <c r="D48" s="418">
        <f>C48/C$50</f>
        <v>0</v>
      </c>
      <c r="E48" s="419">
        <f>G32</f>
        <v>0</v>
      </c>
      <c r="G48" s="416">
        <f>D48*E48</f>
        <v>0</v>
      </c>
      <c r="H48" s="416"/>
      <c r="I48" s="255" t="s">
        <v>1037</v>
      </c>
      <c r="J48" s="234">
        <f t="shared" si="1"/>
        <v>38</v>
      </c>
    </row>
    <row r="49" spans="1:10" x14ac:dyDescent="0.35">
      <c r="A49" s="1569">
        <f t="shared" si="0"/>
        <v>39</v>
      </c>
      <c r="B49" s="989" t="s">
        <v>443</v>
      </c>
      <c r="C49" s="251">
        <f>G39</f>
        <v>8258700.6859999998</v>
      </c>
      <c r="D49" s="420">
        <f>C49/C$50</f>
        <v>0.5633621325015653</v>
      </c>
      <c r="E49" s="421">
        <f>G42</f>
        <v>0.10100000000000001</v>
      </c>
      <c r="G49" s="417">
        <f>D49*E49</f>
        <v>5.68995753826581E-2</v>
      </c>
      <c r="H49" s="649"/>
      <c r="I49" s="255" t="s">
        <v>1038</v>
      </c>
      <c r="J49" s="234">
        <f t="shared" si="1"/>
        <v>39</v>
      </c>
    </row>
    <row r="50" spans="1:10" ht="16" thickBot="1" x14ac:dyDescent="0.4">
      <c r="A50" s="1569">
        <f t="shared" si="0"/>
        <v>40</v>
      </c>
      <c r="B50" s="989" t="s">
        <v>444</v>
      </c>
      <c r="C50" s="424">
        <f>SUM(C47:C49)</f>
        <v>14659665.976</v>
      </c>
      <c r="D50" s="409">
        <f>SUM(D47:D49)</f>
        <v>1</v>
      </c>
      <c r="G50" s="409">
        <f>SUM(G47:G49)</f>
        <v>7.3498652701225783E-2</v>
      </c>
      <c r="H50" s="649"/>
      <c r="I50" s="255" t="s">
        <v>1039</v>
      </c>
      <c r="J50" s="234">
        <f t="shared" si="1"/>
        <v>40</v>
      </c>
    </row>
    <row r="51" spans="1:10" ht="16" thickTop="1" x14ac:dyDescent="0.35">
      <c r="A51" s="1569">
        <f t="shared" si="0"/>
        <v>41</v>
      </c>
      <c r="B51" s="989"/>
      <c r="I51" s="255"/>
      <c r="J51" s="234">
        <f t="shared" si="1"/>
        <v>41</v>
      </c>
    </row>
    <row r="52" spans="1:10" ht="16" thickBot="1" x14ac:dyDescent="0.4">
      <c r="A52" s="1569">
        <f t="shared" si="0"/>
        <v>42</v>
      </c>
      <c r="B52" s="988" t="s">
        <v>457</v>
      </c>
      <c r="G52" s="409">
        <f>G48+G49</f>
        <v>5.68995753826581E-2</v>
      </c>
      <c r="H52" s="649"/>
      <c r="I52" s="255" t="s">
        <v>1040</v>
      </c>
      <c r="J52" s="234">
        <f t="shared" si="1"/>
        <v>42</v>
      </c>
    </row>
    <row r="53" spans="1:10" ht="16.5" thickTop="1" thickBot="1" x14ac:dyDescent="0.4">
      <c r="A53" s="639">
        <f>A52+1</f>
        <v>43</v>
      </c>
      <c r="B53" s="1298"/>
      <c r="C53" s="405"/>
      <c r="D53" s="405"/>
      <c r="E53" s="405"/>
      <c r="F53" s="405"/>
      <c r="G53" s="405"/>
      <c r="H53" s="405"/>
      <c r="I53" s="1299"/>
      <c r="J53" s="639">
        <f>J52+1</f>
        <v>43</v>
      </c>
    </row>
    <row r="54" spans="1:10" x14ac:dyDescent="0.35">
      <c r="A54" s="6">
        <f>A53+1</f>
        <v>44</v>
      </c>
      <c r="B54" s="1300"/>
      <c r="C54" s="297"/>
      <c r="D54" s="297"/>
      <c r="E54" s="297"/>
      <c r="F54" s="297"/>
      <c r="G54" s="297"/>
      <c r="H54" s="297"/>
      <c r="I54" s="943"/>
      <c r="J54" s="6">
        <f>J53+1</f>
        <v>44</v>
      </c>
    </row>
    <row r="55" spans="1:10" ht="18.5" thickBot="1" x14ac:dyDescent="0.4">
      <c r="A55" s="6">
        <f t="shared" ref="A55:A65" si="2">A54+1</f>
        <v>45</v>
      </c>
      <c r="B55" s="988" t="s">
        <v>765</v>
      </c>
      <c r="G55" s="413">
        <v>5.0000000000000001E-3</v>
      </c>
      <c r="H55" s="2140"/>
      <c r="I55" s="1113" t="s">
        <v>1624</v>
      </c>
      <c r="J55" s="6">
        <f t="shared" ref="J55:J65" si="3">J54+1</f>
        <v>45</v>
      </c>
    </row>
    <row r="56" spans="1:10" ht="16" thickTop="1" x14ac:dyDescent="0.35">
      <c r="A56" s="6">
        <f t="shared" si="2"/>
        <v>46</v>
      </c>
      <c r="B56" s="989"/>
      <c r="C56" s="414" t="s">
        <v>4</v>
      </c>
      <c r="D56" s="414" t="s">
        <v>5</v>
      </c>
      <c r="E56" s="414" t="s">
        <v>390</v>
      </c>
      <c r="F56" s="414"/>
      <c r="G56" s="414" t="s">
        <v>435</v>
      </c>
      <c r="H56" s="414"/>
      <c r="I56" s="255"/>
      <c r="J56" s="6">
        <f t="shared" si="3"/>
        <v>46</v>
      </c>
    </row>
    <row r="57" spans="1:10" x14ac:dyDescent="0.35">
      <c r="A57" s="1569">
        <f t="shared" si="2"/>
        <v>47</v>
      </c>
      <c r="B57" s="989"/>
      <c r="D57" s="234" t="s">
        <v>436</v>
      </c>
      <c r="E57" s="234" t="s">
        <v>455</v>
      </c>
      <c r="F57" s="234"/>
      <c r="G57" s="234" t="s">
        <v>437</v>
      </c>
      <c r="H57" s="234"/>
      <c r="I57" s="255"/>
      <c r="J57" s="234">
        <f t="shared" si="3"/>
        <v>47</v>
      </c>
    </row>
    <row r="58" spans="1:10" ht="18" x14ac:dyDescent="0.35">
      <c r="A58" s="1569">
        <f t="shared" si="2"/>
        <v>48</v>
      </c>
      <c r="B58" s="988" t="s">
        <v>438</v>
      </c>
      <c r="C58" s="415" t="s">
        <v>937</v>
      </c>
      <c r="D58" s="415" t="s">
        <v>439</v>
      </c>
      <c r="E58" s="415" t="s">
        <v>456</v>
      </c>
      <c r="F58" s="415"/>
      <c r="G58" s="415" t="s">
        <v>440</v>
      </c>
      <c r="H58" s="6"/>
      <c r="I58" s="255"/>
      <c r="J58" s="234">
        <f t="shared" si="3"/>
        <v>48</v>
      </c>
    </row>
    <row r="59" spans="1:10" x14ac:dyDescent="0.35">
      <c r="A59" s="1569">
        <f t="shared" si="2"/>
        <v>49</v>
      </c>
      <c r="B59" s="989"/>
      <c r="I59" s="255"/>
      <c r="J59" s="234">
        <f t="shared" si="3"/>
        <v>49</v>
      </c>
    </row>
    <row r="60" spans="1:10" x14ac:dyDescent="0.35">
      <c r="A60" s="1569">
        <f t="shared" si="2"/>
        <v>50</v>
      </c>
      <c r="B60" s="989" t="s">
        <v>441</v>
      </c>
      <c r="C60" s="249">
        <f>G17</f>
        <v>6400965.29</v>
      </c>
      <c r="D60" s="418">
        <f>C60/C$50</f>
        <v>0.43663786749843475</v>
      </c>
      <c r="E60" s="1710">
        <v>0</v>
      </c>
      <c r="G60" s="416">
        <f>D60*E60</f>
        <v>0</v>
      </c>
      <c r="H60" s="416"/>
      <c r="I60" s="1878" t="s">
        <v>1234</v>
      </c>
      <c r="J60" s="234">
        <f t="shared" si="3"/>
        <v>50</v>
      </c>
    </row>
    <row r="61" spans="1:10" x14ac:dyDescent="0.35">
      <c r="A61" s="1569">
        <f t="shared" si="2"/>
        <v>51</v>
      </c>
      <c r="B61" s="989" t="s">
        <v>442</v>
      </c>
      <c r="C61" s="251">
        <f>G30</f>
        <v>0</v>
      </c>
      <c r="D61" s="418">
        <f>C61/C$50</f>
        <v>0</v>
      </c>
      <c r="E61" s="1710">
        <v>0</v>
      </c>
      <c r="G61" s="416">
        <f>D61*E61</f>
        <v>0</v>
      </c>
      <c r="H61" s="416"/>
      <c r="I61" s="1878" t="s">
        <v>1234</v>
      </c>
      <c r="J61" s="234">
        <f t="shared" si="3"/>
        <v>51</v>
      </c>
    </row>
    <row r="62" spans="1:10" x14ac:dyDescent="0.35">
      <c r="A62" s="1569">
        <f t="shared" si="2"/>
        <v>52</v>
      </c>
      <c r="B62" s="989" t="s">
        <v>443</v>
      </c>
      <c r="C62" s="251">
        <f>G39</f>
        <v>8258700.6859999998</v>
      </c>
      <c r="D62" s="420">
        <f>C62/C$50</f>
        <v>0.5633621325015653</v>
      </c>
      <c r="E62" s="421">
        <f>G55</f>
        <v>5.0000000000000001E-3</v>
      </c>
      <c r="G62" s="417">
        <f>D62*E62</f>
        <v>2.8168106625078267E-3</v>
      </c>
      <c r="H62" s="649"/>
      <c r="I62" s="1878" t="s">
        <v>1041</v>
      </c>
      <c r="J62" s="234">
        <f t="shared" si="3"/>
        <v>52</v>
      </c>
    </row>
    <row r="63" spans="1:10" ht="16" thickBot="1" x14ac:dyDescent="0.4">
      <c r="A63" s="1569">
        <f t="shared" si="2"/>
        <v>53</v>
      </c>
      <c r="B63" s="989" t="s">
        <v>444</v>
      </c>
      <c r="C63" s="424">
        <f>SUM(C60:C62)</f>
        <v>14659665.976</v>
      </c>
      <c r="D63" s="409">
        <f>SUM(D60:D62)</f>
        <v>1</v>
      </c>
      <c r="G63" s="409">
        <f>SUM(G60:G62)</f>
        <v>2.8168106625078267E-3</v>
      </c>
      <c r="H63" s="649"/>
      <c r="I63" s="1878" t="s">
        <v>1042</v>
      </c>
      <c r="J63" s="234">
        <f t="shared" si="3"/>
        <v>53</v>
      </c>
    </row>
    <row r="64" spans="1:10" ht="16" thickTop="1" x14ac:dyDescent="0.35">
      <c r="A64" s="1569">
        <f t="shared" si="2"/>
        <v>54</v>
      </c>
      <c r="B64" s="989"/>
      <c r="I64" s="255"/>
      <c r="J64" s="234">
        <f t="shared" si="3"/>
        <v>54</v>
      </c>
    </row>
    <row r="65" spans="1:10" ht="16" thickBot="1" x14ac:dyDescent="0.4">
      <c r="A65" s="1569">
        <f t="shared" si="2"/>
        <v>55</v>
      </c>
      <c r="B65" s="988" t="s">
        <v>458</v>
      </c>
      <c r="G65" s="409">
        <f>G61+G62</f>
        <v>2.8168106625078267E-3</v>
      </c>
      <c r="H65" s="649"/>
      <c r="I65" s="1878" t="s">
        <v>1249</v>
      </c>
      <c r="J65" s="234">
        <f t="shared" si="3"/>
        <v>55</v>
      </c>
    </row>
    <row r="66" spans="1:10" ht="16" thickTop="1" x14ac:dyDescent="0.35">
      <c r="B66" s="988"/>
      <c r="G66" s="1306"/>
      <c r="H66" s="1306"/>
      <c r="I66" s="255"/>
      <c r="J66" s="234"/>
    </row>
    <row r="67" spans="1:10" ht="18" x14ac:dyDescent="0.35">
      <c r="A67" s="1005">
        <v>1</v>
      </c>
      <c r="B67" s="989" t="s">
        <v>459</v>
      </c>
      <c r="C67" s="989"/>
      <c r="D67" s="989"/>
      <c r="E67" s="989"/>
      <c r="F67" s="989"/>
      <c r="G67" s="310"/>
      <c r="H67" s="310"/>
      <c r="J67" s="236" t="s">
        <v>10</v>
      </c>
    </row>
    <row r="68" spans="1:10" s="2138" customFormat="1" ht="18" x14ac:dyDescent="0.35">
      <c r="A68" s="1005"/>
      <c r="B68" s="1414"/>
      <c r="C68" s="1414"/>
      <c r="D68" s="1414"/>
      <c r="E68" s="1414"/>
      <c r="F68" s="1414"/>
      <c r="G68" s="310"/>
      <c r="H68" s="310"/>
      <c r="I68" s="726"/>
      <c r="J68" s="367"/>
    </row>
    <row r="69" spans="1:10" s="2138" customFormat="1" ht="18" x14ac:dyDescent="0.35">
      <c r="A69" s="1005"/>
      <c r="B69" s="1414"/>
      <c r="C69" s="1414"/>
      <c r="D69" s="1414"/>
      <c r="E69" s="1414"/>
      <c r="F69" s="1414"/>
      <c r="G69" s="310"/>
      <c r="H69" s="310"/>
      <c r="I69" s="726"/>
      <c r="J69" s="367"/>
    </row>
    <row r="70" spans="1:10" s="2138" customFormat="1" x14ac:dyDescent="0.35">
      <c r="A70" s="2141"/>
      <c r="B70" s="2289" t="s">
        <v>18</v>
      </c>
      <c r="C70" s="2289"/>
      <c r="D70" s="2289"/>
      <c r="E70" s="2289"/>
      <c r="F70" s="2289"/>
      <c r="G70" s="2289"/>
      <c r="H70" s="2289"/>
      <c r="I70" s="2289"/>
      <c r="J70" s="2141"/>
    </row>
    <row r="71" spans="1:10" s="2138" customFormat="1" x14ac:dyDescent="0.35">
      <c r="A71" s="2141"/>
      <c r="B71" s="2289" t="s">
        <v>426</v>
      </c>
      <c r="C71" s="2289"/>
      <c r="D71" s="2289"/>
      <c r="E71" s="2289"/>
      <c r="F71" s="2289"/>
      <c r="G71" s="2289"/>
      <c r="H71" s="2289"/>
      <c r="I71" s="2289"/>
      <c r="J71" s="2141"/>
    </row>
    <row r="72" spans="1:10" s="2138" customFormat="1" x14ac:dyDescent="0.35">
      <c r="A72" s="2141"/>
      <c r="B72" s="2289" t="s">
        <v>427</v>
      </c>
      <c r="C72" s="2289"/>
      <c r="D72" s="2289"/>
      <c r="E72" s="2289"/>
      <c r="F72" s="2289"/>
      <c r="G72" s="2289"/>
      <c r="H72" s="2289"/>
      <c r="I72" s="2289"/>
      <c r="J72" s="2141"/>
    </row>
    <row r="73" spans="1:10" s="2138" customFormat="1" x14ac:dyDescent="0.35">
      <c r="A73" s="2141"/>
      <c r="B73" s="2283" t="str">
        <f>B5</f>
        <v>Base Period &amp; True-Up Period 12 - Months Ending December 31, 2021</v>
      </c>
      <c r="C73" s="2283"/>
      <c r="D73" s="2283"/>
      <c r="E73" s="2283"/>
      <c r="F73" s="2283"/>
      <c r="G73" s="2283"/>
      <c r="H73" s="2283"/>
      <c r="I73" s="2283"/>
      <c r="J73" s="2141"/>
    </row>
    <row r="74" spans="1:10" s="2138" customFormat="1" x14ac:dyDescent="0.35">
      <c r="A74" s="2141"/>
      <c r="B74" s="2292" t="s">
        <v>2</v>
      </c>
      <c r="C74" s="2278"/>
      <c r="D74" s="2278"/>
      <c r="E74" s="2278"/>
      <c r="F74" s="2278"/>
      <c r="G74" s="2278"/>
      <c r="H74" s="2278"/>
      <c r="I74" s="2278"/>
      <c r="J74" s="2141"/>
    </row>
    <row r="75" spans="1:10" s="2138" customFormat="1" x14ac:dyDescent="0.35">
      <c r="A75" s="2141"/>
      <c r="B75" s="2141"/>
      <c r="C75" s="2141"/>
      <c r="D75" s="2141"/>
      <c r="E75" s="2141"/>
      <c r="F75" s="2141"/>
      <c r="G75" s="2141"/>
      <c r="H75" s="2141"/>
      <c r="I75" s="1878"/>
      <c r="J75" s="2141"/>
    </row>
    <row r="76" spans="1:10" s="2138" customFormat="1" x14ac:dyDescent="0.35">
      <c r="A76" s="2141" t="s">
        <v>3</v>
      </c>
      <c r="B76" s="2140"/>
      <c r="C76" s="2140"/>
      <c r="D76" s="2140"/>
      <c r="E76" s="2141" t="s">
        <v>648</v>
      </c>
      <c r="F76" s="2140"/>
      <c r="G76" s="2140"/>
      <c r="H76" s="2140"/>
      <c r="I76" s="1878"/>
      <c r="J76" s="2141" t="s">
        <v>3</v>
      </c>
    </row>
    <row r="77" spans="1:10" s="2138" customFormat="1" x14ac:dyDescent="0.35">
      <c r="A77" s="2141" t="s">
        <v>25</v>
      </c>
      <c r="B77" s="2141"/>
      <c r="C77" s="2141"/>
      <c r="D77" s="2141"/>
      <c r="E77" s="2156" t="s">
        <v>646</v>
      </c>
      <c r="F77" s="2141"/>
      <c r="G77" s="2157" t="s">
        <v>135</v>
      </c>
      <c r="H77" s="2140"/>
      <c r="I77" s="2158" t="s">
        <v>9</v>
      </c>
      <c r="J77" s="2141" t="s">
        <v>25</v>
      </c>
    </row>
    <row r="78" spans="1:10" s="2138" customFormat="1" x14ac:dyDescent="0.35">
      <c r="A78" s="2141"/>
      <c r="I78" s="1878"/>
      <c r="J78" s="2141"/>
    </row>
    <row r="79" spans="1:10" s="2138" customFormat="1" ht="18.5" thickBot="1" x14ac:dyDescent="0.4">
      <c r="A79" s="2141">
        <v>1</v>
      </c>
      <c r="B79" s="1295" t="s">
        <v>1400</v>
      </c>
      <c r="G79" s="2159">
        <v>0</v>
      </c>
      <c r="H79" s="2140"/>
      <c r="I79" s="1113"/>
      <c r="J79" s="2141">
        <f>A79</f>
        <v>1</v>
      </c>
    </row>
    <row r="80" spans="1:10" s="2138" customFormat="1" ht="16" thickTop="1" x14ac:dyDescent="0.35">
      <c r="A80" s="2141">
        <f t="shared" ref="A80:A102" si="4">A79+1</f>
        <v>2</v>
      </c>
      <c r="C80" s="414" t="s">
        <v>4</v>
      </c>
      <c r="D80" s="414" t="s">
        <v>5</v>
      </c>
      <c r="E80" s="414" t="s">
        <v>390</v>
      </c>
      <c r="F80" s="414"/>
      <c r="G80" s="414" t="s">
        <v>435</v>
      </c>
      <c r="H80" s="414"/>
      <c r="I80" s="1878"/>
      <c r="J80" s="2141">
        <f t="shared" ref="J80:J102" si="5">J79+1</f>
        <v>2</v>
      </c>
    </row>
    <row r="81" spans="1:10" s="2138" customFormat="1" x14ac:dyDescent="0.35">
      <c r="A81" s="2141">
        <f t="shared" si="4"/>
        <v>3</v>
      </c>
      <c r="D81" s="2141" t="s">
        <v>436</v>
      </c>
      <c r="E81" s="2141" t="s">
        <v>455</v>
      </c>
      <c r="F81" s="2141"/>
      <c r="G81" s="2141" t="s">
        <v>437</v>
      </c>
      <c r="H81" s="2141"/>
      <c r="I81" s="1878"/>
      <c r="J81" s="2141">
        <f t="shared" si="5"/>
        <v>3</v>
      </c>
    </row>
    <row r="82" spans="1:10" s="2138" customFormat="1" ht="18" x14ac:dyDescent="0.35">
      <c r="A82" s="2141">
        <f t="shared" si="4"/>
        <v>4</v>
      </c>
      <c r="B82" s="1295" t="s">
        <v>919</v>
      </c>
      <c r="C82" s="2156" t="s">
        <v>1250</v>
      </c>
      <c r="D82" s="2156" t="s">
        <v>439</v>
      </c>
      <c r="E82" s="2156" t="s">
        <v>456</v>
      </c>
      <c r="F82" s="2156"/>
      <c r="G82" s="2156" t="s">
        <v>440</v>
      </c>
      <c r="H82" s="2141"/>
      <c r="I82" s="1878"/>
      <c r="J82" s="2141">
        <f t="shared" si="5"/>
        <v>4</v>
      </c>
    </row>
    <row r="83" spans="1:10" s="2138" customFormat="1" x14ac:dyDescent="0.35">
      <c r="A83" s="2141">
        <f t="shared" si="4"/>
        <v>5</v>
      </c>
      <c r="I83" s="1878"/>
      <c r="J83" s="2141">
        <f t="shared" si="5"/>
        <v>5</v>
      </c>
    </row>
    <row r="84" spans="1:10" s="2138" customFormat="1" x14ac:dyDescent="0.35">
      <c r="A84" s="2141">
        <f t="shared" si="4"/>
        <v>6</v>
      </c>
      <c r="B84" s="2138" t="s">
        <v>441</v>
      </c>
      <c r="C84" s="2160">
        <f>G17</f>
        <v>6400965.29</v>
      </c>
      <c r="D84" s="2161">
        <f>C84/C$87</f>
        <v>0.43663786749843475</v>
      </c>
      <c r="E84" s="416">
        <f>G27</f>
        <v>3.8015661384722177E-2</v>
      </c>
      <c r="G84" s="2162">
        <f>D84*E84</f>
        <v>1.6599077318567683E-2</v>
      </c>
      <c r="H84" s="2162"/>
      <c r="I84" s="1878" t="s">
        <v>1401</v>
      </c>
      <c r="J84" s="2141">
        <f t="shared" si="5"/>
        <v>6</v>
      </c>
    </row>
    <row r="85" spans="1:10" s="2138" customFormat="1" x14ac:dyDescent="0.35">
      <c r="A85" s="2141">
        <f t="shared" si="4"/>
        <v>7</v>
      </c>
      <c r="B85" s="2138" t="s">
        <v>442</v>
      </c>
      <c r="C85" s="2163">
        <f>G30</f>
        <v>0</v>
      </c>
      <c r="D85" s="2161">
        <f>C85/C$87</f>
        <v>0</v>
      </c>
      <c r="E85" s="416">
        <f>G32</f>
        <v>0</v>
      </c>
      <c r="G85" s="2162">
        <f>D85*E85</f>
        <v>0</v>
      </c>
      <c r="H85" s="2162"/>
      <c r="I85" s="1878" t="s">
        <v>1402</v>
      </c>
      <c r="J85" s="2141">
        <f t="shared" si="5"/>
        <v>7</v>
      </c>
    </row>
    <row r="86" spans="1:10" s="2138" customFormat="1" x14ac:dyDescent="0.35">
      <c r="A86" s="2141">
        <f t="shared" si="4"/>
        <v>8</v>
      </c>
      <c r="B86" s="2138" t="s">
        <v>443</v>
      </c>
      <c r="C86" s="2163">
        <f>G39</f>
        <v>8258700.6859999998</v>
      </c>
      <c r="D86" s="2164">
        <f>C86/C$87</f>
        <v>0.5633621325015653</v>
      </c>
      <c r="E86" s="1421">
        <f>G79</f>
        <v>0</v>
      </c>
      <c r="G86" s="2165">
        <f>D86*E86</f>
        <v>0</v>
      </c>
      <c r="H86" s="2166"/>
      <c r="I86" s="1878" t="s">
        <v>1251</v>
      </c>
      <c r="J86" s="2141">
        <f t="shared" si="5"/>
        <v>8</v>
      </c>
    </row>
    <row r="87" spans="1:10" s="2138" customFormat="1" ht="16" thickBot="1" x14ac:dyDescent="0.4">
      <c r="A87" s="2141">
        <f t="shared" si="4"/>
        <v>9</v>
      </c>
      <c r="B87" s="2138" t="s">
        <v>891</v>
      </c>
      <c r="C87" s="424">
        <f>SUM(C84:C86)</f>
        <v>14659665.976</v>
      </c>
      <c r="D87" s="2167">
        <f>SUM(D83:D86)</f>
        <v>1</v>
      </c>
      <c r="G87" s="2168">
        <f>SUM(G84:G86)</f>
        <v>1.6599077318567683E-2</v>
      </c>
      <c r="H87" s="2166"/>
      <c r="I87" s="1878" t="s">
        <v>1252</v>
      </c>
      <c r="J87" s="2141">
        <f t="shared" si="5"/>
        <v>9</v>
      </c>
    </row>
    <row r="88" spans="1:10" s="2138" customFormat="1" ht="16" thickTop="1" x14ac:dyDescent="0.35">
      <c r="A88" s="2141">
        <f t="shared" si="4"/>
        <v>10</v>
      </c>
      <c r="I88" s="1878"/>
      <c r="J88" s="2141">
        <f t="shared" si="5"/>
        <v>10</v>
      </c>
    </row>
    <row r="89" spans="1:10" s="2138" customFormat="1" ht="16" thickBot="1" x14ac:dyDescent="0.4">
      <c r="A89" s="2141">
        <f t="shared" si="4"/>
        <v>11</v>
      </c>
      <c r="B89" s="1295" t="s">
        <v>458</v>
      </c>
      <c r="G89" s="2168">
        <f>G85+G86</f>
        <v>0</v>
      </c>
      <c r="H89" s="2166"/>
      <c r="I89" s="1878" t="s">
        <v>1253</v>
      </c>
      <c r="J89" s="2141">
        <f t="shared" si="5"/>
        <v>11</v>
      </c>
    </row>
    <row r="90" spans="1:10" s="2138" customFormat="1" ht="16.5" thickTop="1" thickBot="1" x14ac:dyDescent="0.4">
      <c r="A90" s="2169">
        <f t="shared" si="4"/>
        <v>12</v>
      </c>
      <c r="B90" s="2170"/>
      <c r="C90" s="2171"/>
      <c r="D90" s="2171"/>
      <c r="E90" s="2171"/>
      <c r="F90" s="2171"/>
      <c r="G90" s="2172"/>
      <c r="H90" s="2172"/>
      <c r="I90" s="2173"/>
      <c r="J90" s="2169">
        <f t="shared" si="5"/>
        <v>12</v>
      </c>
    </row>
    <row r="91" spans="1:10" s="2138" customFormat="1" x14ac:dyDescent="0.35">
      <c r="A91" s="2141">
        <f t="shared" si="4"/>
        <v>13</v>
      </c>
      <c r="I91" s="1878"/>
      <c r="J91" s="2141">
        <f t="shared" si="5"/>
        <v>13</v>
      </c>
    </row>
    <row r="92" spans="1:10" s="2138" customFormat="1" ht="16" thickBot="1" x14ac:dyDescent="0.4">
      <c r="A92" s="2141">
        <f t="shared" si="4"/>
        <v>14</v>
      </c>
      <c r="B92" s="1295" t="s">
        <v>1399</v>
      </c>
      <c r="G92" s="2159">
        <v>0</v>
      </c>
      <c r="I92" s="1878" t="s">
        <v>1247</v>
      </c>
      <c r="J92" s="2141">
        <f t="shared" si="5"/>
        <v>14</v>
      </c>
    </row>
    <row r="93" spans="1:10" ht="16" thickTop="1" x14ac:dyDescent="0.35">
      <c r="A93" s="2141">
        <f t="shared" si="4"/>
        <v>15</v>
      </c>
      <c r="B93" s="2138"/>
      <c r="C93" s="414" t="s">
        <v>4</v>
      </c>
      <c r="D93" s="414" t="s">
        <v>5</v>
      </c>
      <c r="E93" s="414" t="s">
        <v>390</v>
      </c>
      <c r="F93" s="414"/>
      <c r="G93" s="414" t="s">
        <v>435</v>
      </c>
      <c r="H93" s="2138"/>
      <c r="I93" s="1878"/>
      <c r="J93" s="2141">
        <f t="shared" si="5"/>
        <v>15</v>
      </c>
    </row>
    <row r="94" spans="1:10" x14ac:dyDescent="0.35">
      <c r="A94" s="2141">
        <f t="shared" si="4"/>
        <v>16</v>
      </c>
      <c r="B94" s="2138"/>
      <c r="C94" s="2138"/>
      <c r="D94" s="2141" t="s">
        <v>436</v>
      </c>
      <c r="E94" s="2141" t="s">
        <v>455</v>
      </c>
      <c r="F94" s="2141"/>
      <c r="G94" s="2141" t="s">
        <v>437</v>
      </c>
      <c r="H94" s="2138"/>
      <c r="I94" s="1878"/>
      <c r="J94" s="2141">
        <f t="shared" si="5"/>
        <v>16</v>
      </c>
    </row>
    <row r="95" spans="1:10" ht="18" x14ac:dyDescent="0.35">
      <c r="A95" s="2141">
        <f t="shared" si="4"/>
        <v>17</v>
      </c>
      <c r="B95" s="1295" t="s">
        <v>438</v>
      </c>
      <c r="C95" s="2156" t="s">
        <v>1250</v>
      </c>
      <c r="D95" s="2156" t="s">
        <v>439</v>
      </c>
      <c r="E95" s="2156" t="s">
        <v>456</v>
      </c>
      <c r="F95" s="2156"/>
      <c r="G95" s="2156" t="s">
        <v>440</v>
      </c>
      <c r="H95" s="2138"/>
      <c r="I95" s="1878"/>
      <c r="J95" s="2141">
        <f t="shared" si="5"/>
        <v>17</v>
      </c>
    </row>
    <row r="96" spans="1:10" x14ac:dyDescent="0.35">
      <c r="A96" s="2141">
        <f t="shared" si="4"/>
        <v>18</v>
      </c>
      <c r="B96" s="2138"/>
      <c r="C96" s="2138"/>
      <c r="D96" s="2138"/>
      <c r="E96" s="2138"/>
      <c r="F96" s="2138"/>
      <c r="G96" s="2138"/>
      <c r="H96" s="2138"/>
      <c r="I96" s="1878"/>
      <c r="J96" s="2141">
        <f t="shared" si="5"/>
        <v>18</v>
      </c>
    </row>
    <row r="97" spans="1:10" x14ac:dyDescent="0.35">
      <c r="A97" s="2141">
        <f t="shared" si="4"/>
        <v>19</v>
      </c>
      <c r="B97" s="2138" t="s">
        <v>441</v>
      </c>
      <c r="C97" s="2160">
        <f>G17</f>
        <v>6400965.29</v>
      </c>
      <c r="D97" s="2161">
        <f>C97/C$100</f>
        <v>0.43663786749843475</v>
      </c>
      <c r="E97" s="1710">
        <v>0</v>
      </c>
      <c r="F97" s="2138"/>
      <c r="G97" s="2162">
        <f>D97*E97</f>
        <v>0</v>
      </c>
      <c r="H97" s="2138"/>
      <c r="I97" s="1878" t="s">
        <v>1234</v>
      </c>
      <c r="J97" s="2141">
        <f t="shared" si="5"/>
        <v>19</v>
      </c>
    </row>
    <row r="98" spans="1:10" x14ac:dyDescent="0.35">
      <c r="A98" s="2141">
        <f t="shared" si="4"/>
        <v>20</v>
      </c>
      <c r="B98" s="2138" t="s">
        <v>442</v>
      </c>
      <c r="C98" s="2163">
        <f>G30</f>
        <v>0</v>
      </c>
      <c r="D98" s="2161">
        <f>C98/C$100</f>
        <v>0</v>
      </c>
      <c r="E98" s="1710">
        <v>0</v>
      </c>
      <c r="F98" s="2138"/>
      <c r="G98" s="2162">
        <f>D98*E98</f>
        <v>0</v>
      </c>
      <c r="H98" s="2138"/>
      <c r="I98" s="1878" t="s">
        <v>1234</v>
      </c>
      <c r="J98" s="2141">
        <f t="shared" si="5"/>
        <v>20</v>
      </c>
    </row>
    <row r="99" spans="1:10" s="227" customFormat="1" x14ac:dyDescent="0.35">
      <c r="A99" s="2141">
        <f t="shared" si="4"/>
        <v>21</v>
      </c>
      <c r="B99" s="2138" t="s">
        <v>443</v>
      </c>
      <c r="C99" s="2163">
        <f>G39</f>
        <v>8258700.6859999998</v>
      </c>
      <c r="D99" s="2164">
        <f>C99/C$100</f>
        <v>0.5633621325015653</v>
      </c>
      <c r="E99" s="1421">
        <f>G92</f>
        <v>0</v>
      </c>
      <c r="F99" s="2138"/>
      <c r="G99" s="2165">
        <f>D99*E99</f>
        <v>0</v>
      </c>
      <c r="H99" s="2138"/>
      <c r="I99" s="1878" t="s">
        <v>1254</v>
      </c>
      <c r="J99" s="2141">
        <f t="shared" si="5"/>
        <v>21</v>
      </c>
    </row>
    <row r="100" spans="1:10" ht="16" thickBot="1" x14ac:dyDescent="0.4">
      <c r="A100" s="2141">
        <f t="shared" si="4"/>
        <v>22</v>
      </c>
      <c r="B100" s="2138" t="s">
        <v>891</v>
      </c>
      <c r="C100" s="424">
        <f>SUM(C97:C99)</f>
        <v>14659665.976</v>
      </c>
      <c r="D100" s="2167">
        <f>SUM(D97:D99)</f>
        <v>1</v>
      </c>
      <c r="E100" s="2138"/>
      <c r="F100" s="2138"/>
      <c r="G100" s="2168">
        <f>SUM(G97:G99)</f>
        <v>0</v>
      </c>
      <c r="H100" s="2138"/>
      <c r="I100" s="1878" t="s">
        <v>1068</v>
      </c>
      <c r="J100" s="2141">
        <f t="shared" si="5"/>
        <v>22</v>
      </c>
    </row>
    <row r="101" spans="1:10" ht="16" thickTop="1" x14ac:dyDescent="0.35">
      <c r="A101" s="2141">
        <f t="shared" si="4"/>
        <v>23</v>
      </c>
      <c r="B101" s="2138"/>
      <c r="C101" s="2138"/>
      <c r="D101" s="2138"/>
      <c r="E101" s="2138"/>
      <c r="F101" s="2138"/>
      <c r="G101" s="2138"/>
      <c r="H101" s="2138"/>
      <c r="I101" s="1878"/>
      <c r="J101" s="2141">
        <f t="shared" si="5"/>
        <v>23</v>
      </c>
    </row>
    <row r="102" spans="1:10" ht="16" thickBot="1" x14ac:dyDescent="0.4">
      <c r="A102" s="2141">
        <f t="shared" si="4"/>
        <v>24</v>
      </c>
      <c r="B102" s="1295" t="s">
        <v>1248</v>
      </c>
      <c r="C102" s="2138"/>
      <c r="D102" s="2138"/>
      <c r="E102" s="2138"/>
      <c r="F102" s="2138"/>
      <c r="G102" s="2167">
        <f>G99</f>
        <v>0</v>
      </c>
      <c r="H102" s="2138"/>
      <c r="I102" s="1878" t="s">
        <v>1255</v>
      </c>
      <c r="J102" s="2141">
        <f t="shared" si="5"/>
        <v>24</v>
      </c>
    </row>
    <row r="103" spans="1:10" ht="16" thickTop="1" x14ac:dyDescent="0.35">
      <c r="A103" s="2141"/>
      <c r="B103" s="1295"/>
      <c r="C103" s="2138"/>
      <c r="D103" s="2138"/>
      <c r="E103" s="2138"/>
      <c r="F103" s="2138"/>
      <c r="G103" s="2174"/>
      <c r="H103" s="2138"/>
      <c r="I103" s="1878"/>
      <c r="J103" s="2141"/>
    </row>
    <row r="104" spans="1:10" ht="18" x14ac:dyDescent="0.35">
      <c r="A104" s="1412">
        <v>1</v>
      </c>
      <c r="B104" s="2138" t="s">
        <v>1403</v>
      </c>
      <c r="C104" s="2138"/>
      <c r="D104" s="2138"/>
      <c r="E104" s="2138"/>
      <c r="F104" s="2138"/>
      <c r="G104" s="2174"/>
      <c r="H104" s="2138"/>
      <c r="I104" s="1878"/>
      <c r="J104" s="2141"/>
    </row>
    <row r="105" spans="1:10" ht="18" x14ac:dyDescent="0.35">
      <c r="A105" s="1412">
        <v>2</v>
      </c>
      <c r="B105" s="2138" t="s">
        <v>459</v>
      </c>
      <c r="C105" s="2138"/>
      <c r="D105" s="2138"/>
      <c r="E105" s="2138"/>
      <c r="F105" s="2138"/>
      <c r="G105" s="310"/>
      <c r="H105" s="310"/>
      <c r="J105" s="2141" t="s">
        <v>10</v>
      </c>
    </row>
    <row r="106" spans="1:10" s="2138" customFormat="1" ht="18" x14ac:dyDescent="0.35">
      <c r="A106" s="1412"/>
      <c r="G106" s="310"/>
      <c r="H106" s="310"/>
      <c r="I106" s="726"/>
      <c r="J106" s="2141"/>
    </row>
    <row r="107" spans="1:10" s="2138" customFormat="1" ht="18" x14ac:dyDescent="0.35">
      <c r="A107" s="1412"/>
      <c r="G107" s="310"/>
      <c r="H107" s="310"/>
      <c r="I107" s="726"/>
      <c r="J107" s="2141"/>
    </row>
    <row r="108" spans="1:10" s="2138" customFormat="1" x14ac:dyDescent="0.35">
      <c r="A108" s="2141"/>
      <c r="B108" s="2289" t="s">
        <v>0</v>
      </c>
      <c r="C108" s="2289"/>
      <c r="D108" s="2289"/>
      <c r="E108" s="2289"/>
      <c r="F108" s="2289"/>
      <c r="G108" s="2289"/>
      <c r="H108" s="2289"/>
      <c r="I108" s="2289"/>
      <c r="J108" s="2141"/>
    </row>
    <row r="109" spans="1:10" s="2138" customFormat="1" x14ac:dyDescent="0.35">
      <c r="A109" s="2141"/>
      <c r="B109" s="2289" t="s">
        <v>426</v>
      </c>
      <c r="C109" s="2289"/>
      <c r="D109" s="2289"/>
      <c r="E109" s="2289"/>
      <c r="F109" s="2289"/>
      <c r="G109" s="2289"/>
      <c r="H109" s="2289"/>
      <c r="I109" s="2289"/>
      <c r="J109" s="2141"/>
    </row>
    <row r="110" spans="1:10" s="2138" customFormat="1" x14ac:dyDescent="0.35">
      <c r="A110" s="2141"/>
      <c r="B110" s="2289" t="s">
        <v>427</v>
      </c>
      <c r="C110" s="2289"/>
      <c r="D110" s="2289"/>
      <c r="E110" s="2289"/>
      <c r="F110" s="2289"/>
      <c r="G110" s="2289"/>
      <c r="H110" s="2289"/>
      <c r="I110" s="2289"/>
      <c r="J110" s="2141"/>
    </row>
    <row r="111" spans="1:10" s="2138" customFormat="1" x14ac:dyDescent="0.35">
      <c r="A111" s="2141"/>
      <c r="B111" s="2283" t="str">
        <f>B5</f>
        <v>Base Period &amp; True-Up Period 12 - Months Ending December 31, 2021</v>
      </c>
      <c r="C111" s="2283"/>
      <c r="D111" s="2283"/>
      <c r="E111" s="2283"/>
      <c r="F111" s="2283"/>
      <c r="G111" s="2283"/>
      <c r="H111" s="2283"/>
      <c r="I111" s="2283"/>
      <c r="J111" s="2141"/>
    </row>
    <row r="112" spans="1:10" s="2138" customFormat="1" x14ac:dyDescent="0.35">
      <c r="A112" s="2141"/>
      <c r="B112" s="2292" t="s">
        <v>2</v>
      </c>
      <c r="C112" s="2278"/>
      <c r="D112" s="2278"/>
      <c r="E112" s="2278"/>
      <c r="F112" s="2278"/>
      <c r="G112" s="2278"/>
      <c r="H112" s="2278"/>
      <c r="I112" s="2278"/>
      <c r="J112" s="2141"/>
    </row>
    <row r="113" spans="1:13" s="2138" customFormat="1" x14ac:dyDescent="0.35">
      <c r="A113" s="2141"/>
      <c r="B113" s="2141"/>
      <c r="C113" s="2141"/>
      <c r="D113" s="2141"/>
      <c r="E113" s="2141"/>
      <c r="F113" s="2141"/>
      <c r="G113" s="2141"/>
      <c r="H113" s="2141"/>
      <c r="I113" s="1878"/>
      <c r="J113" s="2141"/>
    </row>
    <row r="114" spans="1:13" s="2138" customFormat="1" x14ac:dyDescent="0.35">
      <c r="A114" s="2141" t="s">
        <v>3</v>
      </c>
      <c r="B114" s="2140"/>
      <c r="C114" s="2140"/>
      <c r="D114" s="2140"/>
      <c r="E114" s="2140"/>
      <c r="F114" s="2140"/>
      <c r="G114" s="2140"/>
      <c r="H114" s="2140"/>
      <c r="I114" s="1878"/>
      <c r="J114" s="2141" t="s">
        <v>3</v>
      </c>
    </row>
    <row r="115" spans="1:13" s="2138" customFormat="1" x14ac:dyDescent="0.35">
      <c r="A115" s="2141" t="s">
        <v>25</v>
      </c>
      <c r="B115" s="2141"/>
      <c r="C115" s="2141"/>
      <c r="D115" s="2141"/>
      <c r="E115" s="2141"/>
      <c r="F115" s="2141"/>
      <c r="G115" s="2156" t="s">
        <v>135</v>
      </c>
      <c r="H115" s="2140"/>
      <c r="I115" s="2158" t="s">
        <v>9</v>
      </c>
      <c r="J115" s="2141" t="s">
        <v>25</v>
      </c>
    </row>
    <row r="116" spans="1:13" s="2138" customFormat="1" x14ac:dyDescent="0.35">
      <c r="A116" s="2141"/>
      <c r="G116" s="2141"/>
      <c r="H116" s="2141"/>
      <c r="I116" s="1878"/>
      <c r="J116" s="2141"/>
    </row>
    <row r="117" spans="1:13" s="2138" customFormat="1" ht="17.5" x14ac:dyDescent="0.35">
      <c r="A117" s="2141">
        <v>1</v>
      </c>
      <c r="B117" s="1295" t="s">
        <v>1404</v>
      </c>
      <c r="E117" s="2140"/>
      <c r="F117" s="2140"/>
      <c r="G117" s="1084"/>
      <c r="H117" s="1084"/>
      <c r="I117" s="1878"/>
      <c r="J117" s="2141">
        <f>A117</f>
        <v>1</v>
      </c>
    </row>
    <row r="118" spans="1:13" s="2138" customFormat="1" x14ac:dyDescent="0.35">
      <c r="A118" s="2141">
        <f>A117+1</f>
        <v>2</v>
      </c>
      <c r="B118" s="1307"/>
      <c r="E118" s="2140"/>
      <c r="F118" s="2140"/>
      <c r="G118" s="1084"/>
      <c r="H118" s="1084"/>
      <c r="I118" s="1878"/>
      <c r="J118" s="2141">
        <f>J117+1</f>
        <v>2</v>
      </c>
    </row>
    <row r="119" spans="1:13" x14ac:dyDescent="0.35">
      <c r="A119" s="1569">
        <f>A105+1</f>
        <v>3</v>
      </c>
      <c r="B119" s="1295" t="s">
        <v>445</v>
      </c>
      <c r="E119" s="932"/>
      <c r="F119" s="932"/>
      <c r="G119" s="1084"/>
      <c r="H119" s="1084"/>
      <c r="I119" s="255"/>
      <c r="J119" s="2141">
        <f t="shared" ref="J119:J121" si="6">J118+1</f>
        <v>3</v>
      </c>
    </row>
    <row r="120" spans="1:13" x14ac:dyDescent="0.35">
      <c r="A120" s="1569">
        <f>A119+1</f>
        <v>4</v>
      </c>
      <c r="B120" s="932"/>
      <c r="C120" s="932"/>
      <c r="D120" s="932"/>
      <c r="E120" s="932"/>
      <c r="F120" s="932"/>
      <c r="G120" s="1084"/>
      <c r="H120" s="1084"/>
      <c r="I120" s="255"/>
      <c r="J120" s="2141">
        <f t="shared" si="6"/>
        <v>4</v>
      </c>
    </row>
    <row r="121" spans="1:13" x14ac:dyDescent="0.35">
      <c r="A121" s="1569">
        <f t="shared" ref="A121:A182" si="7">A120+1</f>
        <v>5</v>
      </c>
      <c r="B121" s="990" t="s">
        <v>446</v>
      </c>
      <c r="C121" s="932"/>
      <c r="D121" s="932"/>
      <c r="E121" s="932"/>
      <c r="F121" s="932"/>
      <c r="G121" s="1084"/>
      <c r="H121" s="1084"/>
      <c r="I121" s="1308"/>
      <c r="J121" s="2141">
        <f t="shared" si="6"/>
        <v>5</v>
      </c>
    </row>
    <row r="122" spans="1:13" x14ac:dyDescent="0.35">
      <c r="A122" s="1569">
        <f t="shared" si="7"/>
        <v>6</v>
      </c>
      <c r="B122" s="220" t="s">
        <v>447</v>
      </c>
      <c r="D122" s="932"/>
      <c r="E122" s="932"/>
      <c r="F122" s="932"/>
      <c r="G122" s="425">
        <f>G52</f>
        <v>5.68995753826581E-2</v>
      </c>
      <c r="H122" s="932"/>
      <c r="I122" s="1878" t="s">
        <v>1405</v>
      </c>
      <c r="J122" s="234">
        <f t="shared" ref="J122:J182" si="8">J121+1</f>
        <v>6</v>
      </c>
      <c r="K122" s="236"/>
      <c r="L122" s="236"/>
    </row>
    <row r="123" spans="1:13" ht="15.75" customHeight="1" x14ac:dyDescent="0.35">
      <c r="A123" s="1569">
        <f t="shared" si="7"/>
        <v>7</v>
      </c>
      <c r="B123" s="220" t="s">
        <v>707</v>
      </c>
      <c r="D123" s="932"/>
      <c r="E123" s="932"/>
      <c r="F123" s="932"/>
      <c r="G123" s="426">
        <f>-('Stmt AR'!E11+'Stmt AR'!E17)</f>
        <v>3545.067068161326</v>
      </c>
      <c r="H123" s="932"/>
      <c r="I123" s="1878" t="s">
        <v>1358</v>
      </c>
      <c r="J123" s="234">
        <f t="shared" si="8"/>
        <v>7</v>
      </c>
      <c r="K123" s="236"/>
      <c r="L123" s="236"/>
    </row>
    <row r="124" spans="1:13" x14ac:dyDescent="0.35">
      <c r="A124" s="1569">
        <f t="shared" si="7"/>
        <v>8</v>
      </c>
      <c r="B124" s="220" t="s">
        <v>448</v>
      </c>
      <c r="D124" s="932"/>
      <c r="E124" s="932"/>
      <c r="F124" s="932"/>
      <c r="G124" s="427">
        <f>'Stmt AV'!G124</f>
        <v>8977.4801324399996</v>
      </c>
      <c r="H124" s="932"/>
      <c r="I124" s="1113" t="s">
        <v>1648</v>
      </c>
      <c r="J124" s="234">
        <f t="shared" si="8"/>
        <v>8</v>
      </c>
      <c r="K124" s="236"/>
      <c r="L124" s="932"/>
    </row>
    <row r="125" spans="1:13" x14ac:dyDescent="0.35">
      <c r="A125" s="1569">
        <f t="shared" si="7"/>
        <v>9</v>
      </c>
      <c r="B125" s="220" t="s">
        <v>449</v>
      </c>
      <c r="D125" s="932"/>
      <c r="E125" s="1427"/>
      <c r="F125" s="932"/>
      <c r="G125" s="17">
        <f>'TO5 True-Up BK-1'!E136</f>
        <v>4876268.2636402026</v>
      </c>
      <c r="H125" s="932"/>
      <c r="I125" s="1878" t="s">
        <v>1646</v>
      </c>
      <c r="J125" s="234">
        <f t="shared" si="8"/>
        <v>9</v>
      </c>
      <c r="K125" s="236"/>
      <c r="L125" s="236"/>
    </row>
    <row r="126" spans="1:13" x14ac:dyDescent="0.35">
      <c r="A126" s="1569">
        <f t="shared" si="7"/>
        <v>10</v>
      </c>
      <c r="B126" s="220" t="s">
        <v>723</v>
      </c>
      <c r="D126" s="1311"/>
      <c r="E126" s="932"/>
      <c r="F126" s="932"/>
      <c r="G126" s="1874">
        <v>0.21</v>
      </c>
      <c r="H126" s="932"/>
      <c r="I126" s="1878" t="s">
        <v>450</v>
      </c>
      <c r="J126" s="234">
        <f t="shared" si="8"/>
        <v>10</v>
      </c>
      <c r="K126" s="236"/>
      <c r="L126" s="236"/>
      <c r="M126" s="1312"/>
    </row>
    <row r="127" spans="1:13" x14ac:dyDescent="0.35">
      <c r="A127" s="1569">
        <f t="shared" si="7"/>
        <v>11</v>
      </c>
      <c r="B127" s="989"/>
      <c r="G127" s="234"/>
      <c r="H127" s="234"/>
      <c r="J127" s="234">
        <f t="shared" si="8"/>
        <v>11</v>
      </c>
      <c r="K127" s="236"/>
      <c r="L127" s="236"/>
    </row>
    <row r="128" spans="1:13" x14ac:dyDescent="0.35">
      <c r="A128" s="1569">
        <f t="shared" si="7"/>
        <v>12</v>
      </c>
      <c r="B128" s="220" t="s">
        <v>811</v>
      </c>
      <c r="D128" s="932"/>
      <c r="E128" s="932"/>
      <c r="F128" s="932"/>
      <c r="G128" s="429">
        <f>(((G122)+(G124/G125))*G126-(G123/G125))/(1-G126)</f>
        <v>1.4694339695516756E-2</v>
      </c>
      <c r="H128" s="429"/>
      <c r="I128" s="1309" t="s">
        <v>460</v>
      </c>
      <c r="J128" s="234">
        <f t="shared" si="8"/>
        <v>12</v>
      </c>
      <c r="K128" s="236"/>
      <c r="L128" s="236"/>
      <c r="M128" s="1313"/>
    </row>
    <row r="129" spans="1:14" x14ac:dyDescent="0.35">
      <c r="A129" s="1569">
        <f t="shared" si="7"/>
        <v>13</v>
      </c>
      <c r="B129" s="1314" t="s">
        <v>812</v>
      </c>
      <c r="G129" s="234"/>
      <c r="H129" s="234"/>
      <c r="J129" s="234">
        <f t="shared" si="8"/>
        <v>13</v>
      </c>
    </row>
    <row r="130" spans="1:14" x14ac:dyDescent="0.35">
      <c r="A130" s="1569">
        <f t="shared" si="7"/>
        <v>14</v>
      </c>
      <c r="B130" s="989"/>
      <c r="G130" s="234"/>
      <c r="H130" s="234"/>
      <c r="J130" s="234">
        <f t="shared" si="8"/>
        <v>14</v>
      </c>
    </row>
    <row r="131" spans="1:14" x14ac:dyDescent="0.35">
      <c r="A131" s="1569">
        <f t="shared" si="7"/>
        <v>15</v>
      </c>
      <c r="B131" s="1295" t="s">
        <v>451</v>
      </c>
      <c r="C131" s="932"/>
      <c r="D131" s="932"/>
      <c r="E131" s="932"/>
      <c r="F131" s="932"/>
      <c r="G131" s="430"/>
      <c r="H131" s="430"/>
      <c r="I131" s="1315"/>
      <c r="J131" s="234">
        <f t="shared" si="8"/>
        <v>15</v>
      </c>
      <c r="L131" s="1316"/>
    </row>
    <row r="132" spans="1:14" x14ac:dyDescent="0.35">
      <c r="A132" s="1569">
        <f t="shared" si="7"/>
        <v>16</v>
      </c>
      <c r="B132" s="1000"/>
      <c r="C132" s="932"/>
      <c r="D132" s="932"/>
      <c r="E132" s="932"/>
      <c r="F132" s="932"/>
      <c r="G132" s="430"/>
      <c r="H132" s="430"/>
      <c r="I132" s="1317"/>
      <c r="J132" s="234">
        <f t="shared" si="8"/>
        <v>16</v>
      </c>
      <c r="L132" s="932"/>
    </row>
    <row r="133" spans="1:14" x14ac:dyDescent="0.35">
      <c r="A133" s="1569">
        <f t="shared" si="7"/>
        <v>17</v>
      </c>
      <c r="B133" s="990" t="s">
        <v>446</v>
      </c>
      <c r="C133" s="932"/>
      <c r="D133" s="932"/>
      <c r="E133" s="932"/>
      <c r="F133" s="932"/>
      <c r="G133" s="430"/>
      <c r="H133" s="430"/>
      <c r="I133" s="1317"/>
      <c r="J133" s="234">
        <f t="shared" si="8"/>
        <v>17</v>
      </c>
      <c r="L133" s="932"/>
    </row>
    <row r="134" spans="1:14" x14ac:dyDescent="0.35">
      <c r="A134" s="1569">
        <f t="shared" si="7"/>
        <v>18</v>
      </c>
      <c r="B134" s="220" t="s">
        <v>447</v>
      </c>
      <c r="D134" s="932"/>
      <c r="E134" s="932"/>
      <c r="F134" s="932"/>
      <c r="G134" s="418">
        <f>G122</f>
        <v>5.68995753826581E-2</v>
      </c>
      <c r="H134" s="418"/>
      <c r="I134" s="1309" t="s">
        <v>1043</v>
      </c>
      <c r="J134" s="234">
        <f t="shared" si="8"/>
        <v>18</v>
      </c>
      <c r="L134" s="236"/>
      <c r="N134" s="936"/>
    </row>
    <row r="135" spans="1:14" s="2237" customFormat="1" x14ac:dyDescent="0.35">
      <c r="A135" s="2241">
        <f t="shared" si="7"/>
        <v>19</v>
      </c>
      <c r="B135" s="2237" t="s">
        <v>1489</v>
      </c>
      <c r="D135" s="2239"/>
      <c r="E135" s="2239"/>
      <c r="F135" s="2239"/>
      <c r="G135" s="2244">
        <f>-'Stmt AT'!E19</f>
        <v>0</v>
      </c>
      <c r="H135" s="419"/>
      <c r="I135" s="1878" t="s">
        <v>1480</v>
      </c>
      <c r="J135" s="2241">
        <f t="shared" si="8"/>
        <v>19</v>
      </c>
      <c r="L135" s="367"/>
      <c r="N135" s="1418"/>
    </row>
    <row r="136" spans="1:14" x14ac:dyDescent="0.35">
      <c r="A136" s="2241">
        <f t="shared" si="7"/>
        <v>20</v>
      </c>
      <c r="B136" s="2237" t="s">
        <v>448</v>
      </c>
      <c r="D136" s="932"/>
      <c r="E136" s="932"/>
      <c r="F136" s="932"/>
      <c r="G136" s="431">
        <f>G124</f>
        <v>8977.4801324399996</v>
      </c>
      <c r="H136" s="431"/>
      <c r="I136" s="1309" t="s">
        <v>1044</v>
      </c>
      <c r="J136" s="2241">
        <f t="shared" si="8"/>
        <v>20</v>
      </c>
      <c r="L136" s="236"/>
    </row>
    <row r="137" spans="1:14" x14ac:dyDescent="0.35">
      <c r="A137" s="2241">
        <f t="shared" si="7"/>
        <v>21</v>
      </c>
      <c r="B137" s="2237" t="s">
        <v>449</v>
      </c>
      <c r="D137" s="932"/>
      <c r="E137" s="932"/>
      <c r="F137" s="932"/>
      <c r="G137" s="432">
        <f>G125</f>
        <v>4876268.2636402026</v>
      </c>
      <c r="H137" s="432"/>
      <c r="I137" s="1309" t="s">
        <v>1045</v>
      </c>
      <c r="J137" s="2241">
        <f t="shared" si="8"/>
        <v>21</v>
      </c>
      <c r="L137" s="236"/>
      <c r="N137" s="936"/>
    </row>
    <row r="138" spans="1:14" x14ac:dyDescent="0.35">
      <c r="A138" s="2241">
        <f t="shared" si="7"/>
        <v>22</v>
      </c>
      <c r="B138" s="2237" t="s">
        <v>461</v>
      </c>
      <c r="D138" s="932"/>
      <c r="E138" s="932"/>
      <c r="F138" s="932"/>
      <c r="G138" s="433">
        <f>G128</f>
        <v>1.4694339695516756E-2</v>
      </c>
      <c r="H138" s="433"/>
      <c r="I138" s="1309" t="s">
        <v>1046</v>
      </c>
      <c r="J138" s="234">
        <f t="shared" si="8"/>
        <v>22</v>
      </c>
      <c r="K138" s="236"/>
      <c r="L138" s="236"/>
      <c r="M138" s="236"/>
    </row>
    <row r="139" spans="1:14" x14ac:dyDescent="0.35">
      <c r="A139" s="2241">
        <f t="shared" si="7"/>
        <v>23</v>
      </c>
      <c r="B139" s="2237" t="s">
        <v>897</v>
      </c>
      <c r="D139" s="932"/>
      <c r="E139" s="932"/>
      <c r="F139" s="932"/>
      <c r="G139" s="428" t="s">
        <v>768</v>
      </c>
      <c r="H139" s="932"/>
      <c r="I139" s="1309" t="s">
        <v>452</v>
      </c>
      <c r="J139" s="234">
        <f t="shared" si="8"/>
        <v>23</v>
      </c>
      <c r="K139" s="236"/>
      <c r="L139" s="236"/>
      <c r="M139" s="236"/>
    </row>
    <row r="140" spans="1:14" x14ac:dyDescent="0.35">
      <c r="A140" s="1569">
        <f t="shared" si="7"/>
        <v>24</v>
      </c>
      <c r="B140" s="1"/>
      <c r="D140" s="932"/>
      <c r="E140" s="932"/>
      <c r="F140" s="932"/>
      <c r="G140" s="434"/>
      <c r="H140" s="434"/>
      <c r="I140" s="1317"/>
      <c r="J140" s="234">
        <f t="shared" si="8"/>
        <v>24</v>
      </c>
      <c r="K140" s="236"/>
      <c r="L140" s="236"/>
      <c r="M140" s="236"/>
    </row>
    <row r="141" spans="1:14" x14ac:dyDescent="0.35">
      <c r="A141" s="1569">
        <f t="shared" si="7"/>
        <v>25</v>
      </c>
      <c r="B141" s="2237" t="s">
        <v>1490</v>
      </c>
      <c r="C141" s="236"/>
      <c r="D141" s="236"/>
      <c r="E141" s="932"/>
      <c r="F141" s="932"/>
      <c r="G141" s="435">
        <f>(((G134)+(G136/G137)+G128)*G139-(G135/G137))/(1-G139)</f>
        <v>7.1211621241048656E-3</v>
      </c>
      <c r="H141" s="651"/>
      <c r="I141" s="1309" t="s">
        <v>462</v>
      </c>
      <c r="J141" s="234">
        <f t="shared" si="8"/>
        <v>25</v>
      </c>
      <c r="K141" s="236"/>
      <c r="L141" s="236"/>
      <c r="M141" s="236"/>
    </row>
    <row r="142" spans="1:14" x14ac:dyDescent="0.35">
      <c r="A142" s="1569">
        <f t="shared" si="7"/>
        <v>26</v>
      </c>
      <c r="B142" s="1314" t="s">
        <v>813</v>
      </c>
      <c r="G142" s="234"/>
      <c r="H142" s="234"/>
      <c r="I142" s="255"/>
      <c r="J142" s="234">
        <f t="shared" si="8"/>
        <v>26</v>
      </c>
      <c r="K142" s="236"/>
      <c r="L142" s="236"/>
      <c r="M142" s="236"/>
    </row>
    <row r="143" spans="1:14" x14ac:dyDescent="0.35">
      <c r="A143" s="1569">
        <f t="shared" si="7"/>
        <v>27</v>
      </c>
      <c r="B143" s="989"/>
      <c r="G143" s="234"/>
      <c r="H143" s="234"/>
      <c r="I143" s="255"/>
      <c r="J143" s="234">
        <f t="shared" si="8"/>
        <v>27</v>
      </c>
      <c r="K143" s="236"/>
      <c r="L143" s="236"/>
      <c r="M143" s="236"/>
    </row>
    <row r="144" spans="1:14" x14ac:dyDescent="0.35">
      <c r="A144" s="1569">
        <f t="shared" si="7"/>
        <v>28</v>
      </c>
      <c r="B144" s="1295" t="s">
        <v>453</v>
      </c>
      <c r="G144" s="429">
        <f>G141+G128</f>
        <v>2.1815501819621622E-2</v>
      </c>
      <c r="H144" s="429"/>
      <c r="I144" s="255" t="s">
        <v>1503</v>
      </c>
      <c r="J144" s="234">
        <f t="shared" si="8"/>
        <v>28</v>
      </c>
      <c r="K144" s="236"/>
      <c r="L144" s="236"/>
      <c r="M144" s="236"/>
    </row>
    <row r="145" spans="1:13" x14ac:dyDescent="0.35">
      <c r="A145" s="1569">
        <f t="shared" si="7"/>
        <v>29</v>
      </c>
      <c r="B145" s="989"/>
      <c r="G145" s="234"/>
      <c r="H145" s="234"/>
      <c r="I145" s="255"/>
      <c r="J145" s="234">
        <f t="shared" si="8"/>
        <v>29</v>
      </c>
      <c r="L145" s="234"/>
    </row>
    <row r="146" spans="1:13" x14ac:dyDescent="0.35">
      <c r="A146" s="1569">
        <f t="shared" si="7"/>
        <v>30</v>
      </c>
      <c r="B146" s="1295" t="s">
        <v>463</v>
      </c>
      <c r="G146" s="436">
        <f>G50</f>
        <v>7.3498652701225783E-2</v>
      </c>
      <c r="H146" s="932"/>
      <c r="I146" s="1309" t="s">
        <v>1407</v>
      </c>
      <c r="J146" s="234">
        <f t="shared" si="8"/>
        <v>30</v>
      </c>
      <c r="K146" s="936"/>
      <c r="L146" s="236"/>
    </row>
    <row r="147" spans="1:13" x14ac:dyDescent="0.35">
      <c r="A147" s="1569">
        <f t="shared" si="7"/>
        <v>31</v>
      </c>
      <c r="B147" s="989"/>
      <c r="G147" s="418"/>
      <c r="H147" s="418"/>
      <c r="I147" s="255"/>
      <c r="J147" s="234">
        <f t="shared" si="8"/>
        <v>31</v>
      </c>
      <c r="L147" s="234"/>
    </row>
    <row r="148" spans="1:13" ht="18" thickBot="1" x14ac:dyDescent="0.4">
      <c r="A148" s="1569">
        <f t="shared" si="7"/>
        <v>32</v>
      </c>
      <c r="B148" s="1295" t="s">
        <v>1408</v>
      </c>
      <c r="G148" s="437">
        <f>G144+G146</f>
        <v>9.5314154520847405E-2</v>
      </c>
      <c r="H148" s="651"/>
      <c r="I148" s="255" t="s">
        <v>1482</v>
      </c>
      <c r="J148" s="234">
        <f t="shared" si="8"/>
        <v>32</v>
      </c>
      <c r="K148" s="936"/>
      <c r="L148" s="1318"/>
      <c r="M148" s="1313"/>
    </row>
    <row r="149" spans="1:13" s="2138" customFormat="1" ht="16.5" thickTop="1" thickBot="1" x14ac:dyDescent="0.4">
      <c r="A149" s="2169">
        <f t="shared" si="7"/>
        <v>33</v>
      </c>
      <c r="B149" s="2171"/>
      <c r="C149" s="2171"/>
      <c r="D149" s="2171"/>
      <c r="E149" s="2171"/>
      <c r="F149" s="2171"/>
      <c r="G149" s="2169"/>
      <c r="H149" s="2169"/>
      <c r="I149" s="2173"/>
      <c r="J149" s="2169">
        <f t="shared" si="8"/>
        <v>33</v>
      </c>
      <c r="K149" s="1418"/>
      <c r="L149" s="1318"/>
      <c r="M149" s="1313"/>
    </row>
    <row r="150" spans="1:13" s="2138" customFormat="1" x14ac:dyDescent="0.35">
      <c r="A150" s="2141">
        <f t="shared" si="7"/>
        <v>34</v>
      </c>
      <c r="G150" s="2141"/>
      <c r="H150" s="2141"/>
      <c r="I150" s="1878"/>
      <c r="J150" s="2141">
        <f t="shared" si="8"/>
        <v>34</v>
      </c>
      <c r="K150" s="1418"/>
      <c r="L150" s="1318"/>
      <c r="M150" s="1313"/>
    </row>
    <row r="151" spans="1:13" s="2138" customFormat="1" ht="17.5" x14ac:dyDescent="0.35">
      <c r="A151" s="2141">
        <f t="shared" si="7"/>
        <v>35</v>
      </c>
      <c r="B151" s="1295" t="s">
        <v>1409</v>
      </c>
      <c r="E151" s="2140"/>
      <c r="F151" s="2140"/>
      <c r="G151" s="1084"/>
      <c r="H151" s="1084"/>
      <c r="I151" s="1878"/>
      <c r="J151" s="2141">
        <f t="shared" si="8"/>
        <v>35</v>
      </c>
      <c r="K151" s="1418"/>
      <c r="L151" s="1318"/>
      <c r="M151" s="1313"/>
    </row>
    <row r="152" spans="1:13" s="2138" customFormat="1" x14ac:dyDescent="0.35">
      <c r="A152" s="2141">
        <f t="shared" si="7"/>
        <v>36</v>
      </c>
      <c r="B152" s="1307"/>
      <c r="E152" s="2140"/>
      <c r="F152" s="2140"/>
      <c r="G152" s="1084"/>
      <c r="H152" s="1084"/>
      <c r="I152" s="1878"/>
      <c r="J152" s="2141">
        <f t="shared" si="8"/>
        <v>36</v>
      </c>
      <c r="K152" s="1418"/>
      <c r="L152" s="1318"/>
      <c r="M152" s="1313"/>
    </row>
    <row r="153" spans="1:13" s="2138" customFormat="1" x14ac:dyDescent="0.35">
      <c r="A153" s="2141">
        <f t="shared" si="7"/>
        <v>37</v>
      </c>
      <c r="B153" s="1295" t="s">
        <v>1310</v>
      </c>
      <c r="E153" s="2140"/>
      <c r="F153" s="2140"/>
      <c r="G153" s="1084"/>
      <c r="H153" s="1084"/>
      <c r="I153" s="1878"/>
      <c r="J153" s="2141">
        <f t="shared" si="8"/>
        <v>37</v>
      </c>
      <c r="K153" s="1418"/>
      <c r="L153" s="1318"/>
      <c r="M153" s="1313"/>
    </row>
    <row r="154" spans="1:13" s="2138" customFormat="1" x14ac:dyDescent="0.35">
      <c r="A154" s="2141">
        <f t="shared" si="7"/>
        <v>38</v>
      </c>
      <c r="B154" s="2140"/>
      <c r="C154" s="2140"/>
      <c r="D154" s="2140"/>
      <c r="E154" s="2140"/>
      <c r="F154" s="2140"/>
      <c r="G154" s="1084"/>
      <c r="H154" s="1084"/>
      <c r="I154" s="1878"/>
      <c r="J154" s="2141">
        <f t="shared" si="8"/>
        <v>38</v>
      </c>
      <c r="K154" s="1418"/>
      <c r="L154" s="1318"/>
      <c r="M154" s="1313"/>
    </row>
    <row r="155" spans="1:13" s="2138" customFormat="1" x14ac:dyDescent="0.35">
      <c r="A155" s="2141">
        <f t="shared" si="7"/>
        <v>39</v>
      </c>
      <c r="B155" s="2139" t="s">
        <v>446</v>
      </c>
      <c r="C155" s="2140"/>
      <c r="D155" s="2140"/>
      <c r="E155" s="2140"/>
      <c r="F155" s="2140"/>
      <c r="G155" s="1084"/>
      <c r="H155" s="1084"/>
      <c r="I155" s="1308"/>
      <c r="J155" s="2141">
        <f t="shared" si="8"/>
        <v>39</v>
      </c>
      <c r="K155" s="1418"/>
      <c r="L155" s="1318"/>
      <c r="M155" s="1313"/>
    </row>
    <row r="156" spans="1:13" s="2138" customFormat="1" x14ac:dyDescent="0.35">
      <c r="A156" s="2141">
        <f t="shared" si="7"/>
        <v>40</v>
      </c>
      <c r="B156" s="2138" t="s">
        <v>1256</v>
      </c>
      <c r="D156" s="2140"/>
      <c r="E156" s="2140"/>
      <c r="F156" s="2140"/>
      <c r="G156" s="2175">
        <f>G65</f>
        <v>2.8168106625078267E-3</v>
      </c>
      <c r="H156" s="2140"/>
      <c r="I156" s="1878" t="s">
        <v>1410</v>
      </c>
      <c r="J156" s="2141">
        <f t="shared" si="8"/>
        <v>40</v>
      </c>
      <c r="K156" s="1418"/>
      <c r="L156" s="1318"/>
      <c r="M156" s="1313"/>
    </row>
    <row r="157" spans="1:13" s="2138" customFormat="1" x14ac:dyDescent="0.35">
      <c r="A157" s="2141">
        <f t="shared" si="7"/>
        <v>41</v>
      </c>
      <c r="B157" s="2138" t="s">
        <v>906</v>
      </c>
      <c r="D157" s="2140"/>
      <c r="E157" s="2140"/>
      <c r="F157" s="2140"/>
      <c r="G157" s="2176">
        <v>0</v>
      </c>
      <c r="H157" s="2140"/>
      <c r="I157" s="1878" t="s">
        <v>1234</v>
      </c>
      <c r="J157" s="2141">
        <f t="shared" si="8"/>
        <v>41</v>
      </c>
      <c r="K157" s="1418"/>
      <c r="L157" s="1318"/>
      <c r="M157" s="1313"/>
    </row>
    <row r="158" spans="1:13" s="2138" customFormat="1" x14ac:dyDescent="0.35">
      <c r="A158" s="2141">
        <f t="shared" si="7"/>
        <v>42</v>
      </c>
      <c r="B158" s="2138" t="s">
        <v>448</v>
      </c>
      <c r="D158" s="2140"/>
      <c r="E158" s="2140"/>
      <c r="F158" s="2140"/>
      <c r="G158" s="2176">
        <v>0</v>
      </c>
      <c r="H158" s="2140"/>
      <c r="I158" s="1878" t="s">
        <v>1234</v>
      </c>
      <c r="J158" s="2141">
        <f t="shared" si="8"/>
        <v>42</v>
      </c>
      <c r="K158" s="1418"/>
      <c r="L158" s="1318"/>
      <c r="M158" s="1313"/>
    </row>
    <row r="159" spans="1:13" s="2138" customFormat="1" x14ac:dyDescent="0.35">
      <c r="A159" s="2141">
        <f t="shared" si="7"/>
        <v>43</v>
      </c>
      <c r="B159" s="2138" t="s">
        <v>449</v>
      </c>
      <c r="D159" s="2140"/>
      <c r="E159" s="2177"/>
      <c r="F159" s="2140"/>
      <c r="G159" s="2178">
        <f>'TO5 True-Up BK-1'!E136</f>
        <v>4876268.2636402026</v>
      </c>
      <c r="H159" s="2140"/>
      <c r="I159" s="1878" t="s">
        <v>1646</v>
      </c>
      <c r="J159" s="2141">
        <f t="shared" si="8"/>
        <v>43</v>
      </c>
      <c r="K159" s="1418"/>
      <c r="L159" s="1318"/>
      <c r="M159" s="1313"/>
    </row>
    <row r="160" spans="1:13" s="2138" customFormat="1" x14ac:dyDescent="0.35">
      <c r="A160" s="2141">
        <f t="shared" si="7"/>
        <v>44</v>
      </c>
      <c r="B160" s="2138" t="s">
        <v>896</v>
      </c>
      <c r="D160" s="2179"/>
      <c r="E160" s="2140"/>
      <c r="F160" s="2140"/>
      <c r="G160" s="2180" t="s">
        <v>767</v>
      </c>
      <c r="H160" s="2140"/>
      <c r="I160" s="1878" t="s">
        <v>450</v>
      </c>
      <c r="J160" s="2141">
        <f t="shared" si="8"/>
        <v>44</v>
      </c>
      <c r="K160" s="1418"/>
      <c r="L160" s="1318"/>
      <c r="M160" s="1313"/>
    </row>
    <row r="161" spans="1:13" s="2138" customFormat="1" x14ac:dyDescent="0.35">
      <c r="A161" s="2141">
        <f t="shared" si="7"/>
        <v>45</v>
      </c>
      <c r="G161" s="2141"/>
      <c r="H161" s="2141"/>
      <c r="I161" s="726"/>
      <c r="J161" s="2141">
        <f t="shared" si="8"/>
        <v>45</v>
      </c>
      <c r="K161" s="1418"/>
      <c r="L161" s="1318"/>
      <c r="M161" s="1313"/>
    </row>
    <row r="162" spans="1:13" s="2138" customFormat="1" x14ac:dyDescent="0.35">
      <c r="A162" s="2141">
        <f t="shared" si="7"/>
        <v>46</v>
      </c>
      <c r="B162" s="2138" t="s">
        <v>811</v>
      </c>
      <c r="D162" s="2140"/>
      <c r="E162" s="2140"/>
      <c r="F162" s="2140"/>
      <c r="G162" s="2181">
        <f>(((G156)+(G158/G159))*G160-(G157/G159))/(1-G160)</f>
        <v>7.4877245459068799E-4</v>
      </c>
      <c r="H162" s="2181"/>
      <c r="I162" s="1878" t="s">
        <v>460</v>
      </c>
      <c r="J162" s="2141">
        <f t="shared" si="8"/>
        <v>46</v>
      </c>
      <c r="K162" s="1418"/>
      <c r="L162" s="1318"/>
      <c r="M162" s="1313"/>
    </row>
    <row r="163" spans="1:13" s="2138" customFormat="1" x14ac:dyDescent="0.35">
      <c r="A163" s="2141">
        <f t="shared" si="7"/>
        <v>47</v>
      </c>
      <c r="B163" s="1411" t="s">
        <v>812</v>
      </c>
      <c r="G163" s="2141"/>
      <c r="H163" s="2141"/>
      <c r="I163" s="726"/>
      <c r="J163" s="2141">
        <f t="shared" si="8"/>
        <v>47</v>
      </c>
      <c r="K163" s="1418"/>
      <c r="L163" s="1318"/>
      <c r="M163" s="1313"/>
    </row>
    <row r="164" spans="1:13" s="2138" customFormat="1" x14ac:dyDescent="0.35">
      <c r="A164" s="2141">
        <f t="shared" si="7"/>
        <v>48</v>
      </c>
      <c r="G164" s="2141"/>
      <c r="H164" s="2141"/>
      <c r="I164" s="726"/>
      <c r="J164" s="2141">
        <f t="shared" si="8"/>
        <v>48</v>
      </c>
      <c r="K164" s="1418"/>
      <c r="L164" s="1318"/>
      <c r="M164" s="1313"/>
    </row>
    <row r="165" spans="1:13" s="2138" customFormat="1" x14ac:dyDescent="0.35">
      <c r="A165" s="2141">
        <f t="shared" si="7"/>
        <v>49</v>
      </c>
      <c r="B165" s="1295" t="s">
        <v>451</v>
      </c>
      <c r="C165" s="2140"/>
      <c r="D165" s="2140"/>
      <c r="E165" s="2140"/>
      <c r="F165" s="2140"/>
      <c r="G165" s="430"/>
      <c r="H165" s="430"/>
      <c r="I165" s="2182"/>
      <c r="J165" s="2141">
        <f t="shared" si="8"/>
        <v>49</v>
      </c>
      <c r="K165" s="1418"/>
      <c r="L165" s="1318"/>
      <c r="M165" s="1313"/>
    </row>
    <row r="166" spans="1:13" s="2138" customFormat="1" x14ac:dyDescent="0.35">
      <c r="A166" s="2141">
        <f t="shared" si="7"/>
        <v>50</v>
      </c>
      <c r="B166" s="944"/>
      <c r="C166" s="2140"/>
      <c r="D166" s="2140"/>
      <c r="E166" s="2140"/>
      <c r="F166" s="2140"/>
      <c r="G166" s="430"/>
      <c r="H166" s="430"/>
      <c r="I166" s="2183"/>
      <c r="J166" s="2141">
        <f t="shared" si="8"/>
        <v>50</v>
      </c>
      <c r="K166" s="1418"/>
      <c r="L166" s="1318"/>
      <c r="M166" s="1313"/>
    </row>
    <row r="167" spans="1:13" s="2138" customFormat="1" x14ac:dyDescent="0.35">
      <c r="A167" s="2141">
        <f t="shared" si="7"/>
        <v>51</v>
      </c>
      <c r="B167" s="2139" t="s">
        <v>446</v>
      </c>
      <c r="C167" s="2140"/>
      <c r="D167" s="2140"/>
      <c r="E167" s="2140"/>
      <c r="F167" s="2140"/>
      <c r="G167" s="430"/>
      <c r="H167" s="430"/>
      <c r="I167" s="2183"/>
      <c r="J167" s="2141">
        <f t="shared" si="8"/>
        <v>51</v>
      </c>
      <c r="K167" s="1418"/>
      <c r="L167" s="1318"/>
      <c r="M167" s="1313"/>
    </row>
    <row r="168" spans="1:13" s="2138" customFormat="1" x14ac:dyDescent="0.35">
      <c r="A168" s="2141">
        <f t="shared" si="7"/>
        <v>52</v>
      </c>
      <c r="B168" s="2138" t="s">
        <v>1256</v>
      </c>
      <c r="D168" s="2140"/>
      <c r="E168" s="2140"/>
      <c r="F168" s="2140"/>
      <c r="G168" s="2161">
        <f>G156</f>
        <v>2.8168106625078267E-3</v>
      </c>
      <c r="H168" s="2161"/>
      <c r="I168" s="1878" t="s">
        <v>1504</v>
      </c>
      <c r="J168" s="2141">
        <f t="shared" si="8"/>
        <v>52</v>
      </c>
      <c r="K168" s="1418"/>
      <c r="L168" s="1318"/>
      <c r="M168" s="1313"/>
    </row>
    <row r="169" spans="1:13" s="2237" customFormat="1" x14ac:dyDescent="0.35">
      <c r="A169" s="2241">
        <f t="shared" si="7"/>
        <v>53</v>
      </c>
      <c r="B169" s="2237" t="s">
        <v>1489</v>
      </c>
      <c r="D169" s="2240"/>
      <c r="E169" s="2240"/>
      <c r="F169" s="2240"/>
      <c r="G169" s="438">
        <v>0</v>
      </c>
      <c r="H169" s="2161"/>
      <c r="I169" s="1878" t="s">
        <v>1234</v>
      </c>
      <c r="J169" s="2241">
        <f t="shared" si="8"/>
        <v>53</v>
      </c>
      <c r="K169" s="1418"/>
      <c r="L169" s="1318"/>
      <c r="M169" s="1313"/>
    </row>
    <row r="170" spans="1:13" s="2138" customFormat="1" x14ac:dyDescent="0.35">
      <c r="A170" s="2241">
        <f t="shared" si="7"/>
        <v>54</v>
      </c>
      <c r="B170" s="2237" t="s">
        <v>448</v>
      </c>
      <c r="D170" s="2140"/>
      <c r="E170" s="2140"/>
      <c r="F170" s="2140"/>
      <c r="G170" s="2184">
        <f>G158</f>
        <v>0</v>
      </c>
      <c r="H170" s="2184"/>
      <c r="I170" s="1878" t="s">
        <v>1505</v>
      </c>
      <c r="J170" s="2241">
        <f t="shared" si="8"/>
        <v>54</v>
      </c>
      <c r="K170" s="1418"/>
      <c r="L170" s="1318"/>
      <c r="M170" s="1313"/>
    </row>
    <row r="171" spans="1:13" s="2138" customFormat="1" x14ac:dyDescent="0.35">
      <c r="A171" s="2241">
        <f t="shared" si="7"/>
        <v>55</v>
      </c>
      <c r="B171" s="2237" t="s">
        <v>449</v>
      </c>
      <c r="D171" s="2140"/>
      <c r="E171" s="2140"/>
      <c r="F171" s="2140"/>
      <c r="G171" s="2185">
        <f>G159</f>
        <v>4876268.2636402026</v>
      </c>
      <c r="H171" s="2185"/>
      <c r="I171" s="1878" t="s">
        <v>1506</v>
      </c>
      <c r="J171" s="2241">
        <f t="shared" si="8"/>
        <v>55</v>
      </c>
      <c r="K171" s="1418"/>
      <c r="L171" s="1318"/>
      <c r="M171" s="1313"/>
    </row>
    <row r="172" spans="1:13" s="2138" customFormat="1" x14ac:dyDescent="0.35">
      <c r="A172" s="2141">
        <f t="shared" si="7"/>
        <v>56</v>
      </c>
      <c r="B172" s="2237" t="s">
        <v>461</v>
      </c>
      <c r="D172" s="2140"/>
      <c r="E172" s="2140"/>
      <c r="F172" s="2140"/>
      <c r="G172" s="2186">
        <f>G162</f>
        <v>7.4877245459068799E-4</v>
      </c>
      <c r="H172" s="2186"/>
      <c r="I172" s="1878" t="s">
        <v>1507</v>
      </c>
      <c r="J172" s="2141">
        <f t="shared" si="8"/>
        <v>56</v>
      </c>
      <c r="K172" s="1418"/>
      <c r="L172" s="1318"/>
      <c r="M172" s="1313"/>
    </row>
    <row r="173" spans="1:13" s="2138" customFormat="1" x14ac:dyDescent="0.35">
      <c r="A173" s="2141">
        <f t="shared" si="7"/>
        <v>57</v>
      </c>
      <c r="B173" s="2237" t="s">
        <v>897</v>
      </c>
      <c r="D173" s="2140"/>
      <c r="E173" s="2140"/>
      <c r="F173" s="2140"/>
      <c r="G173" s="2180" t="s">
        <v>768</v>
      </c>
      <c r="H173" s="2140"/>
      <c r="I173" s="1878" t="s">
        <v>452</v>
      </c>
      <c r="J173" s="2141">
        <f t="shared" si="8"/>
        <v>57</v>
      </c>
      <c r="K173" s="1418"/>
      <c r="L173" s="1318"/>
      <c r="M173" s="1313"/>
    </row>
    <row r="174" spans="1:13" s="2138" customFormat="1" x14ac:dyDescent="0.35">
      <c r="A174" s="2141">
        <f t="shared" si="7"/>
        <v>58</v>
      </c>
      <c r="B174" s="2137"/>
      <c r="D174" s="2140"/>
      <c r="E174" s="2140"/>
      <c r="F174" s="2140"/>
      <c r="G174" s="2187"/>
      <c r="H174" s="2187"/>
      <c r="I174" s="2183"/>
      <c r="J174" s="2141">
        <f t="shared" si="8"/>
        <v>58</v>
      </c>
      <c r="K174" s="1418"/>
      <c r="L174" s="1318"/>
      <c r="M174" s="1313"/>
    </row>
    <row r="175" spans="1:13" s="2138" customFormat="1" x14ac:dyDescent="0.35">
      <c r="A175" s="2141">
        <f t="shared" si="7"/>
        <v>59</v>
      </c>
      <c r="B175" s="2237" t="s">
        <v>1490</v>
      </c>
      <c r="C175" s="2141"/>
      <c r="D175" s="2141"/>
      <c r="E175" s="2140"/>
      <c r="F175" s="2140"/>
      <c r="G175" s="2188">
        <f>(((G168)+(G170/G171)+G162)*G173-(G169/G171))/(1-G173)</f>
        <v>3.4576299643649489E-4</v>
      </c>
      <c r="H175" s="2189"/>
      <c r="I175" s="1878" t="s">
        <v>462</v>
      </c>
      <c r="J175" s="2141">
        <f t="shared" si="8"/>
        <v>59</v>
      </c>
      <c r="K175" s="1418"/>
      <c r="L175" s="1318"/>
      <c r="M175" s="1313"/>
    </row>
    <row r="176" spans="1:13" s="2138" customFormat="1" x14ac:dyDescent="0.35">
      <c r="A176" s="2141">
        <f t="shared" si="7"/>
        <v>60</v>
      </c>
      <c r="B176" s="1411" t="s">
        <v>813</v>
      </c>
      <c r="G176" s="2141"/>
      <c r="H176" s="2141"/>
      <c r="I176" s="1878"/>
      <c r="J176" s="2141">
        <f t="shared" si="8"/>
        <v>60</v>
      </c>
      <c r="K176" s="1418"/>
      <c r="L176" s="1318"/>
      <c r="M176" s="1313"/>
    </row>
    <row r="177" spans="1:13" s="2138" customFormat="1" x14ac:dyDescent="0.35">
      <c r="A177" s="2141">
        <f t="shared" si="7"/>
        <v>61</v>
      </c>
      <c r="G177" s="2141"/>
      <c r="H177" s="2141"/>
      <c r="I177" s="1878"/>
      <c r="J177" s="2141">
        <f t="shared" si="8"/>
        <v>61</v>
      </c>
      <c r="K177" s="1418"/>
      <c r="L177" s="1318"/>
      <c r="M177" s="1313"/>
    </row>
    <row r="178" spans="1:13" s="2138" customFormat="1" x14ac:dyDescent="0.35">
      <c r="A178" s="2141">
        <f t="shared" si="7"/>
        <v>62</v>
      </c>
      <c r="B178" s="1295" t="s">
        <v>453</v>
      </c>
      <c r="G178" s="2181">
        <f>G175+G162</f>
        <v>1.0945354510271828E-3</v>
      </c>
      <c r="H178" s="2181"/>
      <c r="I178" s="1878" t="s">
        <v>1508</v>
      </c>
      <c r="J178" s="2141">
        <f t="shared" si="8"/>
        <v>62</v>
      </c>
      <c r="K178" s="1418"/>
      <c r="L178" s="1318"/>
      <c r="M178" s="1313"/>
    </row>
    <row r="179" spans="1:13" s="2138" customFormat="1" x14ac:dyDescent="0.35">
      <c r="A179" s="2141">
        <f t="shared" si="7"/>
        <v>63</v>
      </c>
      <c r="G179" s="2141"/>
      <c r="H179" s="2141"/>
      <c r="I179" s="1878"/>
      <c r="J179" s="2141">
        <f t="shared" si="8"/>
        <v>63</v>
      </c>
      <c r="K179" s="1418"/>
      <c r="L179" s="1318"/>
      <c r="M179" s="1313"/>
    </row>
    <row r="180" spans="1:13" s="2138" customFormat="1" x14ac:dyDescent="0.35">
      <c r="A180" s="2141">
        <f t="shared" si="7"/>
        <v>64</v>
      </c>
      <c r="B180" s="1295" t="s">
        <v>1257</v>
      </c>
      <c r="G180" s="2190">
        <f>G63</f>
        <v>2.8168106625078267E-3</v>
      </c>
      <c r="H180" s="2140"/>
      <c r="I180" s="1878" t="s">
        <v>1411</v>
      </c>
      <c r="J180" s="2141">
        <f t="shared" si="8"/>
        <v>64</v>
      </c>
      <c r="K180" s="1418"/>
      <c r="L180" s="1318"/>
      <c r="M180" s="1313"/>
    </row>
    <row r="181" spans="1:13" s="2138" customFormat="1" x14ac:dyDescent="0.35">
      <c r="A181" s="2141">
        <f t="shared" si="7"/>
        <v>65</v>
      </c>
      <c r="G181" s="2161"/>
      <c r="H181" s="2161"/>
      <c r="I181" s="1878"/>
      <c r="J181" s="2141">
        <f t="shared" si="8"/>
        <v>65</v>
      </c>
      <c r="K181" s="1418"/>
      <c r="L181" s="1318"/>
      <c r="M181" s="1313"/>
    </row>
    <row r="182" spans="1:13" s="2138" customFormat="1" ht="18" thickBot="1" x14ac:dyDescent="0.4">
      <c r="A182" s="2141">
        <f t="shared" si="7"/>
        <v>66</v>
      </c>
      <c r="B182" s="1295" t="s">
        <v>1412</v>
      </c>
      <c r="G182" s="2191">
        <f>G178+G180</f>
        <v>3.9113461135350091E-3</v>
      </c>
      <c r="H182" s="2189"/>
      <c r="I182" s="1878" t="s">
        <v>1509</v>
      </c>
      <c r="J182" s="2141">
        <f t="shared" si="8"/>
        <v>66</v>
      </c>
      <c r="K182" s="1418"/>
      <c r="L182" s="1318"/>
      <c r="M182" s="1313"/>
    </row>
    <row r="183" spans="1:13" s="2138" customFormat="1" ht="16" thickTop="1" x14ac:dyDescent="0.35">
      <c r="A183" s="2141"/>
      <c r="B183" s="1295"/>
      <c r="G183" s="651"/>
      <c r="H183" s="651"/>
      <c r="I183" s="1878"/>
      <c r="J183" s="2141"/>
      <c r="K183" s="1418"/>
      <c r="L183" s="1318"/>
      <c r="M183" s="1313"/>
    </row>
    <row r="184" spans="1:13" x14ac:dyDescent="0.35">
      <c r="A184" s="1320"/>
      <c r="B184" s="1"/>
      <c r="C184" s="1321"/>
      <c r="D184" s="1321"/>
      <c r="E184" s="1321"/>
      <c r="F184" s="1321"/>
      <c r="G184" s="1322"/>
      <c r="H184" s="1322"/>
      <c r="I184" s="1323"/>
      <c r="J184" s="234"/>
    </row>
    <row r="185" spans="1:13" x14ac:dyDescent="0.35">
      <c r="B185" s="2288" t="s">
        <v>0</v>
      </c>
      <c r="C185" s="2288"/>
      <c r="D185" s="2288"/>
      <c r="E185" s="2288"/>
      <c r="F185" s="2288"/>
      <c r="G185" s="2288"/>
      <c r="H185" s="2288"/>
      <c r="I185" s="2289"/>
      <c r="J185" s="234"/>
    </row>
    <row r="186" spans="1:13" x14ac:dyDescent="0.35">
      <c r="B186" s="2288" t="s">
        <v>426</v>
      </c>
      <c r="C186" s="2288"/>
      <c r="D186" s="2288"/>
      <c r="E186" s="2288"/>
      <c r="F186" s="2288"/>
      <c r="G186" s="2288"/>
      <c r="H186" s="2288"/>
      <c r="I186" s="2289"/>
      <c r="J186" s="234"/>
    </row>
    <row r="187" spans="1:13" x14ac:dyDescent="0.35">
      <c r="B187" s="2288" t="s">
        <v>427</v>
      </c>
      <c r="C187" s="2288"/>
      <c r="D187" s="2288"/>
      <c r="E187" s="2288"/>
      <c r="F187" s="2288"/>
      <c r="G187" s="2288"/>
      <c r="H187" s="2288"/>
      <c r="I187" s="2289"/>
      <c r="J187" s="234"/>
    </row>
    <row r="188" spans="1:13" x14ac:dyDescent="0.35">
      <c r="B188" s="2293" t="str">
        <f>B5</f>
        <v>Base Period &amp; True-Up Period 12 - Months Ending December 31, 2021</v>
      </c>
      <c r="C188" s="2293"/>
      <c r="D188" s="2293"/>
      <c r="E188" s="2293"/>
      <c r="F188" s="2293"/>
      <c r="G188" s="2293"/>
      <c r="H188" s="2293"/>
      <c r="I188" s="2283"/>
      <c r="J188" s="234"/>
    </row>
    <row r="189" spans="1:13" x14ac:dyDescent="0.35">
      <c r="B189" s="2291" t="s">
        <v>2</v>
      </c>
      <c r="C189" s="2278"/>
      <c r="D189" s="2278"/>
      <c r="E189" s="2278"/>
      <c r="F189" s="2278"/>
      <c r="G189" s="2278"/>
      <c r="H189" s="2278"/>
      <c r="I189" s="2278"/>
      <c r="J189" s="234"/>
    </row>
    <row r="190" spans="1:13" x14ac:dyDescent="0.35">
      <c r="B190" s="236"/>
      <c r="C190" s="236"/>
      <c r="D190" s="236"/>
      <c r="E190" s="236"/>
      <c r="F190" s="236"/>
      <c r="G190" s="932"/>
      <c r="H190" s="932"/>
      <c r="I190" s="255"/>
      <c r="J190" s="234"/>
    </row>
    <row r="191" spans="1:13" x14ac:dyDescent="0.35">
      <c r="A191" s="1569" t="s">
        <v>3</v>
      </c>
      <c r="B191" s="932"/>
      <c r="C191" s="932"/>
      <c r="D191" s="932"/>
      <c r="E191" s="932"/>
      <c r="F191" s="932"/>
      <c r="G191" s="932"/>
      <c r="H191" s="932"/>
      <c r="I191" s="255"/>
      <c r="J191" s="234" t="s">
        <v>3</v>
      </c>
    </row>
    <row r="192" spans="1:13" x14ac:dyDescent="0.35">
      <c r="A192" s="6" t="s">
        <v>25</v>
      </c>
      <c r="B192" s="236"/>
      <c r="C192" s="236"/>
      <c r="D192" s="236"/>
      <c r="E192" s="236"/>
      <c r="F192" s="236"/>
      <c r="G192" s="415" t="s">
        <v>135</v>
      </c>
      <c r="H192" s="932"/>
      <c r="I192" s="1293" t="s">
        <v>9</v>
      </c>
      <c r="J192" s="6" t="s">
        <v>25</v>
      </c>
    </row>
    <row r="193" spans="1:10" x14ac:dyDescent="0.35">
      <c r="B193" s="989"/>
      <c r="G193" s="234"/>
      <c r="H193" s="234"/>
      <c r="I193" s="255"/>
      <c r="J193" s="234"/>
    </row>
    <row r="194" spans="1:10" ht="18" x14ac:dyDescent="0.35">
      <c r="A194" s="1569">
        <v>1</v>
      </c>
      <c r="B194" s="1295" t="s">
        <v>1413</v>
      </c>
      <c r="E194" s="932"/>
      <c r="F194" s="932"/>
      <c r="G194" s="1084"/>
      <c r="H194" s="1084"/>
      <c r="I194" s="255"/>
      <c r="J194" s="234">
        <f>A194</f>
        <v>1</v>
      </c>
    </row>
    <row r="195" spans="1:10" x14ac:dyDescent="0.35">
      <c r="A195" s="1569">
        <f>A194+1</f>
        <v>2</v>
      </c>
      <c r="B195" s="1307"/>
      <c r="E195" s="932"/>
      <c r="F195" s="932"/>
      <c r="G195" s="1084"/>
      <c r="H195" s="1084"/>
      <c r="I195" s="255"/>
      <c r="J195" s="234">
        <f>J194+1</f>
        <v>2</v>
      </c>
    </row>
    <row r="196" spans="1:10" x14ac:dyDescent="0.35">
      <c r="A196" s="1569">
        <f>A195+1</f>
        <v>3</v>
      </c>
      <c r="B196" s="1295" t="s">
        <v>445</v>
      </c>
      <c r="E196" s="932"/>
      <c r="F196" s="932"/>
      <c r="G196" s="1084"/>
      <c r="H196" s="1084"/>
      <c r="I196" s="255"/>
      <c r="J196" s="234">
        <f>J195+1</f>
        <v>3</v>
      </c>
    </row>
    <row r="197" spans="1:10" x14ac:dyDescent="0.35">
      <c r="A197" s="1569">
        <f>A196+1</f>
        <v>4</v>
      </c>
      <c r="B197" s="932"/>
      <c r="C197" s="932"/>
      <c r="D197" s="932"/>
      <c r="E197" s="932"/>
      <c r="F197" s="932"/>
      <c r="G197" s="1084"/>
      <c r="H197" s="1084"/>
      <c r="I197" s="255"/>
      <c r="J197" s="234">
        <f>J196+1</f>
        <v>4</v>
      </c>
    </row>
    <row r="198" spans="1:10" x14ac:dyDescent="0.35">
      <c r="A198" s="1569">
        <f t="shared" ref="A198:A259" si="9">A197+1</f>
        <v>5</v>
      </c>
      <c r="B198" s="990" t="s">
        <v>446</v>
      </c>
      <c r="C198" s="932"/>
      <c r="D198" s="932"/>
      <c r="E198" s="932"/>
      <c r="F198" s="932"/>
      <c r="G198" s="1084"/>
      <c r="H198" s="1084"/>
      <c r="I198" s="1308"/>
      <c r="J198" s="234">
        <f t="shared" ref="J198:J259" si="10">J197+1</f>
        <v>5</v>
      </c>
    </row>
    <row r="199" spans="1:10" x14ac:dyDescent="0.35">
      <c r="A199" s="1569">
        <f t="shared" si="9"/>
        <v>6</v>
      </c>
      <c r="B199" s="2237" t="s">
        <v>447</v>
      </c>
      <c r="D199" s="932"/>
      <c r="E199" s="932"/>
      <c r="F199" s="932"/>
      <c r="G199" s="425">
        <f>G89</f>
        <v>0</v>
      </c>
      <c r="H199" s="932"/>
      <c r="I199" s="1878" t="s">
        <v>1414</v>
      </c>
      <c r="J199" s="234">
        <f t="shared" si="10"/>
        <v>6</v>
      </c>
    </row>
    <row r="200" spans="1:10" x14ac:dyDescent="0.35">
      <c r="A200" s="1569">
        <f t="shared" si="9"/>
        <v>7</v>
      </c>
      <c r="B200" s="2237" t="s">
        <v>906</v>
      </c>
      <c r="D200" s="932"/>
      <c r="E200" s="932"/>
      <c r="F200" s="932"/>
      <c r="G200" s="438">
        <v>0</v>
      </c>
      <c r="H200" s="932"/>
      <c r="I200" s="1878" t="s">
        <v>464</v>
      </c>
      <c r="J200" s="234">
        <f t="shared" si="10"/>
        <v>7</v>
      </c>
    </row>
    <row r="201" spans="1:10" x14ac:dyDescent="0.35">
      <c r="A201" s="1569">
        <f t="shared" si="9"/>
        <v>8</v>
      </c>
      <c r="B201" s="2237" t="s">
        <v>448</v>
      </c>
      <c r="D201" s="932"/>
      <c r="E201" s="932"/>
      <c r="F201" s="932"/>
      <c r="G201" s="427">
        <v>0</v>
      </c>
      <c r="H201" s="932"/>
      <c r="I201" s="1113"/>
      <c r="J201" s="234">
        <f t="shared" si="10"/>
        <v>8</v>
      </c>
    </row>
    <row r="202" spans="1:10" x14ac:dyDescent="0.35">
      <c r="A202" s="1569">
        <f t="shared" si="9"/>
        <v>9</v>
      </c>
      <c r="B202" s="2237" t="s">
        <v>1321</v>
      </c>
      <c r="D202" s="932"/>
      <c r="E202" s="932"/>
      <c r="F202" s="932"/>
      <c r="G202" s="426">
        <f>'TO5 True-Up BK-1'!E141</f>
        <v>0</v>
      </c>
      <c r="H202" s="932"/>
      <c r="I202" s="1878" t="s">
        <v>1647</v>
      </c>
      <c r="J202" s="234">
        <f t="shared" si="10"/>
        <v>9</v>
      </c>
    </row>
    <row r="203" spans="1:10" x14ac:dyDescent="0.35">
      <c r="A203" s="1569">
        <f t="shared" si="9"/>
        <v>10</v>
      </c>
      <c r="B203" s="2237" t="s">
        <v>896</v>
      </c>
      <c r="C203" s="227"/>
      <c r="D203" s="932"/>
      <c r="E203" s="932"/>
      <c r="F203" s="932"/>
      <c r="G203" s="439">
        <f>G126</f>
        <v>0.21</v>
      </c>
      <c r="H203" s="932"/>
      <c r="I203" s="1878" t="s">
        <v>1415</v>
      </c>
      <c r="J203" s="234">
        <f t="shared" si="10"/>
        <v>10</v>
      </c>
    </row>
    <row r="204" spans="1:10" x14ac:dyDescent="0.35">
      <c r="A204" s="1569">
        <f t="shared" si="9"/>
        <v>11</v>
      </c>
      <c r="B204" s="989"/>
      <c r="G204" s="234"/>
      <c r="H204" s="234"/>
      <c r="J204" s="234">
        <f t="shared" si="10"/>
        <v>11</v>
      </c>
    </row>
    <row r="205" spans="1:10" x14ac:dyDescent="0.35">
      <c r="A205" s="1569">
        <f t="shared" si="9"/>
        <v>12</v>
      </c>
      <c r="B205" s="220" t="s">
        <v>814</v>
      </c>
      <c r="D205" s="932"/>
      <c r="E205" s="932"/>
      <c r="F205" s="932"/>
      <c r="G205" s="429">
        <f>IFERROR((((G199)+(G201/G202))*G203-(G200/G202))/(1-G203),0)</f>
        <v>0</v>
      </c>
      <c r="H205" s="429"/>
      <c r="I205" s="1878" t="s">
        <v>465</v>
      </c>
      <c r="J205" s="234">
        <f t="shared" si="10"/>
        <v>12</v>
      </c>
    </row>
    <row r="206" spans="1:10" x14ac:dyDescent="0.35">
      <c r="A206" s="1569">
        <f t="shared" si="9"/>
        <v>13</v>
      </c>
      <c r="B206" s="1314" t="s">
        <v>812</v>
      </c>
      <c r="G206" s="440"/>
      <c r="H206" s="440"/>
      <c r="J206" s="234">
        <f t="shared" si="10"/>
        <v>13</v>
      </c>
    </row>
    <row r="207" spans="1:10" x14ac:dyDescent="0.35">
      <c r="A207" s="1569">
        <f t="shared" si="9"/>
        <v>14</v>
      </c>
      <c r="B207" s="989"/>
      <c r="G207" s="234"/>
      <c r="H207" s="234"/>
      <c r="J207" s="234">
        <f t="shared" si="10"/>
        <v>14</v>
      </c>
    </row>
    <row r="208" spans="1:10" x14ac:dyDescent="0.35">
      <c r="A208" s="1569">
        <f t="shared" si="9"/>
        <v>15</v>
      </c>
      <c r="B208" s="1295" t="s">
        <v>451</v>
      </c>
      <c r="C208" s="932"/>
      <c r="D208" s="932"/>
      <c r="E208" s="932"/>
      <c r="F208" s="932"/>
      <c r="G208" s="430"/>
      <c r="H208" s="430"/>
      <c r="I208" s="1315"/>
      <c r="J208" s="234">
        <f t="shared" si="10"/>
        <v>15</v>
      </c>
    </row>
    <row r="209" spans="1:10" x14ac:dyDescent="0.35">
      <c r="A209" s="1569">
        <f t="shared" si="9"/>
        <v>16</v>
      </c>
      <c r="B209" s="1000"/>
      <c r="C209" s="932"/>
      <c r="D209" s="932"/>
      <c r="E209" s="932"/>
      <c r="F209" s="932"/>
      <c r="G209" s="430"/>
      <c r="H209" s="430"/>
      <c r="I209" s="1308"/>
      <c r="J209" s="234">
        <f t="shared" si="10"/>
        <v>16</v>
      </c>
    </row>
    <row r="210" spans="1:10" x14ac:dyDescent="0.35">
      <c r="A210" s="1569">
        <f t="shared" si="9"/>
        <v>17</v>
      </c>
      <c r="B210" s="990" t="s">
        <v>446</v>
      </c>
      <c r="C210" s="932"/>
      <c r="D210" s="932"/>
      <c r="E210" s="932"/>
      <c r="F210" s="932"/>
      <c r="G210" s="430"/>
      <c r="H210" s="430"/>
      <c r="I210" s="1308"/>
      <c r="J210" s="234">
        <f t="shared" si="10"/>
        <v>17</v>
      </c>
    </row>
    <row r="211" spans="1:10" x14ac:dyDescent="0.35">
      <c r="A211" s="1569">
        <f t="shared" si="9"/>
        <v>18</v>
      </c>
      <c r="B211" s="2237" t="s">
        <v>447</v>
      </c>
      <c r="D211" s="932"/>
      <c r="E211" s="932"/>
      <c r="F211" s="932"/>
      <c r="G211" s="418">
        <f>G199</f>
        <v>0</v>
      </c>
      <c r="H211" s="418"/>
      <c r="I211" s="1309" t="s">
        <v>1043</v>
      </c>
      <c r="J211" s="234">
        <f t="shared" si="10"/>
        <v>18</v>
      </c>
    </row>
    <row r="212" spans="1:10" s="2237" customFormat="1" x14ac:dyDescent="0.35">
      <c r="A212" s="2241">
        <f t="shared" si="9"/>
        <v>19</v>
      </c>
      <c r="B212" s="2237" t="s">
        <v>1489</v>
      </c>
      <c r="D212" s="2239"/>
      <c r="E212" s="2239"/>
      <c r="F212" s="2239"/>
      <c r="G212" s="438">
        <v>0</v>
      </c>
      <c r="H212" s="419"/>
      <c r="I212" s="1878" t="s">
        <v>464</v>
      </c>
      <c r="J212" s="2241">
        <f t="shared" si="10"/>
        <v>19</v>
      </c>
    </row>
    <row r="213" spans="1:10" x14ac:dyDescent="0.35">
      <c r="A213" s="2241">
        <f t="shared" si="9"/>
        <v>20</v>
      </c>
      <c r="B213" s="2237" t="s">
        <v>448</v>
      </c>
      <c r="D213" s="932"/>
      <c r="E213" s="932"/>
      <c r="F213" s="932"/>
      <c r="G213" s="431">
        <f>G201</f>
        <v>0</v>
      </c>
      <c r="H213" s="431"/>
      <c r="I213" s="1309" t="s">
        <v>1044</v>
      </c>
      <c r="J213" s="2241">
        <f t="shared" si="10"/>
        <v>20</v>
      </c>
    </row>
    <row r="214" spans="1:10" x14ac:dyDescent="0.35">
      <c r="A214" s="2241">
        <f t="shared" si="9"/>
        <v>21</v>
      </c>
      <c r="B214" s="2237" t="s">
        <v>1321</v>
      </c>
      <c r="D214" s="932"/>
      <c r="E214" s="932"/>
      <c r="F214" s="932"/>
      <c r="G214" s="431">
        <f>G202</f>
        <v>0</v>
      </c>
      <c r="H214" s="431"/>
      <c r="I214" s="1309" t="s">
        <v>1045</v>
      </c>
      <c r="J214" s="234">
        <f t="shared" si="10"/>
        <v>21</v>
      </c>
    </row>
    <row r="215" spans="1:10" x14ac:dyDescent="0.35">
      <c r="A215" s="1569">
        <f t="shared" si="9"/>
        <v>22</v>
      </c>
      <c r="B215" s="2237" t="s">
        <v>461</v>
      </c>
      <c r="D215" s="932"/>
      <c r="E215" s="932"/>
      <c r="F215" s="932"/>
      <c r="G215" s="433">
        <f>G205</f>
        <v>0</v>
      </c>
      <c r="H215" s="433"/>
      <c r="I215" s="1309" t="s">
        <v>1046</v>
      </c>
      <c r="J215" s="234">
        <f t="shared" si="10"/>
        <v>22</v>
      </c>
    </row>
    <row r="216" spans="1:10" x14ac:dyDescent="0.35">
      <c r="A216" s="1569">
        <f t="shared" si="9"/>
        <v>23</v>
      </c>
      <c r="B216" s="2237" t="s">
        <v>897</v>
      </c>
      <c r="C216" s="227"/>
      <c r="D216" s="932"/>
      <c r="E216" s="932"/>
      <c r="F216" s="932"/>
      <c r="G216" s="441" t="str">
        <f>G139</f>
        <v>8.84%</v>
      </c>
      <c r="H216" s="932"/>
      <c r="I216" s="1426" t="s">
        <v>1510</v>
      </c>
      <c r="J216" s="234">
        <f t="shared" si="10"/>
        <v>23</v>
      </c>
    </row>
    <row r="217" spans="1:10" x14ac:dyDescent="0.35">
      <c r="A217" s="1569">
        <f t="shared" si="9"/>
        <v>24</v>
      </c>
      <c r="B217" s="1"/>
      <c r="D217" s="932"/>
      <c r="E217" s="932"/>
      <c r="F217" s="932"/>
      <c r="G217" s="434"/>
      <c r="H217" s="434"/>
      <c r="I217" s="1317"/>
      <c r="J217" s="234">
        <f t="shared" si="10"/>
        <v>24</v>
      </c>
    </row>
    <row r="218" spans="1:10" x14ac:dyDescent="0.35">
      <c r="A218" s="1569">
        <f t="shared" si="9"/>
        <v>25</v>
      </c>
      <c r="B218" s="2237" t="s">
        <v>1490</v>
      </c>
      <c r="C218" s="236"/>
      <c r="D218" s="236"/>
      <c r="E218" s="932"/>
      <c r="F218" s="932"/>
      <c r="G218" s="435">
        <f>IFERROR((((G211)+(G213/G214)+G205)*G216-(G212/G214))/(1-G216),0)</f>
        <v>0</v>
      </c>
      <c r="H218" s="651"/>
      <c r="I218" s="1309" t="s">
        <v>462</v>
      </c>
      <c r="J218" s="234">
        <f t="shared" si="10"/>
        <v>25</v>
      </c>
    </row>
    <row r="219" spans="1:10" x14ac:dyDescent="0.35">
      <c r="A219" s="1569">
        <f t="shared" si="9"/>
        <v>26</v>
      </c>
      <c r="B219" s="1314" t="s">
        <v>813</v>
      </c>
      <c r="G219" s="234"/>
      <c r="H219" s="234"/>
      <c r="I219" s="255"/>
      <c r="J219" s="234">
        <f t="shared" si="10"/>
        <v>26</v>
      </c>
    </row>
    <row r="220" spans="1:10" x14ac:dyDescent="0.35">
      <c r="A220" s="1569">
        <f t="shared" si="9"/>
        <v>27</v>
      </c>
      <c r="B220" s="989"/>
      <c r="G220" s="234"/>
      <c r="H220" s="234"/>
      <c r="I220" s="255"/>
      <c r="J220" s="234">
        <f t="shared" si="10"/>
        <v>27</v>
      </c>
    </row>
    <row r="221" spans="1:10" x14ac:dyDescent="0.35">
      <c r="A221" s="1569">
        <f t="shared" si="9"/>
        <v>28</v>
      </c>
      <c r="B221" s="1295" t="s">
        <v>453</v>
      </c>
      <c r="G221" s="429">
        <f>G218+G205</f>
        <v>0</v>
      </c>
      <c r="H221" s="429"/>
      <c r="I221" s="1878" t="s">
        <v>1503</v>
      </c>
      <c r="J221" s="234">
        <f t="shared" si="10"/>
        <v>28</v>
      </c>
    </row>
    <row r="222" spans="1:10" x14ac:dyDescent="0.35">
      <c r="A222" s="1569">
        <f t="shared" si="9"/>
        <v>29</v>
      </c>
      <c r="B222" s="989"/>
      <c r="G222" s="234"/>
      <c r="H222" s="234"/>
      <c r="I222" s="1878"/>
      <c r="J222" s="234">
        <f t="shared" si="10"/>
        <v>29</v>
      </c>
    </row>
    <row r="223" spans="1:10" x14ac:dyDescent="0.35">
      <c r="A223" s="1569">
        <f t="shared" si="9"/>
        <v>30</v>
      </c>
      <c r="B223" s="1295" t="s">
        <v>466</v>
      </c>
      <c r="G223" s="442">
        <f>G87</f>
        <v>1.6599077318567683E-2</v>
      </c>
      <c r="H223" s="932"/>
      <c r="I223" s="1878" t="s">
        <v>1416</v>
      </c>
      <c r="J223" s="234">
        <f t="shared" si="10"/>
        <v>30</v>
      </c>
    </row>
    <row r="224" spans="1:10" x14ac:dyDescent="0.35">
      <c r="A224" s="1569">
        <f t="shared" si="9"/>
        <v>31</v>
      </c>
      <c r="B224" s="989"/>
      <c r="G224" s="234"/>
      <c r="H224" s="234"/>
      <c r="I224" s="1878"/>
      <c r="J224" s="234">
        <f t="shared" si="10"/>
        <v>31</v>
      </c>
    </row>
    <row r="225" spans="1:11" ht="18" thickBot="1" x14ac:dyDescent="0.4">
      <c r="A225" s="1569">
        <f t="shared" si="9"/>
        <v>32</v>
      </c>
      <c r="B225" s="1295" t="s">
        <v>1417</v>
      </c>
      <c r="G225" s="443">
        <f>G221+G223</f>
        <v>1.6599077318567683E-2</v>
      </c>
      <c r="H225" s="652"/>
      <c r="I225" s="1878" t="s">
        <v>1482</v>
      </c>
      <c r="J225" s="234">
        <f t="shared" si="10"/>
        <v>32</v>
      </c>
    </row>
    <row r="226" spans="1:11" ht="16.5" thickTop="1" thickBot="1" x14ac:dyDescent="0.4">
      <c r="A226" s="2169">
        <f t="shared" si="9"/>
        <v>33</v>
      </c>
      <c r="B226" s="2170"/>
      <c r="C226" s="2171"/>
      <c r="D226" s="2171"/>
      <c r="E226" s="2171"/>
      <c r="F226" s="2171"/>
      <c r="G226" s="2192"/>
      <c r="H226" s="2192"/>
      <c r="I226" s="2173"/>
      <c r="J226" s="2169">
        <f t="shared" si="10"/>
        <v>33</v>
      </c>
      <c r="K226" s="936"/>
    </row>
    <row r="227" spans="1:11" s="2138" customFormat="1" x14ac:dyDescent="0.35">
      <c r="A227" s="2141">
        <f t="shared" si="9"/>
        <v>34</v>
      </c>
      <c r="B227" s="1295"/>
      <c r="G227" s="723"/>
      <c r="H227" s="723"/>
      <c r="I227" s="1878"/>
      <c r="J227" s="2141">
        <f t="shared" si="10"/>
        <v>34</v>
      </c>
      <c r="K227" s="1418"/>
    </row>
    <row r="228" spans="1:11" s="2138" customFormat="1" ht="17.5" x14ac:dyDescent="0.35">
      <c r="A228" s="2141">
        <f t="shared" si="9"/>
        <v>35</v>
      </c>
      <c r="B228" s="1295" t="s">
        <v>1409</v>
      </c>
      <c r="E228" s="2140"/>
      <c r="F228" s="2140"/>
      <c r="G228" s="1084"/>
      <c r="H228" s="1084"/>
      <c r="I228" s="1878"/>
      <c r="J228" s="2141">
        <f t="shared" si="10"/>
        <v>35</v>
      </c>
      <c r="K228" s="1418"/>
    </row>
    <row r="229" spans="1:11" s="2138" customFormat="1" x14ac:dyDescent="0.35">
      <c r="A229" s="2141">
        <f t="shared" si="9"/>
        <v>36</v>
      </c>
      <c r="B229" s="1307"/>
      <c r="E229" s="2140"/>
      <c r="F229" s="2140"/>
      <c r="G229" s="1084"/>
      <c r="H229" s="1084"/>
      <c r="I229" s="1878"/>
      <c r="J229" s="2141">
        <f t="shared" si="10"/>
        <v>36</v>
      </c>
      <c r="K229" s="1418"/>
    </row>
    <row r="230" spans="1:11" s="2138" customFormat="1" x14ac:dyDescent="0.35">
      <c r="A230" s="2141">
        <f t="shared" si="9"/>
        <v>37</v>
      </c>
      <c r="B230" s="1295" t="s">
        <v>1310</v>
      </c>
      <c r="E230" s="2140"/>
      <c r="F230" s="2140"/>
      <c r="G230" s="1084"/>
      <c r="H230" s="1084"/>
      <c r="I230" s="1878"/>
      <c r="J230" s="2141">
        <f t="shared" si="10"/>
        <v>37</v>
      </c>
      <c r="K230" s="1418"/>
    </row>
    <row r="231" spans="1:11" s="2138" customFormat="1" x14ac:dyDescent="0.35">
      <c r="A231" s="2141">
        <f t="shared" si="9"/>
        <v>38</v>
      </c>
      <c r="B231" s="2140"/>
      <c r="C231" s="2140"/>
      <c r="D231" s="2140"/>
      <c r="E231" s="2140"/>
      <c r="F231" s="2140"/>
      <c r="G231" s="1084"/>
      <c r="H231" s="1084"/>
      <c r="I231" s="1878"/>
      <c r="J231" s="2141">
        <f t="shared" si="10"/>
        <v>38</v>
      </c>
      <c r="K231" s="1418"/>
    </row>
    <row r="232" spans="1:11" s="2138" customFormat="1" x14ac:dyDescent="0.35">
      <c r="A232" s="2141">
        <f t="shared" si="9"/>
        <v>39</v>
      </c>
      <c r="B232" s="2139" t="s">
        <v>446</v>
      </c>
      <c r="C232" s="2140"/>
      <c r="D232" s="2140"/>
      <c r="E232" s="2140"/>
      <c r="F232" s="2140"/>
      <c r="G232" s="1084"/>
      <c r="H232" s="1084"/>
      <c r="I232" s="1308"/>
      <c r="J232" s="2141">
        <f t="shared" si="10"/>
        <v>39</v>
      </c>
      <c r="K232" s="1418"/>
    </row>
    <row r="233" spans="1:11" s="2138" customFormat="1" x14ac:dyDescent="0.35">
      <c r="A233" s="2141">
        <f t="shared" si="9"/>
        <v>40</v>
      </c>
      <c r="B233" s="2138" t="s">
        <v>1256</v>
      </c>
      <c r="D233" s="2140"/>
      <c r="E233" s="2140"/>
      <c r="F233" s="2140"/>
      <c r="G233" s="2175">
        <f>G102</f>
        <v>0</v>
      </c>
      <c r="H233" s="2140"/>
      <c r="I233" s="1878" t="s">
        <v>1418</v>
      </c>
      <c r="J233" s="2141">
        <f t="shared" si="10"/>
        <v>40</v>
      </c>
      <c r="K233" s="1418"/>
    </row>
    <row r="234" spans="1:11" s="2138" customFormat="1" x14ac:dyDescent="0.35">
      <c r="A234" s="2141">
        <f t="shared" si="9"/>
        <v>41</v>
      </c>
      <c r="B234" s="2138" t="s">
        <v>906</v>
      </c>
      <c r="D234" s="2140"/>
      <c r="E234" s="2140"/>
      <c r="F234" s="2140"/>
      <c r="G234" s="2176">
        <v>0</v>
      </c>
      <c r="H234" s="2140"/>
      <c r="I234" s="1878" t="s">
        <v>464</v>
      </c>
      <c r="J234" s="2141">
        <f t="shared" si="10"/>
        <v>41</v>
      </c>
      <c r="K234" s="1418"/>
    </row>
    <row r="235" spans="1:11" s="2138" customFormat="1" x14ac:dyDescent="0.35">
      <c r="A235" s="2141">
        <f t="shared" si="9"/>
        <v>42</v>
      </c>
      <c r="B235" s="2138" t="s">
        <v>448</v>
      </c>
      <c r="D235" s="2140"/>
      <c r="E235" s="2140"/>
      <c r="F235" s="2140"/>
      <c r="G235" s="2193">
        <v>0</v>
      </c>
      <c r="H235" s="2140"/>
      <c r="I235" s="1113"/>
      <c r="J235" s="2141">
        <f t="shared" si="10"/>
        <v>42</v>
      </c>
      <c r="K235" s="1418"/>
    </row>
    <row r="236" spans="1:11" s="2138" customFormat="1" x14ac:dyDescent="0.35">
      <c r="A236" s="2141">
        <f t="shared" si="9"/>
        <v>43</v>
      </c>
      <c r="B236" s="2138" t="s">
        <v>1321</v>
      </c>
      <c r="D236" s="2140"/>
      <c r="E236" s="2140"/>
      <c r="F236" s="2140"/>
      <c r="G236" s="2194">
        <f>'TO5 True-Up BK-1'!E141</f>
        <v>0</v>
      </c>
      <c r="H236" s="2140"/>
      <c r="I236" s="1878" t="s">
        <v>1647</v>
      </c>
      <c r="J236" s="2141">
        <f t="shared" si="10"/>
        <v>43</v>
      </c>
      <c r="K236" s="1418"/>
    </row>
    <row r="237" spans="1:11" s="2138" customFormat="1" x14ac:dyDescent="0.35">
      <c r="A237" s="2141">
        <f t="shared" si="9"/>
        <v>44</v>
      </c>
      <c r="B237" s="2138" t="s">
        <v>896</v>
      </c>
      <c r="D237" s="2140"/>
      <c r="E237" s="2140"/>
      <c r="F237" s="2140"/>
      <c r="G237" s="2195" t="str">
        <f>G160</f>
        <v>21%</v>
      </c>
      <c r="H237" s="2140"/>
      <c r="I237" s="1878" t="s">
        <v>1511</v>
      </c>
      <c r="J237" s="2141">
        <f t="shared" si="10"/>
        <v>44</v>
      </c>
      <c r="K237" s="1418"/>
    </row>
    <row r="238" spans="1:11" s="2138" customFormat="1" x14ac:dyDescent="0.35">
      <c r="A238" s="2141">
        <f t="shared" si="9"/>
        <v>45</v>
      </c>
      <c r="G238" s="2141"/>
      <c r="H238" s="2141"/>
      <c r="I238" s="726"/>
      <c r="J238" s="2141">
        <f t="shared" si="10"/>
        <v>45</v>
      </c>
      <c r="K238" s="1418"/>
    </row>
    <row r="239" spans="1:11" s="2138" customFormat="1" x14ac:dyDescent="0.35">
      <c r="A239" s="2141">
        <f t="shared" si="9"/>
        <v>46</v>
      </c>
      <c r="B239" s="2138" t="s">
        <v>811</v>
      </c>
      <c r="D239" s="2140"/>
      <c r="E239" s="2140"/>
      <c r="F239" s="2140"/>
      <c r="G239" s="2181">
        <f>IFERROR((((G233)+(G235/G236))*G237-(G234/G236))/(1-G237),0)</f>
        <v>0</v>
      </c>
      <c r="H239" s="2181"/>
      <c r="I239" s="1878" t="s">
        <v>465</v>
      </c>
      <c r="J239" s="2141">
        <f t="shared" si="10"/>
        <v>46</v>
      </c>
      <c r="K239" s="1418"/>
    </row>
    <row r="240" spans="1:11" s="2138" customFormat="1" x14ac:dyDescent="0.35">
      <c r="A240" s="2141">
        <f t="shared" si="9"/>
        <v>47</v>
      </c>
      <c r="B240" s="1411" t="s">
        <v>812</v>
      </c>
      <c r="D240" s="1411"/>
      <c r="G240" s="2174"/>
      <c r="H240" s="2174"/>
      <c r="I240" s="726"/>
      <c r="J240" s="2141">
        <f t="shared" si="10"/>
        <v>47</v>
      </c>
      <c r="K240" s="1418"/>
    </row>
    <row r="241" spans="1:11" s="2138" customFormat="1" x14ac:dyDescent="0.35">
      <c r="A241" s="2141">
        <f t="shared" si="9"/>
        <v>48</v>
      </c>
      <c r="G241" s="2141"/>
      <c r="H241" s="2141"/>
      <c r="I241" s="726"/>
      <c r="J241" s="2141">
        <f t="shared" si="10"/>
        <v>48</v>
      </c>
      <c r="K241" s="1418"/>
    </row>
    <row r="242" spans="1:11" s="2138" customFormat="1" x14ac:dyDescent="0.35">
      <c r="A242" s="2141">
        <f t="shared" si="9"/>
        <v>49</v>
      </c>
      <c r="B242" s="1295" t="s">
        <v>451</v>
      </c>
      <c r="C242" s="2140"/>
      <c r="D242" s="2140"/>
      <c r="E242" s="2140"/>
      <c r="F242" s="2140"/>
      <c r="G242" s="430"/>
      <c r="H242" s="430"/>
      <c r="I242" s="2182"/>
      <c r="J242" s="2141">
        <f t="shared" si="10"/>
        <v>49</v>
      </c>
      <c r="K242" s="1418"/>
    </row>
    <row r="243" spans="1:11" s="2138" customFormat="1" x14ac:dyDescent="0.35">
      <c r="A243" s="2141">
        <f t="shared" si="9"/>
        <v>50</v>
      </c>
      <c r="B243" s="944"/>
      <c r="C243" s="2140"/>
      <c r="D243" s="2140"/>
      <c r="E243" s="2140"/>
      <c r="F243" s="2140"/>
      <c r="G243" s="430"/>
      <c r="H243" s="430"/>
      <c r="I243" s="1308"/>
      <c r="J243" s="2141">
        <f t="shared" si="10"/>
        <v>50</v>
      </c>
      <c r="K243" s="1418"/>
    </row>
    <row r="244" spans="1:11" s="2138" customFormat="1" x14ac:dyDescent="0.35">
      <c r="A244" s="2141">
        <f t="shared" si="9"/>
        <v>51</v>
      </c>
      <c r="B244" s="2139" t="s">
        <v>446</v>
      </c>
      <c r="C244" s="2140"/>
      <c r="D244" s="2140"/>
      <c r="E244" s="2140"/>
      <c r="F244" s="2140"/>
      <c r="G244" s="430"/>
      <c r="H244" s="430"/>
      <c r="I244" s="1308"/>
      <c r="J244" s="2141">
        <f t="shared" si="10"/>
        <v>51</v>
      </c>
      <c r="K244" s="1418"/>
    </row>
    <row r="245" spans="1:11" s="2138" customFormat="1" x14ac:dyDescent="0.35">
      <c r="A245" s="2141">
        <f t="shared" si="9"/>
        <v>52</v>
      </c>
      <c r="B245" s="2138" t="s">
        <v>1256</v>
      </c>
      <c r="D245" s="2140"/>
      <c r="E245" s="2140"/>
      <c r="F245" s="2140"/>
      <c r="G245" s="2161">
        <f>G233</f>
        <v>0</v>
      </c>
      <c r="H245" s="2161"/>
      <c r="I245" s="1878" t="s">
        <v>1504</v>
      </c>
      <c r="J245" s="2141">
        <f t="shared" si="10"/>
        <v>52</v>
      </c>
      <c r="K245" s="1418"/>
    </row>
    <row r="246" spans="1:11" s="2237" customFormat="1" x14ac:dyDescent="0.35">
      <c r="A246" s="2241">
        <f t="shared" si="9"/>
        <v>53</v>
      </c>
      <c r="B246" s="2237" t="s">
        <v>1489</v>
      </c>
      <c r="D246" s="2240"/>
      <c r="E246" s="2240"/>
      <c r="F246" s="2240"/>
      <c r="G246" s="438">
        <v>0</v>
      </c>
      <c r="H246" s="416"/>
      <c r="I246" s="1878" t="s">
        <v>464</v>
      </c>
      <c r="J246" s="2241">
        <f t="shared" si="10"/>
        <v>53</v>
      </c>
      <c r="K246" s="1418"/>
    </row>
    <row r="247" spans="1:11" s="2138" customFormat="1" x14ac:dyDescent="0.35">
      <c r="A247" s="2241">
        <f t="shared" si="9"/>
        <v>54</v>
      </c>
      <c r="B247" s="2237" t="s">
        <v>448</v>
      </c>
      <c r="D247" s="2140"/>
      <c r="E247" s="2140"/>
      <c r="F247" s="2140"/>
      <c r="G247" s="2184">
        <f>G235</f>
        <v>0</v>
      </c>
      <c r="H247" s="2184"/>
      <c r="I247" s="1878" t="s">
        <v>1505</v>
      </c>
      <c r="J247" s="2241">
        <f t="shared" si="10"/>
        <v>54</v>
      </c>
      <c r="K247" s="1418"/>
    </row>
    <row r="248" spans="1:11" s="2138" customFormat="1" x14ac:dyDescent="0.35">
      <c r="A248" s="2241">
        <f t="shared" si="9"/>
        <v>55</v>
      </c>
      <c r="B248" s="2237" t="s">
        <v>1321</v>
      </c>
      <c r="D248" s="2140"/>
      <c r="E248" s="2140"/>
      <c r="F248" s="2140"/>
      <c r="G248" s="2184">
        <f>G236</f>
        <v>0</v>
      </c>
      <c r="H248" s="2184"/>
      <c r="I248" s="1878" t="s">
        <v>1506</v>
      </c>
      <c r="J248" s="2241">
        <f t="shared" si="10"/>
        <v>55</v>
      </c>
      <c r="K248" s="1418"/>
    </row>
    <row r="249" spans="1:11" s="2138" customFormat="1" x14ac:dyDescent="0.35">
      <c r="A249" s="2241">
        <f t="shared" si="9"/>
        <v>56</v>
      </c>
      <c r="B249" s="2237" t="s">
        <v>461</v>
      </c>
      <c r="D249" s="2140"/>
      <c r="E249" s="2140"/>
      <c r="F249" s="2140"/>
      <c r="G249" s="2186">
        <f>G239</f>
        <v>0</v>
      </c>
      <c r="H249" s="2186"/>
      <c r="I249" s="1878" t="s">
        <v>1507</v>
      </c>
      <c r="J249" s="2241">
        <f t="shared" si="10"/>
        <v>56</v>
      </c>
      <c r="K249" s="1418"/>
    </row>
    <row r="250" spans="1:11" s="2138" customFormat="1" x14ac:dyDescent="0.35">
      <c r="A250" s="2241">
        <f t="shared" si="9"/>
        <v>57</v>
      </c>
      <c r="B250" s="2237" t="s">
        <v>897</v>
      </c>
      <c r="D250" s="2140"/>
      <c r="E250" s="2140"/>
      <c r="F250" s="2140"/>
      <c r="G250" s="2196" t="str">
        <f>G173</f>
        <v>8.84%</v>
      </c>
      <c r="H250" s="2140"/>
      <c r="I250" s="1878" t="s">
        <v>1512</v>
      </c>
      <c r="J250" s="2241">
        <f t="shared" si="10"/>
        <v>57</v>
      </c>
      <c r="K250" s="1418"/>
    </row>
    <row r="251" spans="1:11" s="2138" customFormat="1" x14ac:dyDescent="0.35">
      <c r="A251" s="2241">
        <f t="shared" si="9"/>
        <v>58</v>
      </c>
      <c r="B251" s="2137"/>
      <c r="D251" s="2140"/>
      <c r="E251" s="2140"/>
      <c r="F251" s="2140"/>
      <c r="G251" s="2187"/>
      <c r="H251" s="2187"/>
      <c r="I251" s="2183"/>
      <c r="J251" s="2141">
        <f t="shared" si="10"/>
        <v>58</v>
      </c>
      <c r="K251" s="1418"/>
    </row>
    <row r="252" spans="1:11" s="2138" customFormat="1" x14ac:dyDescent="0.35">
      <c r="A252" s="2241">
        <f t="shared" si="9"/>
        <v>59</v>
      </c>
      <c r="B252" s="2237" t="s">
        <v>1490</v>
      </c>
      <c r="C252" s="2141"/>
      <c r="D252" s="2141"/>
      <c r="E252" s="2140"/>
      <c r="F252" s="2140"/>
      <c r="G252" s="2188">
        <f>IFERROR((((G245)+(G247/G248)+G239)*G250-(G246/G248))/(1-G250),0)</f>
        <v>0</v>
      </c>
      <c r="H252" s="2189"/>
      <c r="I252" s="1878" t="s">
        <v>462</v>
      </c>
      <c r="J252" s="2141">
        <f t="shared" si="10"/>
        <v>59</v>
      </c>
      <c r="K252" s="1418"/>
    </row>
    <row r="253" spans="1:11" s="2138" customFormat="1" x14ac:dyDescent="0.35">
      <c r="A253" s="2141">
        <f t="shared" si="9"/>
        <v>60</v>
      </c>
      <c r="B253" s="1411" t="s">
        <v>813</v>
      </c>
      <c r="D253" s="1411"/>
      <c r="G253" s="2141"/>
      <c r="H253" s="2141"/>
      <c r="I253" s="1878"/>
      <c r="J253" s="2141">
        <f t="shared" si="10"/>
        <v>60</v>
      </c>
      <c r="K253" s="1418"/>
    </row>
    <row r="254" spans="1:11" s="2138" customFormat="1" x14ac:dyDescent="0.35">
      <c r="A254" s="2141">
        <f t="shared" si="9"/>
        <v>61</v>
      </c>
      <c r="G254" s="2141"/>
      <c r="H254" s="2141"/>
      <c r="I254" s="1878"/>
      <c r="J254" s="2141">
        <f t="shared" si="10"/>
        <v>61</v>
      </c>
      <c r="K254" s="1418"/>
    </row>
    <row r="255" spans="1:11" s="2138" customFormat="1" x14ac:dyDescent="0.35">
      <c r="A255" s="2141">
        <f t="shared" si="9"/>
        <v>62</v>
      </c>
      <c r="B255" s="1295" t="s">
        <v>453</v>
      </c>
      <c r="G255" s="2181">
        <f>G252+G239</f>
        <v>0</v>
      </c>
      <c r="H255" s="2181"/>
      <c r="I255" s="1878" t="s">
        <v>1508</v>
      </c>
      <c r="J255" s="2141">
        <f t="shared" si="10"/>
        <v>62</v>
      </c>
      <c r="K255" s="1418"/>
    </row>
    <row r="256" spans="1:11" s="2138" customFormat="1" x14ac:dyDescent="0.35">
      <c r="A256" s="2141">
        <f t="shared" si="9"/>
        <v>63</v>
      </c>
      <c r="G256" s="2141"/>
      <c r="H256" s="2141"/>
      <c r="I256" s="1878"/>
      <c r="J256" s="2141">
        <f t="shared" si="10"/>
        <v>63</v>
      </c>
      <c r="K256" s="1418"/>
    </row>
    <row r="257" spans="1:11" s="2138" customFormat="1" x14ac:dyDescent="0.35">
      <c r="A257" s="2141">
        <f t="shared" si="9"/>
        <v>64</v>
      </c>
      <c r="B257" s="1295" t="s">
        <v>1257</v>
      </c>
      <c r="G257" s="2197">
        <f>G100</f>
        <v>0</v>
      </c>
      <c r="H257" s="2140"/>
      <c r="I257" s="1878" t="s">
        <v>1420</v>
      </c>
      <c r="J257" s="2141">
        <f t="shared" si="10"/>
        <v>64</v>
      </c>
      <c r="K257" s="1418"/>
    </row>
    <row r="258" spans="1:11" s="2138" customFormat="1" x14ac:dyDescent="0.35">
      <c r="A258" s="2141">
        <f t="shared" si="9"/>
        <v>65</v>
      </c>
      <c r="G258" s="2141"/>
      <c r="H258" s="2141"/>
      <c r="I258" s="1878"/>
      <c r="J258" s="2141">
        <f t="shared" si="10"/>
        <v>65</v>
      </c>
      <c r="K258" s="1418"/>
    </row>
    <row r="259" spans="1:11" s="2138" customFormat="1" ht="18" thickBot="1" x14ac:dyDescent="0.4">
      <c r="A259" s="2141">
        <f t="shared" si="9"/>
        <v>66</v>
      </c>
      <c r="B259" s="1295" t="s">
        <v>1412</v>
      </c>
      <c r="G259" s="437">
        <f>G255+G257</f>
        <v>0</v>
      </c>
      <c r="H259" s="723"/>
      <c r="I259" s="1878" t="s">
        <v>1509</v>
      </c>
      <c r="J259" s="2141">
        <f t="shared" si="10"/>
        <v>66</v>
      </c>
      <c r="K259" s="1418"/>
    </row>
    <row r="260" spans="1:11" s="2138" customFormat="1" ht="16" thickTop="1" x14ac:dyDescent="0.35">
      <c r="A260" s="2141"/>
      <c r="I260" s="726"/>
      <c r="K260" s="1418"/>
    </row>
    <row r="261" spans="1:11" s="2138" customFormat="1" ht="18" x14ac:dyDescent="0.35">
      <c r="A261" s="1412">
        <v>1</v>
      </c>
      <c r="B261" s="2138" t="s">
        <v>1513</v>
      </c>
      <c r="I261" s="726"/>
      <c r="K261" s="1418"/>
    </row>
    <row r="262" spans="1:11" s="2138" customFormat="1" x14ac:dyDescent="0.35">
      <c r="A262" s="2141"/>
      <c r="I262" s="726"/>
      <c r="K262" s="1418"/>
    </row>
    <row r="263" spans="1:11" s="2138" customFormat="1" x14ac:dyDescent="0.35">
      <c r="A263" s="2141"/>
      <c r="I263" s="726"/>
      <c r="K263" s="1418"/>
    </row>
    <row r="264" spans="1:11" s="2138" customFormat="1" x14ac:dyDescent="0.35">
      <c r="A264" s="2141"/>
      <c r="I264" s="726"/>
      <c r="K264" s="1418"/>
    </row>
    <row r="265" spans="1:11" s="2138" customFormat="1" x14ac:dyDescent="0.35">
      <c r="A265" s="2141"/>
      <c r="I265" s="726"/>
      <c r="K265" s="1418"/>
    </row>
    <row r="266" spans="1:11" s="2138" customFormat="1" x14ac:dyDescent="0.35">
      <c r="A266" s="2141"/>
      <c r="I266" s="726"/>
      <c r="K266" s="1418"/>
    </row>
    <row r="267" spans="1:11" s="2138" customFormat="1" x14ac:dyDescent="0.35">
      <c r="A267" s="2141"/>
      <c r="I267" s="726"/>
      <c r="K267" s="1418"/>
    </row>
    <row r="268" spans="1:11" s="2138" customFormat="1" x14ac:dyDescent="0.35">
      <c r="A268" s="2141"/>
      <c r="I268" s="726"/>
      <c r="K268" s="1418"/>
    </row>
    <row r="269" spans="1:11" s="2138" customFormat="1" x14ac:dyDescent="0.35">
      <c r="A269" s="2141"/>
      <c r="I269" s="726"/>
      <c r="K269" s="1418"/>
    </row>
    <row r="271" spans="1:11" ht="18" x14ac:dyDescent="0.35">
      <c r="A271" s="1251"/>
      <c r="B271" s="227"/>
    </row>
  </sheetData>
  <mergeCells count="20">
    <mergeCell ref="B187:I187"/>
    <mergeCell ref="B188:I188"/>
    <mergeCell ref="B189:I189"/>
    <mergeCell ref="B185:I185"/>
    <mergeCell ref="B186:I186"/>
    <mergeCell ref="B70:I70"/>
    <mergeCell ref="B71:I71"/>
    <mergeCell ref="B72:I72"/>
    <mergeCell ref="B73:I73"/>
    <mergeCell ref="B74:I74"/>
    <mergeCell ref="B2:I2"/>
    <mergeCell ref="B3:I3"/>
    <mergeCell ref="B4:I4"/>
    <mergeCell ref="B5:I5"/>
    <mergeCell ref="B6:I6"/>
    <mergeCell ref="B112:I112"/>
    <mergeCell ref="B108:I108"/>
    <mergeCell ref="B109:I109"/>
    <mergeCell ref="B110:I110"/>
    <mergeCell ref="B111:I111"/>
  </mergeCells>
  <printOptions horizontalCentered="1"/>
  <pageMargins left="0.5" right="0.5" top="0.5" bottom="0.5" header="0.25" footer="0.25"/>
  <pageSetup scale="55" fitToHeight="0" orientation="portrait" r:id="rId1"/>
  <headerFooter scaleWithDoc="0">
    <oddFooter xml:space="preserve">&amp;C&amp;"Times New Roman,Regular"&amp;10&amp;A
Page &amp;P of &amp;N
</oddFooter>
    <evenFooter>&amp;C&amp;"Times New Roman,Regular"&amp;10TO4 AV2</evenFooter>
    <firstFooter>&amp;C&amp;"Times New Roman,Regular"&amp;10TO4 AV1</firstFooter>
  </headerFooter>
  <rowBreaks count="3" manualBreakCount="3">
    <brk id="68" max="16383" man="1"/>
    <brk id="106" max="16383" man="1"/>
    <brk id="183" max="16383"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zoomScale="80" zoomScaleNormal="80" workbookViewId="0"/>
  </sheetViews>
  <sheetFormatPr defaultColWidth="9.08984375" defaultRowHeight="15.5" x14ac:dyDescent="0.35"/>
  <cols>
    <col min="1" max="1" width="5.08984375" style="945" customWidth="1"/>
    <col min="2" max="3" width="19.54296875" style="7" customWidth="1"/>
    <col min="4" max="5" width="20.90625" style="7" customWidth="1"/>
    <col min="6" max="6" width="35.54296875" style="229" customWidth="1"/>
    <col min="7" max="7" width="20.90625" style="7" customWidth="1"/>
    <col min="8" max="8" width="35.08984375" style="7" customWidth="1"/>
    <col min="9" max="9" width="5.08984375" style="945" customWidth="1"/>
    <col min="10" max="10" width="8.90625" style="7" customWidth="1"/>
    <col min="11" max="11" width="9" style="7" customWidth="1"/>
    <col min="12" max="12" width="14" style="7" customWidth="1"/>
    <col min="13" max="13" width="13.08984375" style="7" customWidth="1"/>
    <col min="14" max="14" width="12.90625" style="7" customWidth="1"/>
    <col min="15" max="15" width="13.54296875" style="7" customWidth="1"/>
    <col min="16" max="16" width="12.54296875" style="7" customWidth="1"/>
    <col min="17" max="16384" width="9.08984375" style="7"/>
  </cols>
  <sheetData>
    <row r="1" spans="1:13" x14ac:dyDescent="0.35">
      <c r="M1" s="1363"/>
    </row>
    <row r="2" spans="1:13" x14ac:dyDescent="0.35">
      <c r="B2" s="2289" t="s">
        <v>18</v>
      </c>
      <c r="C2" s="2289"/>
      <c r="D2" s="2289"/>
      <c r="E2" s="2289"/>
      <c r="F2" s="2289"/>
      <c r="G2" s="2289"/>
      <c r="H2" s="2289"/>
      <c r="I2" s="1726"/>
      <c r="J2" s="1726"/>
      <c r="M2" s="1363"/>
    </row>
    <row r="3" spans="1:13" x14ac:dyDescent="0.35">
      <c r="B3" s="2279" t="s">
        <v>1637</v>
      </c>
      <c r="C3" s="2279"/>
      <c r="D3" s="2279"/>
      <c r="E3" s="2279"/>
      <c r="F3" s="2279"/>
      <c r="G3" s="2279"/>
      <c r="H3" s="2279"/>
      <c r="I3" s="1726"/>
      <c r="J3" s="1726"/>
      <c r="M3" s="1363"/>
    </row>
    <row r="4" spans="1:13" x14ac:dyDescent="0.35">
      <c r="B4" s="2283" t="str">
        <f>'True-Up'!B4</f>
        <v>For 12-Month True-Up Period January 1, 2021 Through December 31, 2021</v>
      </c>
      <c r="C4" s="2283"/>
      <c r="D4" s="2283"/>
      <c r="E4" s="2283"/>
      <c r="F4" s="2283"/>
      <c r="G4" s="2283"/>
      <c r="H4" s="2283"/>
      <c r="I4" s="1726"/>
      <c r="J4" s="1726"/>
      <c r="M4" s="1363"/>
    </row>
    <row r="5" spans="1:13" x14ac:dyDescent="0.35">
      <c r="B5" s="2277" t="s">
        <v>2</v>
      </c>
      <c r="C5" s="2277"/>
      <c r="D5" s="2277"/>
      <c r="E5" s="2277"/>
      <c r="F5" s="2277"/>
      <c r="G5" s="2277"/>
      <c r="H5" s="2277"/>
      <c r="I5" s="1726"/>
      <c r="J5" s="1726"/>
    </row>
    <row r="6" spans="1:13" x14ac:dyDescent="0.35">
      <c r="A6" s="1726"/>
      <c r="B6" s="1726"/>
      <c r="C6" s="1726"/>
      <c r="D6" s="1726"/>
      <c r="E6" s="1726"/>
      <c r="F6" s="1726"/>
      <c r="G6" s="1726"/>
      <c r="H6" s="1726"/>
      <c r="I6" s="1726"/>
      <c r="J6" s="1726"/>
    </row>
    <row r="7" spans="1:13" x14ac:dyDescent="0.35">
      <c r="A7" s="1730" t="s">
        <v>3</v>
      </c>
      <c r="B7" s="1726"/>
      <c r="C7" s="1726"/>
      <c r="D7" s="1726"/>
      <c r="E7" s="1726"/>
      <c r="F7" s="1726"/>
      <c r="G7" s="1726"/>
      <c r="H7" s="1726"/>
      <c r="I7" s="1730" t="s">
        <v>3</v>
      </c>
      <c r="J7" s="1726"/>
    </row>
    <row r="8" spans="1:13" x14ac:dyDescent="0.35">
      <c r="A8" s="6" t="s">
        <v>25</v>
      </c>
      <c r="E8" s="1348"/>
      <c r="F8" s="7"/>
      <c r="I8" s="6" t="s">
        <v>25</v>
      </c>
      <c r="J8" s="1347"/>
    </row>
    <row r="9" spans="1:13" x14ac:dyDescent="0.35">
      <c r="A9" s="1347"/>
      <c r="E9" s="1348"/>
      <c r="F9" s="7"/>
      <c r="I9" s="1347"/>
      <c r="J9" s="1347"/>
    </row>
    <row r="10" spans="1:13" x14ac:dyDescent="0.35">
      <c r="A10" s="945">
        <v>1</v>
      </c>
      <c r="C10" s="1351" t="s">
        <v>981</v>
      </c>
      <c r="D10" s="1351" t="s">
        <v>982</v>
      </c>
      <c r="E10" s="1351" t="s">
        <v>983</v>
      </c>
      <c r="F10" s="1351" t="s">
        <v>984</v>
      </c>
      <c r="G10" s="1351" t="s">
        <v>985</v>
      </c>
      <c r="H10" s="1351" t="s">
        <v>986</v>
      </c>
      <c r="I10" s="945">
        <f>A10</f>
        <v>1</v>
      </c>
      <c r="J10" s="945"/>
    </row>
    <row r="11" spans="1:13" x14ac:dyDescent="0.35">
      <c r="A11" s="945">
        <f>A10+1</f>
        <v>2</v>
      </c>
      <c r="B11" s="949" t="s">
        <v>668</v>
      </c>
      <c r="C11" s="1351"/>
      <c r="D11" s="1730"/>
      <c r="E11" s="1730" t="s">
        <v>1006</v>
      </c>
      <c r="F11" s="1730" t="s">
        <v>1007</v>
      </c>
      <c r="G11" s="414" t="s">
        <v>1008</v>
      </c>
      <c r="H11" s="414" t="s">
        <v>1009</v>
      </c>
      <c r="I11" s="945">
        <f>I10+1</f>
        <v>2</v>
      </c>
      <c r="J11" s="945"/>
    </row>
    <row r="12" spans="1:13" x14ac:dyDescent="0.35">
      <c r="A12" s="945">
        <f t="shared" ref="A12:A28" si="0">A11+1</f>
        <v>3</v>
      </c>
      <c r="C12" s="1351"/>
      <c r="D12" s="1351"/>
      <c r="E12" s="1351"/>
      <c r="F12" s="1726"/>
      <c r="G12" s="1351"/>
      <c r="H12" s="1351"/>
      <c r="I12" s="945">
        <f t="shared" ref="I12:I28" si="1">I11+1</f>
        <v>3</v>
      </c>
      <c r="J12" s="945"/>
    </row>
    <row r="13" spans="1:13" x14ac:dyDescent="0.35">
      <c r="A13" s="945">
        <f t="shared" si="0"/>
        <v>4</v>
      </c>
      <c r="C13" s="1726"/>
      <c r="D13" s="1726" t="s">
        <v>687</v>
      </c>
      <c r="E13" s="1726" t="s">
        <v>670</v>
      </c>
      <c r="F13" s="1726" t="s">
        <v>793</v>
      </c>
      <c r="H13" s="1726" t="s">
        <v>793</v>
      </c>
      <c r="I13" s="945">
        <f t="shared" si="1"/>
        <v>4</v>
      </c>
      <c r="J13" s="945"/>
    </row>
    <row r="14" spans="1:13" x14ac:dyDescent="0.35">
      <c r="A14" s="945">
        <f t="shared" si="0"/>
        <v>5</v>
      </c>
      <c r="C14" s="1726"/>
      <c r="D14" s="1726" t="s">
        <v>673</v>
      </c>
      <c r="E14" s="1726" t="s">
        <v>672</v>
      </c>
      <c r="F14" s="1726" t="s">
        <v>792</v>
      </c>
      <c r="G14" s="1726"/>
      <c r="H14" s="1726" t="s">
        <v>792</v>
      </c>
      <c r="I14" s="945">
        <f t="shared" si="1"/>
        <v>5</v>
      </c>
      <c r="J14" s="945"/>
    </row>
    <row r="15" spans="1:13" ht="18" x14ac:dyDescent="0.35">
      <c r="A15" s="945">
        <f t="shared" si="0"/>
        <v>6</v>
      </c>
      <c r="B15" s="1355" t="s">
        <v>23</v>
      </c>
      <c r="C15" s="1355" t="s">
        <v>308</v>
      </c>
      <c r="D15" s="1312" t="s">
        <v>952</v>
      </c>
      <c r="E15" s="1312" t="s">
        <v>249</v>
      </c>
      <c r="F15" s="1312" t="s">
        <v>946</v>
      </c>
      <c r="G15" s="1379" t="s">
        <v>672</v>
      </c>
      <c r="H15" s="1312" t="s">
        <v>675</v>
      </c>
      <c r="I15" s="945">
        <f t="shared" si="1"/>
        <v>6</v>
      </c>
      <c r="J15" s="945"/>
    </row>
    <row r="16" spans="1:13" x14ac:dyDescent="0.35">
      <c r="A16" s="945">
        <f t="shared" si="0"/>
        <v>7</v>
      </c>
      <c r="B16" s="1356" t="s">
        <v>676</v>
      </c>
      <c r="C16" s="1357" t="str">
        <f>'True-Up'!C23</f>
        <v>2021</v>
      </c>
      <c r="D16" s="468">
        <v>50790.495954590406</v>
      </c>
      <c r="E16" s="469">
        <f>'True-Up'!J23</f>
        <v>2.8E-3</v>
      </c>
      <c r="F16" s="452">
        <f>D16</f>
        <v>50790.495954590406</v>
      </c>
      <c r="G16" s="452">
        <f>((F16))*E16</f>
        <v>142.21338867285314</v>
      </c>
      <c r="H16" s="452">
        <f t="shared" ref="H16:H27" si="2">F16+G16</f>
        <v>50932.709343263261</v>
      </c>
      <c r="I16" s="945">
        <f t="shared" si="1"/>
        <v>7</v>
      </c>
      <c r="J16" s="945"/>
    </row>
    <row r="17" spans="1:10" x14ac:dyDescent="0.35">
      <c r="A17" s="945">
        <f t="shared" si="0"/>
        <v>8</v>
      </c>
      <c r="B17" s="1358" t="s">
        <v>677</v>
      </c>
      <c r="C17" s="1357" t="str">
        <f>$C$16</f>
        <v>2021</v>
      </c>
      <c r="D17" s="470"/>
      <c r="E17" s="469">
        <f>'True-Up'!J24</f>
        <v>2.5000000000000001E-3</v>
      </c>
      <c r="F17" s="458">
        <f>H16</f>
        <v>50932.709343263261</v>
      </c>
      <c r="G17" s="458">
        <f t="shared" ref="G17:G27" si="3">((H16+F17)/2)*E17</f>
        <v>127.33177335815816</v>
      </c>
      <c r="H17" s="458">
        <f t="shared" si="2"/>
        <v>51060.041116621418</v>
      </c>
      <c r="I17" s="945">
        <f t="shared" si="1"/>
        <v>8</v>
      </c>
      <c r="J17" s="945"/>
    </row>
    <row r="18" spans="1:10" x14ac:dyDescent="0.35">
      <c r="A18" s="945">
        <f t="shared" si="0"/>
        <v>9</v>
      </c>
      <c r="B18" s="1358" t="s">
        <v>678</v>
      </c>
      <c r="C18" s="1357" t="str">
        <f t="shared" ref="C18:C27" si="4">$C$16</f>
        <v>2021</v>
      </c>
      <c r="D18" s="470"/>
      <c r="E18" s="469">
        <f>'True-Up'!J25</f>
        <v>2.8E-3</v>
      </c>
      <c r="F18" s="458">
        <f>H17</f>
        <v>51060.041116621418</v>
      </c>
      <c r="G18" s="458">
        <f t="shared" si="3"/>
        <v>142.96811512653997</v>
      </c>
      <c r="H18" s="458">
        <f t="shared" si="2"/>
        <v>51203.009231747958</v>
      </c>
      <c r="I18" s="945">
        <f t="shared" si="1"/>
        <v>9</v>
      </c>
      <c r="J18" s="945"/>
    </row>
    <row r="19" spans="1:10" x14ac:dyDescent="0.35">
      <c r="A19" s="945">
        <f t="shared" si="0"/>
        <v>10</v>
      </c>
      <c r="B19" s="1356" t="s">
        <v>679</v>
      </c>
      <c r="C19" s="1357" t="str">
        <f t="shared" si="4"/>
        <v>2021</v>
      </c>
      <c r="D19" s="470"/>
      <c r="E19" s="469">
        <f>'True-Up'!J26</f>
        <v>2.7000000000000001E-3</v>
      </c>
      <c r="F19" s="458">
        <f t="shared" ref="F19:F27" si="5">H18</f>
        <v>51203.009231747958</v>
      </c>
      <c r="G19" s="458">
        <f t="shared" si="3"/>
        <v>138.24812492571948</v>
      </c>
      <c r="H19" s="458">
        <f t="shared" si="2"/>
        <v>51341.257356673676</v>
      </c>
      <c r="I19" s="945">
        <f t="shared" si="1"/>
        <v>10</v>
      </c>
      <c r="J19" s="945"/>
    </row>
    <row r="20" spans="1:10" x14ac:dyDescent="0.35">
      <c r="A20" s="945">
        <f t="shared" si="0"/>
        <v>11</v>
      </c>
      <c r="B20" s="1358" t="s">
        <v>40</v>
      </c>
      <c r="C20" s="1357" t="str">
        <f t="shared" si="4"/>
        <v>2021</v>
      </c>
      <c r="D20" s="470"/>
      <c r="E20" s="469">
        <f>'True-Up'!J27</f>
        <v>2.8E-3</v>
      </c>
      <c r="F20" s="458">
        <f t="shared" si="5"/>
        <v>51341.257356673676</v>
      </c>
      <c r="G20" s="458">
        <f t="shared" si="3"/>
        <v>143.7555205986863</v>
      </c>
      <c r="H20" s="458">
        <f t="shared" si="2"/>
        <v>51485.012877272362</v>
      </c>
      <c r="I20" s="945">
        <f t="shared" si="1"/>
        <v>11</v>
      </c>
      <c r="J20" s="945"/>
    </row>
    <row r="21" spans="1:10" x14ac:dyDescent="0.35">
      <c r="A21" s="945">
        <f t="shared" si="0"/>
        <v>12</v>
      </c>
      <c r="B21" s="1358" t="s">
        <v>680</v>
      </c>
      <c r="C21" s="1357" t="str">
        <f t="shared" si="4"/>
        <v>2021</v>
      </c>
      <c r="D21" s="470"/>
      <c r="E21" s="469">
        <f>'True-Up'!J28</f>
        <v>2.7000000000000001E-3</v>
      </c>
      <c r="F21" s="458">
        <f t="shared" si="5"/>
        <v>51485.012877272362</v>
      </c>
      <c r="G21" s="458">
        <f t="shared" si="3"/>
        <v>139.00953476863538</v>
      </c>
      <c r="H21" s="458">
        <f t="shared" si="2"/>
        <v>51624.022412040998</v>
      </c>
      <c r="I21" s="945">
        <f t="shared" si="1"/>
        <v>12</v>
      </c>
      <c r="J21" s="945"/>
    </row>
    <row r="22" spans="1:10" x14ac:dyDescent="0.35">
      <c r="A22" s="945">
        <f t="shared" si="0"/>
        <v>13</v>
      </c>
      <c r="B22" s="1356" t="s">
        <v>681</v>
      </c>
      <c r="C22" s="1357" t="str">
        <f t="shared" si="4"/>
        <v>2021</v>
      </c>
      <c r="D22" s="470"/>
      <c r="E22" s="469">
        <f>'True-Up'!J29</f>
        <v>2.8E-3</v>
      </c>
      <c r="F22" s="458">
        <f t="shared" si="5"/>
        <v>51624.022412040998</v>
      </c>
      <c r="G22" s="458">
        <f t="shared" si="3"/>
        <v>144.54726275371479</v>
      </c>
      <c r="H22" s="458">
        <f t="shared" si="2"/>
        <v>51768.569674794715</v>
      </c>
      <c r="I22" s="945">
        <f t="shared" si="1"/>
        <v>13</v>
      </c>
      <c r="J22" s="945"/>
    </row>
    <row r="23" spans="1:10" x14ac:dyDescent="0.35">
      <c r="A23" s="945">
        <f t="shared" si="0"/>
        <v>14</v>
      </c>
      <c r="B23" s="1358" t="s">
        <v>682</v>
      </c>
      <c r="C23" s="1357" t="str">
        <f t="shared" si="4"/>
        <v>2021</v>
      </c>
      <c r="D23" s="470"/>
      <c r="E23" s="469">
        <f>'True-Up'!J30</f>
        <v>2.8E-3</v>
      </c>
      <c r="F23" s="458">
        <f t="shared" si="5"/>
        <v>51768.569674794715</v>
      </c>
      <c r="G23" s="458">
        <f t="shared" si="3"/>
        <v>144.9519950894252</v>
      </c>
      <c r="H23" s="458">
        <f t="shared" si="2"/>
        <v>51913.52166988414</v>
      </c>
      <c r="I23" s="945">
        <f t="shared" si="1"/>
        <v>14</v>
      </c>
      <c r="J23" s="945"/>
    </row>
    <row r="24" spans="1:10" x14ac:dyDescent="0.35">
      <c r="A24" s="945">
        <f t="shared" si="0"/>
        <v>15</v>
      </c>
      <c r="B24" s="1358" t="s">
        <v>683</v>
      </c>
      <c r="C24" s="1357" t="str">
        <f t="shared" si="4"/>
        <v>2021</v>
      </c>
      <c r="D24" s="470"/>
      <c r="E24" s="469">
        <f>'True-Up'!J31</f>
        <v>2.7000000000000001E-3</v>
      </c>
      <c r="F24" s="458">
        <f t="shared" si="5"/>
        <v>51913.52166988414</v>
      </c>
      <c r="G24" s="458">
        <f t="shared" si="3"/>
        <v>140.16650850868717</v>
      </c>
      <c r="H24" s="458">
        <f t="shared" si="2"/>
        <v>52053.688178392826</v>
      </c>
      <c r="I24" s="945">
        <f t="shared" si="1"/>
        <v>15</v>
      </c>
      <c r="J24" s="945"/>
    </row>
    <row r="25" spans="1:10" x14ac:dyDescent="0.35">
      <c r="A25" s="945">
        <f t="shared" si="0"/>
        <v>16</v>
      </c>
      <c r="B25" s="1356" t="s">
        <v>684</v>
      </c>
      <c r="C25" s="1357" t="str">
        <f t="shared" si="4"/>
        <v>2021</v>
      </c>
      <c r="D25" s="470"/>
      <c r="E25" s="469">
        <f>'True-Up'!J32</f>
        <v>2.8E-3</v>
      </c>
      <c r="F25" s="458">
        <f t="shared" si="5"/>
        <v>52053.688178392826</v>
      </c>
      <c r="G25" s="458">
        <f t="shared" si="3"/>
        <v>145.7503268994999</v>
      </c>
      <c r="H25" s="458">
        <f t="shared" si="2"/>
        <v>52199.438505292324</v>
      </c>
      <c r="I25" s="945">
        <f t="shared" si="1"/>
        <v>16</v>
      </c>
      <c r="J25" s="945"/>
    </row>
    <row r="26" spans="1:10" x14ac:dyDescent="0.35">
      <c r="A26" s="945">
        <f t="shared" si="0"/>
        <v>17</v>
      </c>
      <c r="B26" s="1356" t="s">
        <v>685</v>
      </c>
      <c r="C26" s="1357" t="str">
        <f t="shared" si="4"/>
        <v>2021</v>
      </c>
      <c r="D26" s="470"/>
      <c r="E26" s="469">
        <f>'True-Up'!J33</f>
        <v>2.7000000000000001E-3</v>
      </c>
      <c r="F26" s="458">
        <f t="shared" si="5"/>
        <v>52199.438505292324</v>
      </c>
      <c r="G26" s="458">
        <f t="shared" si="3"/>
        <v>140.93848396428928</v>
      </c>
      <c r="H26" s="458">
        <f t="shared" si="2"/>
        <v>52340.376989256612</v>
      </c>
      <c r="I26" s="945">
        <f t="shared" si="1"/>
        <v>17</v>
      </c>
      <c r="J26" s="945"/>
    </row>
    <row r="27" spans="1:10" x14ac:dyDescent="0.35">
      <c r="A27" s="945">
        <f t="shared" si="0"/>
        <v>18</v>
      </c>
      <c r="B27" s="1361" t="s">
        <v>686</v>
      </c>
      <c r="C27" s="1362" t="str">
        <f t="shared" si="4"/>
        <v>2021</v>
      </c>
      <c r="D27" s="471"/>
      <c r="E27" s="472">
        <f>'True-Up'!J34</f>
        <v>2.8E-3</v>
      </c>
      <c r="F27" s="462">
        <f t="shared" si="5"/>
        <v>52340.376989256612</v>
      </c>
      <c r="G27" s="462">
        <f t="shared" si="3"/>
        <v>146.55305556991851</v>
      </c>
      <c r="H27" s="462">
        <f t="shared" si="2"/>
        <v>52486.930044826528</v>
      </c>
      <c r="I27" s="945">
        <f t="shared" si="1"/>
        <v>18</v>
      </c>
      <c r="J27" s="945"/>
    </row>
    <row r="28" spans="1:10" ht="16" thickBot="1" x14ac:dyDescent="0.4">
      <c r="A28" s="945">
        <f t="shared" si="0"/>
        <v>19</v>
      </c>
      <c r="B28" s="1189"/>
      <c r="C28" s="1357"/>
      <c r="D28" s="470"/>
      <c r="E28" s="473"/>
      <c r="F28" s="474"/>
      <c r="G28" s="475">
        <f>SUM(G16:G27)</f>
        <v>1696.4340902361275</v>
      </c>
      <c r="H28" s="474"/>
      <c r="I28" s="945">
        <f t="shared" si="1"/>
        <v>19</v>
      </c>
      <c r="J28" s="945"/>
    </row>
    <row r="29" spans="1:10" ht="16" thickTop="1" x14ac:dyDescent="0.35">
      <c r="B29" s="1189"/>
      <c r="C29" s="1357"/>
      <c r="D29" s="470"/>
      <c r="E29" s="473"/>
      <c r="F29" s="474"/>
      <c r="G29" s="1365"/>
      <c r="H29" s="474"/>
      <c r="J29" s="945"/>
    </row>
    <row r="30" spans="1:10" x14ac:dyDescent="0.35">
      <c r="B30" s="1358"/>
      <c r="C30" s="1357"/>
      <c r="D30" s="483"/>
      <c r="E30" s="470"/>
      <c r="F30" s="1366"/>
      <c r="G30" s="473"/>
      <c r="H30" s="1367"/>
      <c r="I30" s="1587"/>
      <c r="J30" s="1368"/>
    </row>
    <row r="31" spans="1:10" ht="18" x14ac:dyDescent="0.35">
      <c r="A31" s="1330">
        <v>1</v>
      </c>
      <c r="B31" s="1358" t="s">
        <v>953</v>
      </c>
      <c r="C31" s="1357"/>
      <c r="D31" s="483"/>
      <c r="E31" s="470"/>
      <c r="F31" s="1366"/>
      <c r="G31" s="473"/>
      <c r="H31" s="1367"/>
      <c r="I31" s="1587"/>
      <c r="J31" s="1368"/>
    </row>
    <row r="32" spans="1:10" ht="18" x14ac:dyDescent="0.35">
      <c r="A32" s="1331">
        <v>2</v>
      </c>
      <c r="B32" s="1358" t="s">
        <v>949</v>
      </c>
      <c r="C32" s="1357"/>
      <c r="D32" s="483"/>
      <c r="E32" s="470"/>
      <c r="F32" s="1366"/>
      <c r="G32" s="473"/>
      <c r="H32" s="1367"/>
      <c r="I32" s="1587"/>
      <c r="J32" s="1368"/>
    </row>
    <row r="33" spans="1:10" ht="18" x14ac:dyDescent="0.35">
      <c r="A33" s="1330">
        <v>3</v>
      </c>
      <c r="B33" s="7" t="s">
        <v>954</v>
      </c>
      <c r="C33" s="1357"/>
      <c r="D33" s="483"/>
      <c r="E33" s="470"/>
      <c r="F33" s="1366"/>
      <c r="G33" s="473"/>
      <c r="H33" s="1367"/>
      <c r="I33" s="1587"/>
      <c r="J33" s="1368"/>
    </row>
    <row r="34" spans="1:10" ht="18" x14ac:dyDescent="0.35">
      <c r="A34" s="1330">
        <v>4</v>
      </c>
      <c r="B34" s="7" t="s">
        <v>956</v>
      </c>
    </row>
    <row r="35" spans="1:10" x14ac:dyDescent="0.35">
      <c r="B35" s="7" t="s">
        <v>955</v>
      </c>
    </row>
  </sheetData>
  <mergeCells count="4">
    <mergeCell ref="B5:H5"/>
    <mergeCell ref="B2:H2"/>
    <mergeCell ref="B3:H3"/>
    <mergeCell ref="B4:H4"/>
  </mergeCells>
  <printOptions horizontalCentered="1"/>
  <pageMargins left="0.5" right="0.5" top="0.5" bottom="0.5" header="0.25" footer="0.25"/>
  <pageSetup scale="69" orientation="landscape" r:id="rId1"/>
  <headerFooter scaleWithDoc="0">
    <oddFooter>&amp;C&amp;"Times New Roman,Regular"&amp;10Interest True-Up BP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zoomScale="80" zoomScaleNormal="80" workbookViewId="0"/>
  </sheetViews>
  <sheetFormatPr defaultColWidth="9.08984375" defaultRowHeight="15.5" x14ac:dyDescent="0.35"/>
  <cols>
    <col min="1" max="1" width="5.08984375" style="7" customWidth="1"/>
    <col min="2" max="3" width="21.453125" style="7" customWidth="1"/>
    <col min="4" max="5" width="22" style="7" customWidth="1"/>
    <col min="6" max="6" width="22" style="229" customWidth="1"/>
    <col min="7" max="9" width="22" style="7" customWidth="1"/>
    <col min="10" max="10" width="5.08984375" style="945" customWidth="1"/>
    <col min="11" max="11" width="14" style="7" customWidth="1"/>
    <col min="12" max="12" width="13.08984375" style="7" customWidth="1"/>
    <col min="13" max="13" width="12.90625" style="7" customWidth="1"/>
    <col min="14" max="14" width="13.54296875" style="7" customWidth="1"/>
    <col min="15" max="15" width="12.54296875" style="7" customWidth="1"/>
    <col min="16" max="16384" width="9.08984375" style="7"/>
  </cols>
  <sheetData>
    <row r="1" spans="1:10" x14ac:dyDescent="0.35">
      <c r="A1" s="1344"/>
      <c r="B1" s="1369"/>
      <c r="C1" s="1370"/>
      <c r="D1" s="1371"/>
      <c r="E1" s="1372"/>
      <c r="F1" s="1373"/>
      <c r="G1" s="1374"/>
      <c r="H1" s="1375"/>
      <c r="I1" s="1375"/>
      <c r="J1" s="1376"/>
    </row>
    <row r="2" spans="1:10" x14ac:dyDescent="0.35">
      <c r="B2" s="2308" t="s">
        <v>18</v>
      </c>
      <c r="C2" s="2308"/>
      <c r="D2" s="2308"/>
      <c r="E2" s="2308"/>
      <c r="F2" s="2308"/>
      <c r="G2" s="2308"/>
      <c r="H2" s="2308"/>
      <c r="I2" s="2308"/>
      <c r="J2" s="1571"/>
    </row>
    <row r="3" spans="1:10" x14ac:dyDescent="0.35">
      <c r="B3" s="2334" t="str">
        <f>'Interest TU BP'!B3</f>
        <v>TO5-Cycle 5 Interest True-Up Adjustment</v>
      </c>
      <c r="C3" s="2334"/>
      <c r="D3" s="2334"/>
      <c r="E3" s="2334"/>
      <c r="F3" s="2334"/>
      <c r="G3" s="2334"/>
      <c r="H3" s="2334"/>
      <c r="I3" s="2334"/>
      <c r="J3" s="1571"/>
    </row>
    <row r="4" spans="1:10" x14ac:dyDescent="0.35">
      <c r="B4" s="2334" t="str">
        <f>'True-Up'!B4</f>
        <v>For 12-Month True-Up Period January 1, 2021 Through December 31, 2021</v>
      </c>
      <c r="C4" s="2334"/>
      <c r="D4" s="2334"/>
      <c r="E4" s="2334"/>
      <c r="F4" s="2334"/>
      <c r="G4" s="2334"/>
      <c r="H4" s="2334"/>
      <c r="I4" s="2334"/>
      <c r="J4" s="1571"/>
    </row>
    <row r="5" spans="1:10" x14ac:dyDescent="0.35">
      <c r="B5" s="2327" t="s">
        <v>2</v>
      </c>
      <c r="C5" s="2327"/>
      <c r="D5" s="2327"/>
      <c r="E5" s="2327"/>
      <c r="F5" s="2327"/>
      <c r="G5" s="2327"/>
      <c r="H5" s="2327"/>
      <c r="I5" s="2327"/>
      <c r="J5" s="1571"/>
    </row>
    <row r="6" spans="1:10" x14ac:dyDescent="0.35">
      <c r="A6" s="1344"/>
      <c r="B6" s="1344"/>
      <c r="C6" s="1344"/>
      <c r="D6" s="1344"/>
      <c r="E6" s="1344"/>
      <c r="F6" s="1344"/>
      <c r="G6" s="1344"/>
      <c r="H6" s="1344"/>
      <c r="I6" s="1344"/>
      <c r="J6" s="1571"/>
    </row>
    <row r="7" spans="1:10" x14ac:dyDescent="0.35">
      <c r="A7" s="234" t="s">
        <v>3</v>
      </c>
      <c r="B7" s="1358"/>
      <c r="C7" s="1357"/>
      <c r="D7" s="483"/>
      <c r="E7" s="470"/>
      <c r="F7" s="1366"/>
      <c r="G7" s="473"/>
      <c r="H7" s="1367"/>
      <c r="I7" s="1367"/>
      <c r="J7" s="1569" t="s">
        <v>3</v>
      </c>
    </row>
    <row r="8" spans="1:10" x14ac:dyDescent="0.35">
      <c r="A8" s="6" t="s">
        <v>25</v>
      </c>
      <c r="B8" s="1358"/>
      <c r="C8" s="1357"/>
      <c r="D8" s="483"/>
      <c r="E8" s="470"/>
      <c r="F8" s="1366"/>
      <c r="G8" s="473"/>
      <c r="H8" s="1367"/>
      <c r="I8" s="1367"/>
      <c r="J8" s="6" t="s">
        <v>25</v>
      </c>
    </row>
    <row r="9" spans="1:10" x14ac:dyDescent="0.35">
      <c r="B9" s="1358"/>
      <c r="C9" s="1357"/>
      <c r="D9" s="483"/>
      <c r="E9" s="470"/>
      <c r="F9" s="1366"/>
      <c r="G9" s="473"/>
      <c r="H9" s="1367"/>
      <c r="I9" s="1367"/>
    </row>
    <row r="10" spans="1:10" x14ac:dyDescent="0.35">
      <c r="A10" s="945">
        <v>1</v>
      </c>
      <c r="C10" s="1351" t="s">
        <v>981</v>
      </c>
      <c r="D10" s="1351" t="s">
        <v>982</v>
      </c>
      <c r="E10" s="1351" t="s">
        <v>983</v>
      </c>
      <c r="F10" s="1351" t="s">
        <v>984</v>
      </c>
      <c r="G10" s="1351" t="s">
        <v>985</v>
      </c>
      <c r="H10" s="1351" t="s">
        <v>986</v>
      </c>
      <c r="I10" s="1351" t="s">
        <v>987</v>
      </c>
      <c r="J10" s="945">
        <f>A10</f>
        <v>1</v>
      </c>
    </row>
    <row r="11" spans="1:10" x14ac:dyDescent="0.35">
      <c r="A11" s="945">
        <f>A10+1</f>
        <v>2</v>
      </c>
      <c r="C11" s="1351"/>
      <c r="D11" s="234"/>
      <c r="E11" s="234" t="s">
        <v>1006</v>
      </c>
      <c r="F11" s="234" t="s">
        <v>1007</v>
      </c>
      <c r="G11" s="414" t="s">
        <v>1010</v>
      </c>
      <c r="H11" s="414" t="s">
        <v>1011</v>
      </c>
      <c r="I11" s="414" t="s">
        <v>1012</v>
      </c>
      <c r="J11" s="945">
        <f>J10+1</f>
        <v>2</v>
      </c>
    </row>
    <row r="12" spans="1:10" x14ac:dyDescent="0.35">
      <c r="A12" s="945">
        <f t="shared" ref="A12:A32" si="0">A11+1</f>
        <v>3</v>
      </c>
      <c r="C12" s="1351"/>
      <c r="D12" s="234"/>
      <c r="E12" s="234"/>
      <c r="F12" s="1344"/>
      <c r="G12" s="229"/>
      <c r="I12" s="1351"/>
      <c r="J12" s="945">
        <f t="shared" ref="J12:J32" si="1">J11+1</f>
        <v>3</v>
      </c>
    </row>
    <row r="13" spans="1:10" x14ac:dyDescent="0.35">
      <c r="A13" s="945">
        <f t="shared" si="0"/>
        <v>4</v>
      </c>
      <c r="B13" s="1358"/>
      <c r="C13" s="1357"/>
      <c r="D13" s="661" t="s">
        <v>670</v>
      </c>
      <c r="E13" s="1376" t="s">
        <v>23</v>
      </c>
      <c r="F13" s="1344"/>
      <c r="G13" s="229"/>
      <c r="I13" s="1377" t="s">
        <v>23</v>
      </c>
      <c r="J13" s="945">
        <f t="shared" si="1"/>
        <v>4</v>
      </c>
    </row>
    <row r="14" spans="1:10" x14ac:dyDescent="0.35">
      <c r="A14" s="945">
        <f t="shared" si="0"/>
        <v>5</v>
      </c>
      <c r="C14" s="1357"/>
      <c r="D14" s="661" t="s">
        <v>672</v>
      </c>
      <c r="E14" s="1376" t="s">
        <v>688</v>
      </c>
      <c r="F14" s="1344"/>
      <c r="G14" s="229"/>
      <c r="I14" s="1377" t="s">
        <v>689</v>
      </c>
      <c r="J14" s="945">
        <f t="shared" si="1"/>
        <v>5</v>
      </c>
    </row>
    <row r="15" spans="1:10" ht="18" x14ac:dyDescent="0.35">
      <c r="A15" s="945">
        <f t="shared" si="0"/>
        <v>6</v>
      </c>
      <c r="B15" s="1355" t="s">
        <v>23</v>
      </c>
      <c r="C15" s="1355" t="s">
        <v>308</v>
      </c>
      <c r="D15" s="1312" t="s">
        <v>962</v>
      </c>
      <c r="E15" s="1378" t="s">
        <v>26</v>
      </c>
      <c r="F15" s="1379" t="s">
        <v>309</v>
      </c>
      <c r="G15" s="1346" t="s">
        <v>690</v>
      </c>
      <c r="H15" s="1346" t="s">
        <v>672</v>
      </c>
      <c r="I15" s="1351" t="s">
        <v>26</v>
      </c>
      <c r="J15" s="945">
        <f t="shared" si="1"/>
        <v>6</v>
      </c>
    </row>
    <row r="16" spans="1:10" x14ac:dyDescent="0.35">
      <c r="A16" s="945">
        <f t="shared" si="0"/>
        <v>7</v>
      </c>
      <c r="B16" s="1356" t="s">
        <v>676</v>
      </c>
      <c r="C16" s="1380">
        <f>'True-Up'!C23+1</f>
        <v>2022</v>
      </c>
      <c r="D16" s="476">
        <f>AVERAGE('True-Up'!J23:J34)</f>
        <v>2.741666666666667E-3</v>
      </c>
      <c r="E16" s="477">
        <f>'Interest TU BP'!H27</f>
        <v>52486.930044826528</v>
      </c>
      <c r="F16" s="453">
        <f>-E16/(((1+D16)^12-1)/(D16*(1+D16)^12))</f>
        <v>-4452.2488205314603</v>
      </c>
      <c r="G16" s="453">
        <f>-(F16+H16)</f>
        <v>4308.3471539918946</v>
      </c>
      <c r="H16" s="453">
        <f>E16*D16</f>
        <v>143.90166653956609</v>
      </c>
      <c r="I16" s="478">
        <f>E16-G16</f>
        <v>48178.58289083463</v>
      </c>
      <c r="J16" s="945">
        <f t="shared" si="1"/>
        <v>7</v>
      </c>
    </row>
    <row r="17" spans="1:13" x14ac:dyDescent="0.35">
      <c r="A17" s="945">
        <f t="shared" si="0"/>
        <v>8</v>
      </c>
      <c r="B17" s="1356" t="s">
        <v>677</v>
      </c>
      <c r="C17" s="1380">
        <f>$C$16</f>
        <v>2022</v>
      </c>
      <c r="D17" s="479">
        <f t="shared" ref="D17:D27" si="2">$D$16</f>
        <v>2.741666666666667E-3</v>
      </c>
      <c r="E17" s="458">
        <f>I16</f>
        <v>48178.58289083463</v>
      </c>
      <c r="F17" s="347">
        <f>-E16/(((1+D16)^12-1)/(D16*(1+D16)^12))</f>
        <v>-4452.2488205314603</v>
      </c>
      <c r="G17" s="347">
        <f t="shared" ref="G17:G27" si="3">-(F17+H17)</f>
        <v>4320.159205772422</v>
      </c>
      <c r="H17" s="347">
        <f>E17*D17</f>
        <v>132.08961475903828</v>
      </c>
      <c r="I17" s="480">
        <f>E17-G17</f>
        <v>43858.423685062211</v>
      </c>
      <c r="J17" s="945">
        <f t="shared" si="1"/>
        <v>8</v>
      </c>
      <c r="L17" s="1381"/>
    </row>
    <row r="18" spans="1:13" x14ac:dyDescent="0.35">
      <c r="A18" s="945">
        <f t="shared" si="0"/>
        <v>9</v>
      </c>
      <c r="B18" s="1356" t="s">
        <v>678</v>
      </c>
      <c r="C18" s="1380">
        <f t="shared" ref="C18:C27" si="4">$C$16</f>
        <v>2022</v>
      </c>
      <c r="D18" s="479">
        <f t="shared" si="2"/>
        <v>2.741666666666667E-3</v>
      </c>
      <c r="E18" s="458">
        <f t="shared" ref="E18:E27" si="5">I17</f>
        <v>43858.423685062211</v>
      </c>
      <c r="F18" s="347">
        <f>-E16/(((1+D16)^12-1)/(D16*(1+D16)^12))</f>
        <v>-4452.2488205314603</v>
      </c>
      <c r="G18" s="347">
        <f t="shared" si="3"/>
        <v>4332.0036422615813</v>
      </c>
      <c r="H18" s="347">
        <f t="shared" ref="H18:H27" si="6">E18*D18</f>
        <v>120.24517826987891</v>
      </c>
      <c r="I18" s="480">
        <f t="shared" ref="I18:I26" si="7">E18-G18</f>
        <v>39526.42004280063</v>
      </c>
      <c r="J18" s="945">
        <f t="shared" si="1"/>
        <v>9</v>
      </c>
    </row>
    <row r="19" spans="1:13" x14ac:dyDescent="0.35">
      <c r="A19" s="945">
        <f t="shared" si="0"/>
        <v>10</v>
      </c>
      <c r="B19" s="1356" t="s">
        <v>679</v>
      </c>
      <c r="C19" s="1380">
        <f t="shared" si="4"/>
        <v>2022</v>
      </c>
      <c r="D19" s="479">
        <f t="shared" si="2"/>
        <v>2.741666666666667E-3</v>
      </c>
      <c r="E19" s="458">
        <f t="shared" si="5"/>
        <v>39526.42004280063</v>
      </c>
      <c r="F19" s="347">
        <f>-E16/(((1+D16)^12-1)/(D16*(1+D16)^12))</f>
        <v>-4452.2488205314603</v>
      </c>
      <c r="G19" s="347">
        <f t="shared" si="3"/>
        <v>4343.8805522474486</v>
      </c>
      <c r="H19" s="347">
        <f t="shared" si="6"/>
        <v>108.36826828401173</v>
      </c>
      <c r="I19" s="480">
        <f t="shared" si="7"/>
        <v>35182.539490553179</v>
      </c>
      <c r="J19" s="945">
        <f t="shared" si="1"/>
        <v>10</v>
      </c>
    </row>
    <row r="20" spans="1:13" x14ac:dyDescent="0.35">
      <c r="A20" s="945">
        <f t="shared" si="0"/>
        <v>11</v>
      </c>
      <c r="B20" s="1356" t="s">
        <v>40</v>
      </c>
      <c r="C20" s="1380">
        <f t="shared" si="4"/>
        <v>2022</v>
      </c>
      <c r="D20" s="479">
        <f t="shared" si="2"/>
        <v>2.741666666666667E-3</v>
      </c>
      <c r="E20" s="458">
        <f t="shared" si="5"/>
        <v>35182.539490553179</v>
      </c>
      <c r="F20" s="347">
        <f>-E16/(((1+D16)^12-1)/(D16*(1+D16)^12))</f>
        <v>-4452.2488205314603</v>
      </c>
      <c r="G20" s="347">
        <f t="shared" si="3"/>
        <v>4355.7900247615271</v>
      </c>
      <c r="H20" s="347">
        <f t="shared" si="6"/>
        <v>96.458795769933317</v>
      </c>
      <c r="I20" s="480">
        <f t="shared" si="7"/>
        <v>30826.749465791654</v>
      </c>
      <c r="J20" s="945">
        <f t="shared" si="1"/>
        <v>11</v>
      </c>
    </row>
    <row r="21" spans="1:13" x14ac:dyDescent="0.35">
      <c r="A21" s="945">
        <f t="shared" si="0"/>
        <v>12</v>
      </c>
      <c r="B21" s="1356" t="s">
        <v>691</v>
      </c>
      <c r="C21" s="1380">
        <f t="shared" si="4"/>
        <v>2022</v>
      </c>
      <c r="D21" s="479">
        <f t="shared" si="2"/>
        <v>2.741666666666667E-3</v>
      </c>
      <c r="E21" s="458">
        <f t="shared" si="5"/>
        <v>30826.749465791654</v>
      </c>
      <c r="F21" s="347">
        <f>-E16/(((1+D16)^12-1)/(D16*(1+D16)^12))</f>
        <v>-4452.2488205314603</v>
      </c>
      <c r="G21" s="347">
        <f t="shared" si="3"/>
        <v>4367.7321490794147</v>
      </c>
      <c r="H21" s="347">
        <f t="shared" si="6"/>
        <v>84.516671452045458</v>
      </c>
      <c r="I21" s="480">
        <f t="shared" si="7"/>
        <v>26459.017316712241</v>
      </c>
      <c r="J21" s="945">
        <f t="shared" si="1"/>
        <v>12</v>
      </c>
    </row>
    <row r="22" spans="1:13" x14ac:dyDescent="0.35">
      <c r="A22" s="945">
        <f t="shared" si="0"/>
        <v>13</v>
      </c>
      <c r="B22" s="1356" t="s">
        <v>681</v>
      </c>
      <c r="C22" s="1380">
        <f t="shared" si="4"/>
        <v>2022</v>
      </c>
      <c r="D22" s="479">
        <f t="shared" si="2"/>
        <v>2.741666666666667E-3</v>
      </c>
      <c r="E22" s="458">
        <f t="shared" si="5"/>
        <v>26459.017316712241</v>
      </c>
      <c r="F22" s="347">
        <f>-E16/(((1+D16)^12-1)/(D16*(1+D16)^12))</f>
        <v>-4452.2488205314603</v>
      </c>
      <c r="G22" s="347">
        <f t="shared" si="3"/>
        <v>4379.7070147214745</v>
      </c>
      <c r="H22" s="347">
        <f t="shared" si="6"/>
        <v>72.541805809986073</v>
      </c>
      <c r="I22" s="480">
        <f t="shared" si="7"/>
        <v>22079.310301990765</v>
      </c>
      <c r="J22" s="945">
        <f t="shared" si="1"/>
        <v>13</v>
      </c>
    </row>
    <row r="23" spans="1:13" x14ac:dyDescent="0.35">
      <c r="A23" s="945">
        <f t="shared" si="0"/>
        <v>14</v>
      </c>
      <c r="B23" s="1356" t="s">
        <v>682</v>
      </c>
      <c r="C23" s="1380">
        <f t="shared" si="4"/>
        <v>2022</v>
      </c>
      <c r="D23" s="479">
        <f t="shared" si="2"/>
        <v>2.741666666666667E-3</v>
      </c>
      <c r="E23" s="458">
        <f t="shared" si="5"/>
        <v>22079.310301990765</v>
      </c>
      <c r="F23" s="347">
        <f>-E16/(((1+D16)^12-1)/(D16*(1+D16)^12))</f>
        <v>-4452.2488205314603</v>
      </c>
      <c r="G23" s="347">
        <f t="shared" si="3"/>
        <v>4391.7147114535019</v>
      </c>
      <c r="H23" s="347">
        <f t="shared" si="6"/>
        <v>60.534109077958021</v>
      </c>
      <c r="I23" s="480">
        <f t="shared" si="7"/>
        <v>17687.595590537261</v>
      </c>
      <c r="J23" s="945">
        <f t="shared" si="1"/>
        <v>14</v>
      </c>
    </row>
    <row r="24" spans="1:13" x14ac:dyDescent="0.35">
      <c r="A24" s="945">
        <f t="shared" si="0"/>
        <v>15</v>
      </c>
      <c r="B24" s="1356" t="s">
        <v>683</v>
      </c>
      <c r="C24" s="1380">
        <f t="shared" si="4"/>
        <v>2022</v>
      </c>
      <c r="D24" s="479">
        <f t="shared" si="2"/>
        <v>2.741666666666667E-3</v>
      </c>
      <c r="E24" s="458">
        <f t="shared" si="5"/>
        <v>17687.595590537261</v>
      </c>
      <c r="F24" s="347">
        <f>-E16/(((1+D16)^12-1)/(D16*(1+D16)^12))</f>
        <v>-4452.2488205314603</v>
      </c>
      <c r="G24" s="347">
        <f t="shared" si="3"/>
        <v>4403.7553292874036</v>
      </c>
      <c r="H24" s="347">
        <f t="shared" si="6"/>
        <v>48.493491244056329</v>
      </c>
      <c r="I24" s="480">
        <f t="shared" si="7"/>
        <v>13283.840261249858</v>
      </c>
      <c r="J24" s="945">
        <f t="shared" si="1"/>
        <v>15</v>
      </c>
      <c r="K24" s="1382"/>
    </row>
    <row r="25" spans="1:13" x14ac:dyDescent="0.35">
      <c r="A25" s="945">
        <f t="shared" si="0"/>
        <v>16</v>
      </c>
      <c r="B25" s="1356" t="s">
        <v>684</v>
      </c>
      <c r="C25" s="1380">
        <f t="shared" si="4"/>
        <v>2022</v>
      </c>
      <c r="D25" s="479">
        <f t="shared" si="2"/>
        <v>2.741666666666667E-3</v>
      </c>
      <c r="E25" s="458">
        <f t="shared" si="5"/>
        <v>13283.840261249858</v>
      </c>
      <c r="F25" s="347">
        <f>-E16/(((1+D16)^12-1)/(D16*(1+D16)^12))</f>
        <v>-4452.2488205314603</v>
      </c>
      <c r="G25" s="347">
        <f t="shared" si="3"/>
        <v>4415.8289584818667</v>
      </c>
      <c r="H25" s="347">
        <f t="shared" si="6"/>
        <v>36.419862049593362</v>
      </c>
      <c r="I25" s="480">
        <f t="shared" si="7"/>
        <v>8868.0113027679909</v>
      </c>
      <c r="J25" s="945">
        <f t="shared" si="1"/>
        <v>16</v>
      </c>
      <c r="K25" s="1382"/>
      <c r="M25" s="1359"/>
    </row>
    <row r="26" spans="1:13" x14ac:dyDescent="0.35">
      <c r="A26" s="945">
        <f t="shared" si="0"/>
        <v>17</v>
      </c>
      <c r="B26" s="1356" t="s">
        <v>685</v>
      </c>
      <c r="C26" s="1380">
        <f t="shared" si="4"/>
        <v>2022</v>
      </c>
      <c r="D26" s="479">
        <f t="shared" si="2"/>
        <v>2.741666666666667E-3</v>
      </c>
      <c r="E26" s="458">
        <f t="shared" si="5"/>
        <v>8868.0113027679909</v>
      </c>
      <c r="F26" s="347">
        <f>-E16/(((1+D16)^12-1)/(D16*(1+D16)^12))</f>
        <v>-4452.2488205314603</v>
      </c>
      <c r="G26" s="347">
        <f t="shared" si="3"/>
        <v>4427.9356895430383</v>
      </c>
      <c r="H26" s="347">
        <f t="shared" si="6"/>
        <v>24.313130988422245</v>
      </c>
      <c r="I26" s="480">
        <f t="shared" si="7"/>
        <v>4440.0756132249526</v>
      </c>
      <c r="J26" s="945">
        <f t="shared" si="1"/>
        <v>17</v>
      </c>
      <c r="K26" s="1382"/>
    </row>
    <row r="27" spans="1:13" x14ac:dyDescent="0.35">
      <c r="A27" s="945">
        <f t="shared" si="0"/>
        <v>18</v>
      </c>
      <c r="B27" s="1209" t="s">
        <v>686</v>
      </c>
      <c r="C27" s="1383">
        <f t="shared" si="4"/>
        <v>2022</v>
      </c>
      <c r="D27" s="481">
        <f t="shared" si="2"/>
        <v>2.741666666666667E-3</v>
      </c>
      <c r="E27" s="462">
        <f t="shared" si="5"/>
        <v>4440.0756132249526</v>
      </c>
      <c r="F27" s="463">
        <f>-E16/(((1+D16)^12-1)/(D16*(1+D16)^12))</f>
        <v>-4452.2488205314603</v>
      </c>
      <c r="G27" s="463">
        <f t="shared" si="3"/>
        <v>4440.0756132252018</v>
      </c>
      <c r="H27" s="463">
        <f t="shared" si="6"/>
        <v>12.173207306258414</v>
      </c>
      <c r="I27" s="482">
        <f>E27-G27</f>
        <v>-2.4920154828578234E-10</v>
      </c>
      <c r="J27" s="945">
        <f t="shared" si="1"/>
        <v>18</v>
      </c>
    </row>
    <row r="28" spans="1:13" ht="16" thickBot="1" x14ac:dyDescent="0.4">
      <c r="A28" s="945">
        <f t="shared" si="0"/>
        <v>19</v>
      </c>
      <c r="B28" s="1358"/>
      <c r="C28" s="1357"/>
      <c r="D28" s="483"/>
      <c r="E28" s="484"/>
      <c r="F28" s="485"/>
      <c r="G28" s="229"/>
      <c r="H28" s="464">
        <f>SUM(H16:H27)</f>
        <v>940.05580155074813</v>
      </c>
      <c r="I28" s="486"/>
      <c r="J28" s="945">
        <f t="shared" si="1"/>
        <v>19</v>
      </c>
    </row>
    <row r="29" spans="1:13" ht="16" thickTop="1" x14ac:dyDescent="0.35">
      <c r="A29" s="945">
        <f t="shared" si="0"/>
        <v>20</v>
      </c>
      <c r="B29" s="1358"/>
      <c r="C29" s="1357"/>
      <c r="D29" s="484"/>
      <c r="E29" s="485"/>
      <c r="F29" s="485"/>
      <c r="G29" s="485"/>
      <c r="H29" s="1384"/>
      <c r="I29" s="1384"/>
      <c r="J29" s="945">
        <f t="shared" si="1"/>
        <v>20</v>
      </c>
      <c r="K29" s="1385"/>
    </row>
    <row r="30" spans="1:13" x14ac:dyDescent="0.35">
      <c r="A30" s="945">
        <f t="shared" si="0"/>
        <v>21</v>
      </c>
      <c r="B30" s="7" t="s">
        <v>692</v>
      </c>
      <c r="D30" s="451">
        <f>'True-Up'!M34</f>
        <v>77465.882169009143</v>
      </c>
      <c r="E30" s="1386" t="s">
        <v>1013</v>
      </c>
      <c r="F30" s="1387"/>
      <c r="G30" s="1388"/>
      <c r="J30" s="945">
        <f t="shared" si="1"/>
        <v>21</v>
      </c>
    </row>
    <row r="31" spans="1:13" x14ac:dyDescent="0.35">
      <c r="A31" s="945">
        <f t="shared" si="0"/>
        <v>22</v>
      </c>
      <c r="B31" s="7" t="s">
        <v>791</v>
      </c>
      <c r="D31" s="487">
        <f>'Interest TU BP'!G28+'Interest TU CY'!H28</f>
        <v>2636.4898917868759</v>
      </c>
      <c r="E31" s="1389" t="s">
        <v>1014</v>
      </c>
      <c r="F31" s="1387"/>
      <c r="G31" s="1388"/>
      <c r="J31" s="945">
        <f t="shared" si="1"/>
        <v>22</v>
      </c>
    </row>
    <row r="32" spans="1:13" x14ac:dyDescent="0.35">
      <c r="A32" s="945">
        <f t="shared" si="0"/>
        <v>23</v>
      </c>
      <c r="B32" s="7" t="s">
        <v>31</v>
      </c>
      <c r="D32" s="249">
        <f>D30+D31</f>
        <v>80102.372060796013</v>
      </c>
      <c r="F32" s="1387"/>
      <c r="G32" s="1388"/>
      <c r="J32" s="945">
        <f t="shared" si="1"/>
        <v>23</v>
      </c>
    </row>
    <row r="33" spans="1:7" x14ac:dyDescent="0.35">
      <c r="A33" s="945"/>
      <c r="F33" s="336"/>
      <c r="G33" s="331"/>
    </row>
    <row r="34" spans="1:7" x14ac:dyDescent="0.35">
      <c r="A34" s="945"/>
      <c r="F34" s="336"/>
      <c r="G34" s="331"/>
    </row>
    <row r="35" spans="1:7" ht="18" x14ac:dyDescent="0.35">
      <c r="A35" s="1330">
        <v>1</v>
      </c>
      <c r="B35" s="7" t="s">
        <v>957</v>
      </c>
      <c r="F35" s="336"/>
      <c r="G35" s="331"/>
    </row>
    <row r="36" spans="1:7" ht="18" x14ac:dyDescent="0.35">
      <c r="A36" s="1330">
        <v>2</v>
      </c>
      <c r="B36" s="7" t="s">
        <v>961</v>
      </c>
    </row>
    <row r="37" spans="1:7" ht="18" x14ac:dyDescent="0.35">
      <c r="A37" s="1330"/>
      <c r="B37" s="7" t="s">
        <v>960</v>
      </c>
    </row>
    <row r="38" spans="1:7" ht="18" x14ac:dyDescent="0.35">
      <c r="A38" s="1330">
        <v>3</v>
      </c>
      <c r="B38" s="7" t="s">
        <v>958</v>
      </c>
    </row>
    <row r="39" spans="1:7" x14ac:dyDescent="0.35">
      <c r="B39" s="7" t="s">
        <v>959</v>
      </c>
    </row>
  </sheetData>
  <mergeCells count="4">
    <mergeCell ref="B5:I5"/>
    <mergeCell ref="B2:I2"/>
    <mergeCell ref="B3:I3"/>
    <mergeCell ref="B4:I4"/>
  </mergeCells>
  <printOptions horizontalCentered="1"/>
  <pageMargins left="0.5" right="0.5" top="0.5" bottom="0.5" header="0.25" footer="0.25"/>
  <pageSetup scale="68" orientation="landscape" r:id="rId1"/>
  <headerFooter scaleWithDoc="0">
    <oddFooter>&amp;C&amp;"Times New Roman,Regular"&amp;10Interest True-Up CY</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8"/>
  <sheetViews>
    <sheetView zoomScale="80" zoomScaleNormal="80" workbookViewId="0"/>
  </sheetViews>
  <sheetFormatPr defaultColWidth="9.08984375" defaultRowHeight="15" x14ac:dyDescent="0.35"/>
  <cols>
    <col min="1" max="1" width="5.08984375" style="790" customWidth="1"/>
    <col min="2" max="2" width="76.90625" style="88" customWidth="1"/>
    <col min="3" max="3" width="2.08984375" style="88" customWidth="1"/>
    <col min="4" max="6" width="31.90625" style="1462" customWidth="1"/>
    <col min="7" max="7" width="5.08984375" style="790" customWidth="1"/>
    <col min="8" max="10" width="9.08984375" style="88"/>
    <col min="11" max="11" width="21.08984375" style="88" customWidth="1"/>
    <col min="12" max="16384" width="9.08984375" style="88"/>
  </cols>
  <sheetData>
    <row r="2" spans="1:7" ht="15.5" x14ac:dyDescent="0.35">
      <c r="B2" s="2289" t="s">
        <v>18</v>
      </c>
      <c r="C2" s="2289"/>
      <c r="D2" s="2289"/>
      <c r="E2" s="2289"/>
      <c r="F2" s="2289"/>
      <c r="G2" s="79"/>
    </row>
    <row r="3" spans="1:7" ht="15.5" x14ac:dyDescent="0.35">
      <c r="B3" s="2289" t="s">
        <v>469</v>
      </c>
      <c r="C3" s="2289"/>
      <c r="D3" s="2289"/>
      <c r="E3" s="2289"/>
      <c r="F3" s="2289"/>
      <c r="G3" s="79"/>
    </row>
    <row r="4" spans="1:7" ht="15.5" x14ac:dyDescent="0.35">
      <c r="B4" s="2289" t="s">
        <v>1638</v>
      </c>
      <c r="C4" s="2289"/>
      <c r="D4" s="2289"/>
      <c r="E4" s="2289"/>
      <c r="F4" s="2289"/>
      <c r="G4" s="79"/>
    </row>
    <row r="5" spans="1:7" ht="15.5" x14ac:dyDescent="0.35">
      <c r="B5" s="2292" t="s">
        <v>2</v>
      </c>
      <c r="C5" s="2292"/>
      <c r="D5" s="2292"/>
      <c r="E5" s="2292"/>
      <c r="F5" s="2292"/>
      <c r="G5" s="79"/>
    </row>
    <row r="6" spans="1:7" ht="15.5" x14ac:dyDescent="0.35">
      <c r="B6" s="838"/>
      <c r="C6" s="838"/>
      <c r="D6" s="182"/>
      <c r="E6" s="182"/>
      <c r="F6" s="728"/>
      <c r="G6" s="725"/>
    </row>
    <row r="7" spans="1:7" ht="15.5" thickBot="1" x14ac:dyDescent="0.4">
      <c r="B7" s="728"/>
      <c r="C7" s="728"/>
      <c r="D7" s="728" t="s">
        <v>745</v>
      </c>
      <c r="E7" s="728" t="s">
        <v>5</v>
      </c>
      <c r="F7" s="728" t="s">
        <v>746</v>
      </c>
    </row>
    <row r="8" spans="1:7" s="1434" customFormat="1" ht="15.5" x14ac:dyDescent="0.35">
      <c r="A8" s="1428" t="s">
        <v>3</v>
      </c>
      <c r="B8" s="1429"/>
      <c r="C8" s="1430"/>
      <c r="D8" s="1431" t="s">
        <v>470</v>
      </c>
      <c r="E8" s="1432" t="s">
        <v>770</v>
      </c>
      <c r="F8" s="1433" t="s">
        <v>771</v>
      </c>
      <c r="G8" s="1428" t="s">
        <v>3</v>
      </c>
    </row>
    <row r="9" spans="1:7" s="1434" customFormat="1" ht="16" thickBot="1" x14ac:dyDescent="0.4">
      <c r="A9" s="1428" t="s">
        <v>25</v>
      </c>
      <c r="B9" s="1435" t="s">
        <v>696</v>
      </c>
      <c r="C9" s="1436"/>
      <c r="D9" s="1437" t="s">
        <v>31</v>
      </c>
      <c r="E9" s="1438" t="s">
        <v>471</v>
      </c>
      <c r="F9" s="1439" t="s">
        <v>472</v>
      </c>
      <c r="G9" s="1428" t="s">
        <v>25</v>
      </c>
    </row>
    <row r="10" spans="1:7" x14ac:dyDescent="0.35">
      <c r="A10" s="788"/>
      <c r="B10" s="1440"/>
      <c r="C10" s="109"/>
      <c r="D10" s="520"/>
      <c r="E10" s="519"/>
      <c r="F10" s="520"/>
      <c r="G10" s="788"/>
    </row>
    <row r="11" spans="1:7" ht="15.5" x14ac:dyDescent="0.35">
      <c r="A11" s="1428">
        <v>1</v>
      </c>
      <c r="B11" s="1441" t="s">
        <v>473</v>
      </c>
      <c r="C11" s="788"/>
      <c r="D11" s="510">
        <f>E11+F11</f>
        <v>309615.9091399996</v>
      </c>
      <c r="E11" s="1860">
        <v>10075.320076677601</v>
      </c>
      <c r="F11" s="1862">
        <v>299540.589063322</v>
      </c>
      <c r="G11" s="1428">
        <f>A11</f>
        <v>1</v>
      </c>
    </row>
    <row r="12" spans="1:7" ht="15.5" x14ac:dyDescent="0.35">
      <c r="A12" s="1428">
        <f>A11+1</f>
        <v>2</v>
      </c>
      <c r="B12" s="1441" t="s">
        <v>474</v>
      </c>
      <c r="C12" s="788"/>
      <c r="D12" s="511">
        <f t="shared" ref="D12:D40" si="0">E12+F12</f>
        <v>215574.21432999999</v>
      </c>
      <c r="E12" s="299">
        <v>0</v>
      </c>
      <c r="F12" s="1863">
        <v>215574.21432999999</v>
      </c>
      <c r="G12" s="1428">
        <f>G11+1</f>
        <v>2</v>
      </c>
    </row>
    <row r="13" spans="1:7" ht="15.5" x14ac:dyDescent="0.35">
      <c r="A13" s="1442">
        <f t="shared" ref="A13:A18" si="1">A12+1</f>
        <v>3</v>
      </c>
      <c r="B13" s="1443" t="s">
        <v>766</v>
      </c>
      <c r="C13" s="1444"/>
      <c r="D13" s="514">
        <f t="shared" si="0"/>
        <v>231205.99991000001</v>
      </c>
      <c r="E13" s="284">
        <v>231205.99991000001</v>
      </c>
      <c r="F13" s="1864">
        <v>0</v>
      </c>
      <c r="G13" s="1442">
        <f t="shared" ref="G13:G19" si="2">G12+1</f>
        <v>3</v>
      </c>
    </row>
    <row r="14" spans="1:7" ht="15.5" x14ac:dyDescent="0.35">
      <c r="A14" s="1428">
        <f t="shared" si="1"/>
        <v>4</v>
      </c>
      <c r="B14" s="1441" t="s">
        <v>475</v>
      </c>
      <c r="C14" s="788"/>
      <c r="D14" s="511">
        <f t="shared" si="0"/>
        <v>139463.33359999984</v>
      </c>
      <c r="E14" s="1861">
        <v>759.75606907485803</v>
      </c>
      <c r="F14" s="1864">
        <v>138703.57753092499</v>
      </c>
      <c r="G14" s="1428">
        <f t="shared" si="2"/>
        <v>4</v>
      </c>
    </row>
    <row r="15" spans="1:7" ht="15.5" x14ac:dyDescent="0.35">
      <c r="A15" s="1428">
        <f t="shared" si="1"/>
        <v>5</v>
      </c>
      <c r="B15" s="1445" t="s">
        <v>476</v>
      </c>
      <c r="C15" s="109"/>
      <c r="D15" s="511">
        <f t="shared" si="0"/>
        <v>217605.10204000029</v>
      </c>
      <c r="E15" s="641">
        <v>23375.597167912299</v>
      </c>
      <c r="F15" s="642">
        <v>194229.504872088</v>
      </c>
      <c r="G15" s="1428">
        <f t="shared" si="2"/>
        <v>5</v>
      </c>
    </row>
    <row r="16" spans="1:7" ht="15.5" x14ac:dyDescent="0.35">
      <c r="A16" s="1428">
        <f t="shared" si="1"/>
        <v>6</v>
      </c>
      <c r="B16" s="1445" t="s">
        <v>477</v>
      </c>
      <c r="C16" s="109"/>
      <c r="D16" s="511">
        <f t="shared" si="0"/>
        <v>79815.050019999995</v>
      </c>
      <c r="E16" s="641">
        <v>35963.683496855097</v>
      </c>
      <c r="F16" s="642">
        <v>43851.366523144898</v>
      </c>
      <c r="G16" s="1428">
        <f t="shared" si="2"/>
        <v>6</v>
      </c>
    </row>
    <row r="17" spans="1:7" s="2206" customFormat="1" ht="15.5" x14ac:dyDescent="0.35">
      <c r="A17" s="1428">
        <f t="shared" si="1"/>
        <v>7</v>
      </c>
      <c r="B17" s="1445" t="s">
        <v>772</v>
      </c>
      <c r="C17" s="246"/>
      <c r="D17" s="1863">
        <f t="shared" si="0"/>
        <v>117831.70439</v>
      </c>
      <c r="E17" s="1861">
        <v>50845.237737321302</v>
      </c>
      <c r="F17" s="1864">
        <v>66986.466652678704</v>
      </c>
      <c r="G17" s="1428">
        <f t="shared" si="2"/>
        <v>7</v>
      </c>
    </row>
    <row r="18" spans="1:7" ht="15.5" x14ac:dyDescent="0.35">
      <c r="A18" s="1428">
        <f t="shared" si="1"/>
        <v>8</v>
      </c>
      <c r="B18" s="1445" t="s">
        <v>478</v>
      </c>
      <c r="C18" s="109"/>
      <c r="D18" s="511">
        <f t="shared" si="0"/>
        <v>35585.749559999997</v>
      </c>
      <c r="E18" s="641">
        <v>18529.017994192</v>
      </c>
      <c r="F18" s="642">
        <v>17056.731565808001</v>
      </c>
      <c r="G18" s="1428">
        <f t="shared" si="2"/>
        <v>8</v>
      </c>
    </row>
    <row r="19" spans="1:7" ht="15.5" x14ac:dyDescent="0.35">
      <c r="A19" s="1428">
        <f t="shared" ref="A19:A46" si="3">A18+1</f>
        <v>9</v>
      </c>
      <c r="B19" s="1446" t="s">
        <v>479</v>
      </c>
      <c r="C19" s="1447"/>
      <c r="D19" s="511">
        <f>E19+F19</f>
        <v>6831.4438200000004</v>
      </c>
      <c r="E19" s="641">
        <v>0</v>
      </c>
      <c r="F19" s="642">
        <v>6831.4438200000004</v>
      </c>
      <c r="G19" s="1428">
        <f t="shared" si="2"/>
        <v>9</v>
      </c>
    </row>
    <row r="20" spans="1:7" ht="15.5" x14ac:dyDescent="0.35">
      <c r="A20" s="1428">
        <f t="shared" si="3"/>
        <v>10</v>
      </c>
      <c r="B20" s="1445" t="s">
        <v>480</v>
      </c>
      <c r="C20" s="109"/>
      <c r="D20" s="511">
        <f t="shared" si="0"/>
        <v>11580.64206</v>
      </c>
      <c r="E20" s="641">
        <v>11580.64206</v>
      </c>
      <c r="F20" s="642">
        <v>0</v>
      </c>
      <c r="G20" s="1428">
        <f t="shared" ref="G20:G53" si="4">G19+1</f>
        <v>10</v>
      </c>
    </row>
    <row r="21" spans="1:7" ht="15.5" x14ac:dyDescent="0.35">
      <c r="A21" s="1428">
        <f t="shared" si="3"/>
        <v>11</v>
      </c>
      <c r="B21" s="1448" t="s">
        <v>481</v>
      </c>
      <c r="C21" s="1449"/>
      <c r="D21" s="511">
        <f t="shared" si="0"/>
        <v>47201.610589999997</v>
      </c>
      <c r="E21" s="641">
        <v>0</v>
      </c>
      <c r="F21" s="642">
        <v>47201.610589999997</v>
      </c>
      <c r="G21" s="1428">
        <f t="shared" si="4"/>
        <v>11</v>
      </c>
    </row>
    <row r="22" spans="1:7" ht="15.5" x14ac:dyDescent="0.35">
      <c r="A22" s="1428">
        <f t="shared" si="3"/>
        <v>12</v>
      </c>
      <c r="B22" s="1448" t="s">
        <v>482</v>
      </c>
      <c r="C22" s="1449"/>
      <c r="D22" s="511">
        <f t="shared" si="0"/>
        <v>22886.184298248001</v>
      </c>
      <c r="E22" s="641">
        <v>22886.184298248001</v>
      </c>
      <c r="F22" s="642">
        <v>0</v>
      </c>
      <c r="G22" s="1428">
        <f t="shared" si="4"/>
        <v>12</v>
      </c>
    </row>
    <row r="23" spans="1:7" ht="15.5" x14ac:dyDescent="0.35">
      <c r="A23" s="1428">
        <f t="shared" si="3"/>
        <v>13</v>
      </c>
      <c r="B23" s="1446" t="s">
        <v>483</v>
      </c>
      <c r="C23" s="1447"/>
      <c r="D23" s="511">
        <f t="shared" si="0"/>
        <v>3140.8122699999999</v>
      </c>
      <c r="E23" s="641">
        <v>0</v>
      </c>
      <c r="F23" s="642">
        <v>3140.8122699999999</v>
      </c>
      <c r="G23" s="1428">
        <f t="shared" si="4"/>
        <v>13</v>
      </c>
    </row>
    <row r="24" spans="1:7" ht="15.5" x14ac:dyDescent="0.35">
      <c r="A24" s="1428">
        <f t="shared" si="3"/>
        <v>14</v>
      </c>
      <c r="B24" s="1441" t="s">
        <v>484</v>
      </c>
      <c r="C24" s="788"/>
      <c r="D24" s="511">
        <f t="shared" si="0"/>
        <v>133472.93685</v>
      </c>
      <c r="E24" s="641">
        <v>128034.63282</v>
      </c>
      <c r="F24" s="642">
        <v>5438.3040300000002</v>
      </c>
      <c r="G24" s="1428">
        <f t="shared" si="4"/>
        <v>14</v>
      </c>
    </row>
    <row r="25" spans="1:7" ht="15.5" x14ac:dyDescent="0.35">
      <c r="A25" s="1428">
        <f t="shared" si="3"/>
        <v>15</v>
      </c>
      <c r="B25" s="1448" t="s">
        <v>485</v>
      </c>
      <c r="C25" s="1449"/>
      <c r="D25" s="511">
        <f t="shared" si="0"/>
        <v>49652.667439999997</v>
      </c>
      <c r="E25" s="641">
        <v>0</v>
      </c>
      <c r="F25" s="642">
        <v>49652.667439999997</v>
      </c>
      <c r="G25" s="1428">
        <f t="shared" si="4"/>
        <v>15</v>
      </c>
    </row>
    <row r="26" spans="1:7" ht="15.5" x14ac:dyDescent="0.35">
      <c r="A26" s="1428">
        <f t="shared" si="3"/>
        <v>16</v>
      </c>
      <c r="B26" s="1445" t="s">
        <v>486</v>
      </c>
      <c r="C26" s="109"/>
      <c r="D26" s="511">
        <f t="shared" si="0"/>
        <v>26315.076280000001</v>
      </c>
      <c r="E26" s="641">
        <v>26315.076280000001</v>
      </c>
      <c r="F26" s="642">
        <v>0</v>
      </c>
      <c r="G26" s="1428">
        <f t="shared" si="4"/>
        <v>16</v>
      </c>
    </row>
    <row r="27" spans="1:7" ht="15.5" x14ac:dyDescent="0.35">
      <c r="A27" s="1428">
        <f t="shared" si="3"/>
        <v>17</v>
      </c>
      <c r="B27" s="1445" t="s">
        <v>487</v>
      </c>
      <c r="C27" s="109"/>
      <c r="D27" s="511">
        <f t="shared" si="0"/>
        <v>50025.29305</v>
      </c>
      <c r="E27" s="641">
        <v>0</v>
      </c>
      <c r="F27" s="642">
        <v>50025.29305</v>
      </c>
      <c r="G27" s="1428">
        <f t="shared" si="4"/>
        <v>17</v>
      </c>
    </row>
    <row r="28" spans="1:7" ht="15.5" x14ac:dyDescent="0.35">
      <c r="A28" s="1428">
        <f t="shared" si="3"/>
        <v>18</v>
      </c>
      <c r="B28" s="1446" t="s">
        <v>488</v>
      </c>
      <c r="C28" s="1447"/>
      <c r="D28" s="511">
        <f t="shared" si="0"/>
        <v>7790.3955900000001</v>
      </c>
      <c r="E28" s="641">
        <v>7790.3955900000001</v>
      </c>
      <c r="F28" s="642">
        <v>0</v>
      </c>
      <c r="G28" s="1428">
        <f t="shared" si="4"/>
        <v>18</v>
      </c>
    </row>
    <row r="29" spans="1:7" ht="15.5" x14ac:dyDescent="0.35">
      <c r="A29" s="1428">
        <f t="shared" si="3"/>
        <v>19</v>
      </c>
      <c r="B29" s="1446" t="s">
        <v>489</v>
      </c>
      <c r="C29" s="1447"/>
      <c r="D29" s="511">
        <f t="shared" si="0"/>
        <v>22718.464329999999</v>
      </c>
      <c r="E29" s="641">
        <v>0</v>
      </c>
      <c r="F29" s="642">
        <v>22718.464329999999</v>
      </c>
      <c r="G29" s="1428">
        <f t="shared" si="4"/>
        <v>19</v>
      </c>
    </row>
    <row r="30" spans="1:7" ht="15.5" x14ac:dyDescent="0.35">
      <c r="A30" s="1428">
        <f t="shared" si="3"/>
        <v>20</v>
      </c>
      <c r="B30" s="1450" t="s">
        <v>490</v>
      </c>
      <c r="C30" s="960"/>
      <c r="D30" s="511">
        <f t="shared" si="0"/>
        <v>20956.02464</v>
      </c>
      <c r="E30" s="641">
        <v>0</v>
      </c>
      <c r="F30" s="642">
        <v>20956.02464</v>
      </c>
      <c r="G30" s="1428">
        <f t="shared" si="4"/>
        <v>20</v>
      </c>
    </row>
    <row r="31" spans="1:7" ht="15.5" x14ac:dyDescent="0.35">
      <c r="A31" s="1428">
        <f t="shared" si="3"/>
        <v>21</v>
      </c>
      <c r="B31" s="1450" t="s">
        <v>491</v>
      </c>
      <c r="C31" s="960"/>
      <c r="D31" s="511">
        <f t="shared" si="0"/>
        <v>218650.82422250032</v>
      </c>
      <c r="E31" s="641">
        <v>68760.827793234304</v>
      </c>
      <c r="F31" s="642">
        <v>149889.996429266</v>
      </c>
      <c r="G31" s="1428">
        <f t="shared" si="4"/>
        <v>21</v>
      </c>
    </row>
    <row r="32" spans="1:7" ht="15.5" x14ac:dyDescent="0.35">
      <c r="A32" s="1428">
        <f t="shared" si="3"/>
        <v>22</v>
      </c>
      <c r="B32" s="1450" t="s">
        <v>492</v>
      </c>
      <c r="C32" s="960"/>
      <c r="D32" s="511">
        <f t="shared" si="0"/>
        <v>11297.40891</v>
      </c>
      <c r="E32" s="641">
        <v>0</v>
      </c>
      <c r="F32" s="642">
        <v>11297.40891</v>
      </c>
      <c r="G32" s="1428">
        <f t="shared" si="4"/>
        <v>22</v>
      </c>
    </row>
    <row r="33" spans="1:11" ht="15.5" x14ac:dyDescent="0.35">
      <c r="A33" s="1428">
        <f>A32+1</f>
        <v>23</v>
      </c>
      <c r="B33" s="1451" t="s">
        <v>571</v>
      </c>
      <c r="C33" s="1452"/>
      <c r="D33" s="514">
        <f>E33+F33</f>
        <v>14970.677449999999</v>
      </c>
      <c r="E33" s="641">
        <v>0</v>
      </c>
      <c r="F33" s="642">
        <v>14970.677449999999</v>
      </c>
      <c r="G33" s="1428">
        <f>G32+1</f>
        <v>23</v>
      </c>
    </row>
    <row r="34" spans="1:11" s="2206" customFormat="1" ht="15.5" x14ac:dyDescent="0.35">
      <c r="A34" s="1428">
        <f t="shared" ref="A34:A37" si="5">A33+1</f>
        <v>24</v>
      </c>
      <c r="B34" s="1451" t="s">
        <v>773</v>
      </c>
      <c r="C34" s="1452"/>
      <c r="D34" s="1864">
        <f>E34+F34</f>
        <v>644.27063999999996</v>
      </c>
      <c r="E34" s="1861">
        <v>0</v>
      </c>
      <c r="F34" s="1864">
        <v>644.27063999999996</v>
      </c>
      <c r="G34" s="1428">
        <f t="shared" ref="G34:G40" si="6">G33+1</f>
        <v>24</v>
      </c>
    </row>
    <row r="35" spans="1:11" ht="15.5" x14ac:dyDescent="0.35">
      <c r="A35" s="1428">
        <f t="shared" si="5"/>
        <v>25</v>
      </c>
      <c r="B35" s="1450" t="s">
        <v>493</v>
      </c>
      <c r="C35" s="960"/>
      <c r="D35" s="511">
        <f t="shared" si="0"/>
        <v>553.29552999999999</v>
      </c>
      <c r="E35" s="641">
        <v>0</v>
      </c>
      <c r="F35" s="642">
        <v>553.29552999999999</v>
      </c>
      <c r="G35" s="1428">
        <f t="shared" si="6"/>
        <v>25</v>
      </c>
    </row>
    <row r="36" spans="1:11" s="1614" customFormat="1" ht="15.5" x14ac:dyDescent="0.35">
      <c r="A36" s="1428">
        <f t="shared" si="5"/>
        <v>26</v>
      </c>
      <c r="B36" s="1450" t="s">
        <v>769</v>
      </c>
      <c r="C36" s="960"/>
      <c r="D36" s="511">
        <f t="shared" si="0"/>
        <v>2269.0169850000002</v>
      </c>
      <c r="E36" s="641">
        <v>2269.0169850000002</v>
      </c>
      <c r="F36" s="642">
        <v>0</v>
      </c>
      <c r="G36" s="1428">
        <f t="shared" si="6"/>
        <v>26</v>
      </c>
    </row>
    <row r="37" spans="1:11" ht="15.5" x14ac:dyDescent="0.35">
      <c r="A37" s="1428">
        <f t="shared" si="5"/>
        <v>27</v>
      </c>
      <c r="B37" s="1450" t="s">
        <v>494</v>
      </c>
      <c r="C37" s="960"/>
      <c r="D37" s="514">
        <f t="shared" si="0"/>
        <v>24968.934320000026</v>
      </c>
      <c r="E37" s="641">
        <v>46.846258393426901</v>
      </c>
      <c r="F37" s="642">
        <v>24922.088061606599</v>
      </c>
      <c r="G37" s="1428">
        <f t="shared" si="6"/>
        <v>27</v>
      </c>
    </row>
    <row r="38" spans="1:11" ht="15.5" x14ac:dyDescent="0.35">
      <c r="A38" s="1428">
        <f t="shared" si="3"/>
        <v>28</v>
      </c>
      <c r="B38" s="1450" t="s">
        <v>495</v>
      </c>
      <c r="C38" s="960"/>
      <c r="D38" s="514">
        <f t="shared" si="0"/>
        <v>76178.581089999992</v>
      </c>
      <c r="E38" s="641">
        <v>37177.206884052102</v>
      </c>
      <c r="F38" s="642">
        <v>39001.374205947897</v>
      </c>
      <c r="G38" s="1428">
        <f t="shared" si="6"/>
        <v>28</v>
      </c>
    </row>
    <row r="39" spans="1:11" ht="15.5" x14ac:dyDescent="0.35">
      <c r="A39" s="1428">
        <f t="shared" si="3"/>
        <v>29</v>
      </c>
      <c r="B39" s="1453" t="s">
        <v>496</v>
      </c>
      <c r="C39" s="1454"/>
      <c r="D39" s="514">
        <f t="shared" si="0"/>
        <v>12682.362810000001</v>
      </c>
      <c r="E39" s="1861">
        <v>0</v>
      </c>
      <c r="F39" s="1864">
        <v>12682.362810000001</v>
      </c>
      <c r="G39" s="1428">
        <f t="shared" si="6"/>
        <v>29</v>
      </c>
    </row>
    <row r="40" spans="1:11" ht="15.5" x14ac:dyDescent="0.35">
      <c r="A40" s="1428">
        <f t="shared" si="3"/>
        <v>30</v>
      </c>
      <c r="B40" s="1445" t="s">
        <v>497</v>
      </c>
      <c r="C40" s="109"/>
      <c r="D40" s="514">
        <f t="shared" si="0"/>
        <v>557334.06181534298</v>
      </c>
      <c r="E40" s="1861">
        <v>557334.06181534298</v>
      </c>
      <c r="F40" s="1864">
        <v>0</v>
      </c>
      <c r="G40" s="1428">
        <f t="shared" si="6"/>
        <v>30</v>
      </c>
    </row>
    <row r="41" spans="1:11" ht="16" thickBot="1" x14ac:dyDescent="0.4">
      <c r="A41" s="1428">
        <f t="shared" si="3"/>
        <v>31</v>
      </c>
      <c r="B41" s="1440"/>
      <c r="C41" s="109"/>
      <c r="D41" s="515"/>
      <c r="E41" s="1618"/>
      <c r="F41" s="515"/>
      <c r="G41" s="1428">
        <f t="shared" si="4"/>
        <v>31</v>
      </c>
    </row>
    <row r="42" spans="1:11" ht="15.5" x14ac:dyDescent="0.35">
      <c r="A42" s="1428">
        <f t="shared" si="3"/>
        <v>32</v>
      </c>
      <c r="B42" s="1440" t="s">
        <v>498</v>
      </c>
      <c r="C42" s="109"/>
      <c r="D42" s="516">
        <f>SUM(D11:D40)</f>
        <v>2668818.0479810908</v>
      </c>
      <c r="E42" s="1211">
        <f>SUM(E11:E40)</f>
        <v>1232949.503236304</v>
      </c>
      <c r="F42" s="516">
        <f>SUM(F11:F40)</f>
        <v>1435868.544744787</v>
      </c>
      <c r="G42" s="1428">
        <f t="shared" si="4"/>
        <v>32</v>
      </c>
    </row>
    <row r="43" spans="1:11" ht="15.5" x14ac:dyDescent="0.35">
      <c r="A43" s="1428">
        <f t="shared" si="3"/>
        <v>33</v>
      </c>
      <c r="B43" s="1440"/>
      <c r="C43" s="109"/>
      <c r="D43" s="518"/>
      <c r="E43" s="1619"/>
      <c r="F43" s="518"/>
      <c r="G43" s="1428">
        <f t="shared" si="4"/>
        <v>33</v>
      </c>
    </row>
    <row r="44" spans="1:11" s="1550" customFormat="1" ht="18" x14ac:dyDescent="0.35">
      <c r="A44" s="1428">
        <f t="shared" si="3"/>
        <v>34</v>
      </c>
      <c r="B44" s="1453" t="s">
        <v>1028</v>
      </c>
      <c r="C44" s="84"/>
      <c r="D44" s="514">
        <f>SUM(E44:F44)</f>
        <v>3826316.4213100001</v>
      </c>
      <c r="E44" s="1861">
        <v>1753284.6356766699</v>
      </c>
      <c r="F44" s="1864">
        <v>2073031.78563333</v>
      </c>
      <c r="G44" s="1428">
        <f t="shared" si="4"/>
        <v>34</v>
      </c>
      <c r="I44" s="795"/>
      <c r="K44" s="795"/>
    </row>
    <row r="45" spans="1:11" s="1550" customFormat="1" ht="15.5" x14ac:dyDescent="0.35">
      <c r="A45" s="1428">
        <f t="shared" si="3"/>
        <v>35</v>
      </c>
      <c r="B45" s="1445"/>
      <c r="C45" s="81"/>
      <c r="D45" s="514"/>
      <c r="E45" s="640"/>
      <c r="F45" s="514"/>
      <c r="G45" s="1428">
        <f t="shared" si="4"/>
        <v>35</v>
      </c>
    </row>
    <row r="46" spans="1:11" s="1550" customFormat="1" ht="15.5" x14ac:dyDescent="0.35">
      <c r="A46" s="1428">
        <f t="shared" si="3"/>
        <v>36</v>
      </c>
      <c r="B46" s="1445" t="s">
        <v>572</v>
      </c>
      <c r="C46" s="81"/>
      <c r="D46" s="1864">
        <v>839089.658345</v>
      </c>
      <c r="E46" s="1864">
        <f>D46*E50</f>
        <v>385783.88102750829</v>
      </c>
      <c r="F46" s="514">
        <f>D46*F50</f>
        <v>453305.77731749171</v>
      </c>
      <c r="G46" s="1428">
        <f t="shared" si="4"/>
        <v>36</v>
      </c>
    </row>
    <row r="47" spans="1:11" ht="16" thickBot="1" x14ac:dyDescent="0.4">
      <c r="A47" s="1428">
        <f t="shared" ref="A47:A53" si="7">A46+1</f>
        <v>37</v>
      </c>
      <c r="B47" s="1440"/>
      <c r="C47" s="109"/>
      <c r="D47" s="515"/>
      <c r="E47" s="515"/>
      <c r="F47" s="515"/>
      <c r="G47" s="1428">
        <f t="shared" si="4"/>
        <v>37</v>
      </c>
    </row>
    <row r="48" spans="1:11" ht="18" x14ac:dyDescent="0.35">
      <c r="A48" s="1428">
        <f t="shared" si="7"/>
        <v>38</v>
      </c>
      <c r="B48" s="1440" t="s">
        <v>499</v>
      </c>
      <c r="C48" s="1455">
        <v>1</v>
      </c>
      <c r="D48" s="517">
        <f>SUM(D42:D46)</f>
        <v>7334224.1276360909</v>
      </c>
      <c r="E48" s="119">
        <f>SUM(E42:E46)</f>
        <v>3372018.0199404825</v>
      </c>
      <c r="F48" s="517">
        <f>SUM(F42:F46)</f>
        <v>3962206.1076956089</v>
      </c>
      <c r="G48" s="1428">
        <f t="shared" si="4"/>
        <v>38</v>
      </c>
      <c r="K48" s="819"/>
    </row>
    <row r="49" spans="1:7" ht="15.5" x14ac:dyDescent="0.35">
      <c r="A49" s="1428">
        <f t="shared" si="7"/>
        <v>39</v>
      </c>
      <c r="B49" s="1440"/>
      <c r="C49" s="109"/>
      <c r="D49" s="520"/>
      <c r="E49" s="520"/>
      <c r="F49" s="521"/>
      <c r="G49" s="1428">
        <f t="shared" si="4"/>
        <v>39</v>
      </c>
    </row>
    <row r="50" spans="1:7" ht="15.5" x14ac:dyDescent="0.35">
      <c r="A50" s="1428">
        <f t="shared" si="7"/>
        <v>40</v>
      </c>
      <c r="B50" s="1440" t="s">
        <v>500</v>
      </c>
      <c r="C50" s="109"/>
      <c r="D50" s="522">
        <f>+E50+F50</f>
        <v>1</v>
      </c>
      <c r="E50" s="522">
        <f>(E42+E44)/(D42+D44)</f>
        <v>0.45976479055696984</v>
      </c>
      <c r="F50" s="523">
        <f>(F42+F44)/(D42+D44)</f>
        <v>0.54023520944303016</v>
      </c>
      <c r="G50" s="1428">
        <f t="shared" si="4"/>
        <v>40</v>
      </c>
    </row>
    <row r="51" spans="1:7" ht="15.5" x14ac:dyDescent="0.35">
      <c r="A51" s="1428">
        <f t="shared" si="7"/>
        <v>41</v>
      </c>
      <c r="B51" s="1440"/>
      <c r="C51" s="109"/>
      <c r="D51" s="522"/>
      <c r="E51" s="522"/>
      <c r="F51" s="523"/>
      <c r="G51" s="1428">
        <f t="shared" si="4"/>
        <v>41</v>
      </c>
    </row>
    <row r="52" spans="1:7" ht="15.5" x14ac:dyDescent="0.35">
      <c r="A52" s="1428">
        <f t="shared" si="7"/>
        <v>42</v>
      </c>
      <c r="B52" s="1440"/>
      <c r="C52" s="109"/>
      <c r="D52" s="522"/>
      <c r="E52" s="1456" t="s">
        <v>1029</v>
      </c>
      <c r="F52" s="1457" t="s">
        <v>1030</v>
      </c>
      <c r="G52" s="1428">
        <f t="shared" si="4"/>
        <v>42</v>
      </c>
    </row>
    <row r="53" spans="1:7" ht="16" thickBot="1" x14ac:dyDescent="0.4">
      <c r="A53" s="1428">
        <f t="shared" si="7"/>
        <v>43</v>
      </c>
      <c r="B53" s="1458"/>
      <c r="C53" s="1459"/>
      <c r="D53" s="1460"/>
      <c r="E53" s="1460"/>
      <c r="F53" s="1461"/>
      <c r="G53" s="1428">
        <f t="shared" si="4"/>
        <v>43</v>
      </c>
    </row>
    <row r="55" spans="1:7" x14ac:dyDescent="0.35">
      <c r="E55" s="1463"/>
    </row>
    <row r="56" spans="1:7" ht="18" x14ac:dyDescent="0.35">
      <c r="A56" s="749">
        <v>1</v>
      </c>
      <c r="B56" s="79" t="s">
        <v>1015</v>
      </c>
      <c r="C56" s="79"/>
    </row>
    <row r="57" spans="1:7" ht="18" x14ac:dyDescent="0.35">
      <c r="A57" s="749">
        <v>2</v>
      </c>
      <c r="B57" s="79" t="s">
        <v>1231</v>
      </c>
    </row>
    <row r="58" spans="1:7" ht="15.5" x14ac:dyDescent="0.35">
      <c r="B58" s="79" t="s">
        <v>1232</v>
      </c>
    </row>
  </sheetData>
  <mergeCells count="4">
    <mergeCell ref="B2:F2"/>
    <mergeCell ref="B3:F3"/>
    <mergeCell ref="B4:F4"/>
    <mergeCell ref="B5:F5"/>
  </mergeCells>
  <printOptions horizontalCentered="1"/>
  <pageMargins left="0.5" right="0.5" top="0.5" bottom="0.5" header="0.25" footer="0.25"/>
  <pageSetup scale="59" orientation="landscape" r:id="rId1"/>
  <headerFooter scaleWithDoc="0">
    <oddFooter>&amp;C&amp;"Times New Roman,Regular"&amp;10Summary of HV/LV Plant Allocation Study</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zoomScale="80" zoomScaleNormal="80" workbookViewId="0"/>
  </sheetViews>
  <sheetFormatPr defaultColWidth="8.90625" defaultRowHeight="15.5" x14ac:dyDescent="0.35"/>
  <cols>
    <col min="1" max="1" width="5.08984375" style="945" customWidth="1"/>
    <col min="2" max="2" width="82.54296875" style="7" customWidth="1"/>
    <col min="3" max="5" width="15.90625" style="7" customWidth="1"/>
    <col min="6" max="6" width="3.08984375" style="7" customWidth="1"/>
    <col min="7" max="9" width="15.90625" style="7" customWidth="1"/>
    <col min="10" max="10" width="34.90625" style="7" customWidth="1"/>
    <col min="11" max="11" width="5.08984375" style="945" customWidth="1"/>
    <col min="12" max="16384" width="8.90625" style="7"/>
  </cols>
  <sheetData>
    <row r="2" spans="1:11" ht="15.75" customHeight="1" x14ac:dyDescent="0.35">
      <c r="B2" s="2289" t="s">
        <v>18</v>
      </c>
      <c r="C2" s="2289"/>
      <c r="D2" s="2289"/>
      <c r="E2" s="2289"/>
      <c r="F2" s="2289"/>
      <c r="G2" s="2289"/>
      <c r="H2" s="2289"/>
      <c r="I2" s="2289"/>
      <c r="J2" s="2289"/>
      <c r="K2" s="1561"/>
    </row>
    <row r="3" spans="1:11" ht="15.75" customHeight="1" x14ac:dyDescent="0.35">
      <c r="B3" s="2289" t="s">
        <v>860</v>
      </c>
      <c r="C3" s="2289"/>
      <c r="D3" s="2289"/>
      <c r="E3" s="2289"/>
      <c r="F3" s="2289"/>
      <c r="G3" s="2289"/>
      <c r="H3" s="2289"/>
      <c r="I3" s="2289"/>
      <c r="J3" s="2289"/>
      <c r="K3" s="1561"/>
    </row>
    <row r="4" spans="1:11" ht="15.75" customHeight="1" x14ac:dyDescent="0.35">
      <c r="B4" s="2279" t="s">
        <v>1639</v>
      </c>
      <c r="C4" s="2279"/>
      <c r="D4" s="2279"/>
      <c r="E4" s="2279"/>
      <c r="F4" s="2279"/>
      <c r="G4" s="2279"/>
      <c r="H4" s="2279"/>
      <c r="I4" s="2279"/>
      <c r="J4" s="2279"/>
      <c r="K4" s="1561"/>
    </row>
    <row r="5" spans="1:11" x14ac:dyDescent="0.35">
      <c r="B5" s="2335">
        <v>-1000</v>
      </c>
      <c r="C5" s="2335"/>
      <c r="D5" s="2335"/>
      <c r="E5" s="2335"/>
      <c r="F5" s="2335"/>
      <c r="G5" s="2335"/>
      <c r="H5" s="2335"/>
      <c r="I5" s="2335"/>
      <c r="J5" s="2335"/>
      <c r="K5" s="1572"/>
    </row>
    <row r="6" spans="1:11" x14ac:dyDescent="0.35">
      <c r="A6" s="1563"/>
      <c r="B6" s="1464"/>
      <c r="C6" s="79"/>
      <c r="D6" s="79"/>
      <c r="E6" s="79"/>
      <c r="F6" s="79"/>
      <c r="G6" s="79"/>
      <c r="H6" s="79"/>
      <c r="I6" s="79"/>
      <c r="J6" s="79"/>
      <c r="K6" s="1563"/>
    </row>
    <row r="7" spans="1:11" x14ac:dyDescent="0.35">
      <c r="A7" s="595"/>
      <c r="B7" s="756"/>
      <c r="C7" s="798" t="s">
        <v>4</v>
      </c>
      <c r="D7" s="798" t="s">
        <v>5</v>
      </c>
      <c r="E7" s="798" t="s">
        <v>697</v>
      </c>
      <c r="F7" s="756"/>
      <c r="G7" s="798" t="s">
        <v>391</v>
      </c>
      <c r="H7" s="798" t="s">
        <v>392</v>
      </c>
      <c r="I7" s="798" t="s">
        <v>698</v>
      </c>
      <c r="J7" s="756"/>
      <c r="K7" s="595"/>
    </row>
    <row r="8" spans="1:11" x14ac:dyDescent="0.35">
      <c r="A8" s="345" t="s">
        <v>3</v>
      </c>
      <c r="B8" s="1465"/>
      <c r="C8" s="1239" t="s">
        <v>539</v>
      </c>
      <c r="D8" s="1239" t="s">
        <v>539</v>
      </c>
      <c r="E8" s="840" t="s">
        <v>531</v>
      </c>
      <c r="F8" s="756"/>
      <c r="G8" s="1239" t="s">
        <v>234</v>
      </c>
      <c r="H8" s="1239" t="s">
        <v>234</v>
      </c>
      <c r="I8" s="1239" t="s">
        <v>437</v>
      </c>
      <c r="J8" s="1466"/>
      <c r="K8" s="345" t="s">
        <v>3</v>
      </c>
    </row>
    <row r="9" spans="1:11" x14ac:dyDescent="0.35">
      <c r="A9" s="345" t="s">
        <v>25</v>
      </c>
      <c r="B9" s="1467"/>
      <c r="C9" s="1247" t="s">
        <v>528</v>
      </c>
      <c r="D9" s="766" t="s">
        <v>529</v>
      </c>
      <c r="E9" s="766" t="s">
        <v>31</v>
      </c>
      <c r="F9" s="781"/>
      <c r="G9" s="1247" t="s">
        <v>532</v>
      </c>
      <c r="H9" s="1247" t="s">
        <v>533</v>
      </c>
      <c r="I9" s="1247" t="s">
        <v>31</v>
      </c>
      <c r="J9" s="1247" t="s">
        <v>9</v>
      </c>
      <c r="K9" s="345" t="s">
        <v>25</v>
      </c>
    </row>
    <row r="10" spans="1:11" x14ac:dyDescent="0.35">
      <c r="A10" s="345"/>
      <c r="B10" s="1468" t="s">
        <v>540</v>
      </c>
      <c r="C10" s="524"/>
      <c r="D10" s="525"/>
      <c r="E10" s="525"/>
      <c r="F10" s="170"/>
      <c r="G10" s="524"/>
      <c r="H10" s="524"/>
      <c r="I10" s="526"/>
      <c r="J10" s="526"/>
      <c r="K10" s="345"/>
    </row>
    <row r="11" spans="1:11" x14ac:dyDescent="0.35">
      <c r="A11" s="345">
        <v>1</v>
      </c>
      <c r="B11" s="1469" t="s">
        <v>541</v>
      </c>
      <c r="C11" s="535">
        <f>'ET Forecast Capital Additions'!C35</f>
        <v>179628</v>
      </c>
      <c r="D11" s="535">
        <f>'ET Forecast Capital Additions'!D35</f>
        <v>761281</v>
      </c>
      <c r="E11" s="258">
        <f>C11+D11</f>
        <v>940909</v>
      </c>
      <c r="F11" s="345"/>
      <c r="G11" s="535">
        <f>'ET Forecast Capital Additions'!M35</f>
        <v>151857.61382488476</v>
      </c>
      <c r="H11" s="535">
        <f>'ET Forecast Capital Additions'!N35</f>
        <v>623009.770388462</v>
      </c>
      <c r="I11" s="527">
        <f>G11+H11</f>
        <v>774867.38421334676</v>
      </c>
      <c r="J11" s="1470" t="s">
        <v>1021</v>
      </c>
      <c r="K11" s="345">
        <f>A11</f>
        <v>1</v>
      </c>
    </row>
    <row r="12" spans="1:11" x14ac:dyDescent="0.35">
      <c r="A12" s="345">
        <f t="shared" ref="A12:A29" si="0">A11+1</f>
        <v>2</v>
      </c>
      <c r="B12" s="1469"/>
      <c r="C12" s="258"/>
      <c r="D12" s="258"/>
      <c r="E12" s="258"/>
      <c r="F12" s="258"/>
      <c r="G12" s="258"/>
      <c r="H12" s="258"/>
      <c r="I12" s="527"/>
      <c r="J12" s="1470"/>
      <c r="K12" s="345">
        <f t="shared" ref="K12:K29" si="1">K11+1</f>
        <v>2</v>
      </c>
    </row>
    <row r="13" spans="1:11" x14ac:dyDescent="0.35">
      <c r="A13" s="345">
        <f t="shared" si="0"/>
        <v>3</v>
      </c>
      <c r="B13" s="921" t="s">
        <v>542</v>
      </c>
      <c r="C13" s="1547">
        <f>'General &amp; Common Plant Addition'!C35</f>
        <v>6490</v>
      </c>
      <c r="D13" s="1547">
        <f>'General &amp; Common Plant Addition'!D35</f>
        <v>6302</v>
      </c>
      <c r="E13" s="528">
        <f>C13+D13</f>
        <v>12792</v>
      </c>
      <c r="F13" s="345"/>
      <c r="G13" s="1547">
        <f>'General &amp; Common Plant Addition'!M35</f>
        <v>5080.7776012203967</v>
      </c>
      <c r="H13" s="1547">
        <f>'General &amp; Common Plant Addition'!N35</f>
        <v>4933.0878342229325</v>
      </c>
      <c r="I13" s="529">
        <f>G13+H13</f>
        <v>10013.865435443329</v>
      </c>
      <c r="J13" s="1470" t="s">
        <v>1006</v>
      </c>
      <c r="K13" s="345">
        <f t="shared" si="1"/>
        <v>3</v>
      </c>
    </row>
    <row r="14" spans="1:11" x14ac:dyDescent="0.35">
      <c r="A14" s="345">
        <f t="shared" si="0"/>
        <v>4</v>
      </c>
      <c r="B14" s="1469"/>
      <c r="C14" s="221"/>
      <c r="D14" s="221"/>
      <c r="E14" s="221"/>
      <c r="F14" s="258"/>
      <c r="G14" s="258"/>
      <c r="H14" s="258"/>
      <c r="I14" s="527"/>
      <c r="J14" s="1470"/>
      <c r="K14" s="345">
        <f t="shared" si="1"/>
        <v>4</v>
      </c>
    </row>
    <row r="15" spans="1:11" x14ac:dyDescent="0.35">
      <c r="A15" s="345">
        <f t="shared" si="0"/>
        <v>5</v>
      </c>
      <c r="B15" s="1469" t="s">
        <v>543</v>
      </c>
      <c r="C15" s="258">
        <f>SUM(C11:C13)</f>
        <v>186118</v>
      </c>
      <c r="D15" s="258">
        <f>SUM(D11:D13)</f>
        <v>767583</v>
      </c>
      <c r="E15" s="258">
        <f>SUM(E11:E13)</f>
        <v>953701</v>
      </c>
      <c r="F15" s="345"/>
      <c r="G15" s="258">
        <f>SUM(G11:G13)</f>
        <v>156938.39142610514</v>
      </c>
      <c r="H15" s="258">
        <f>SUM(H11:H13)</f>
        <v>627942.85822268494</v>
      </c>
      <c r="I15" s="258">
        <f>SUM(I11:I13)</f>
        <v>784881.24964879011</v>
      </c>
      <c r="J15" s="1470" t="s">
        <v>1022</v>
      </c>
      <c r="K15" s="345">
        <f t="shared" si="1"/>
        <v>5</v>
      </c>
    </row>
    <row r="16" spans="1:11" x14ac:dyDescent="0.35">
      <c r="A16" s="345">
        <f t="shared" si="0"/>
        <v>6</v>
      </c>
      <c r="B16" s="1469"/>
      <c r="C16" s="221"/>
      <c r="D16" s="221"/>
      <c r="E16" s="221"/>
      <c r="F16" s="258"/>
      <c r="G16" s="258"/>
      <c r="H16" s="258"/>
      <c r="I16" s="527"/>
      <c r="J16" s="1470"/>
      <c r="K16" s="345">
        <f t="shared" si="1"/>
        <v>6</v>
      </c>
    </row>
    <row r="17" spans="1:11" x14ac:dyDescent="0.35">
      <c r="A17" s="345">
        <f t="shared" si="0"/>
        <v>7</v>
      </c>
      <c r="B17" s="1468" t="s">
        <v>544</v>
      </c>
      <c r="C17" s="221"/>
      <c r="D17" s="221"/>
      <c r="E17" s="221"/>
      <c r="F17" s="258"/>
      <c r="G17" s="258"/>
      <c r="H17" s="258"/>
      <c r="I17" s="527"/>
      <c r="J17" s="1470"/>
      <c r="K17" s="345">
        <f t="shared" si="1"/>
        <v>7</v>
      </c>
    </row>
    <row r="18" spans="1:11" x14ac:dyDescent="0.35">
      <c r="A18" s="345">
        <f t="shared" si="0"/>
        <v>8</v>
      </c>
      <c r="B18" s="1469" t="s">
        <v>545</v>
      </c>
      <c r="C18" s="597">
        <f>'Incentive Transmission Plant'!C35</f>
        <v>0</v>
      </c>
      <c r="D18" s="597">
        <f>'Incentive Transmission Plant'!D35</f>
        <v>0</v>
      </c>
      <c r="E18" s="165">
        <f>C18+D18</f>
        <v>0</v>
      </c>
      <c r="F18" s="258"/>
      <c r="G18" s="597">
        <f>'Incentive Transmission Plant'!M35</f>
        <v>0</v>
      </c>
      <c r="H18" s="597">
        <f>'Incentive Transmission Plant'!N35</f>
        <v>0</v>
      </c>
      <c r="I18" s="151">
        <f>G18+H18</f>
        <v>0</v>
      </c>
      <c r="J18" s="1470" t="s">
        <v>1007</v>
      </c>
      <c r="K18" s="345">
        <f t="shared" si="1"/>
        <v>8</v>
      </c>
    </row>
    <row r="19" spans="1:11" x14ac:dyDescent="0.35">
      <c r="A19" s="345">
        <f t="shared" si="0"/>
        <v>9</v>
      </c>
      <c r="B19" s="1469"/>
      <c r="C19" s="221"/>
      <c r="D19" s="221"/>
      <c r="E19" s="221"/>
      <c r="F19" s="258"/>
      <c r="G19" s="258"/>
      <c r="H19" s="258"/>
      <c r="I19" s="527"/>
      <c r="J19" s="1470"/>
      <c r="K19" s="345">
        <f t="shared" si="1"/>
        <v>9</v>
      </c>
    </row>
    <row r="20" spans="1:11" ht="31" x14ac:dyDescent="0.35">
      <c r="A20" s="345">
        <f t="shared" si="0"/>
        <v>10</v>
      </c>
      <c r="B20" s="1469" t="s">
        <v>546</v>
      </c>
      <c r="C20" s="601">
        <f>'Incentive CWIP-A'!C36</f>
        <v>0</v>
      </c>
      <c r="D20" s="601">
        <f>'Incentive CWIP-A'!D36</f>
        <v>0</v>
      </c>
      <c r="E20" s="167">
        <f>C20+D20</f>
        <v>0</v>
      </c>
      <c r="F20" s="258"/>
      <c r="G20" s="601">
        <f>'Incentive CWIP-A'!M36</f>
        <v>0</v>
      </c>
      <c r="H20" s="601">
        <f>'Incentive CWIP-A'!N36</f>
        <v>0</v>
      </c>
      <c r="I20" s="152">
        <f>G20+H20</f>
        <v>0</v>
      </c>
      <c r="J20" s="1470" t="s">
        <v>1008</v>
      </c>
      <c r="K20" s="345">
        <f t="shared" si="1"/>
        <v>10</v>
      </c>
    </row>
    <row r="21" spans="1:11" x14ac:dyDescent="0.35">
      <c r="A21" s="345">
        <f t="shared" si="0"/>
        <v>11</v>
      </c>
      <c r="B21" s="1469"/>
      <c r="C21" s="221"/>
      <c r="D21" s="221"/>
      <c r="E21" s="221"/>
      <c r="F21" s="258"/>
      <c r="G21" s="258"/>
      <c r="H21" s="258"/>
      <c r="I21" s="527"/>
      <c r="J21" s="1470"/>
      <c r="K21" s="345">
        <f t="shared" si="1"/>
        <v>11</v>
      </c>
    </row>
    <row r="22" spans="1:11" ht="31" x14ac:dyDescent="0.35">
      <c r="A22" s="345">
        <f t="shared" si="0"/>
        <v>12</v>
      </c>
      <c r="B22" s="1469" t="s">
        <v>547</v>
      </c>
      <c r="C22" s="1548">
        <f>'Incentive CWIP-B'!C36</f>
        <v>0</v>
      </c>
      <c r="D22" s="1548">
        <f>'Incentive CWIP-B'!D36</f>
        <v>0</v>
      </c>
      <c r="E22" s="355">
        <f>C22+D22</f>
        <v>0</v>
      </c>
      <c r="F22" s="258"/>
      <c r="G22" s="1548">
        <f>'Incentive CWIP-B'!M36</f>
        <v>0</v>
      </c>
      <c r="H22" s="1548">
        <f>'Incentive CWIP-B'!N36</f>
        <v>0</v>
      </c>
      <c r="I22" s="530">
        <f>G22+H22</f>
        <v>0</v>
      </c>
      <c r="J22" s="1470" t="s">
        <v>1023</v>
      </c>
      <c r="K22" s="345">
        <f t="shared" si="1"/>
        <v>12</v>
      </c>
    </row>
    <row r="23" spans="1:11" x14ac:dyDescent="0.35">
      <c r="A23" s="345">
        <f t="shared" si="0"/>
        <v>13</v>
      </c>
      <c r="B23" s="1469"/>
      <c r="C23" s="221"/>
      <c r="D23" s="221"/>
      <c r="E23" s="221"/>
      <c r="F23" s="258"/>
      <c r="G23" s="258"/>
      <c r="H23" s="258"/>
      <c r="I23" s="527"/>
      <c r="J23" s="1470"/>
      <c r="K23" s="345">
        <f t="shared" si="1"/>
        <v>13</v>
      </c>
    </row>
    <row r="24" spans="1:11" x14ac:dyDescent="0.35">
      <c r="A24" s="345">
        <f t="shared" si="0"/>
        <v>14</v>
      </c>
      <c r="B24" s="1469" t="s">
        <v>548</v>
      </c>
      <c r="C24" s="531">
        <f>SUM(C18:C22)</f>
        <v>0</v>
      </c>
      <c r="D24" s="531">
        <f>SUM(D18:D22)</f>
        <v>0</v>
      </c>
      <c r="E24" s="531">
        <f>SUM(E18:E22)</f>
        <v>0</v>
      </c>
      <c r="F24" s="258"/>
      <c r="G24" s="531">
        <f>SUM(G18:G22)</f>
        <v>0</v>
      </c>
      <c r="H24" s="531">
        <f>SUM(H18:H22)</f>
        <v>0</v>
      </c>
      <c r="I24" s="531">
        <f>SUM(I18:I22)</f>
        <v>0</v>
      </c>
      <c r="J24" s="1470" t="s">
        <v>1024</v>
      </c>
      <c r="K24" s="345">
        <f t="shared" si="1"/>
        <v>14</v>
      </c>
    </row>
    <row r="25" spans="1:11" x14ac:dyDescent="0.35">
      <c r="A25" s="345">
        <f t="shared" si="0"/>
        <v>15</v>
      </c>
      <c r="B25" s="1469"/>
      <c r="C25" s="221"/>
      <c r="D25" s="221"/>
      <c r="E25" s="221"/>
      <c r="F25" s="258"/>
      <c r="G25" s="258"/>
      <c r="H25" s="258"/>
      <c r="I25" s="527"/>
      <c r="J25" s="526"/>
      <c r="K25" s="345">
        <f t="shared" si="1"/>
        <v>15</v>
      </c>
    </row>
    <row r="26" spans="1:11" ht="16" thickBot="1" x14ac:dyDescent="0.4">
      <c r="A26" s="345">
        <f t="shared" si="0"/>
        <v>16</v>
      </c>
      <c r="B26" s="1471" t="s">
        <v>31</v>
      </c>
      <c r="C26" s="532">
        <f>C15+C24</f>
        <v>186118</v>
      </c>
      <c r="D26" s="532">
        <f>D15+D24</f>
        <v>767583</v>
      </c>
      <c r="E26" s="532">
        <f>E15+E24</f>
        <v>953701</v>
      </c>
      <c r="F26" s="345"/>
      <c r="G26" s="532">
        <f>G15+G24</f>
        <v>156938.39142610514</v>
      </c>
      <c r="H26" s="532">
        <f>H15+H24</f>
        <v>627942.85822268494</v>
      </c>
      <c r="I26" s="532">
        <f>I15+I24</f>
        <v>784881.24964879011</v>
      </c>
      <c r="J26" s="1470" t="s">
        <v>1025</v>
      </c>
      <c r="K26" s="345">
        <f t="shared" si="1"/>
        <v>16</v>
      </c>
    </row>
    <row r="27" spans="1:11" ht="16" thickTop="1" x14ac:dyDescent="0.35">
      <c r="A27" s="345">
        <f t="shared" si="0"/>
        <v>17</v>
      </c>
      <c r="B27" s="1471"/>
      <c r="C27" s="221"/>
      <c r="D27" s="221"/>
      <c r="E27" s="221"/>
      <c r="F27" s="258"/>
      <c r="G27" s="258"/>
      <c r="H27" s="258"/>
      <c r="I27" s="527"/>
      <c r="J27" s="1470"/>
      <c r="K27" s="345">
        <f t="shared" si="1"/>
        <v>17</v>
      </c>
    </row>
    <row r="28" spans="1:11" x14ac:dyDescent="0.35">
      <c r="A28" s="345">
        <f t="shared" si="0"/>
        <v>18</v>
      </c>
      <c r="B28" s="1469"/>
      <c r="C28" s="221"/>
      <c r="D28" s="221"/>
      <c r="E28" s="221"/>
      <c r="F28" s="258"/>
      <c r="G28" s="258"/>
      <c r="H28" s="258"/>
      <c r="I28" s="527"/>
      <c r="J28" s="1472" t="s">
        <v>1026</v>
      </c>
      <c r="K28" s="345">
        <f t="shared" si="1"/>
        <v>18</v>
      </c>
    </row>
    <row r="29" spans="1:11" ht="16" thickBot="1" x14ac:dyDescent="0.4">
      <c r="A29" s="345">
        <f t="shared" si="0"/>
        <v>19</v>
      </c>
      <c r="B29" s="1471" t="s">
        <v>861</v>
      </c>
      <c r="C29" s="221"/>
      <c r="D29" s="221"/>
      <c r="E29" s="221"/>
      <c r="F29" s="345"/>
      <c r="G29" s="533">
        <f>G26/I26</f>
        <v>0.19995176531014108</v>
      </c>
      <c r="H29" s="533">
        <f>H26/I26</f>
        <v>0.80004823468985886</v>
      </c>
      <c r="I29" s="533">
        <f>G29+H29</f>
        <v>1</v>
      </c>
      <c r="J29" s="1472" t="s">
        <v>1027</v>
      </c>
      <c r="K29" s="345">
        <f t="shared" si="1"/>
        <v>19</v>
      </c>
    </row>
    <row r="30" spans="1:11" ht="16" thickTop="1" x14ac:dyDescent="0.35">
      <c r="A30" s="345">
        <v>20</v>
      </c>
      <c r="B30" s="1473"/>
      <c r="C30" s="1108"/>
      <c r="D30" s="1108"/>
      <c r="E30" s="1108"/>
      <c r="F30" s="1108"/>
      <c r="G30" s="766"/>
      <c r="H30" s="766"/>
      <c r="I30" s="329"/>
      <c r="J30" s="329"/>
      <c r="K30" s="345">
        <v>20</v>
      </c>
    </row>
    <row r="31" spans="1:11" x14ac:dyDescent="0.35">
      <c r="A31" s="1563"/>
      <c r="B31" s="81"/>
      <c r="C31" s="81"/>
      <c r="D31" s="81"/>
      <c r="E31" s="81"/>
      <c r="F31" s="81"/>
      <c r="G31" s="81"/>
      <c r="H31" s="81"/>
      <c r="I31" s="81"/>
      <c r="J31" s="81"/>
      <c r="K31" s="1563"/>
    </row>
    <row r="32" spans="1:11" x14ac:dyDescent="0.35">
      <c r="A32" s="1563"/>
      <c r="B32" s="81"/>
      <c r="C32" s="81"/>
      <c r="D32" s="81"/>
      <c r="E32" s="81"/>
      <c r="F32" s="81"/>
      <c r="G32" s="81"/>
      <c r="H32" s="81"/>
      <c r="I32" s="81"/>
      <c r="J32" s="81"/>
      <c r="K32" s="1563"/>
    </row>
    <row r="33" spans="1:11" ht="18" x14ac:dyDescent="0.35">
      <c r="A33" s="750">
        <v>1</v>
      </c>
      <c r="B33" s="79" t="s">
        <v>1016</v>
      </c>
      <c r="C33" s="79"/>
      <c r="D33" s="79"/>
      <c r="E33" s="79"/>
      <c r="F33" s="79"/>
      <c r="G33" s="79"/>
      <c r="H33" s="79"/>
      <c r="I33" s="79"/>
      <c r="J33" s="79"/>
      <c r="K33" s="1563"/>
    </row>
    <row r="34" spans="1:11" ht="18" x14ac:dyDescent="0.35">
      <c r="A34" s="750">
        <v>2</v>
      </c>
      <c r="B34" s="79" t="s">
        <v>1017</v>
      </c>
      <c r="C34" s="79"/>
      <c r="D34" s="79"/>
      <c r="E34" s="79"/>
      <c r="F34" s="79"/>
      <c r="G34" s="79"/>
      <c r="H34" s="79"/>
      <c r="I34" s="79"/>
      <c r="J34" s="79"/>
      <c r="K34" s="1563"/>
    </row>
    <row r="35" spans="1:11" ht="18" x14ac:dyDescent="0.35">
      <c r="A35" s="750">
        <v>3</v>
      </c>
      <c r="B35" s="79" t="s">
        <v>1018</v>
      </c>
      <c r="C35" s="79"/>
      <c r="D35" s="79"/>
      <c r="E35" s="79"/>
      <c r="F35" s="79"/>
      <c r="G35" s="79"/>
      <c r="H35" s="79"/>
      <c r="I35" s="79"/>
      <c r="J35" s="79"/>
      <c r="K35" s="1563"/>
    </row>
    <row r="36" spans="1:11" ht="18" x14ac:dyDescent="0.35">
      <c r="A36" s="750">
        <v>4</v>
      </c>
      <c r="B36" s="79" t="s">
        <v>1019</v>
      </c>
      <c r="C36" s="79"/>
      <c r="D36" s="79"/>
      <c r="E36" s="79"/>
      <c r="F36" s="79"/>
      <c r="G36" s="79"/>
      <c r="H36" s="79"/>
      <c r="I36" s="79"/>
      <c r="J36" s="79"/>
      <c r="K36" s="1563"/>
    </row>
    <row r="37" spans="1:11" ht="18" x14ac:dyDescent="0.35">
      <c r="A37" s="750">
        <v>5</v>
      </c>
      <c r="B37" s="79" t="s">
        <v>1020</v>
      </c>
      <c r="C37" s="79"/>
      <c r="D37" s="79"/>
      <c r="E37" s="79"/>
      <c r="F37" s="79"/>
      <c r="G37" s="79"/>
      <c r="H37" s="79"/>
      <c r="I37" s="79"/>
      <c r="J37" s="79"/>
      <c r="K37" s="1563"/>
    </row>
    <row r="38" spans="1:11" x14ac:dyDescent="0.35">
      <c r="A38" s="1561"/>
      <c r="B38" s="88"/>
      <c r="C38" s="79"/>
      <c r="D38" s="79"/>
      <c r="E38" s="79"/>
      <c r="F38" s="79"/>
      <c r="G38" s="79"/>
      <c r="H38" s="79"/>
      <c r="I38" s="79"/>
      <c r="J38" s="79"/>
      <c r="K38" s="1563"/>
    </row>
    <row r="39" spans="1:11" x14ac:dyDescent="0.35">
      <c r="A39" s="1563"/>
      <c r="B39" s="1533"/>
      <c r="C39" s="79"/>
      <c r="D39" s="79"/>
      <c r="E39" s="79"/>
      <c r="F39" s="79"/>
      <c r="G39" s="79"/>
      <c r="H39" s="79"/>
      <c r="I39" s="79"/>
      <c r="J39" s="79"/>
      <c r="K39" s="1563"/>
    </row>
    <row r="40" spans="1:11" x14ac:dyDescent="0.35">
      <c r="A40" s="1563"/>
      <c r="B40" s="79"/>
      <c r="C40" s="79"/>
      <c r="D40" s="79"/>
      <c r="E40" s="79"/>
      <c r="F40" s="79"/>
      <c r="G40" s="79"/>
      <c r="H40" s="79"/>
      <c r="I40" s="79"/>
      <c r="J40" s="79"/>
      <c r="K40" s="1563"/>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zoomScale="80" zoomScaleNormal="80" workbookViewId="0"/>
  </sheetViews>
  <sheetFormatPr defaultColWidth="8.90625" defaultRowHeight="15.5" x14ac:dyDescent="0.35"/>
  <cols>
    <col min="1" max="1" width="5.08984375" style="1569" customWidth="1"/>
    <col min="2" max="2" width="8.54296875" style="7" customWidth="1"/>
    <col min="3" max="5" width="15.90625" style="7" customWidth="1"/>
    <col min="6" max="11" width="15.54296875" style="7" customWidth="1"/>
    <col min="12" max="12" width="11.08984375" style="7" customWidth="1"/>
    <col min="13" max="15" width="15.54296875" style="7" customWidth="1"/>
    <col min="16" max="16" width="5.08984375" style="1569" customWidth="1"/>
    <col min="17" max="16384" width="8.90625" style="7"/>
  </cols>
  <sheetData>
    <row r="1" spans="1:29" x14ac:dyDescent="0.35">
      <c r="A1" s="1563"/>
      <c r="B1" s="79"/>
      <c r="C1" s="701"/>
      <c r="D1" s="79"/>
      <c r="E1" s="79"/>
      <c r="F1" s="79"/>
      <c r="G1" s="79"/>
      <c r="H1" s="79"/>
      <c r="I1" s="79"/>
      <c r="J1" s="79"/>
      <c r="K1" s="79"/>
      <c r="L1" s="79"/>
      <c r="M1" s="79"/>
      <c r="N1" s="79"/>
      <c r="O1" s="79"/>
      <c r="P1" s="1563"/>
      <c r="Q1" s="79"/>
      <c r="R1" s="79"/>
      <c r="S1" s="79"/>
      <c r="T1" s="79"/>
      <c r="U1" s="79"/>
      <c r="V1" s="79"/>
      <c r="W1" s="79"/>
      <c r="X1" s="79"/>
      <c r="Y1" s="79"/>
      <c r="Z1" s="79"/>
      <c r="AA1" s="79"/>
      <c r="AB1" s="79"/>
      <c r="AC1" s="79"/>
    </row>
    <row r="2" spans="1:29" x14ac:dyDescent="0.35">
      <c r="B2" s="2289" t="s">
        <v>18</v>
      </c>
      <c r="C2" s="2289"/>
      <c r="D2" s="2289"/>
      <c r="E2" s="2289"/>
      <c r="F2" s="2289"/>
      <c r="G2" s="2289"/>
      <c r="H2" s="2289"/>
      <c r="I2" s="2289"/>
      <c r="J2" s="2289"/>
      <c r="K2" s="2289"/>
      <c r="L2" s="2289"/>
      <c r="M2" s="2289"/>
      <c r="N2" s="2289"/>
      <c r="O2" s="2289"/>
      <c r="P2" s="1563"/>
      <c r="Q2" s="79"/>
      <c r="R2" s="79"/>
      <c r="S2" s="79"/>
      <c r="T2" s="79"/>
      <c r="U2" s="79"/>
      <c r="V2" s="79"/>
      <c r="W2" s="79"/>
      <c r="X2" s="79"/>
      <c r="Y2" s="79"/>
      <c r="Z2" s="79"/>
      <c r="AA2" s="79"/>
      <c r="AB2" s="79"/>
      <c r="AC2" s="79"/>
    </row>
    <row r="3" spans="1:29" x14ac:dyDescent="0.35">
      <c r="B3" s="2289" t="s">
        <v>522</v>
      </c>
      <c r="C3" s="2289"/>
      <c r="D3" s="2289"/>
      <c r="E3" s="2289"/>
      <c r="F3" s="2289"/>
      <c r="G3" s="2289"/>
      <c r="H3" s="2289"/>
      <c r="I3" s="2289"/>
      <c r="J3" s="2289"/>
      <c r="K3" s="2289"/>
      <c r="L3" s="2289"/>
      <c r="M3" s="2289"/>
      <c r="N3" s="2289"/>
      <c r="O3" s="2289"/>
      <c r="P3" s="1563"/>
      <c r="Q3" s="79"/>
      <c r="R3" s="79"/>
      <c r="S3" s="79"/>
      <c r="T3" s="79"/>
      <c r="U3" s="79"/>
      <c r="V3" s="79"/>
      <c r="W3" s="79"/>
      <c r="X3" s="79"/>
      <c r="Y3" s="79"/>
      <c r="Z3" s="79"/>
      <c r="AA3" s="79"/>
      <c r="AB3" s="79"/>
      <c r="AC3" s="79"/>
    </row>
    <row r="4" spans="1:29" x14ac:dyDescent="0.35">
      <c r="B4" s="2283" t="str">
        <f>'Summary of HV-LV Splits'!B4</f>
        <v>24-Month Forecast Period (January 1, 2022 - December 31, 2023)</v>
      </c>
      <c r="C4" s="2283"/>
      <c r="D4" s="2283"/>
      <c r="E4" s="2283"/>
      <c r="F4" s="2283"/>
      <c r="G4" s="2283"/>
      <c r="H4" s="2283"/>
      <c r="I4" s="2283"/>
      <c r="J4" s="2283"/>
      <c r="K4" s="2283"/>
      <c r="L4" s="2283"/>
      <c r="M4" s="2283"/>
      <c r="N4" s="2283"/>
      <c r="O4" s="2283"/>
      <c r="P4" s="1563"/>
      <c r="Q4" s="79"/>
      <c r="R4" s="79"/>
      <c r="S4" s="79"/>
      <c r="T4" s="79"/>
      <c r="U4" s="79"/>
      <c r="V4" s="79"/>
      <c r="W4" s="79"/>
      <c r="X4" s="79"/>
      <c r="Y4" s="79"/>
      <c r="Z4" s="79"/>
      <c r="AA4" s="79"/>
      <c r="AB4" s="79"/>
      <c r="AC4" s="79"/>
    </row>
    <row r="5" spans="1:29" x14ac:dyDescent="0.35">
      <c r="B5" s="2289" t="s">
        <v>523</v>
      </c>
      <c r="C5" s="2289"/>
      <c r="D5" s="2289"/>
      <c r="E5" s="2289"/>
      <c r="F5" s="2289"/>
      <c r="G5" s="2289"/>
      <c r="H5" s="2289"/>
      <c r="I5" s="2289"/>
      <c r="J5" s="2289"/>
      <c r="K5" s="2289"/>
      <c r="L5" s="2289"/>
      <c r="M5" s="2289"/>
      <c r="N5" s="2289"/>
      <c r="O5" s="2289"/>
      <c r="P5" s="1563"/>
      <c r="Q5" s="79"/>
      <c r="R5" s="79"/>
      <c r="S5" s="79"/>
      <c r="T5" s="79"/>
      <c r="U5" s="79"/>
      <c r="V5" s="79"/>
      <c r="W5" s="79"/>
      <c r="X5" s="79"/>
      <c r="Y5" s="79"/>
      <c r="Z5" s="79"/>
      <c r="AA5" s="79"/>
      <c r="AB5" s="79"/>
      <c r="AC5" s="79"/>
    </row>
    <row r="6" spans="1:29" x14ac:dyDescent="0.35">
      <c r="B6" s="2319">
        <v>-1000</v>
      </c>
      <c r="C6" s="2319"/>
      <c r="D6" s="2319"/>
      <c r="E6" s="2319"/>
      <c r="F6" s="2319"/>
      <c r="G6" s="2319"/>
      <c r="H6" s="2319"/>
      <c r="I6" s="2319"/>
      <c r="J6" s="2319"/>
      <c r="K6" s="2319"/>
      <c r="L6" s="2319"/>
      <c r="M6" s="2319"/>
      <c r="N6" s="2319"/>
      <c r="O6" s="2319"/>
      <c r="P6" s="1563"/>
      <c r="Q6" s="79"/>
      <c r="R6" s="79"/>
      <c r="S6" s="79"/>
      <c r="T6" s="79"/>
      <c r="U6" s="79"/>
      <c r="V6" s="79"/>
      <c r="W6" s="79"/>
      <c r="X6" s="79"/>
      <c r="Y6" s="79"/>
      <c r="Z6" s="79"/>
      <c r="AA6" s="79"/>
      <c r="AB6" s="79"/>
      <c r="AC6" s="79"/>
    </row>
    <row r="7" spans="1:29" ht="16" thickBot="1" x14ac:dyDescent="0.4">
      <c r="A7" s="1563"/>
      <c r="B7" s="79"/>
      <c r="C7" s="79"/>
      <c r="D7" s="79"/>
      <c r="E7" s="79"/>
      <c r="F7" s="79"/>
      <c r="G7" s="79"/>
      <c r="H7" s="79"/>
      <c r="I7" s="79"/>
      <c r="J7" s="79"/>
      <c r="K7" s="79"/>
      <c r="L7" s="79"/>
      <c r="M7" s="79"/>
      <c r="N7" s="79"/>
      <c r="O7" s="79"/>
      <c r="P7" s="1563"/>
      <c r="Q7" s="79"/>
      <c r="R7" s="79"/>
      <c r="S7" s="79"/>
      <c r="T7" s="79"/>
      <c r="U7" s="79"/>
      <c r="V7" s="79"/>
      <c r="W7" s="79"/>
      <c r="X7" s="79"/>
      <c r="Y7" s="79"/>
      <c r="Z7" s="79"/>
      <c r="AA7" s="79"/>
      <c r="AB7" s="79"/>
      <c r="AC7" s="79"/>
    </row>
    <row r="8" spans="1:29" ht="18" x14ac:dyDescent="0.35">
      <c r="A8" s="345" t="s">
        <v>3</v>
      </c>
      <c r="B8" s="624"/>
      <c r="C8" s="2336" t="s">
        <v>719</v>
      </c>
      <c r="D8" s="2337"/>
      <c r="E8" s="2338"/>
      <c r="F8" s="619" t="s">
        <v>101</v>
      </c>
      <c r="G8" s="620"/>
      <c r="H8" s="621"/>
      <c r="I8" s="622" t="s">
        <v>524</v>
      </c>
      <c r="J8" s="620"/>
      <c r="K8" s="623"/>
      <c r="L8" s="624" t="s">
        <v>525</v>
      </c>
      <c r="M8" s="622" t="s">
        <v>526</v>
      </c>
      <c r="N8" s="620"/>
      <c r="O8" s="621"/>
      <c r="P8" s="345" t="s">
        <v>3</v>
      </c>
      <c r="Q8" s="88"/>
      <c r="R8" s="88"/>
      <c r="S8" s="88"/>
      <c r="T8" s="88"/>
      <c r="U8" s="88"/>
      <c r="V8" s="88"/>
      <c r="W8" s="88"/>
      <c r="X8" s="88"/>
      <c r="Y8" s="88"/>
      <c r="Z8" s="88"/>
      <c r="AA8" s="88"/>
      <c r="AB8" s="88"/>
      <c r="AC8" s="88"/>
    </row>
    <row r="9" spans="1:29" ht="16" thickBot="1" x14ac:dyDescent="0.4">
      <c r="A9" s="345" t="s">
        <v>25</v>
      </c>
      <c r="B9" s="1474" t="s">
        <v>527</v>
      </c>
      <c r="C9" s="1475" t="s">
        <v>528</v>
      </c>
      <c r="D9" s="1476" t="s">
        <v>529</v>
      </c>
      <c r="E9" s="1477" t="s">
        <v>31</v>
      </c>
      <c r="F9" s="1475" t="s">
        <v>528</v>
      </c>
      <c r="G9" s="1476" t="s">
        <v>529</v>
      </c>
      <c r="H9" s="1478" t="s">
        <v>31</v>
      </c>
      <c r="I9" s="1479" t="s">
        <v>528</v>
      </c>
      <c r="J9" s="1476" t="s">
        <v>529</v>
      </c>
      <c r="K9" s="1477" t="s">
        <v>31</v>
      </c>
      <c r="L9" s="1480" t="s">
        <v>34</v>
      </c>
      <c r="M9" s="1479" t="s">
        <v>528</v>
      </c>
      <c r="N9" s="1476" t="s">
        <v>529</v>
      </c>
      <c r="O9" s="1478" t="s">
        <v>31</v>
      </c>
      <c r="P9" s="693" t="s">
        <v>25</v>
      </c>
      <c r="Q9" s="88"/>
      <c r="R9" s="88"/>
      <c r="S9" s="88"/>
      <c r="T9" s="88"/>
      <c r="U9" s="88"/>
      <c r="V9" s="88"/>
      <c r="W9" s="88"/>
      <c r="X9" s="88"/>
      <c r="Y9" s="88"/>
      <c r="Z9" s="88"/>
      <c r="AA9" s="88"/>
      <c r="AB9" s="88"/>
      <c r="AC9" s="88"/>
    </row>
    <row r="10" spans="1:29" x14ac:dyDescent="0.35">
      <c r="A10" s="595"/>
      <c r="B10" s="1481"/>
      <c r="C10" s="1482"/>
      <c r="D10" s="1483"/>
      <c r="E10" s="595"/>
      <c r="F10" s="1484"/>
      <c r="G10" s="1483"/>
      <c r="H10" s="1485"/>
      <c r="I10" s="595"/>
      <c r="J10" s="1483"/>
      <c r="K10" s="595"/>
      <c r="L10" s="1486"/>
      <c r="M10" s="595"/>
      <c r="N10" s="1483"/>
      <c r="O10" s="1485"/>
      <c r="P10" s="1566"/>
      <c r="Q10" s="109"/>
      <c r="R10" s="109"/>
      <c r="S10" s="109"/>
      <c r="T10" s="109"/>
      <c r="U10" s="109"/>
      <c r="V10" s="109"/>
      <c r="W10" s="109"/>
      <c r="X10" s="109"/>
      <c r="Y10" s="109"/>
      <c r="Z10" s="109"/>
      <c r="AA10" s="109"/>
      <c r="AB10" s="109"/>
      <c r="AC10" s="109"/>
    </row>
    <row r="11" spans="1:29" x14ac:dyDescent="0.35">
      <c r="A11" s="345">
        <v>1</v>
      </c>
      <c r="B11" s="1487">
        <v>44583</v>
      </c>
      <c r="C11" s="534">
        <v>4309</v>
      </c>
      <c r="D11" s="1868">
        <v>30074</v>
      </c>
      <c r="E11" s="536">
        <f>C11+D11</f>
        <v>34383</v>
      </c>
      <c r="F11" s="527">
        <f>C11*$H$41</f>
        <v>6.6098749831434604</v>
      </c>
      <c r="G11" s="258">
        <f t="shared" ref="G11:G34" si="0">D11*$H$41</f>
        <v>46.132601588084576</v>
      </c>
      <c r="H11" s="537">
        <f>F11+G11</f>
        <v>52.742476571228039</v>
      </c>
      <c r="I11" s="538">
        <f t="shared" ref="I11:I34" si="1">C11-F11</f>
        <v>4302.3901250168565</v>
      </c>
      <c r="J11" s="258">
        <f t="shared" ref="J11:J34" si="2">D11-G11</f>
        <v>30027.867398411916</v>
      </c>
      <c r="K11" s="537">
        <f t="shared" ref="K11:K34" si="3">I11+J11</f>
        <v>34330.257523428772</v>
      </c>
      <c r="L11" s="643">
        <v>1</v>
      </c>
      <c r="M11" s="527">
        <f t="shared" ref="M11:M34" si="4">I11*$L11</f>
        <v>4302.3901250168565</v>
      </c>
      <c r="N11" s="258">
        <f t="shared" ref="N11:N34" si="5">J11*$L11</f>
        <v>30027.867398411916</v>
      </c>
      <c r="O11" s="536">
        <f t="shared" ref="O11:O34" si="6">M11+N11</f>
        <v>34330.257523428772</v>
      </c>
      <c r="P11" s="345">
        <f>A11</f>
        <v>1</v>
      </c>
      <c r="Q11" s="109"/>
      <c r="R11" s="79"/>
      <c r="S11" s="79"/>
      <c r="T11" s="79"/>
      <c r="U11" s="79"/>
      <c r="V11" s="79"/>
      <c r="W11" s="79"/>
      <c r="X11" s="79"/>
      <c r="Y11" s="79"/>
      <c r="Z11" s="79"/>
      <c r="AA11" s="79"/>
      <c r="AB11" s="79"/>
      <c r="AC11" s="79"/>
    </row>
    <row r="12" spans="1:29" x14ac:dyDescent="0.35">
      <c r="A12" s="345">
        <f t="shared" ref="A12:A49" si="7">A11+1</f>
        <v>2</v>
      </c>
      <c r="B12" s="1487">
        <v>44614</v>
      </c>
      <c r="C12" s="539">
        <v>3017</v>
      </c>
      <c r="D12" s="1869">
        <v>7648</v>
      </c>
      <c r="E12" s="540">
        <f>C12+D12</f>
        <v>10665</v>
      </c>
      <c r="F12" s="541">
        <f t="shared" ref="F12:F34" si="8">C12*$H$41</f>
        <v>4.6279862669166443</v>
      </c>
      <c r="G12" s="221">
        <f t="shared" si="0"/>
        <v>11.731799459522206</v>
      </c>
      <c r="H12" s="542">
        <f>F12+G12</f>
        <v>16.359785726438851</v>
      </c>
      <c r="I12" s="225">
        <f t="shared" si="1"/>
        <v>3012.3720137330833</v>
      </c>
      <c r="J12" s="221">
        <f t="shared" si="2"/>
        <v>7636.2682005404777</v>
      </c>
      <c r="K12" s="540">
        <f t="shared" si="3"/>
        <v>10648.640214273561</v>
      </c>
      <c r="L12" s="643">
        <v>1</v>
      </c>
      <c r="M12" s="225">
        <f t="shared" si="4"/>
        <v>3012.3720137330833</v>
      </c>
      <c r="N12" s="221">
        <f t="shared" si="5"/>
        <v>7636.2682005404777</v>
      </c>
      <c r="O12" s="542">
        <f t="shared" si="6"/>
        <v>10648.640214273561</v>
      </c>
      <c r="P12" s="345">
        <f t="shared" ref="P12:P49" si="9">P11+1</f>
        <v>2</v>
      </c>
      <c r="Q12" s="79"/>
      <c r="R12" s="79"/>
      <c r="S12" s="79"/>
      <c r="T12" s="79"/>
      <c r="U12" s="79"/>
      <c r="V12" s="79"/>
      <c r="W12" s="79"/>
      <c r="X12" s="79"/>
      <c r="Y12" s="79"/>
      <c r="Z12" s="79"/>
      <c r="AA12" s="79"/>
      <c r="AB12" s="79"/>
      <c r="AC12" s="79"/>
    </row>
    <row r="13" spans="1:29" x14ac:dyDescent="0.35">
      <c r="A13" s="345">
        <f t="shared" si="7"/>
        <v>3</v>
      </c>
      <c r="B13" s="1487">
        <v>44642</v>
      </c>
      <c r="C13" s="539">
        <v>1814</v>
      </c>
      <c r="D13" s="1869">
        <v>6984</v>
      </c>
      <c r="E13" s="540">
        <f t="shared" ref="E13:E33" si="10">C13+D13</f>
        <v>8798</v>
      </c>
      <c r="F13" s="541">
        <f t="shared" si="8"/>
        <v>2.7826208446094771</v>
      </c>
      <c r="G13" s="221">
        <f>D13*$H$41</f>
        <v>10.713243648705948</v>
      </c>
      <c r="H13" s="542">
        <f t="shared" ref="H13:H34" si="11">F13+G13</f>
        <v>13.495864493315425</v>
      </c>
      <c r="I13" s="225">
        <f t="shared" si="1"/>
        <v>1811.2173791553905</v>
      </c>
      <c r="J13" s="221">
        <f t="shared" si="2"/>
        <v>6973.2867563512937</v>
      </c>
      <c r="K13" s="540">
        <f t="shared" si="3"/>
        <v>8784.5041355066842</v>
      </c>
      <c r="L13" s="643">
        <v>1</v>
      </c>
      <c r="M13" s="225">
        <f t="shared" si="4"/>
        <v>1811.2173791553905</v>
      </c>
      <c r="N13" s="221">
        <f t="shared" si="5"/>
        <v>6973.2867563512937</v>
      </c>
      <c r="O13" s="542">
        <f t="shared" si="6"/>
        <v>8784.5041355066842</v>
      </c>
      <c r="P13" s="345">
        <f t="shared" si="9"/>
        <v>3</v>
      </c>
      <c r="Q13" s="79"/>
      <c r="R13" s="79"/>
      <c r="S13" s="79"/>
      <c r="T13" s="79"/>
      <c r="U13" s="79"/>
      <c r="V13" s="79"/>
      <c r="W13" s="79"/>
      <c r="X13" s="79"/>
      <c r="Y13" s="79"/>
      <c r="Z13" s="79"/>
      <c r="AA13" s="79"/>
      <c r="AB13" s="79"/>
      <c r="AC13" s="79"/>
    </row>
    <row r="14" spans="1:29" ht="16" thickBot="1" x14ac:dyDescent="0.4">
      <c r="A14" s="345">
        <f t="shared" si="7"/>
        <v>4</v>
      </c>
      <c r="B14" s="1488">
        <v>44673</v>
      </c>
      <c r="C14" s="543">
        <v>4147</v>
      </c>
      <c r="D14" s="1869">
        <v>8218</v>
      </c>
      <c r="E14" s="544">
        <f t="shared" si="10"/>
        <v>12365</v>
      </c>
      <c r="F14" s="545">
        <f t="shared" si="8"/>
        <v>6.3613719088178069</v>
      </c>
      <c r="G14" s="546">
        <f t="shared" si="0"/>
        <v>12.606162128445801</v>
      </c>
      <c r="H14" s="547">
        <f t="shared" si="11"/>
        <v>18.967534037263608</v>
      </c>
      <c r="I14" s="548">
        <f t="shared" si="1"/>
        <v>4140.638628091182</v>
      </c>
      <c r="J14" s="546">
        <f t="shared" si="2"/>
        <v>8205.3938378715538</v>
      </c>
      <c r="K14" s="544">
        <f t="shared" si="3"/>
        <v>12346.032465962737</v>
      </c>
      <c r="L14" s="647">
        <v>1</v>
      </c>
      <c r="M14" s="546">
        <f t="shared" si="4"/>
        <v>4140.638628091182</v>
      </c>
      <c r="N14" s="546">
        <f t="shared" si="5"/>
        <v>8205.3938378715538</v>
      </c>
      <c r="O14" s="547">
        <f t="shared" si="6"/>
        <v>12346.032465962737</v>
      </c>
      <c r="P14" s="345">
        <f t="shared" si="9"/>
        <v>4</v>
      </c>
      <c r="Q14" s="79"/>
      <c r="R14" s="79"/>
      <c r="S14" s="79"/>
      <c r="T14" s="79"/>
      <c r="U14" s="79"/>
      <c r="V14" s="79"/>
      <c r="W14" s="79"/>
      <c r="X14" s="79"/>
      <c r="Y14" s="79"/>
      <c r="Z14" s="79"/>
      <c r="AA14" s="79"/>
      <c r="AB14" s="79"/>
      <c r="AC14" s="79"/>
    </row>
    <row r="15" spans="1:29" x14ac:dyDescent="0.35">
      <c r="A15" s="345">
        <f t="shared" si="7"/>
        <v>5</v>
      </c>
      <c r="B15" s="1487">
        <v>44703</v>
      </c>
      <c r="C15" s="539">
        <v>1775</v>
      </c>
      <c r="D15" s="549">
        <v>9308</v>
      </c>
      <c r="E15" s="550">
        <f t="shared" si="10"/>
        <v>11083</v>
      </c>
      <c r="F15" s="551">
        <f t="shared" si="8"/>
        <v>2.7227960304199681</v>
      </c>
      <c r="G15" s="552">
        <f t="shared" si="0"/>
        <v>14.278188986562853</v>
      </c>
      <c r="H15" s="553">
        <f t="shared" si="11"/>
        <v>17.00098501698282</v>
      </c>
      <c r="I15" s="554">
        <f t="shared" si="1"/>
        <v>1772.2772039695801</v>
      </c>
      <c r="J15" s="552">
        <f t="shared" si="2"/>
        <v>9293.7218110134363</v>
      </c>
      <c r="K15" s="550">
        <f t="shared" si="3"/>
        <v>11065.999014983016</v>
      </c>
      <c r="L15" s="648">
        <v>1</v>
      </c>
      <c r="M15" s="225">
        <f t="shared" si="4"/>
        <v>1772.2772039695801</v>
      </c>
      <c r="N15" s="552">
        <f t="shared" si="5"/>
        <v>9293.7218110134363</v>
      </c>
      <c r="O15" s="553">
        <f t="shared" si="6"/>
        <v>11065.999014983016</v>
      </c>
      <c r="P15" s="345">
        <f t="shared" si="9"/>
        <v>5</v>
      </c>
      <c r="Q15" s="79"/>
      <c r="R15" s="79"/>
      <c r="S15" s="79"/>
      <c r="T15" s="79"/>
      <c r="U15" s="79"/>
      <c r="V15" s="79"/>
      <c r="W15" s="79"/>
      <c r="X15" s="79"/>
      <c r="Y15" s="79"/>
      <c r="Z15" s="79"/>
      <c r="AA15" s="79"/>
      <c r="AB15" s="79"/>
      <c r="AC15" s="79"/>
    </row>
    <row r="16" spans="1:29" x14ac:dyDescent="0.35">
      <c r="A16" s="345">
        <f t="shared" si="7"/>
        <v>6</v>
      </c>
      <c r="B16" s="1487">
        <v>44734</v>
      </c>
      <c r="C16" s="539">
        <v>13958</v>
      </c>
      <c r="D16" s="1869">
        <v>72262</v>
      </c>
      <c r="E16" s="540">
        <f t="shared" si="10"/>
        <v>86220</v>
      </c>
      <c r="F16" s="541">
        <f t="shared" si="8"/>
        <v>21.411147601465867</v>
      </c>
      <c r="G16" s="221">
        <f t="shared" si="0"/>
        <v>110.84771084518745</v>
      </c>
      <c r="H16" s="542">
        <f t="shared" si="11"/>
        <v>132.25885844665331</v>
      </c>
      <c r="I16" s="225">
        <f t="shared" si="1"/>
        <v>13936.588852398534</v>
      </c>
      <c r="J16" s="221">
        <f t="shared" si="2"/>
        <v>72151.152289154808</v>
      </c>
      <c r="K16" s="540">
        <f t="shared" si="3"/>
        <v>86087.741141553342</v>
      </c>
      <c r="L16" s="643">
        <v>1</v>
      </c>
      <c r="M16" s="225">
        <f t="shared" si="4"/>
        <v>13936.588852398534</v>
      </c>
      <c r="N16" s="221">
        <f t="shared" si="5"/>
        <v>72151.152289154808</v>
      </c>
      <c r="O16" s="542">
        <f t="shared" si="6"/>
        <v>86087.741141553342</v>
      </c>
      <c r="P16" s="345">
        <f t="shared" si="9"/>
        <v>6</v>
      </c>
      <c r="Q16" s="79"/>
      <c r="R16" s="79"/>
      <c r="S16" s="79"/>
      <c r="T16" s="79"/>
      <c r="U16" s="79"/>
      <c r="V16" s="79"/>
      <c r="W16" s="79"/>
      <c r="X16" s="79"/>
      <c r="Y16" s="79"/>
      <c r="Z16" s="79"/>
      <c r="AA16" s="79"/>
      <c r="AB16" s="79"/>
      <c r="AC16" s="79"/>
    </row>
    <row r="17" spans="1:29" x14ac:dyDescent="0.35">
      <c r="A17" s="345">
        <f t="shared" si="7"/>
        <v>7</v>
      </c>
      <c r="B17" s="1487">
        <v>44764</v>
      </c>
      <c r="C17" s="539">
        <v>2737</v>
      </c>
      <c r="D17" s="1869">
        <v>11702</v>
      </c>
      <c r="E17" s="540">
        <f t="shared" si="10"/>
        <v>14439</v>
      </c>
      <c r="F17" s="541">
        <f t="shared" si="8"/>
        <v>4.1984747804278602</v>
      </c>
      <c r="G17" s="221">
        <f t="shared" si="0"/>
        <v>17.950512196041952</v>
      </c>
      <c r="H17" s="542">
        <f t="shared" si="11"/>
        <v>22.148986976469814</v>
      </c>
      <c r="I17" s="225">
        <f t="shared" si="1"/>
        <v>2732.8015252195723</v>
      </c>
      <c r="J17" s="221">
        <f t="shared" si="2"/>
        <v>11684.049487803957</v>
      </c>
      <c r="K17" s="540">
        <f t="shared" si="3"/>
        <v>14416.85101302353</v>
      </c>
      <c r="L17" s="643">
        <v>1</v>
      </c>
      <c r="M17" s="225">
        <f t="shared" si="4"/>
        <v>2732.8015252195723</v>
      </c>
      <c r="N17" s="221">
        <f t="shared" si="5"/>
        <v>11684.049487803957</v>
      </c>
      <c r="O17" s="542">
        <f t="shared" si="6"/>
        <v>14416.85101302353</v>
      </c>
      <c r="P17" s="345">
        <f t="shared" si="9"/>
        <v>7</v>
      </c>
      <c r="Q17" s="79"/>
      <c r="R17" s="79"/>
      <c r="S17" s="79"/>
      <c r="T17" s="79"/>
      <c r="U17" s="79"/>
      <c r="V17" s="79"/>
      <c r="W17" s="79"/>
      <c r="X17" s="79"/>
      <c r="Y17" s="79"/>
      <c r="Z17" s="79"/>
      <c r="AA17" s="79"/>
      <c r="AB17" s="79"/>
      <c r="AC17" s="79"/>
    </row>
    <row r="18" spans="1:29" ht="16" thickBot="1" x14ac:dyDescent="0.4">
      <c r="A18" s="345">
        <f t="shared" si="7"/>
        <v>8</v>
      </c>
      <c r="B18" s="1488">
        <v>44795</v>
      </c>
      <c r="C18" s="543">
        <v>11070</v>
      </c>
      <c r="D18" s="1869">
        <v>46810</v>
      </c>
      <c r="E18" s="544">
        <f t="shared" si="10"/>
        <v>57880</v>
      </c>
      <c r="F18" s="545">
        <f t="shared" si="8"/>
        <v>16.981043412252983</v>
      </c>
      <c r="G18" s="546">
        <f t="shared" si="0"/>
        <v>71.805116723357017</v>
      </c>
      <c r="H18" s="547">
        <f t="shared" si="11"/>
        <v>88.786160135610004</v>
      </c>
      <c r="I18" s="548">
        <f t="shared" si="1"/>
        <v>11053.018956587746</v>
      </c>
      <c r="J18" s="546">
        <f t="shared" si="2"/>
        <v>46738.194883276643</v>
      </c>
      <c r="K18" s="544">
        <f t="shared" si="3"/>
        <v>57791.213839864387</v>
      </c>
      <c r="L18" s="647">
        <v>1</v>
      </c>
      <c r="M18" s="546">
        <f t="shared" si="4"/>
        <v>11053.018956587746</v>
      </c>
      <c r="N18" s="546">
        <f t="shared" si="5"/>
        <v>46738.194883276643</v>
      </c>
      <c r="O18" s="547">
        <f t="shared" si="6"/>
        <v>57791.213839864387</v>
      </c>
      <c r="P18" s="345">
        <f t="shared" si="9"/>
        <v>8</v>
      </c>
      <c r="Q18" s="79"/>
      <c r="R18" s="79"/>
      <c r="S18" s="79"/>
      <c r="T18" s="79"/>
      <c r="U18" s="79"/>
      <c r="V18" s="79"/>
      <c r="W18" s="79"/>
      <c r="X18" s="79"/>
      <c r="Y18" s="79"/>
      <c r="Z18" s="79"/>
      <c r="AA18" s="79"/>
      <c r="AB18" s="79"/>
      <c r="AC18" s="79"/>
    </row>
    <row r="19" spans="1:29" x14ac:dyDescent="0.35">
      <c r="A19" s="345">
        <f t="shared" si="7"/>
        <v>9</v>
      </c>
      <c r="B19" s="1487">
        <v>44826</v>
      </c>
      <c r="C19" s="539">
        <v>16991</v>
      </c>
      <c r="D19" s="549">
        <v>116606</v>
      </c>
      <c r="E19" s="550">
        <f t="shared" si="10"/>
        <v>133597</v>
      </c>
      <c r="F19" s="551">
        <f t="shared" si="8"/>
        <v>26.063677381896156</v>
      </c>
      <c r="G19" s="552">
        <f t="shared" si="0"/>
        <v>178.87005854825398</v>
      </c>
      <c r="H19" s="553">
        <f t="shared" si="11"/>
        <v>204.93373593015014</v>
      </c>
      <c r="I19" s="554">
        <f t="shared" si="1"/>
        <v>16964.936322618105</v>
      </c>
      <c r="J19" s="552">
        <f t="shared" si="2"/>
        <v>116427.12994145174</v>
      </c>
      <c r="K19" s="550">
        <f t="shared" si="3"/>
        <v>133392.06626406984</v>
      </c>
      <c r="L19" s="648">
        <v>1</v>
      </c>
      <c r="M19" s="225">
        <f t="shared" si="4"/>
        <v>16964.936322618105</v>
      </c>
      <c r="N19" s="552">
        <f t="shared" si="5"/>
        <v>116427.12994145174</v>
      </c>
      <c r="O19" s="553">
        <f t="shared" si="6"/>
        <v>133392.06626406984</v>
      </c>
      <c r="P19" s="345">
        <f t="shared" si="9"/>
        <v>9</v>
      </c>
      <c r="Q19" s="79"/>
      <c r="R19" s="79"/>
      <c r="S19" s="79"/>
      <c r="T19" s="79"/>
      <c r="U19" s="79"/>
      <c r="V19" s="79"/>
      <c r="W19" s="79"/>
      <c r="X19" s="79"/>
      <c r="Y19" s="79"/>
      <c r="Z19" s="79"/>
      <c r="AA19" s="79"/>
      <c r="AB19" s="79"/>
      <c r="AC19" s="79"/>
    </row>
    <row r="20" spans="1:29" x14ac:dyDescent="0.35">
      <c r="A20" s="345">
        <f t="shared" si="7"/>
        <v>10</v>
      </c>
      <c r="B20" s="1487">
        <v>44856</v>
      </c>
      <c r="C20" s="539">
        <v>1887</v>
      </c>
      <c r="D20" s="1869">
        <v>7845</v>
      </c>
      <c r="E20" s="540">
        <f t="shared" si="10"/>
        <v>9732</v>
      </c>
      <c r="F20" s="541">
        <f t="shared" si="8"/>
        <v>2.8946006250154817</v>
      </c>
      <c r="G20" s="221">
        <f t="shared" si="0"/>
        <v>12.033991469658957</v>
      </c>
      <c r="H20" s="542">
        <f t="shared" si="11"/>
        <v>14.928592094674439</v>
      </c>
      <c r="I20" s="225">
        <f t="shared" si="1"/>
        <v>1884.1053993749845</v>
      </c>
      <c r="J20" s="221">
        <f t="shared" si="2"/>
        <v>7832.9660085303412</v>
      </c>
      <c r="K20" s="540">
        <f t="shared" si="3"/>
        <v>9717.071407905325</v>
      </c>
      <c r="L20" s="643">
        <v>1</v>
      </c>
      <c r="M20" s="225">
        <f t="shared" si="4"/>
        <v>1884.1053993749845</v>
      </c>
      <c r="N20" s="221">
        <f t="shared" si="5"/>
        <v>7832.9660085303412</v>
      </c>
      <c r="O20" s="542">
        <f t="shared" si="6"/>
        <v>9717.071407905325</v>
      </c>
      <c r="P20" s="345">
        <f t="shared" si="9"/>
        <v>10</v>
      </c>
      <c r="Q20" s="79"/>
      <c r="R20" s="79"/>
      <c r="S20" s="79"/>
      <c r="T20" s="79"/>
      <c r="U20" s="79"/>
      <c r="V20" s="79"/>
      <c r="W20" s="79"/>
      <c r="X20" s="79"/>
      <c r="Y20" s="79"/>
      <c r="Z20" s="79"/>
      <c r="AA20" s="79"/>
      <c r="AB20" s="79"/>
      <c r="AC20" s="79"/>
    </row>
    <row r="21" spans="1:29" x14ac:dyDescent="0.35">
      <c r="A21" s="345">
        <f t="shared" si="7"/>
        <v>11</v>
      </c>
      <c r="B21" s="1487">
        <v>44887</v>
      </c>
      <c r="C21" s="539">
        <v>1568</v>
      </c>
      <c r="D21" s="1869">
        <v>16057</v>
      </c>
      <c r="E21" s="72">
        <f t="shared" si="10"/>
        <v>17625</v>
      </c>
      <c r="F21" s="541">
        <f t="shared" si="8"/>
        <v>2.4052643243371885</v>
      </c>
      <c r="G21" s="221">
        <f t="shared" si="0"/>
        <v>24.630949780537144</v>
      </c>
      <c r="H21" s="555">
        <f t="shared" si="11"/>
        <v>27.036214104874333</v>
      </c>
      <c r="I21" s="225">
        <f t="shared" si="1"/>
        <v>1565.5947356756628</v>
      </c>
      <c r="J21" s="221">
        <f t="shared" si="2"/>
        <v>16032.369050219462</v>
      </c>
      <c r="K21" s="72">
        <f t="shared" si="3"/>
        <v>17597.963785895125</v>
      </c>
      <c r="L21" s="643">
        <v>1</v>
      </c>
      <c r="M21" s="225">
        <f t="shared" si="4"/>
        <v>1565.5947356756628</v>
      </c>
      <c r="N21" s="221">
        <f t="shared" si="5"/>
        <v>16032.369050219462</v>
      </c>
      <c r="O21" s="555">
        <f t="shared" si="6"/>
        <v>17597.963785895125</v>
      </c>
      <c r="P21" s="345">
        <f t="shared" si="9"/>
        <v>11</v>
      </c>
      <c r="Q21" s="81"/>
      <c r="R21" s="81"/>
      <c r="S21" s="81"/>
      <c r="T21" s="81"/>
      <c r="U21" s="81"/>
      <c r="V21" s="81"/>
      <c r="W21" s="81"/>
      <c r="X21" s="81"/>
      <c r="Y21" s="81"/>
      <c r="Z21" s="81"/>
      <c r="AA21" s="81"/>
      <c r="AB21" s="81"/>
      <c r="AC21" s="81"/>
    </row>
    <row r="22" spans="1:29" ht="16" thickBot="1" x14ac:dyDescent="0.4">
      <c r="A22" s="345">
        <f t="shared" si="7"/>
        <v>12</v>
      </c>
      <c r="B22" s="1487">
        <v>44917</v>
      </c>
      <c r="C22" s="543">
        <v>57261</v>
      </c>
      <c r="D22" s="1869">
        <v>148156</v>
      </c>
      <c r="E22" s="544">
        <f t="shared" si="10"/>
        <v>205417</v>
      </c>
      <c r="F22" s="545">
        <f t="shared" si="8"/>
        <v>87.836632956550872</v>
      </c>
      <c r="G22" s="546">
        <f t="shared" si="0"/>
        <v>227.26679925797228</v>
      </c>
      <c r="H22" s="547">
        <f t="shared" si="11"/>
        <v>315.10343221452314</v>
      </c>
      <c r="I22" s="548">
        <f t="shared" si="1"/>
        <v>57173.163367043446</v>
      </c>
      <c r="J22" s="546">
        <f t="shared" si="2"/>
        <v>147928.73320074202</v>
      </c>
      <c r="K22" s="544">
        <f t="shared" si="3"/>
        <v>205101.89656778547</v>
      </c>
      <c r="L22" s="647">
        <v>1</v>
      </c>
      <c r="M22" s="546">
        <f t="shared" si="4"/>
        <v>57173.163367043446</v>
      </c>
      <c r="N22" s="546">
        <f t="shared" si="5"/>
        <v>147928.73320074202</v>
      </c>
      <c r="O22" s="547">
        <f t="shared" si="6"/>
        <v>205101.89656778547</v>
      </c>
      <c r="P22" s="345">
        <f t="shared" si="9"/>
        <v>12</v>
      </c>
      <c r="Q22" s="79"/>
      <c r="R22" s="79"/>
      <c r="S22" s="79"/>
      <c r="T22" s="79"/>
      <c r="U22" s="79"/>
      <c r="V22" s="79"/>
      <c r="W22" s="79"/>
      <c r="X22" s="79"/>
      <c r="Y22" s="79"/>
      <c r="Z22" s="79"/>
      <c r="AA22" s="79"/>
      <c r="AB22" s="79"/>
      <c r="AC22" s="79"/>
    </row>
    <row r="23" spans="1:29" x14ac:dyDescent="0.35">
      <c r="A23" s="345">
        <f t="shared" si="7"/>
        <v>13</v>
      </c>
      <c r="B23" s="1870">
        <v>44948</v>
      </c>
      <c r="C23" s="539">
        <v>3176</v>
      </c>
      <c r="D23" s="549">
        <v>12651</v>
      </c>
      <c r="E23" s="550">
        <f t="shared" si="10"/>
        <v>15827</v>
      </c>
      <c r="F23" s="551">
        <f t="shared" si="8"/>
        <v>4.8718874324584895</v>
      </c>
      <c r="G23" s="552">
        <f t="shared" si="0"/>
        <v>19.406249341320009</v>
      </c>
      <c r="H23" s="553">
        <f t="shared" si="11"/>
        <v>24.278136773778499</v>
      </c>
      <c r="I23" s="554">
        <f t="shared" si="1"/>
        <v>3171.1281125675414</v>
      </c>
      <c r="J23" s="552">
        <f t="shared" si="2"/>
        <v>12631.59375065868</v>
      </c>
      <c r="K23" s="550">
        <f t="shared" si="3"/>
        <v>15802.721863226221</v>
      </c>
      <c r="L23" s="648">
        <v>1</v>
      </c>
      <c r="M23" s="225">
        <f t="shared" si="4"/>
        <v>3171.1281125675414</v>
      </c>
      <c r="N23" s="552">
        <f t="shared" si="5"/>
        <v>12631.59375065868</v>
      </c>
      <c r="O23" s="553">
        <f t="shared" si="6"/>
        <v>15802.721863226221</v>
      </c>
      <c r="P23" s="345">
        <f t="shared" si="9"/>
        <v>13</v>
      </c>
      <c r="Q23" s="79"/>
      <c r="R23" s="79"/>
      <c r="S23" s="79"/>
      <c r="T23" s="79"/>
      <c r="U23" s="79"/>
      <c r="V23" s="79"/>
      <c r="W23" s="79"/>
      <c r="X23" s="79"/>
      <c r="Y23" s="79"/>
      <c r="Z23" s="79"/>
      <c r="AA23" s="79"/>
      <c r="AB23" s="79"/>
      <c r="AC23" s="79"/>
    </row>
    <row r="24" spans="1:29" x14ac:dyDescent="0.35">
      <c r="A24" s="345">
        <f t="shared" si="7"/>
        <v>14</v>
      </c>
      <c r="B24" s="1871">
        <v>44979</v>
      </c>
      <c r="C24" s="539">
        <v>4158</v>
      </c>
      <c r="D24" s="1869">
        <v>7968</v>
      </c>
      <c r="E24" s="540">
        <f t="shared" si="10"/>
        <v>12126</v>
      </c>
      <c r="F24" s="541">
        <f t="shared" si="8"/>
        <v>6.3782455743584379</v>
      </c>
      <c r="G24" s="221">
        <f t="shared" si="0"/>
        <v>12.222669729795102</v>
      </c>
      <c r="H24" s="542">
        <f t="shared" si="11"/>
        <v>18.600915304153538</v>
      </c>
      <c r="I24" s="225">
        <f t="shared" si="1"/>
        <v>4151.6217544256415</v>
      </c>
      <c r="J24" s="221">
        <f t="shared" si="2"/>
        <v>7955.7773302702053</v>
      </c>
      <c r="K24" s="540">
        <f t="shared" si="3"/>
        <v>12107.399084695848</v>
      </c>
      <c r="L24" s="643">
        <v>0.91666666666666663</v>
      </c>
      <c r="M24" s="225">
        <f t="shared" si="4"/>
        <v>3805.6532748901714</v>
      </c>
      <c r="N24" s="221">
        <f t="shared" si="5"/>
        <v>7292.7958860810213</v>
      </c>
      <c r="O24" s="542">
        <f t="shared" si="6"/>
        <v>11098.449160971193</v>
      </c>
      <c r="P24" s="345">
        <f t="shared" si="9"/>
        <v>14</v>
      </c>
      <c r="Q24" s="79"/>
      <c r="R24" s="79"/>
      <c r="S24" s="79"/>
      <c r="T24" s="79"/>
      <c r="U24" s="79"/>
      <c r="V24" s="79"/>
      <c r="W24" s="79"/>
      <c r="X24" s="79"/>
      <c r="Y24" s="79"/>
      <c r="Z24" s="79"/>
      <c r="AA24" s="79"/>
      <c r="AB24" s="79"/>
      <c r="AC24" s="79"/>
    </row>
    <row r="25" spans="1:29" x14ac:dyDescent="0.35">
      <c r="A25" s="345">
        <f t="shared" si="7"/>
        <v>15</v>
      </c>
      <c r="B25" s="1871">
        <v>45007</v>
      </c>
      <c r="C25" s="539">
        <v>1922</v>
      </c>
      <c r="D25" s="1869">
        <v>7705</v>
      </c>
      <c r="E25" s="540">
        <f t="shared" si="10"/>
        <v>9627</v>
      </c>
      <c r="F25" s="541">
        <f t="shared" si="8"/>
        <v>2.9482895608265793</v>
      </c>
      <c r="G25" s="221">
        <f t="shared" si="0"/>
        <v>11.819235726414565</v>
      </c>
      <c r="H25" s="542">
        <f t="shared" si="11"/>
        <v>14.767525287241144</v>
      </c>
      <c r="I25" s="225">
        <f t="shared" si="1"/>
        <v>1919.0517104391733</v>
      </c>
      <c r="J25" s="221">
        <f t="shared" si="2"/>
        <v>7693.1807642735857</v>
      </c>
      <c r="K25" s="540">
        <f t="shared" si="3"/>
        <v>9612.2324747127586</v>
      </c>
      <c r="L25" s="643">
        <v>0.83333333333333337</v>
      </c>
      <c r="M25" s="225">
        <f t="shared" si="4"/>
        <v>1599.2097586993111</v>
      </c>
      <c r="N25" s="221">
        <f t="shared" si="5"/>
        <v>6410.9839702279887</v>
      </c>
      <c r="O25" s="542">
        <f t="shared" si="6"/>
        <v>8010.1937289273001</v>
      </c>
      <c r="P25" s="345">
        <f t="shared" si="9"/>
        <v>15</v>
      </c>
      <c r="Q25" s="79"/>
      <c r="R25" s="79"/>
      <c r="S25" s="79"/>
      <c r="T25" s="79"/>
      <c r="U25" s="79"/>
      <c r="V25" s="79"/>
      <c r="W25" s="79"/>
      <c r="X25" s="79"/>
      <c r="Y25" s="79"/>
      <c r="Z25" s="79"/>
      <c r="AA25" s="79"/>
      <c r="AB25" s="79"/>
      <c r="AC25" s="79"/>
    </row>
    <row r="26" spans="1:29" ht="16" thickBot="1" x14ac:dyDescent="0.4">
      <c r="A26" s="345">
        <f t="shared" si="7"/>
        <v>16</v>
      </c>
      <c r="B26" s="1872">
        <v>45038</v>
      </c>
      <c r="C26" s="543">
        <v>1987</v>
      </c>
      <c r="D26" s="1869">
        <v>40134</v>
      </c>
      <c r="E26" s="544">
        <f t="shared" si="10"/>
        <v>42121</v>
      </c>
      <c r="F26" s="545">
        <f t="shared" si="8"/>
        <v>3.0479975844757616</v>
      </c>
      <c r="G26" s="546">
        <f t="shared" si="0"/>
        <v>61.564335709788729</v>
      </c>
      <c r="H26" s="547">
        <f t="shared" si="11"/>
        <v>64.612333294264488</v>
      </c>
      <c r="I26" s="548">
        <f t="shared" si="1"/>
        <v>1983.9520024155242</v>
      </c>
      <c r="J26" s="546">
        <f t="shared" si="2"/>
        <v>40072.435664290213</v>
      </c>
      <c r="K26" s="544">
        <f t="shared" si="3"/>
        <v>42056.387666705734</v>
      </c>
      <c r="L26" s="647">
        <v>0.75</v>
      </c>
      <c r="M26" s="546">
        <f t="shared" si="4"/>
        <v>1487.9640018116431</v>
      </c>
      <c r="N26" s="546">
        <f t="shared" si="5"/>
        <v>30054.32674821766</v>
      </c>
      <c r="O26" s="547">
        <f t="shared" si="6"/>
        <v>31542.290750029304</v>
      </c>
      <c r="P26" s="345">
        <f t="shared" si="9"/>
        <v>16</v>
      </c>
      <c r="Q26" s="79"/>
      <c r="R26" s="79"/>
      <c r="S26" s="79"/>
      <c r="T26" s="79"/>
      <c r="U26" s="79"/>
      <c r="V26" s="79"/>
      <c r="W26" s="79"/>
      <c r="X26" s="79"/>
      <c r="Y26" s="79"/>
      <c r="Z26" s="79"/>
      <c r="AA26" s="79"/>
      <c r="AB26" s="79"/>
      <c r="AC26" s="79"/>
    </row>
    <row r="27" spans="1:29" x14ac:dyDescent="0.35">
      <c r="A27" s="345">
        <f t="shared" si="7"/>
        <v>17</v>
      </c>
      <c r="B27" s="1871">
        <v>45068</v>
      </c>
      <c r="C27" s="539">
        <v>18573</v>
      </c>
      <c r="D27" s="549">
        <v>32246</v>
      </c>
      <c r="E27" s="72">
        <f t="shared" si="10"/>
        <v>50819</v>
      </c>
      <c r="F27" s="551">
        <f t="shared" si="8"/>
        <v>28.490417280557782</v>
      </c>
      <c r="G27" s="552">
        <f t="shared" si="0"/>
        <v>49.464383547561852</v>
      </c>
      <c r="H27" s="555">
        <f t="shared" si="11"/>
        <v>77.95480082811963</v>
      </c>
      <c r="I27" s="554">
        <f t="shared" si="1"/>
        <v>18544.509582719442</v>
      </c>
      <c r="J27" s="552">
        <f t="shared" si="2"/>
        <v>32196.535616452438</v>
      </c>
      <c r="K27" s="72">
        <f t="shared" si="3"/>
        <v>50741.04519917188</v>
      </c>
      <c r="L27" s="648">
        <v>0.66666666666666663</v>
      </c>
      <c r="M27" s="225">
        <f t="shared" si="4"/>
        <v>12363.006388479627</v>
      </c>
      <c r="N27" s="552">
        <f t="shared" si="5"/>
        <v>21464.357077634959</v>
      </c>
      <c r="O27" s="555">
        <f t="shared" si="6"/>
        <v>33827.363466114584</v>
      </c>
      <c r="P27" s="345">
        <f t="shared" si="9"/>
        <v>17</v>
      </c>
      <c r="Q27" s="81"/>
      <c r="R27" s="81"/>
      <c r="S27" s="81"/>
      <c r="T27" s="81"/>
      <c r="U27" s="81"/>
      <c r="V27" s="81"/>
      <c r="W27" s="81"/>
      <c r="X27" s="81"/>
      <c r="Y27" s="81"/>
      <c r="Z27" s="81"/>
      <c r="AA27" s="81"/>
      <c r="AB27" s="81"/>
      <c r="AC27" s="81"/>
    </row>
    <row r="28" spans="1:29" x14ac:dyDescent="0.35">
      <c r="A28" s="345">
        <f t="shared" si="7"/>
        <v>18</v>
      </c>
      <c r="B28" s="1871">
        <v>45099</v>
      </c>
      <c r="C28" s="539">
        <v>6470</v>
      </c>
      <c r="D28" s="1869">
        <v>23942</v>
      </c>
      <c r="E28" s="540">
        <f t="shared" si="10"/>
        <v>30412</v>
      </c>
      <c r="F28" s="541">
        <f t="shared" si="8"/>
        <v>9.9247832770801097</v>
      </c>
      <c r="G28" s="221">
        <f t="shared" si="0"/>
        <v>36.726300033980209</v>
      </c>
      <c r="H28" s="542">
        <f t="shared" si="11"/>
        <v>46.651083311060319</v>
      </c>
      <c r="I28" s="225">
        <f t="shared" si="1"/>
        <v>6460.0752167229202</v>
      </c>
      <c r="J28" s="221">
        <f t="shared" si="2"/>
        <v>23905.273699966019</v>
      </c>
      <c r="K28" s="540">
        <f t="shared" si="3"/>
        <v>30365.348916688941</v>
      </c>
      <c r="L28" s="643">
        <v>0.58333333333333337</v>
      </c>
      <c r="M28" s="225">
        <f t="shared" si="4"/>
        <v>3768.3772097550373</v>
      </c>
      <c r="N28" s="221">
        <f t="shared" si="5"/>
        <v>13944.742991646845</v>
      </c>
      <c r="O28" s="542">
        <f t="shared" si="6"/>
        <v>17713.120201401882</v>
      </c>
      <c r="P28" s="345">
        <f t="shared" si="9"/>
        <v>18</v>
      </c>
      <c r="Q28" s="79"/>
      <c r="R28" s="79"/>
      <c r="S28" s="79"/>
      <c r="T28" s="79"/>
      <c r="U28" s="79"/>
      <c r="V28" s="79"/>
      <c r="W28" s="79"/>
      <c r="X28" s="79"/>
      <c r="Y28" s="79"/>
      <c r="Z28" s="79"/>
      <c r="AA28" s="79"/>
      <c r="AB28" s="79"/>
      <c r="AC28" s="79"/>
    </row>
    <row r="29" spans="1:29" x14ac:dyDescent="0.35">
      <c r="A29" s="345">
        <f t="shared" si="7"/>
        <v>19</v>
      </c>
      <c r="B29" s="1871">
        <v>45129</v>
      </c>
      <c r="C29" s="539">
        <v>4634</v>
      </c>
      <c r="D29" s="1869">
        <v>60447</v>
      </c>
      <c r="E29" s="540">
        <f t="shared" si="10"/>
        <v>65081</v>
      </c>
      <c r="F29" s="541">
        <f t="shared" si="8"/>
        <v>7.1084151013893697</v>
      </c>
      <c r="G29" s="221">
        <f t="shared" si="0"/>
        <v>92.72386008495539</v>
      </c>
      <c r="H29" s="542">
        <f t="shared" si="11"/>
        <v>99.832275186344759</v>
      </c>
      <c r="I29" s="225">
        <f t="shared" si="1"/>
        <v>4626.8915848986107</v>
      </c>
      <c r="J29" s="221">
        <f t="shared" si="2"/>
        <v>60354.276139915048</v>
      </c>
      <c r="K29" s="540">
        <f t="shared" si="3"/>
        <v>64981.167724813655</v>
      </c>
      <c r="L29" s="643">
        <v>0.5</v>
      </c>
      <c r="M29" s="225">
        <f t="shared" si="4"/>
        <v>2313.4457924493054</v>
      </c>
      <c r="N29" s="221">
        <f t="shared" si="5"/>
        <v>30177.138069957524</v>
      </c>
      <c r="O29" s="542">
        <f t="shared" si="6"/>
        <v>32490.583862406827</v>
      </c>
      <c r="P29" s="345">
        <f t="shared" si="9"/>
        <v>19</v>
      </c>
      <c r="Q29" s="79"/>
      <c r="R29" s="79"/>
      <c r="S29" s="79"/>
      <c r="T29" s="79"/>
      <c r="U29" s="79"/>
      <c r="V29" s="79"/>
      <c r="W29" s="79"/>
      <c r="X29" s="79"/>
      <c r="Y29" s="79"/>
      <c r="Z29" s="79"/>
      <c r="AA29" s="79"/>
      <c r="AB29" s="79"/>
      <c r="AC29" s="79"/>
    </row>
    <row r="30" spans="1:29" ht="16" thickBot="1" x14ac:dyDescent="0.4">
      <c r="A30" s="345">
        <f t="shared" si="7"/>
        <v>20</v>
      </c>
      <c r="B30" s="1872">
        <v>45160</v>
      </c>
      <c r="C30" s="543">
        <v>1786</v>
      </c>
      <c r="D30" s="1869">
        <v>8140</v>
      </c>
      <c r="E30" s="544">
        <f t="shared" si="10"/>
        <v>9926</v>
      </c>
      <c r="F30" s="545">
        <f t="shared" si="8"/>
        <v>2.7396696959605986</v>
      </c>
      <c r="G30" s="546">
        <f t="shared" si="0"/>
        <v>12.486512500066784</v>
      </c>
      <c r="H30" s="547">
        <f t="shared" si="11"/>
        <v>15.226182196027382</v>
      </c>
      <c r="I30" s="548">
        <f t="shared" si="1"/>
        <v>1783.2603303040394</v>
      </c>
      <c r="J30" s="546">
        <f t="shared" si="2"/>
        <v>8127.513487499933</v>
      </c>
      <c r="K30" s="544">
        <f t="shared" si="3"/>
        <v>9910.7738178039726</v>
      </c>
      <c r="L30" s="647">
        <v>0.41666666666666669</v>
      </c>
      <c r="M30" s="546">
        <f t="shared" si="4"/>
        <v>743.02513762668309</v>
      </c>
      <c r="N30" s="546">
        <f t="shared" si="5"/>
        <v>3386.4639531249722</v>
      </c>
      <c r="O30" s="547">
        <f t="shared" si="6"/>
        <v>4129.4890907516556</v>
      </c>
      <c r="P30" s="345">
        <f t="shared" si="9"/>
        <v>20</v>
      </c>
      <c r="Q30" s="79"/>
      <c r="R30" s="79"/>
      <c r="S30" s="79"/>
      <c r="T30" s="79"/>
      <c r="U30" s="79"/>
      <c r="V30" s="79"/>
      <c r="W30" s="79"/>
      <c r="X30" s="79"/>
      <c r="Y30" s="79"/>
      <c r="Z30" s="79"/>
      <c r="AA30" s="79"/>
      <c r="AB30" s="79"/>
      <c r="AC30" s="79"/>
    </row>
    <row r="31" spans="1:29" x14ac:dyDescent="0.35">
      <c r="A31" s="345">
        <f t="shared" si="7"/>
        <v>21</v>
      </c>
      <c r="B31" s="1871">
        <v>45191</v>
      </c>
      <c r="C31" s="539">
        <v>1592</v>
      </c>
      <c r="D31" s="549">
        <v>15942</v>
      </c>
      <c r="E31" s="540">
        <f t="shared" si="10"/>
        <v>17534</v>
      </c>
      <c r="F31" s="551">
        <f t="shared" si="8"/>
        <v>2.4420795946076557</v>
      </c>
      <c r="G31" s="552">
        <f t="shared" si="0"/>
        <v>24.454543277157821</v>
      </c>
      <c r="H31" s="542">
        <f>F31+G31</f>
        <v>26.896622871765477</v>
      </c>
      <c r="I31" s="554">
        <f t="shared" si="1"/>
        <v>1589.5579204053925</v>
      </c>
      <c r="J31" s="552">
        <f t="shared" si="2"/>
        <v>15917.545456722843</v>
      </c>
      <c r="K31" s="540">
        <f t="shared" si="3"/>
        <v>17507.103377128235</v>
      </c>
      <c r="L31" s="648">
        <v>0.33333333333333331</v>
      </c>
      <c r="M31" s="225">
        <f t="shared" si="4"/>
        <v>529.85264013513074</v>
      </c>
      <c r="N31" s="552">
        <f t="shared" si="5"/>
        <v>5305.8484855742809</v>
      </c>
      <c r="O31" s="542">
        <f t="shared" si="6"/>
        <v>5835.7011257094118</v>
      </c>
      <c r="P31" s="345">
        <f t="shared" si="9"/>
        <v>21</v>
      </c>
      <c r="Q31" s="79"/>
      <c r="R31" s="79"/>
      <c r="S31" s="79"/>
      <c r="T31" s="79"/>
      <c r="U31" s="79"/>
      <c r="V31" s="79"/>
      <c r="W31" s="79"/>
      <c r="X31" s="79"/>
      <c r="Y31" s="79"/>
      <c r="Z31" s="79"/>
      <c r="AA31" s="79"/>
      <c r="AB31" s="79"/>
      <c r="AC31" s="79"/>
    </row>
    <row r="32" spans="1:29" x14ac:dyDescent="0.35">
      <c r="A32" s="345">
        <f t="shared" si="7"/>
        <v>22</v>
      </c>
      <c r="B32" s="1871">
        <v>45221</v>
      </c>
      <c r="C32" s="539">
        <v>2169</v>
      </c>
      <c r="D32" s="1869">
        <v>29907</v>
      </c>
      <c r="E32" s="72">
        <f t="shared" si="10"/>
        <v>32076</v>
      </c>
      <c r="F32" s="541">
        <f t="shared" si="8"/>
        <v>3.327180050693471</v>
      </c>
      <c r="G32" s="221">
        <f t="shared" si="0"/>
        <v>45.876428665785909</v>
      </c>
      <c r="H32" s="555">
        <f t="shared" si="11"/>
        <v>49.20360871647938</v>
      </c>
      <c r="I32" s="225">
        <f t="shared" si="1"/>
        <v>2165.6728199493064</v>
      </c>
      <c r="J32" s="221">
        <f t="shared" si="2"/>
        <v>29861.123571334214</v>
      </c>
      <c r="K32" s="72">
        <f t="shared" si="3"/>
        <v>32026.796391283518</v>
      </c>
      <c r="L32" s="643">
        <v>0.25</v>
      </c>
      <c r="M32" s="225">
        <f t="shared" si="4"/>
        <v>541.41820498732659</v>
      </c>
      <c r="N32" s="221">
        <f t="shared" si="5"/>
        <v>7465.2808928335535</v>
      </c>
      <c r="O32" s="555">
        <f t="shared" si="6"/>
        <v>8006.6990978208796</v>
      </c>
      <c r="P32" s="345">
        <f t="shared" si="9"/>
        <v>22</v>
      </c>
      <c r="Q32" s="81"/>
      <c r="R32" s="81"/>
      <c r="S32" s="81"/>
      <c r="T32" s="81"/>
      <c r="U32" s="81"/>
      <c r="V32" s="81"/>
      <c r="W32" s="81"/>
      <c r="X32" s="81"/>
      <c r="Y32" s="81"/>
      <c r="Z32" s="81"/>
      <c r="AA32" s="81"/>
      <c r="AB32" s="81"/>
      <c r="AC32" s="81"/>
    </row>
    <row r="33" spans="1:29" x14ac:dyDescent="0.35">
      <c r="A33" s="345">
        <f t="shared" si="7"/>
        <v>23</v>
      </c>
      <c r="B33" s="1871">
        <v>45252</v>
      </c>
      <c r="C33" s="539">
        <v>1620</v>
      </c>
      <c r="D33" s="1869">
        <v>6885</v>
      </c>
      <c r="E33" s="540">
        <f t="shared" si="10"/>
        <v>8505</v>
      </c>
      <c r="F33" s="541">
        <f t="shared" si="8"/>
        <v>2.4850307432565342</v>
      </c>
      <c r="G33" s="221">
        <f t="shared" si="0"/>
        <v>10.561380658840271</v>
      </c>
      <c r="H33" s="542">
        <f t="shared" si="11"/>
        <v>13.046411402096805</v>
      </c>
      <c r="I33" s="225">
        <f t="shared" si="1"/>
        <v>1617.5149692567434</v>
      </c>
      <c r="J33" s="221">
        <f t="shared" si="2"/>
        <v>6874.4386193411601</v>
      </c>
      <c r="K33" s="540">
        <f t="shared" si="3"/>
        <v>8491.9535885979039</v>
      </c>
      <c r="L33" s="643">
        <v>0.16666666666666666</v>
      </c>
      <c r="M33" s="225">
        <f t="shared" si="4"/>
        <v>269.58582820945719</v>
      </c>
      <c r="N33" s="221">
        <f t="shared" si="5"/>
        <v>1145.7397698901932</v>
      </c>
      <c r="O33" s="542">
        <f t="shared" si="6"/>
        <v>1415.3255980996505</v>
      </c>
      <c r="P33" s="345">
        <f t="shared" si="9"/>
        <v>23</v>
      </c>
      <c r="Q33" s="79"/>
      <c r="R33" s="79"/>
      <c r="S33" s="79"/>
      <c r="T33" s="79"/>
      <c r="U33" s="79"/>
      <c r="V33" s="79"/>
      <c r="W33" s="79"/>
      <c r="X33" s="79"/>
      <c r="Y33" s="79"/>
      <c r="Z33" s="79"/>
      <c r="AA33" s="79"/>
      <c r="AB33" s="79"/>
      <c r="AC33" s="79"/>
    </row>
    <row r="34" spans="1:29" ht="16" thickBot="1" x14ac:dyDescent="0.4">
      <c r="A34" s="345">
        <f t="shared" si="7"/>
        <v>24</v>
      </c>
      <c r="B34" s="1871">
        <v>45282</v>
      </c>
      <c r="C34" s="539">
        <v>11007</v>
      </c>
      <c r="D34" s="1869">
        <v>33644</v>
      </c>
      <c r="E34" s="540">
        <f>C34+D34</f>
        <v>44651</v>
      </c>
      <c r="F34" s="545">
        <f t="shared" si="8"/>
        <v>16.884403327793006</v>
      </c>
      <c r="G34" s="546">
        <f t="shared" si="0"/>
        <v>51.608873040816569</v>
      </c>
      <c r="H34" s="542">
        <f t="shared" si="11"/>
        <v>68.493276368609571</v>
      </c>
      <c r="I34" s="548">
        <f t="shared" si="1"/>
        <v>10990.115596672207</v>
      </c>
      <c r="J34" s="546">
        <f t="shared" si="2"/>
        <v>33592.391126959184</v>
      </c>
      <c r="K34" s="540">
        <f t="shared" si="3"/>
        <v>44582.506723631392</v>
      </c>
      <c r="L34" s="643">
        <v>8.3333333333333329E-2</v>
      </c>
      <c r="M34" s="225">
        <f t="shared" si="4"/>
        <v>915.84296638935052</v>
      </c>
      <c r="N34" s="546">
        <f t="shared" si="5"/>
        <v>2799.3659272465984</v>
      </c>
      <c r="O34" s="542">
        <f t="shared" si="6"/>
        <v>3715.2088936359487</v>
      </c>
      <c r="P34" s="345">
        <f t="shared" si="9"/>
        <v>24</v>
      </c>
      <c r="Q34" s="79"/>
      <c r="R34" s="1125"/>
      <c r="S34" s="79"/>
      <c r="T34" s="79"/>
      <c r="U34" s="79"/>
      <c r="V34" s="79"/>
      <c r="W34" s="79"/>
      <c r="X34" s="79"/>
      <c r="Y34" s="79"/>
      <c r="Z34" s="79"/>
      <c r="AA34" s="79"/>
      <c r="AB34" s="79"/>
      <c r="AC34" s="79"/>
    </row>
    <row r="35" spans="1:29" ht="16" thickBot="1" x14ac:dyDescent="0.4">
      <c r="A35" s="345">
        <f t="shared" si="7"/>
        <v>25</v>
      </c>
      <c r="B35" s="1490" t="s">
        <v>31</v>
      </c>
      <c r="C35" s="556">
        <f t="shared" ref="C35:K35" si="12">SUM(C11:C34)</f>
        <v>179628</v>
      </c>
      <c r="D35" s="557">
        <f t="shared" si="12"/>
        <v>761281</v>
      </c>
      <c r="E35" s="558">
        <f t="shared" si="12"/>
        <v>940909</v>
      </c>
      <c r="F35" s="556">
        <f t="shared" si="12"/>
        <v>275.54389033931153</v>
      </c>
      <c r="G35" s="557">
        <f t="shared" si="12"/>
        <v>1167.7819069488137</v>
      </c>
      <c r="H35" s="559">
        <f t="shared" si="12"/>
        <v>1443.3257972881247</v>
      </c>
      <c r="I35" s="560">
        <f t="shared" si="12"/>
        <v>179352.45610966065</v>
      </c>
      <c r="J35" s="557">
        <f t="shared" si="12"/>
        <v>760113.21809305111</v>
      </c>
      <c r="K35" s="558">
        <f t="shared" si="12"/>
        <v>939465.6742027119</v>
      </c>
      <c r="L35" s="561"/>
      <c r="M35" s="560">
        <f>SUM(M11:M34)</f>
        <v>151857.61382488476</v>
      </c>
      <c r="N35" s="557">
        <f>SUM(N11:N34)</f>
        <v>623009.770388462</v>
      </c>
      <c r="O35" s="559">
        <f>SUM(O11:O34)</f>
        <v>774867.38421334652</v>
      </c>
      <c r="P35" s="345">
        <f t="shared" si="9"/>
        <v>25</v>
      </c>
      <c r="Q35" s="79"/>
      <c r="R35" s="79"/>
      <c r="S35" s="79"/>
      <c r="T35" s="79"/>
      <c r="U35" s="79"/>
      <c r="V35" s="79"/>
      <c r="W35" s="79"/>
      <c r="X35" s="79"/>
      <c r="Y35" s="79"/>
      <c r="Z35" s="79"/>
      <c r="AA35" s="79"/>
      <c r="AB35" s="79"/>
      <c r="AC35" s="79"/>
    </row>
    <row r="36" spans="1:29" x14ac:dyDescent="0.35">
      <c r="A36" s="345">
        <f>A35+1</f>
        <v>26</v>
      </c>
      <c r="B36" s="1445"/>
      <c r="C36" s="72"/>
      <c r="D36" s="72"/>
      <c r="E36" s="1491"/>
      <c r="F36" s="81"/>
      <c r="G36" s="81"/>
      <c r="H36" s="512"/>
      <c r="I36" s="81"/>
      <c r="J36" s="81"/>
      <c r="K36" s="512"/>
      <c r="L36" s="81"/>
      <c r="M36" s="81"/>
      <c r="N36" s="81"/>
      <c r="O36" s="562"/>
      <c r="P36" s="345">
        <f>P35+1</f>
        <v>26</v>
      </c>
      <c r="Q36" s="79"/>
      <c r="R36" s="79"/>
      <c r="S36" s="79"/>
      <c r="T36" s="79"/>
      <c r="U36" s="79"/>
      <c r="V36" s="79"/>
      <c r="W36" s="79"/>
      <c r="X36" s="79"/>
      <c r="Y36" s="79"/>
      <c r="Z36" s="79"/>
      <c r="AA36" s="79"/>
      <c r="AB36" s="79"/>
      <c r="AC36" s="79"/>
    </row>
    <row r="37" spans="1:29" s="1086" customFormat="1" x14ac:dyDescent="0.35">
      <c r="A37" s="345">
        <f>A36+1</f>
        <v>27</v>
      </c>
      <c r="B37" s="1492"/>
      <c r="C37" s="1493"/>
      <c r="D37" s="1493"/>
      <c r="E37" s="1494" t="s">
        <v>649</v>
      </c>
      <c r="F37" s="1495"/>
      <c r="G37" s="1495"/>
      <c r="H37" s="563">
        <v>11467.787</v>
      </c>
      <c r="I37" s="564"/>
      <c r="J37" s="81" t="s">
        <v>1817</v>
      </c>
      <c r="K37" s="564"/>
      <c r="L37" s="564"/>
      <c r="M37" s="564"/>
      <c r="N37" s="1493"/>
      <c r="O37" s="1496"/>
      <c r="P37" s="345">
        <f t="shared" ref="P37:P42" si="13">P36+1</f>
        <v>27</v>
      </c>
      <c r="Q37" s="79"/>
      <c r="R37" s="1497"/>
      <c r="S37" s="1497"/>
      <c r="T37" s="1497"/>
      <c r="U37" s="1497"/>
      <c r="V37" s="1497"/>
      <c r="W37" s="1497"/>
      <c r="X37" s="1497"/>
      <c r="Y37" s="1497"/>
      <c r="Z37" s="1497"/>
      <c r="AA37" s="1497"/>
      <c r="AB37" s="1497"/>
      <c r="AC37" s="1497"/>
    </row>
    <row r="38" spans="1:29" s="1086" customFormat="1" x14ac:dyDescent="0.35">
      <c r="A38" s="345">
        <f>A37+1</f>
        <v>28</v>
      </c>
      <c r="B38" s="1492"/>
      <c r="C38" s="1493"/>
      <c r="D38" s="1493"/>
      <c r="E38" s="1494"/>
      <c r="F38" s="1495"/>
      <c r="G38" s="1495"/>
      <c r="H38" s="72"/>
      <c r="I38" s="564"/>
      <c r="J38" s="81"/>
      <c r="K38" s="564"/>
      <c r="L38" s="564"/>
      <c r="M38" s="564"/>
      <c r="N38" s="1493"/>
      <c r="O38" s="1496"/>
      <c r="P38" s="345">
        <f t="shared" si="13"/>
        <v>28</v>
      </c>
      <c r="Q38" s="79"/>
      <c r="R38" s="1497"/>
      <c r="S38" s="1497"/>
      <c r="T38" s="1497"/>
      <c r="U38" s="1497"/>
      <c r="V38" s="1497"/>
      <c r="W38" s="1497"/>
      <c r="X38" s="1497"/>
      <c r="Y38" s="1497"/>
      <c r="Z38" s="1497"/>
      <c r="AA38" s="1497"/>
      <c r="AB38" s="1497"/>
      <c r="AC38" s="1497"/>
    </row>
    <row r="39" spans="1:29" s="1086" customFormat="1" x14ac:dyDescent="0.35">
      <c r="A39" s="345">
        <f t="shared" ref="A39:A40" si="14">A38+1</f>
        <v>29</v>
      </c>
      <c r="B39" s="1492"/>
      <c r="C39" s="1493"/>
      <c r="D39" s="1493"/>
      <c r="E39" s="1494" t="s">
        <v>650</v>
      </c>
      <c r="F39" s="1495"/>
      <c r="G39" s="114"/>
      <c r="H39" s="1873">
        <v>7475889.3789999997</v>
      </c>
      <c r="I39" s="564"/>
      <c r="J39" s="81" t="s">
        <v>1818</v>
      </c>
      <c r="K39" s="564"/>
      <c r="L39" s="564"/>
      <c r="M39" s="564"/>
      <c r="N39" s="1493"/>
      <c r="O39" s="1496"/>
      <c r="P39" s="345">
        <f t="shared" si="13"/>
        <v>29</v>
      </c>
      <c r="Q39" s="79"/>
      <c r="R39" s="1497"/>
      <c r="S39" s="1497"/>
      <c r="T39" s="1497"/>
      <c r="U39" s="1497"/>
      <c r="V39" s="1497"/>
      <c r="W39" s="1497"/>
      <c r="X39" s="1497"/>
      <c r="Y39" s="1497"/>
      <c r="Z39" s="1497"/>
      <c r="AA39" s="1497"/>
      <c r="AB39" s="1497"/>
      <c r="AC39" s="1497"/>
    </row>
    <row r="40" spans="1:29" s="1086" customFormat="1" ht="16" thickBot="1" x14ac:dyDescent="0.4">
      <c r="A40" s="345">
        <f t="shared" si="14"/>
        <v>30</v>
      </c>
      <c r="B40" s="1492"/>
      <c r="C40" s="1493"/>
      <c r="D40" s="1493"/>
      <c r="E40" s="1495"/>
      <c r="F40" s="1495"/>
      <c r="G40" s="1495"/>
      <c r="H40" s="564"/>
      <c r="I40" s="564"/>
      <c r="J40" s="564"/>
      <c r="K40" s="564"/>
      <c r="L40" s="564"/>
      <c r="M40" s="564"/>
      <c r="N40" s="1493"/>
      <c r="O40" s="1496"/>
      <c r="P40" s="345">
        <f t="shared" si="13"/>
        <v>30</v>
      </c>
      <c r="Q40" s="1497"/>
      <c r="R40" s="1497"/>
      <c r="S40" s="1497"/>
      <c r="T40" s="1497"/>
      <c r="U40" s="1497"/>
      <c r="V40" s="1497"/>
      <c r="W40" s="1497"/>
      <c r="X40" s="1497"/>
      <c r="Y40" s="1497"/>
      <c r="Z40" s="1497"/>
      <c r="AA40" s="1497"/>
      <c r="AB40" s="1497"/>
      <c r="AC40" s="1497"/>
    </row>
    <row r="41" spans="1:29" ht="16" thickBot="1" x14ac:dyDescent="0.4">
      <c r="A41" s="345">
        <f>A40+1</f>
        <v>31</v>
      </c>
      <c r="B41" s="1445"/>
      <c r="C41" s="81"/>
      <c r="D41" s="81"/>
      <c r="E41" s="109" t="s">
        <v>699</v>
      </c>
      <c r="F41" s="81"/>
      <c r="G41" s="81"/>
      <c r="H41" s="565">
        <f>H37/H39</f>
        <v>1.5339695946027989E-3</v>
      </c>
      <c r="I41" s="81"/>
      <c r="J41" s="81" t="s">
        <v>1207</v>
      </c>
      <c r="K41" s="1498"/>
      <c r="L41" s="81"/>
      <c r="M41" s="81"/>
      <c r="N41" s="81"/>
      <c r="O41" s="1499"/>
      <c r="P41" s="345">
        <f t="shared" si="13"/>
        <v>31</v>
      </c>
      <c r="Q41" s="79"/>
      <c r="R41" s="1497"/>
      <c r="S41" s="79"/>
      <c r="T41" s="79"/>
      <c r="U41" s="79"/>
      <c r="V41" s="79"/>
      <c r="W41" s="79"/>
      <c r="X41" s="79"/>
      <c r="Y41" s="79"/>
      <c r="Z41" s="79"/>
      <c r="AA41" s="79"/>
      <c r="AB41" s="79"/>
      <c r="AC41" s="79"/>
    </row>
    <row r="42" spans="1:29" ht="16" thickBot="1" x14ac:dyDescent="0.4">
      <c r="A42" s="345">
        <f t="shared" si="7"/>
        <v>32</v>
      </c>
      <c r="B42" s="1500"/>
      <c r="C42" s="366"/>
      <c r="D42" s="366"/>
      <c r="E42" s="566"/>
      <c r="F42" s="366"/>
      <c r="G42" s="366"/>
      <c r="H42" s="567"/>
      <c r="I42" s="366"/>
      <c r="J42" s="366"/>
      <c r="K42" s="366"/>
      <c r="L42" s="366"/>
      <c r="M42" s="366"/>
      <c r="N42" s="366"/>
      <c r="O42" s="568"/>
      <c r="P42" s="345">
        <f t="shared" si="13"/>
        <v>32</v>
      </c>
      <c r="Q42" s="1497"/>
      <c r="R42" s="79"/>
      <c r="S42" s="79"/>
      <c r="T42" s="79"/>
      <c r="U42" s="79"/>
      <c r="V42" s="79"/>
      <c r="W42" s="79"/>
      <c r="X42" s="79"/>
      <c r="Y42" s="79"/>
      <c r="Z42" s="79"/>
      <c r="AA42" s="79"/>
      <c r="AB42" s="79"/>
      <c r="AC42" s="79"/>
    </row>
    <row r="43" spans="1:29" ht="16" thickBot="1" x14ac:dyDescent="0.4">
      <c r="A43" s="345">
        <f t="shared" si="7"/>
        <v>33</v>
      </c>
      <c r="B43" s="1445"/>
      <c r="C43" s="81"/>
      <c r="D43" s="81"/>
      <c r="E43" s="72"/>
      <c r="F43" s="81"/>
      <c r="G43" s="81"/>
      <c r="H43" s="81"/>
      <c r="I43" s="81"/>
      <c r="J43" s="81"/>
      <c r="K43" s="512" t="s">
        <v>10</v>
      </c>
      <c r="L43" s="81"/>
      <c r="M43" s="1501"/>
      <c r="N43" s="1501"/>
      <c r="O43" s="1502"/>
      <c r="P43" s="345">
        <f t="shared" si="9"/>
        <v>33</v>
      </c>
      <c r="Q43" s="1497"/>
      <c r="R43" s="79"/>
      <c r="S43" s="79"/>
      <c r="T43" s="79"/>
      <c r="U43" s="79"/>
      <c r="V43" s="79"/>
      <c r="W43" s="79"/>
      <c r="X43" s="79"/>
      <c r="Y43" s="79"/>
      <c r="Z43" s="79"/>
      <c r="AA43" s="79"/>
      <c r="AB43" s="79"/>
      <c r="AC43" s="79"/>
    </row>
    <row r="44" spans="1:29" ht="16" thickBot="1" x14ac:dyDescent="0.4">
      <c r="A44" s="345">
        <f t="shared" si="7"/>
        <v>34</v>
      </c>
      <c r="B44" s="1503"/>
      <c r="C44" s="81"/>
      <c r="D44" s="1226"/>
      <c r="E44" s="1504"/>
      <c r="F44" s="1505"/>
      <c r="G44" s="1506"/>
      <c r="H44" s="1506" t="s">
        <v>530</v>
      </c>
      <c r="I44" s="1507" t="s">
        <v>700</v>
      </c>
      <c r="J44" s="1508" t="s">
        <v>701</v>
      </c>
      <c r="K44" s="1509" t="s">
        <v>531</v>
      </c>
      <c r="L44" s="109"/>
      <c r="M44" s="1510" t="s">
        <v>532</v>
      </c>
      <c r="N44" s="1511" t="s">
        <v>533</v>
      </c>
      <c r="O44" s="1512" t="s">
        <v>534</v>
      </c>
      <c r="P44" s="345">
        <f t="shared" si="9"/>
        <v>34</v>
      </c>
      <c r="Q44" s="1497"/>
      <c r="R44" s="79"/>
      <c r="S44" s="79"/>
      <c r="T44" s="79"/>
      <c r="U44" s="79"/>
      <c r="V44" s="79"/>
      <c r="W44" s="79"/>
      <c r="X44" s="79"/>
      <c r="Y44" s="79"/>
      <c r="Z44" s="79"/>
      <c r="AA44" s="79"/>
      <c r="AB44" s="79"/>
      <c r="AC44" s="79"/>
    </row>
    <row r="45" spans="1:29" ht="16" thickBot="1" x14ac:dyDescent="0.4">
      <c r="A45" s="345">
        <f t="shared" si="7"/>
        <v>35</v>
      </c>
      <c r="B45" s="1445"/>
      <c r="C45" s="81"/>
      <c r="D45" s="81"/>
      <c r="E45" s="1513"/>
      <c r="F45" s="1514"/>
      <c r="G45" s="1515"/>
      <c r="H45" s="1515" t="s">
        <v>535</v>
      </c>
      <c r="I45" s="569">
        <f>+I35</f>
        <v>179352.45610966065</v>
      </c>
      <c r="J45" s="569">
        <f>+J35</f>
        <v>760113.21809305111</v>
      </c>
      <c r="K45" s="570">
        <f>+K35</f>
        <v>939465.6742027119</v>
      </c>
      <c r="L45" s="571"/>
      <c r="M45" s="572">
        <f>+M35</f>
        <v>151857.61382488476</v>
      </c>
      <c r="N45" s="573">
        <f>+N35</f>
        <v>623009.770388462</v>
      </c>
      <c r="O45" s="570">
        <f>+O35</f>
        <v>774867.38421334652</v>
      </c>
      <c r="P45" s="345">
        <f t="shared" si="9"/>
        <v>35</v>
      </c>
      <c r="Q45" s="79"/>
      <c r="R45" s="79"/>
      <c r="S45" s="79"/>
      <c r="T45" s="79"/>
      <c r="U45" s="79"/>
      <c r="V45" s="79"/>
      <c r="W45" s="79"/>
      <c r="X45" s="79"/>
      <c r="Y45" s="79"/>
      <c r="Z45" s="79"/>
      <c r="AA45" s="79"/>
      <c r="AB45" s="79"/>
      <c r="AC45" s="79"/>
    </row>
    <row r="46" spans="1:29" ht="16" thickTop="1" x14ac:dyDescent="0.35">
      <c r="A46" s="345">
        <f t="shared" si="7"/>
        <v>36</v>
      </c>
      <c r="B46" s="1445"/>
      <c r="C46" s="81"/>
      <c r="D46" s="81"/>
      <c r="E46" s="1445"/>
      <c r="F46" s="81"/>
      <c r="G46" s="1219"/>
      <c r="H46" s="1219"/>
      <c r="I46" s="513"/>
      <c r="J46" s="513"/>
      <c r="K46" s="562"/>
      <c r="L46" s="81"/>
      <c r="M46" s="574"/>
      <c r="N46" s="575"/>
      <c r="O46" s="562"/>
      <c r="P46" s="345">
        <f t="shared" si="9"/>
        <v>36</v>
      </c>
      <c r="Q46" s="79"/>
      <c r="R46" s="79"/>
      <c r="S46" s="79"/>
      <c r="T46" s="79"/>
      <c r="U46" s="79"/>
      <c r="V46" s="79"/>
      <c r="W46" s="79"/>
      <c r="X46" s="79"/>
      <c r="Y46" s="79"/>
      <c r="Z46" s="79"/>
      <c r="AA46" s="79"/>
      <c r="AB46" s="79"/>
      <c r="AC46" s="79"/>
    </row>
    <row r="47" spans="1:29" ht="16" thickBot="1" x14ac:dyDescent="0.4">
      <c r="A47" s="345">
        <f>A46+1</f>
        <v>37</v>
      </c>
      <c r="B47" s="1445"/>
      <c r="C47" s="81"/>
      <c r="D47" s="81"/>
      <c r="E47" s="1445"/>
      <c r="F47" s="81"/>
      <c r="G47" s="1219"/>
      <c r="H47" s="1516" t="s">
        <v>383</v>
      </c>
      <c r="I47" s="576">
        <f>+I45/K45</f>
        <v>0.19090900395256072</v>
      </c>
      <c r="J47" s="576">
        <f>+J45/K45</f>
        <v>0.80909099604743917</v>
      </c>
      <c r="K47" s="577">
        <f>I47+J47</f>
        <v>0.99999999999999989</v>
      </c>
      <c r="L47" s="109"/>
      <c r="M47" s="578">
        <f>+M45/O45</f>
        <v>0.19597884350113948</v>
      </c>
      <c r="N47" s="579">
        <f>+N45/O45</f>
        <v>0.80402115649886086</v>
      </c>
      <c r="O47" s="577">
        <f>M47+N47</f>
        <v>1.0000000000000004</v>
      </c>
      <c r="P47" s="345">
        <f>P46+1</f>
        <v>37</v>
      </c>
      <c r="Q47" s="79"/>
      <c r="R47" s="79"/>
      <c r="S47" s="79"/>
      <c r="T47" s="79"/>
      <c r="U47" s="79"/>
      <c r="V47" s="79"/>
      <c r="W47" s="79"/>
      <c r="X47" s="79"/>
      <c r="Y47" s="79"/>
      <c r="Z47" s="79"/>
      <c r="AA47" s="79"/>
      <c r="AB47" s="79"/>
      <c r="AC47" s="79"/>
    </row>
    <row r="48" spans="1:29" ht="16.5" thickTop="1" thickBot="1" x14ac:dyDescent="0.4">
      <c r="A48" s="345">
        <f t="shared" si="7"/>
        <v>38</v>
      </c>
      <c r="B48" s="1440"/>
      <c r="C48" s="81"/>
      <c r="D48" s="81"/>
      <c r="E48" s="1500"/>
      <c r="F48" s="366"/>
      <c r="G48" s="366"/>
      <c r="H48" s="366"/>
      <c r="I48" s="580"/>
      <c r="J48" s="580"/>
      <c r="K48" s="568"/>
      <c r="L48" s="81"/>
      <c r="M48" s="581"/>
      <c r="N48" s="582"/>
      <c r="O48" s="568"/>
      <c r="P48" s="345">
        <f t="shared" si="9"/>
        <v>38</v>
      </c>
      <c r="Q48" s="79"/>
      <c r="R48" s="79"/>
      <c r="S48" s="79"/>
      <c r="T48" s="79"/>
      <c r="U48" s="79"/>
      <c r="V48" s="79"/>
      <c r="W48" s="79"/>
      <c r="X48" s="79"/>
      <c r="Y48" s="79"/>
      <c r="Z48" s="79"/>
      <c r="AA48" s="79"/>
      <c r="AB48" s="79"/>
      <c r="AC48" s="79"/>
    </row>
    <row r="49" spans="1:29" ht="16" thickBot="1" x14ac:dyDescent="0.4">
      <c r="A49" s="345">
        <f t="shared" si="7"/>
        <v>39</v>
      </c>
      <c r="B49" s="1458"/>
      <c r="C49" s="366"/>
      <c r="D49" s="366"/>
      <c r="E49" s="366"/>
      <c r="F49" s="366"/>
      <c r="G49" s="366"/>
      <c r="H49" s="366"/>
      <c r="I49" s="366"/>
      <c r="J49" s="366"/>
      <c r="K49" s="366"/>
      <c r="L49" s="366"/>
      <c r="M49" s="366"/>
      <c r="N49" s="366"/>
      <c r="O49" s="568"/>
      <c r="P49" s="345">
        <f t="shared" si="9"/>
        <v>39</v>
      </c>
      <c r="Q49" s="79"/>
      <c r="R49" s="79"/>
      <c r="S49" s="79"/>
      <c r="T49" s="79"/>
      <c r="U49" s="79"/>
      <c r="V49" s="79"/>
      <c r="W49" s="79"/>
      <c r="X49" s="79"/>
      <c r="Y49" s="79"/>
      <c r="Z49" s="79"/>
      <c r="AA49" s="79"/>
      <c r="AB49" s="79"/>
      <c r="AC49" s="79"/>
    </row>
    <row r="50" spans="1:29" x14ac:dyDescent="0.35">
      <c r="A50" s="345"/>
      <c r="B50" s="109"/>
      <c r="C50" s="81"/>
      <c r="D50" s="81"/>
      <c r="E50" s="81"/>
      <c r="F50" s="81"/>
      <c r="G50" s="81"/>
      <c r="H50" s="81"/>
      <c r="I50" s="81"/>
      <c r="J50" s="81"/>
      <c r="K50" s="81"/>
      <c r="L50" s="81"/>
      <c r="M50" s="81"/>
      <c r="N50" s="81"/>
      <c r="O50" s="81"/>
      <c r="P50" s="345"/>
      <c r="Q50" s="79"/>
      <c r="R50" s="79"/>
      <c r="S50" s="79"/>
      <c r="T50" s="79"/>
      <c r="U50" s="79"/>
      <c r="V50" s="79"/>
      <c r="W50" s="79"/>
      <c r="X50" s="79"/>
      <c r="Y50" s="79"/>
      <c r="Z50" s="79"/>
      <c r="AA50" s="79"/>
      <c r="AB50" s="79"/>
      <c r="AC50" s="79"/>
    </row>
    <row r="51" spans="1:29" x14ac:dyDescent="0.35">
      <c r="A51" s="345"/>
      <c r="B51" s="109"/>
      <c r="C51" s="81"/>
      <c r="D51" s="81"/>
      <c r="E51" s="81"/>
      <c r="F51" s="81"/>
      <c r="G51" s="81"/>
      <c r="H51" s="81"/>
      <c r="I51" s="81"/>
      <c r="J51" s="81"/>
      <c r="K51" s="81"/>
      <c r="L51" s="81"/>
      <c r="M51" s="81"/>
      <c r="N51" s="81"/>
      <c r="O51" s="81"/>
      <c r="P51" s="345"/>
      <c r="Q51" s="79"/>
      <c r="R51" s="79"/>
      <c r="S51" s="79"/>
      <c r="T51" s="79"/>
      <c r="U51" s="79"/>
      <c r="V51" s="79"/>
      <c r="W51" s="79"/>
      <c r="X51" s="79"/>
      <c r="Y51" s="79"/>
      <c r="Z51" s="79"/>
      <c r="AA51" s="79"/>
      <c r="AB51" s="79"/>
      <c r="AC51" s="79"/>
    </row>
    <row r="52" spans="1:29" ht="18" x14ac:dyDescent="0.35">
      <c r="A52" s="1517">
        <v>1</v>
      </c>
      <c r="B52" s="81" t="s">
        <v>1640</v>
      </c>
      <c r="C52" s="81"/>
      <c r="D52" s="81"/>
      <c r="E52" s="81"/>
      <c r="F52" s="81"/>
      <c r="G52" s="81"/>
      <c r="H52" s="81"/>
      <c r="I52" s="81"/>
      <c r="J52" s="81"/>
      <c r="K52" s="81"/>
      <c r="L52" s="81"/>
      <c r="M52" s="81"/>
      <c r="N52" s="81"/>
      <c r="O52" s="81"/>
      <c r="P52" s="345"/>
      <c r="Q52" s="79"/>
      <c r="R52" s="79"/>
      <c r="S52" s="79"/>
      <c r="T52" s="79"/>
      <c r="U52" s="79"/>
      <c r="V52" s="79"/>
      <c r="W52" s="79"/>
      <c r="X52" s="79"/>
      <c r="Y52" s="79"/>
      <c r="Z52" s="79"/>
      <c r="AA52" s="79"/>
      <c r="AB52" s="79"/>
      <c r="AC52" s="79"/>
    </row>
    <row r="53" spans="1:29" x14ac:dyDescent="0.35">
      <c r="A53" s="1563"/>
      <c r="B53" s="109"/>
      <c r="C53" s="81"/>
      <c r="D53" s="81"/>
      <c r="E53" s="81"/>
      <c r="F53" s="81"/>
      <c r="G53" s="81"/>
      <c r="H53" s="81"/>
      <c r="I53" s="81"/>
      <c r="J53" s="81"/>
      <c r="K53" s="81"/>
      <c r="L53" s="81"/>
      <c r="M53" s="81"/>
      <c r="N53" s="81"/>
      <c r="O53" s="81"/>
      <c r="P53" s="1563"/>
      <c r="Q53" s="79"/>
      <c r="R53" s="79"/>
      <c r="S53" s="79"/>
      <c r="T53" s="79"/>
      <c r="U53" s="79"/>
      <c r="V53" s="79"/>
      <c r="W53" s="79"/>
      <c r="X53" s="79"/>
      <c r="Y53" s="79"/>
      <c r="Z53" s="79"/>
      <c r="AA53" s="79"/>
      <c r="AB53" s="79"/>
      <c r="AC53" s="79"/>
    </row>
    <row r="54" spans="1:29" x14ac:dyDescent="0.35">
      <c r="A54" s="1563"/>
      <c r="B54" s="109"/>
      <c r="C54" s="1518"/>
      <c r="D54" s="81"/>
      <c r="E54" s="81"/>
      <c r="F54" s="81"/>
      <c r="G54" s="81"/>
      <c r="H54" s="81"/>
      <c r="I54" s="81"/>
      <c r="J54" s="81"/>
      <c r="K54" s="81"/>
      <c r="L54" s="81"/>
      <c r="M54" s="81"/>
      <c r="N54" s="81"/>
      <c r="O54" s="81"/>
      <c r="P54" s="1563"/>
      <c r="Q54" s="79"/>
      <c r="R54" s="79"/>
      <c r="S54" s="79"/>
      <c r="T54" s="79"/>
      <c r="U54" s="79"/>
      <c r="V54" s="79"/>
      <c r="W54" s="79"/>
      <c r="X54" s="79"/>
      <c r="Y54" s="79"/>
      <c r="Z54" s="79"/>
      <c r="AA54" s="79"/>
      <c r="AB54" s="79"/>
      <c r="AC54" s="79"/>
    </row>
    <row r="55" spans="1:29" x14ac:dyDescent="0.35">
      <c r="A55" s="1563"/>
      <c r="B55" s="79"/>
      <c r="C55" s="79"/>
      <c r="D55" s="79"/>
      <c r="E55" s="79"/>
      <c r="F55" s="79"/>
      <c r="G55" s="79"/>
      <c r="H55" s="79"/>
      <c r="I55" s="79"/>
      <c r="J55" s="79"/>
      <c r="K55" s="79"/>
      <c r="L55" s="79"/>
      <c r="M55" s="79"/>
      <c r="N55" s="79"/>
      <c r="O55" s="79"/>
      <c r="P55" s="1563"/>
      <c r="Q55" s="79"/>
      <c r="R55" s="79"/>
      <c r="S55" s="79"/>
      <c r="T55" s="79"/>
      <c r="U55" s="79"/>
      <c r="V55" s="79"/>
      <c r="W55" s="79"/>
      <c r="X55" s="79"/>
      <c r="Y55" s="79"/>
      <c r="Z55" s="79"/>
      <c r="AA55" s="79"/>
      <c r="AB55" s="79"/>
      <c r="AC55" s="79"/>
    </row>
  </sheetData>
  <mergeCells count="6">
    <mergeCell ref="C8:E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Plant Additions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5"/>
  <sheetViews>
    <sheetView zoomScale="80" zoomScaleNormal="80" workbookViewId="0"/>
  </sheetViews>
  <sheetFormatPr defaultColWidth="8.90625" defaultRowHeight="15.5" x14ac:dyDescent="0.35"/>
  <cols>
    <col min="1" max="1" width="5.08984375" style="1569" customWidth="1"/>
    <col min="2" max="2" width="8.54296875" style="7" customWidth="1"/>
    <col min="3" max="11" width="15.54296875" style="7" customWidth="1"/>
    <col min="12" max="12" width="11.08984375" style="7" customWidth="1"/>
    <col min="13" max="15" width="15.54296875" style="7" customWidth="1"/>
    <col min="16" max="16" width="5.08984375" style="1569" customWidth="1"/>
    <col min="17" max="16384" width="8.90625" style="7"/>
  </cols>
  <sheetData>
    <row r="1" spans="1:18" x14ac:dyDescent="0.35">
      <c r="A1" s="1563"/>
      <c r="B1" s="79"/>
      <c r="C1" s="79"/>
      <c r="D1" s="701"/>
      <c r="E1" s="79"/>
      <c r="F1" s="79"/>
      <c r="G1" s="79"/>
      <c r="H1" s="79"/>
      <c r="I1" s="79"/>
      <c r="J1" s="79"/>
      <c r="K1" s="79"/>
      <c r="L1" s="182"/>
      <c r="M1" s="79"/>
      <c r="N1" s="79"/>
      <c r="O1" s="79"/>
      <c r="P1" s="1563"/>
      <c r="Q1" s="79"/>
      <c r="R1" s="79"/>
    </row>
    <row r="2" spans="1:18" ht="15.75" customHeight="1" x14ac:dyDescent="0.35">
      <c r="B2" s="2289" t="s">
        <v>18</v>
      </c>
      <c r="C2" s="2289"/>
      <c r="D2" s="2289"/>
      <c r="E2" s="2289"/>
      <c r="F2" s="2289"/>
      <c r="G2" s="2289"/>
      <c r="H2" s="2289"/>
      <c r="I2" s="2289"/>
      <c r="J2" s="2289"/>
      <c r="K2" s="2289"/>
      <c r="L2" s="2289"/>
      <c r="M2" s="2289"/>
      <c r="N2" s="2289"/>
      <c r="O2" s="2289"/>
      <c r="P2" s="1561"/>
      <c r="Q2" s="79"/>
      <c r="R2" s="79"/>
    </row>
    <row r="3" spans="1:18" ht="15.75" customHeight="1" x14ac:dyDescent="0.35">
      <c r="B3" s="2289" t="s">
        <v>522</v>
      </c>
      <c r="C3" s="2289"/>
      <c r="D3" s="2289"/>
      <c r="E3" s="2289"/>
      <c r="F3" s="2289"/>
      <c r="G3" s="2289"/>
      <c r="H3" s="2289"/>
      <c r="I3" s="2289"/>
      <c r="J3" s="2289"/>
      <c r="K3" s="2289"/>
      <c r="L3" s="2289"/>
      <c r="M3" s="2289"/>
      <c r="N3" s="2289"/>
      <c r="O3" s="2289"/>
      <c r="P3" s="1561"/>
      <c r="Q3" s="79"/>
      <c r="R3" s="79"/>
    </row>
    <row r="4" spans="1:18" ht="15.75" customHeight="1" x14ac:dyDescent="0.35">
      <c r="B4" s="2283" t="str">
        <f>'Summary of HV-LV Splits'!B4</f>
        <v>24-Month Forecast Period (January 1, 2022 - December 31, 2023)</v>
      </c>
      <c r="C4" s="2283"/>
      <c r="D4" s="2283"/>
      <c r="E4" s="2283"/>
      <c r="F4" s="2283"/>
      <c r="G4" s="2283"/>
      <c r="H4" s="2283"/>
      <c r="I4" s="2283"/>
      <c r="J4" s="2283"/>
      <c r="K4" s="2283"/>
      <c r="L4" s="2283"/>
      <c r="M4" s="2283"/>
      <c r="N4" s="2283"/>
      <c r="O4" s="2283"/>
      <c r="P4" s="1561"/>
      <c r="Q4" s="79"/>
      <c r="R4" s="79"/>
    </row>
    <row r="5" spans="1:18" ht="15.75" customHeight="1" x14ac:dyDescent="0.35">
      <c r="B5" s="2289" t="s">
        <v>536</v>
      </c>
      <c r="C5" s="2289"/>
      <c r="D5" s="2289"/>
      <c r="E5" s="2289"/>
      <c r="F5" s="2289"/>
      <c r="G5" s="2289"/>
      <c r="H5" s="2289"/>
      <c r="I5" s="2289"/>
      <c r="J5" s="2289"/>
      <c r="K5" s="2289"/>
      <c r="L5" s="2289"/>
      <c r="M5" s="2289"/>
      <c r="N5" s="2289"/>
      <c r="O5" s="2289"/>
      <c r="P5" s="1561"/>
      <c r="Q5" s="79"/>
      <c r="R5" s="79"/>
    </row>
    <row r="6" spans="1:18" x14ac:dyDescent="0.35">
      <c r="B6" s="2319">
        <v>-1000</v>
      </c>
      <c r="C6" s="2319"/>
      <c r="D6" s="2319"/>
      <c r="E6" s="2319"/>
      <c r="F6" s="2319"/>
      <c r="G6" s="2319"/>
      <c r="H6" s="2319"/>
      <c r="I6" s="2319"/>
      <c r="J6" s="2319"/>
      <c r="K6" s="2319"/>
      <c r="L6" s="2319"/>
      <c r="M6" s="2319"/>
      <c r="N6" s="2319"/>
      <c r="O6" s="2319"/>
      <c r="P6" s="1573"/>
      <c r="Q6" s="79"/>
      <c r="R6" s="79"/>
    </row>
    <row r="7" spans="1:18" ht="16" thickBot="1" x14ac:dyDescent="0.4">
      <c r="A7" s="1563"/>
      <c r="B7" s="79"/>
      <c r="C7" s="79"/>
      <c r="D7" s="79"/>
      <c r="E7" s="79"/>
      <c r="F7" s="79"/>
      <c r="G7" s="79"/>
      <c r="H7" s="79"/>
      <c r="I7" s="79"/>
      <c r="J7" s="79"/>
      <c r="K7" s="79"/>
      <c r="L7" s="182"/>
      <c r="M7" s="79"/>
      <c r="N7" s="79"/>
      <c r="O7" s="79"/>
      <c r="P7" s="1563"/>
      <c r="Q7" s="79"/>
      <c r="R7" s="79"/>
    </row>
    <row r="8" spans="1:18" ht="18" x14ac:dyDescent="0.35">
      <c r="A8" s="345" t="s">
        <v>3</v>
      </c>
      <c r="B8" s="624"/>
      <c r="C8" s="2336" t="s">
        <v>719</v>
      </c>
      <c r="D8" s="2337"/>
      <c r="E8" s="2338"/>
      <c r="F8" s="2336" t="s">
        <v>101</v>
      </c>
      <c r="G8" s="2337"/>
      <c r="H8" s="2338"/>
      <c r="I8" s="2336" t="s">
        <v>524</v>
      </c>
      <c r="J8" s="2337"/>
      <c r="K8" s="2338"/>
      <c r="L8" s="624" t="s">
        <v>525</v>
      </c>
      <c r="M8" s="2336" t="s">
        <v>526</v>
      </c>
      <c r="N8" s="2337"/>
      <c r="O8" s="2338"/>
      <c r="P8" s="345" t="s">
        <v>3</v>
      </c>
      <c r="Q8" s="88"/>
      <c r="R8" s="88"/>
    </row>
    <row r="9" spans="1:18" ht="16" thickBot="1" x14ac:dyDescent="0.4">
      <c r="A9" s="345" t="s">
        <v>25</v>
      </c>
      <c r="B9" s="1474" t="s">
        <v>527</v>
      </c>
      <c r="C9" s="1475" t="s">
        <v>528</v>
      </c>
      <c r="D9" s="1476" t="s">
        <v>529</v>
      </c>
      <c r="E9" s="1478" t="s">
        <v>31</v>
      </c>
      <c r="F9" s="1479" t="s">
        <v>528</v>
      </c>
      <c r="G9" s="1476" t="s">
        <v>529</v>
      </c>
      <c r="H9" s="1477" t="s">
        <v>31</v>
      </c>
      <c r="I9" s="1475" t="s">
        <v>528</v>
      </c>
      <c r="J9" s="1476" t="s">
        <v>529</v>
      </c>
      <c r="K9" s="1477" t="s">
        <v>31</v>
      </c>
      <c r="L9" s="1480" t="s">
        <v>34</v>
      </c>
      <c r="M9" s="1479" t="s">
        <v>528</v>
      </c>
      <c r="N9" s="1476" t="s">
        <v>529</v>
      </c>
      <c r="O9" s="1478" t="s">
        <v>31</v>
      </c>
      <c r="P9" s="693" t="s">
        <v>25</v>
      </c>
      <c r="Q9" s="88"/>
      <c r="R9" s="88"/>
    </row>
    <row r="10" spans="1:18" x14ac:dyDescent="0.35">
      <c r="A10" s="595"/>
      <c r="B10" s="1481"/>
      <c r="C10" s="1482"/>
      <c r="D10" s="799"/>
      <c r="E10" s="911"/>
      <c r="F10" s="765"/>
      <c r="G10" s="799"/>
      <c r="H10" s="851"/>
      <c r="I10" s="1482"/>
      <c r="J10" s="799"/>
      <c r="K10" s="851"/>
      <c r="L10" s="1519"/>
      <c r="M10" s="765"/>
      <c r="N10" s="799"/>
      <c r="O10" s="911"/>
      <c r="P10" s="1566"/>
      <c r="Q10" s="88"/>
      <c r="R10" s="88"/>
    </row>
    <row r="11" spans="1:18" x14ac:dyDescent="0.35">
      <c r="A11" s="345">
        <v>1</v>
      </c>
      <c r="B11" s="1487">
        <v>44580</v>
      </c>
      <c r="C11" s="534">
        <v>200</v>
      </c>
      <c r="D11" s="1868">
        <v>194</v>
      </c>
      <c r="E11" s="536">
        <f t="shared" ref="E11:E34" si="0">C11+D11</f>
        <v>394</v>
      </c>
      <c r="F11" s="527">
        <f>C11*$H$41</f>
        <v>0.30679391892055979</v>
      </c>
      <c r="G11" s="258">
        <f>D11*$H$41</f>
        <v>0.297590101352943</v>
      </c>
      <c r="H11" s="537">
        <f t="shared" ref="H11:H25" si="1">F11+G11</f>
        <v>0.6043840202735028</v>
      </c>
      <c r="I11" s="538">
        <f t="shared" ref="I11:I34" si="2">C11-F11</f>
        <v>199.69320608107944</v>
      </c>
      <c r="J11" s="258">
        <f t="shared" ref="J11:J34" si="3">D11-G11</f>
        <v>193.70240989864706</v>
      </c>
      <c r="K11" s="537">
        <f t="shared" ref="K11:K34" si="4">I11+J11</f>
        <v>393.39561597972647</v>
      </c>
      <c r="L11" s="644">
        <f>'ET Forecast Capital Additions'!$L11</f>
        <v>1</v>
      </c>
      <c r="M11" s="527">
        <f t="shared" ref="M11:M34" si="5">I11*$L11</f>
        <v>199.69320608107944</v>
      </c>
      <c r="N11" s="258">
        <f t="shared" ref="N11:N34" si="6">J11*$L11</f>
        <v>193.70240989864706</v>
      </c>
      <c r="O11" s="536">
        <f t="shared" ref="O11:O34" si="7">M11+N11</f>
        <v>393.39561597972647</v>
      </c>
      <c r="P11" s="345">
        <f>A11</f>
        <v>1</v>
      </c>
      <c r="Q11" s="109"/>
      <c r="R11" s="79"/>
    </row>
    <row r="12" spans="1:18" x14ac:dyDescent="0.35">
      <c r="A12" s="345">
        <f t="shared" ref="A12:A49" si="8">A11+1</f>
        <v>2</v>
      </c>
      <c r="B12" s="1487">
        <v>44611</v>
      </c>
      <c r="C12" s="539">
        <v>275</v>
      </c>
      <c r="D12" s="1869">
        <v>267</v>
      </c>
      <c r="E12" s="542">
        <f t="shared" si="0"/>
        <v>542</v>
      </c>
      <c r="F12" s="225">
        <f t="shared" ref="F12:F34" si="9">C12*$H$41</f>
        <v>0.42184163851576972</v>
      </c>
      <c r="G12" s="221">
        <f t="shared" ref="G12:G34" si="10">D12*$H$41</f>
        <v>0.40956988175894732</v>
      </c>
      <c r="H12" s="540">
        <f t="shared" si="1"/>
        <v>0.83141152027471699</v>
      </c>
      <c r="I12" s="541">
        <f t="shared" si="2"/>
        <v>274.57815836148421</v>
      </c>
      <c r="J12" s="221">
        <f t="shared" si="3"/>
        <v>266.59043011824104</v>
      </c>
      <c r="K12" s="540">
        <f t="shared" si="4"/>
        <v>541.16858847972526</v>
      </c>
      <c r="L12" s="644">
        <f>'ET Forecast Capital Additions'!$L12</f>
        <v>1</v>
      </c>
      <c r="M12" s="225">
        <f t="shared" si="5"/>
        <v>274.57815836148421</v>
      </c>
      <c r="N12" s="221">
        <f t="shared" si="6"/>
        <v>266.59043011824104</v>
      </c>
      <c r="O12" s="542">
        <f t="shared" si="7"/>
        <v>541.16858847972526</v>
      </c>
      <c r="P12" s="345">
        <f t="shared" ref="P12:P27" si="11">P11+1</f>
        <v>2</v>
      </c>
      <c r="Q12" s="79"/>
      <c r="R12" s="79"/>
    </row>
    <row r="13" spans="1:18" x14ac:dyDescent="0.35">
      <c r="A13" s="345">
        <f t="shared" si="8"/>
        <v>3</v>
      </c>
      <c r="B13" s="1487">
        <v>44639</v>
      </c>
      <c r="C13" s="539">
        <v>596</v>
      </c>
      <c r="D13" s="1869">
        <v>579</v>
      </c>
      <c r="E13" s="542">
        <f t="shared" si="0"/>
        <v>1175</v>
      </c>
      <c r="F13" s="225">
        <f t="shared" si="9"/>
        <v>0.9142458783832681</v>
      </c>
      <c r="G13" s="221">
        <f t="shared" si="10"/>
        <v>0.88816839527502056</v>
      </c>
      <c r="H13" s="540">
        <f t="shared" si="1"/>
        <v>1.8024142736582887</v>
      </c>
      <c r="I13" s="541">
        <f t="shared" si="2"/>
        <v>595.08575412161679</v>
      </c>
      <c r="J13" s="221">
        <f t="shared" si="3"/>
        <v>578.11183160472501</v>
      </c>
      <c r="K13" s="540">
        <f t="shared" si="4"/>
        <v>1173.1975857263419</v>
      </c>
      <c r="L13" s="644">
        <f>'ET Forecast Capital Additions'!$L13</f>
        <v>1</v>
      </c>
      <c r="M13" s="225">
        <f t="shared" si="5"/>
        <v>595.08575412161679</v>
      </c>
      <c r="N13" s="221">
        <f t="shared" si="6"/>
        <v>578.11183160472501</v>
      </c>
      <c r="O13" s="542">
        <f t="shared" si="7"/>
        <v>1173.1975857263419</v>
      </c>
      <c r="P13" s="345">
        <f t="shared" si="11"/>
        <v>3</v>
      </c>
      <c r="Q13" s="79"/>
      <c r="R13" s="79"/>
    </row>
    <row r="14" spans="1:18" ht="16" thickBot="1" x14ac:dyDescent="0.4">
      <c r="A14" s="345">
        <f t="shared" si="8"/>
        <v>4</v>
      </c>
      <c r="B14" s="1488">
        <v>44670</v>
      </c>
      <c r="C14" s="543">
        <v>80</v>
      </c>
      <c r="D14" s="583">
        <v>78</v>
      </c>
      <c r="E14" s="547">
        <f t="shared" si="0"/>
        <v>158</v>
      </c>
      <c r="F14" s="548">
        <f t="shared" si="9"/>
        <v>0.12271756756822391</v>
      </c>
      <c r="G14" s="546">
        <f t="shared" si="10"/>
        <v>0.11964962837901831</v>
      </c>
      <c r="H14" s="544">
        <f t="shared" si="1"/>
        <v>0.24236719594724221</v>
      </c>
      <c r="I14" s="545">
        <f t="shared" si="2"/>
        <v>79.87728243243177</v>
      </c>
      <c r="J14" s="546">
        <f t="shared" si="3"/>
        <v>77.880350371620978</v>
      </c>
      <c r="K14" s="544">
        <f t="shared" si="4"/>
        <v>157.75763280405275</v>
      </c>
      <c r="L14" s="645">
        <f>'ET Forecast Capital Additions'!$L14</f>
        <v>1</v>
      </c>
      <c r="M14" s="548">
        <f t="shared" si="5"/>
        <v>79.87728243243177</v>
      </c>
      <c r="N14" s="546">
        <f t="shared" si="6"/>
        <v>77.880350371620978</v>
      </c>
      <c r="O14" s="547">
        <f t="shared" si="7"/>
        <v>157.75763280405275</v>
      </c>
      <c r="P14" s="345">
        <f t="shared" si="11"/>
        <v>4</v>
      </c>
      <c r="Q14" s="79"/>
      <c r="R14" s="79"/>
    </row>
    <row r="15" spans="1:18" x14ac:dyDescent="0.35">
      <c r="A15" s="345">
        <f t="shared" si="8"/>
        <v>5</v>
      </c>
      <c r="B15" s="1487">
        <v>44700</v>
      </c>
      <c r="C15" s="584">
        <v>110</v>
      </c>
      <c r="D15" s="549">
        <v>107</v>
      </c>
      <c r="E15" s="553">
        <f t="shared" si="0"/>
        <v>217</v>
      </c>
      <c r="F15" s="554">
        <f t="shared" si="9"/>
        <v>0.16873665540630789</v>
      </c>
      <c r="G15" s="552">
        <f t="shared" si="10"/>
        <v>0.16413474662249949</v>
      </c>
      <c r="H15" s="550">
        <f t="shared" si="1"/>
        <v>0.33287140202880738</v>
      </c>
      <c r="I15" s="551">
        <f t="shared" si="2"/>
        <v>109.83126334459369</v>
      </c>
      <c r="J15" s="552">
        <f t="shared" si="3"/>
        <v>106.83586525337751</v>
      </c>
      <c r="K15" s="550">
        <f t="shared" si="4"/>
        <v>216.66712859797121</v>
      </c>
      <c r="L15" s="646">
        <f>'ET Forecast Capital Additions'!$L15</f>
        <v>1</v>
      </c>
      <c r="M15" s="554">
        <f t="shared" si="5"/>
        <v>109.83126334459369</v>
      </c>
      <c r="N15" s="552">
        <f t="shared" si="6"/>
        <v>106.83586525337751</v>
      </c>
      <c r="O15" s="553">
        <f t="shared" si="7"/>
        <v>216.66712859797121</v>
      </c>
      <c r="P15" s="345">
        <f t="shared" si="11"/>
        <v>5</v>
      </c>
      <c r="Q15" s="79"/>
      <c r="R15" s="79"/>
    </row>
    <row r="16" spans="1:18" x14ac:dyDescent="0.35">
      <c r="A16" s="345">
        <f t="shared" si="8"/>
        <v>6</v>
      </c>
      <c r="B16" s="1487">
        <v>44731</v>
      </c>
      <c r="C16" s="585">
        <v>169</v>
      </c>
      <c r="D16" s="1869">
        <v>164</v>
      </c>
      <c r="E16" s="555">
        <f t="shared" si="0"/>
        <v>333</v>
      </c>
      <c r="F16" s="72">
        <f t="shared" si="9"/>
        <v>0.25924086148787301</v>
      </c>
      <c r="G16" s="221">
        <f t="shared" si="10"/>
        <v>0.251571013514859</v>
      </c>
      <c r="H16" s="72">
        <f t="shared" si="1"/>
        <v>0.51081187500273195</v>
      </c>
      <c r="I16" s="586">
        <f t="shared" si="2"/>
        <v>168.74075913851212</v>
      </c>
      <c r="J16" s="221">
        <f t="shared" si="3"/>
        <v>163.74842898648515</v>
      </c>
      <c r="K16" s="72">
        <f t="shared" si="4"/>
        <v>332.48918812499727</v>
      </c>
      <c r="L16" s="644">
        <f>'ET Forecast Capital Additions'!$L16</f>
        <v>1</v>
      </c>
      <c r="M16" s="72">
        <f t="shared" si="5"/>
        <v>168.74075913851212</v>
      </c>
      <c r="N16" s="221">
        <f t="shared" si="6"/>
        <v>163.74842898648515</v>
      </c>
      <c r="O16" s="555">
        <f t="shared" si="7"/>
        <v>332.48918812499727</v>
      </c>
      <c r="P16" s="345">
        <f t="shared" si="11"/>
        <v>6</v>
      </c>
      <c r="Q16" s="79"/>
      <c r="R16" s="79"/>
    </row>
    <row r="17" spans="1:18" x14ac:dyDescent="0.35">
      <c r="A17" s="345">
        <f t="shared" si="8"/>
        <v>7</v>
      </c>
      <c r="B17" s="1487">
        <v>44761</v>
      </c>
      <c r="C17" s="539">
        <v>153</v>
      </c>
      <c r="D17" s="1869">
        <v>149</v>
      </c>
      <c r="E17" s="542">
        <f t="shared" si="0"/>
        <v>302</v>
      </c>
      <c r="F17" s="225">
        <f t="shared" si="9"/>
        <v>0.23469734797422823</v>
      </c>
      <c r="G17" s="221">
        <f t="shared" si="10"/>
        <v>0.22856146959581702</v>
      </c>
      <c r="H17" s="540">
        <f t="shared" si="1"/>
        <v>0.46325881757004528</v>
      </c>
      <c r="I17" s="541">
        <f t="shared" si="2"/>
        <v>152.76530265202578</v>
      </c>
      <c r="J17" s="221">
        <f t="shared" si="3"/>
        <v>148.7714385304042</v>
      </c>
      <c r="K17" s="540">
        <f t="shared" si="4"/>
        <v>301.53674118242998</v>
      </c>
      <c r="L17" s="644">
        <f>'ET Forecast Capital Additions'!$L17</f>
        <v>1</v>
      </c>
      <c r="M17" s="225">
        <f t="shared" si="5"/>
        <v>152.76530265202578</v>
      </c>
      <c r="N17" s="221">
        <f t="shared" si="6"/>
        <v>148.7714385304042</v>
      </c>
      <c r="O17" s="542">
        <f t="shared" si="7"/>
        <v>301.53674118242998</v>
      </c>
      <c r="P17" s="345">
        <f t="shared" si="11"/>
        <v>7</v>
      </c>
      <c r="Q17" s="79"/>
      <c r="R17" s="79"/>
    </row>
    <row r="18" spans="1:18" ht="16" thickBot="1" x14ac:dyDescent="0.4">
      <c r="A18" s="345">
        <f t="shared" si="8"/>
        <v>8</v>
      </c>
      <c r="B18" s="1488">
        <v>44792</v>
      </c>
      <c r="C18" s="543">
        <v>145</v>
      </c>
      <c r="D18" s="583">
        <v>140</v>
      </c>
      <c r="E18" s="547">
        <f t="shared" si="0"/>
        <v>285</v>
      </c>
      <c r="F18" s="548">
        <f t="shared" si="9"/>
        <v>0.22242559121740585</v>
      </c>
      <c r="G18" s="546">
        <f t="shared" si="10"/>
        <v>0.21475574324439184</v>
      </c>
      <c r="H18" s="544">
        <f t="shared" si="1"/>
        <v>0.43718133446179769</v>
      </c>
      <c r="I18" s="545">
        <f t="shared" si="2"/>
        <v>144.77757440878258</v>
      </c>
      <c r="J18" s="546">
        <f t="shared" si="3"/>
        <v>139.78524425675562</v>
      </c>
      <c r="K18" s="544">
        <f t="shared" si="4"/>
        <v>284.5628186655382</v>
      </c>
      <c r="L18" s="645">
        <f>'ET Forecast Capital Additions'!$L18</f>
        <v>1</v>
      </c>
      <c r="M18" s="548">
        <f t="shared" si="5"/>
        <v>144.77757440878258</v>
      </c>
      <c r="N18" s="546">
        <f t="shared" si="6"/>
        <v>139.78524425675562</v>
      </c>
      <c r="O18" s="547">
        <f t="shared" si="7"/>
        <v>284.5628186655382</v>
      </c>
      <c r="P18" s="345">
        <f t="shared" si="11"/>
        <v>8</v>
      </c>
      <c r="Q18" s="79"/>
      <c r="R18" s="79"/>
    </row>
    <row r="19" spans="1:18" x14ac:dyDescent="0.35">
      <c r="A19" s="345">
        <f t="shared" si="8"/>
        <v>9</v>
      </c>
      <c r="B19" s="1487">
        <v>44823</v>
      </c>
      <c r="C19" s="584">
        <v>245</v>
      </c>
      <c r="D19" s="549">
        <v>238</v>
      </c>
      <c r="E19" s="553">
        <f t="shared" si="0"/>
        <v>483</v>
      </c>
      <c r="F19" s="554">
        <f t="shared" si="9"/>
        <v>0.37582255067768572</v>
      </c>
      <c r="G19" s="552">
        <f t="shared" si="10"/>
        <v>0.36508476351546615</v>
      </c>
      <c r="H19" s="550">
        <f t="shared" si="1"/>
        <v>0.74090731419315192</v>
      </c>
      <c r="I19" s="551">
        <f t="shared" si="2"/>
        <v>244.6241774493223</v>
      </c>
      <c r="J19" s="552">
        <f t="shared" si="3"/>
        <v>237.63491523648455</v>
      </c>
      <c r="K19" s="550">
        <f t="shared" si="4"/>
        <v>482.25909268580688</v>
      </c>
      <c r="L19" s="646">
        <f>'ET Forecast Capital Additions'!$L19</f>
        <v>1</v>
      </c>
      <c r="M19" s="554">
        <f t="shared" si="5"/>
        <v>244.6241774493223</v>
      </c>
      <c r="N19" s="552">
        <f t="shared" si="6"/>
        <v>237.63491523648455</v>
      </c>
      <c r="O19" s="553">
        <f t="shared" si="7"/>
        <v>482.25909268580688</v>
      </c>
      <c r="P19" s="345">
        <f t="shared" si="11"/>
        <v>9</v>
      </c>
      <c r="Q19" s="79"/>
      <c r="R19" s="79"/>
    </row>
    <row r="20" spans="1:18" x14ac:dyDescent="0.35">
      <c r="A20" s="345">
        <f t="shared" si="8"/>
        <v>10</v>
      </c>
      <c r="B20" s="1487">
        <v>44853</v>
      </c>
      <c r="C20" s="539">
        <v>159</v>
      </c>
      <c r="D20" s="1869">
        <v>155</v>
      </c>
      <c r="E20" s="542">
        <f t="shared" si="0"/>
        <v>314</v>
      </c>
      <c r="F20" s="225">
        <f t="shared" si="9"/>
        <v>0.24390116554184502</v>
      </c>
      <c r="G20" s="221">
        <f t="shared" si="10"/>
        <v>0.23776528716343384</v>
      </c>
      <c r="H20" s="540">
        <f t="shared" si="1"/>
        <v>0.48166645270527886</v>
      </c>
      <c r="I20" s="541">
        <f t="shared" si="2"/>
        <v>158.75609883445816</v>
      </c>
      <c r="J20" s="221">
        <f t="shared" si="3"/>
        <v>154.76223471283657</v>
      </c>
      <c r="K20" s="540">
        <f t="shared" si="4"/>
        <v>313.51833354729473</v>
      </c>
      <c r="L20" s="644">
        <f>'ET Forecast Capital Additions'!$L20</f>
        <v>1</v>
      </c>
      <c r="M20" s="225">
        <f t="shared" si="5"/>
        <v>158.75609883445816</v>
      </c>
      <c r="N20" s="221">
        <f t="shared" si="6"/>
        <v>154.76223471283657</v>
      </c>
      <c r="O20" s="542">
        <f t="shared" si="7"/>
        <v>313.51833354729473</v>
      </c>
      <c r="P20" s="345">
        <f t="shared" si="11"/>
        <v>10</v>
      </c>
      <c r="Q20" s="79"/>
      <c r="R20" s="79"/>
    </row>
    <row r="21" spans="1:18" x14ac:dyDescent="0.35">
      <c r="A21" s="345">
        <f t="shared" si="8"/>
        <v>11</v>
      </c>
      <c r="B21" s="1487">
        <v>44884</v>
      </c>
      <c r="C21" s="539">
        <v>375</v>
      </c>
      <c r="D21" s="1869">
        <v>364</v>
      </c>
      <c r="E21" s="542">
        <f t="shared" si="0"/>
        <v>739</v>
      </c>
      <c r="F21" s="225">
        <f t="shared" si="9"/>
        <v>0.57523859797604959</v>
      </c>
      <c r="G21" s="221">
        <f t="shared" si="10"/>
        <v>0.55836493243541885</v>
      </c>
      <c r="H21" s="540">
        <f t="shared" si="1"/>
        <v>1.1336035304114684</v>
      </c>
      <c r="I21" s="541">
        <f t="shared" si="2"/>
        <v>374.42476140202393</v>
      </c>
      <c r="J21" s="221">
        <f t="shared" si="3"/>
        <v>363.44163506756456</v>
      </c>
      <c r="K21" s="540">
        <f t="shared" si="4"/>
        <v>737.86639646958849</v>
      </c>
      <c r="L21" s="644">
        <f>'ET Forecast Capital Additions'!$L21</f>
        <v>1</v>
      </c>
      <c r="M21" s="225">
        <f t="shared" si="5"/>
        <v>374.42476140202393</v>
      </c>
      <c r="N21" s="221">
        <f t="shared" si="6"/>
        <v>363.44163506756456</v>
      </c>
      <c r="O21" s="542">
        <f t="shared" si="7"/>
        <v>737.86639646958849</v>
      </c>
      <c r="P21" s="345">
        <f t="shared" si="11"/>
        <v>11</v>
      </c>
      <c r="Q21" s="79"/>
      <c r="R21" s="79"/>
    </row>
    <row r="22" spans="1:18" ht="16" thickBot="1" x14ac:dyDescent="0.4">
      <c r="A22" s="345">
        <f t="shared" si="8"/>
        <v>12</v>
      </c>
      <c r="B22" s="1487">
        <v>44914</v>
      </c>
      <c r="C22" s="587">
        <v>549</v>
      </c>
      <c r="D22" s="583">
        <v>533</v>
      </c>
      <c r="E22" s="588">
        <f t="shared" si="0"/>
        <v>1082</v>
      </c>
      <c r="F22" s="566">
        <f t="shared" si="9"/>
        <v>0.84214930743693661</v>
      </c>
      <c r="G22" s="546">
        <f t="shared" si="10"/>
        <v>0.8176057939232918</v>
      </c>
      <c r="H22" s="566">
        <f t="shared" si="1"/>
        <v>1.6597551013602283</v>
      </c>
      <c r="I22" s="589">
        <f t="shared" si="2"/>
        <v>548.1578506925631</v>
      </c>
      <c r="J22" s="546">
        <f t="shared" si="3"/>
        <v>532.18239420607676</v>
      </c>
      <c r="K22" s="566">
        <f t="shared" si="4"/>
        <v>1080.3402448986399</v>
      </c>
      <c r="L22" s="645">
        <f>'ET Forecast Capital Additions'!$L22</f>
        <v>1</v>
      </c>
      <c r="M22" s="566">
        <f t="shared" si="5"/>
        <v>548.1578506925631</v>
      </c>
      <c r="N22" s="546">
        <f t="shared" si="6"/>
        <v>532.18239420607676</v>
      </c>
      <c r="O22" s="588">
        <f t="shared" si="7"/>
        <v>1080.3402448986399</v>
      </c>
      <c r="P22" s="345">
        <f t="shared" si="11"/>
        <v>12</v>
      </c>
      <c r="Q22" s="79"/>
      <c r="R22" s="79"/>
    </row>
    <row r="23" spans="1:18" x14ac:dyDescent="0.35">
      <c r="A23" s="345">
        <f t="shared" si="8"/>
        <v>13</v>
      </c>
      <c r="B23" s="1489">
        <v>44945</v>
      </c>
      <c r="C23" s="584">
        <v>713</v>
      </c>
      <c r="D23" s="549">
        <v>692</v>
      </c>
      <c r="E23" s="553">
        <f t="shared" si="0"/>
        <v>1405</v>
      </c>
      <c r="F23" s="554">
        <f t="shared" si="9"/>
        <v>1.0937203209517956</v>
      </c>
      <c r="G23" s="552">
        <f t="shared" si="10"/>
        <v>1.0615069594651367</v>
      </c>
      <c r="H23" s="550">
        <f t="shared" si="1"/>
        <v>2.1552272804169323</v>
      </c>
      <c r="I23" s="551">
        <f t="shared" si="2"/>
        <v>711.90627967904823</v>
      </c>
      <c r="J23" s="552">
        <f t="shared" si="3"/>
        <v>690.93849304053481</v>
      </c>
      <c r="K23" s="550">
        <f t="shared" si="4"/>
        <v>1402.844772719583</v>
      </c>
      <c r="L23" s="646">
        <f>'ET Forecast Capital Additions'!$L23</f>
        <v>1</v>
      </c>
      <c r="M23" s="554">
        <f t="shared" si="5"/>
        <v>711.90627967904823</v>
      </c>
      <c r="N23" s="552">
        <f t="shared" si="6"/>
        <v>690.93849304053481</v>
      </c>
      <c r="O23" s="553">
        <f t="shared" si="7"/>
        <v>1402.844772719583</v>
      </c>
      <c r="P23" s="345">
        <f t="shared" si="11"/>
        <v>13</v>
      </c>
      <c r="Q23" s="79"/>
      <c r="R23" s="79"/>
    </row>
    <row r="24" spans="1:18" x14ac:dyDescent="0.35">
      <c r="A24" s="345">
        <f t="shared" si="8"/>
        <v>14</v>
      </c>
      <c r="B24" s="1487">
        <v>44976</v>
      </c>
      <c r="C24" s="539">
        <v>298</v>
      </c>
      <c r="D24" s="1869">
        <v>289</v>
      </c>
      <c r="E24" s="542">
        <f t="shared" si="0"/>
        <v>587</v>
      </c>
      <c r="F24" s="225">
        <f t="shared" si="9"/>
        <v>0.45712293919163405</v>
      </c>
      <c r="G24" s="221">
        <f t="shared" si="10"/>
        <v>0.44331721284020886</v>
      </c>
      <c r="H24" s="540">
        <f t="shared" si="1"/>
        <v>0.90044015203184291</v>
      </c>
      <c r="I24" s="541">
        <f t="shared" si="2"/>
        <v>297.54287706080839</v>
      </c>
      <c r="J24" s="221">
        <f t="shared" si="3"/>
        <v>288.55668278715979</v>
      </c>
      <c r="K24" s="540">
        <f t="shared" si="4"/>
        <v>586.09955984796818</v>
      </c>
      <c r="L24" s="644">
        <f>'ET Forecast Capital Additions'!$L24</f>
        <v>0.91666666666666663</v>
      </c>
      <c r="M24" s="225">
        <f t="shared" si="5"/>
        <v>272.74763730574102</v>
      </c>
      <c r="N24" s="221">
        <f t="shared" si="6"/>
        <v>264.51029255489647</v>
      </c>
      <c r="O24" s="542">
        <f t="shared" si="7"/>
        <v>537.25792986063743</v>
      </c>
      <c r="P24" s="345">
        <f t="shared" si="11"/>
        <v>14</v>
      </c>
      <c r="Q24" s="79"/>
      <c r="R24" s="1125"/>
    </row>
    <row r="25" spans="1:18" x14ac:dyDescent="0.35">
      <c r="A25" s="345">
        <f t="shared" si="8"/>
        <v>15</v>
      </c>
      <c r="B25" s="1487">
        <v>45004</v>
      </c>
      <c r="C25" s="539">
        <v>335</v>
      </c>
      <c r="D25" s="1869">
        <v>325</v>
      </c>
      <c r="E25" s="542">
        <f t="shared" si="0"/>
        <v>660</v>
      </c>
      <c r="F25" s="225">
        <f t="shared" si="9"/>
        <v>0.51387981419193762</v>
      </c>
      <c r="G25" s="221">
        <f t="shared" si="10"/>
        <v>0.49854011824590966</v>
      </c>
      <c r="H25" s="540">
        <f t="shared" si="1"/>
        <v>1.0124199324378473</v>
      </c>
      <c r="I25" s="541">
        <f t="shared" si="2"/>
        <v>334.48612018580809</v>
      </c>
      <c r="J25" s="221">
        <f t="shared" si="3"/>
        <v>324.5014598817541</v>
      </c>
      <c r="K25" s="540">
        <f t="shared" si="4"/>
        <v>658.98758006756225</v>
      </c>
      <c r="L25" s="644">
        <f>'ET Forecast Capital Additions'!$L25</f>
        <v>0.83333333333333337</v>
      </c>
      <c r="M25" s="225">
        <f t="shared" si="5"/>
        <v>278.73843348817343</v>
      </c>
      <c r="N25" s="221">
        <f t="shared" si="6"/>
        <v>270.41788323479511</v>
      </c>
      <c r="O25" s="542">
        <f t="shared" si="7"/>
        <v>549.15631672296854</v>
      </c>
      <c r="P25" s="345">
        <f t="shared" si="11"/>
        <v>15</v>
      </c>
      <c r="Q25" s="79"/>
      <c r="R25" s="1125"/>
    </row>
    <row r="26" spans="1:18" ht="16" thickBot="1" x14ac:dyDescent="0.4">
      <c r="A26" s="345">
        <f t="shared" si="8"/>
        <v>16</v>
      </c>
      <c r="B26" s="1488">
        <v>45035</v>
      </c>
      <c r="C26" s="543">
        <v>107</v>
      </c>
      <c r="D26" s="583">
        <v>104</v>
      </c>
      <c r="E26" s="547">
        <f t="shared" si="0"/>
        <v>211</v>
      </c>
      <c r="F26" s="548">
        <f t="shared" si="9"/>
        <v>0.16413474662249949</v>
      </c>
      <c r="G26" s="546">
        <f t="shared" si="10"/>
        <v>0.1595328378386911</v>
      </c>
      <c r="H26" s="544">
        <f t="shared" ref="H26" si="12">F26+G26</f>
        <v>0.32366758446119059</v>
      </c>
      <c r="I26" s="545">
        <f t="shared" si="2"/>
        <v>106.83586525337751</v>
      </c>
      <c r="J26" s="546">
        <f t="shared" si="3"/>
        <v>103.8404671621613</v>
      </c>
      <c r="K26" s="544">
        <f t="shared" si="4"/>
        <v>210.67633241553881</v>
      </c>
      <c r="L26" s="645">
        <f>'ET Forecast Capital Additions'!$L26</f>
        <v>0.75</v>
      </c>
      <c r="M26" s="548">
        <f t="shared" si="5"/>
        <v>80.126898940033129</v>
      </c>
      <c r="N26" s="546">
        <f t="shared" si="6"/>
        <v>77.880350371620978</v>
      </c>
      <c r="O26" s="547">
        <f t="shared" si="7"/>
        <v>158.00724931165411</v>
      </c>
      <c r="P26" s="345">
        <f t="shared" si="11"/>
        <v>16</v>
      </c>
      <c r="Q26" s="79"/>
      <c r="R26" s="1125"/>
    </row>
    <row r="27" spans="1:18" x14ac:dyDescent="0.35">
      <c r="A27" s="345">
        <f t="shared" si="8"/>
        <v>17</v>
      </c>
      <c r="B27" s="1487">
        <v>45065</v>
      </c>
      <c r="C27" s="584">
        <v>241</v>
      </c>
      <c r="D27" s="549">
        <v>234</v>
      </c>
      <c r="E27" s="553">
        <f t="shared" si="0"/>
        <v>475</v>
      </c>
      <c r="F27" s="554">
        <f t="shared" si="9"/>
        <v>0.36968667229927454</v>
      </c>
      <c r="G27" s="552">
        <f t="shared" si="10"/>
        <v>0.35894888513705492</v>
      </c>
      <c r="H27" s="550">
        <f t="shared" ref="H27:H34" si="13">F27+G27</f>
        <v>0.72863555743632946</v>
      </c>
      <c r="I27" s="551">
        <f t="shared" si="2"/>
        <v>240.63031332770072</v>
      </c>
      <c r="J27" s="552">
        <f t="shared" si="3"/>
        <v>233.64105111486293</v>
      </c>
      <c r="K27" s="550">
        <f t="shared" si="4"/>
        <v>474.27136444256365</v>
      </c>
      <c r="L27" s="646">
        <f>'ET Forecast Capital Additions'!$L27</f>
        <v>0.66666666666666663</v>
      </c>
      <c r="M27" s="554">
        <f t="shared" si="5"/>
        <v>160.4202088851338</v>
      </c>
      <c r="N27" s="552">
        <f t="shared" si="6"/>
        <v>155.76070074324196</v>
      </c>
      <c r="O27" s="553">
        <f t="shared" si="7"/>
        <v>316.18090962837573</v>
      </c>
      <c r="P27" s="345">
        <f t="shared" si="11"/>
        <v>17</v>
      </c>
      <c r="Q27" s="79"/>
      <c r="R27" s="1125"/>
    </row>
    <row r="28" spans="1:18" x14ac:dyDescent="0.35">
      <c r="A28" s="345">
        <f t="shared" si="8"/>
        <v>18</v>
      </c>
      <c r="B28" s="1487">
        <v>45096</v>
      </c>
      <c r="C28" s="539">
        <v>295</v>
      </c>
      <c r="D28" s="1869">
        <v>286</v>
      </c>
      <c r="E28" s="542">
        <f t="shared" si="0"/>
        <v>581</v>
      </c>
      <c r="F28" s="225">
        <f t="shared" si="9"/>
        <v>0.45252103040782565</v>
      </c>
      <c r="G28" s="221">
        <f t="shared" si="10"/>
        <v>0.43871530405640047</v>
      </c>
      <c r="H28" s="540">
        <f t="shared" si="13"/>
        <v>0.89123633446422612</v>
      </c>
      <c r="I28" s="541">
        <f t="shared" si="2"/>
        <v>294.54747896959219</v>
      </c>
      <c r="J28" s="221">
        <f t="shared" si="3"/>
        <v>285.56128469594358</v>
      </c>
      <c r="K28" s="540">
        <f t="shared" si="4"/>
        <v>580.10876366553578</v>
      </c>
      <c r="L28" s="644">
        <f>'ET Forecast Capital Additions'!$L28</f>
        <v>0.58333333333333337</v>
      </c>
      <c r="M28" s="225">
        <f t="shared" si="5"/>
        <v>171.81936273226214</v>
      </c>
      <c r="N28" s="221">
        <f t="shared" si="6"/>
        <v>166.57741607263378</v>
      </c>
      <c r="O28" s="542">
        <f t="shared" si="7"/>
        <v>338.39677880489592</v>
      </c>
      <c r="P28" s="345">
        <f t="shared" ref="P28:P35" si="14">P27+1</f>
        <v>18</v>
      </c>
      <c r="Q28" s="79"/>
      <c r="R28" s="1125"/>
    </row>
    <row r="29" spans="1:18" x14ac:dyDescent="0.35">
      <c r="A29" s="345">
        <f t="shared" si="8"/>
        <v>19</v>
      </c>
      <c r="B29" s="1487">
        <v>45126</v>
      </c>
      <c r="C29" s="539">
        <v>207</v>
      </c>
      <c r="D29" s="1869">
        <v>201</v>
      </c>
      <c r="E29" s="542">
        <f t="shared" si="0"/>
        <v>408</v>
      </c>
      <c r="F29" s="225">
        <f t="shared" si="9"/>
        <v>0.31753170608277936</v>
      </c>
      <c r="G29" s="221">
        <f t="shared" si="10"/>
        <v>0.30832788851516257</v>
      </c>
      <c r="H29" s="540">
        <f t="shared" si="13"/>
        <v>0.62585959459794194</v>
      </c>
      <c r="I29" s="541">
        <f t="shared" si="2"/>
        <v>206.68246829391722</v>
      </c>
      <c r="J29" s="221">
        <f t="shared" si="3"/>
        <v>200.69167211148485</v>
      </c>
      <c r="K29" s="540">
        <f t="shared" si="4"/>
        <v>407.37414040540204</v>
      </c>
      <c r="L29" s="644">
        <f>'ET Forecast Capital Additions'!$L29</f>
        <v>0.5</v>
      </c>
      <c r="M29" s="225">
        <f t="shared" si="5"/>
        <v>103.34123414695861</v>
      </c>
      <c r="N29" s="221">
        <f t="shared" si="6"/>
        <v>100.34583605574242</v>
      </c>
      <c r="O29" s="542">
        <f t="shared" si="7"/>
        <v>203.68707020270102</v>
      </c>
      <c r="P29" s="345">
        <f t="shared" si="14"/>
        <v>19</v>
      </c>
      <c r="Q29" s="79"/>
      <c r="R29" s="1125"/>
    </row>
    <row r="30" spans="1:18" ht="16" thickBot="1" x14ac:dyDescent="0.4">
      <c r="A30" s="345">
        <f t="shared" si="8"/>
        <v>20</v>
      </c>
      <c r="B30" s="1488">
        <v>45157</v>
      </c>
      <c r="C30" s="543">
        <v>167</v>
      </c>
      <c r="D30" s="583">
        <v>162</v>
      </c>
      <c r="E30" s="547">
        <f t="shared" si="0"/>
        <v>329</v>
      </c>
      <c r="F30" s="548">
        <f t="shared" si="9"/>
        <v>0.25617292229866739</v>
      </c>
      <c r="G30" s="546">
        <f t="shared" si="10"/>
        <v>0.24850307432565341</v>
      </c>
      <c r="H30" s="544">
        <f t="shared" si="13"/>
        <v>0.50467599662432083</v>
      </c>
      <c r="I30" s="545">
        <f t="shared" si="2"/>
        <v>166.74382707770133</v>
      </c>
      <c r="J30" s="546">
        <f t="shared" si="3"/>
        <v>161.75149692567436</v>
      </c>
      <c r="K30" s="544">
        <f t="shared" si="4"/>
        <v>328.49532400337569</v>
      </c>
      <c r="L30" s="645">
        <f>'ET Forecast Capital Additions'!$L30</f>
        <v>0.41666666666666669</v>
      </c>
      <c r="M30" s="548">
        <f t="shared" si="5"/>
        <v>69.476594615708891</v>
      </c>
      <c r="N30" s="546">
        <f t="shared" si="6"/>
        <v>67.396457052364326</v>
      </c>
      <c r="O30" s="547">
        <f t="shared" si="7"/>
        <v>136.87305166807323</v>
      </c>
      <c r="P30" s="345">
        <f t="shared" si="14"/>
        <v>20</v>
      </c>
      <c r="Q30" s="79"/>
      <c r="R30" s="1125"/>
    </row>
    <row r="31" spans="1:18" x14ac:dyDescent="0.35">
      <c r="A31" s="345">
        <f t="shared" si="8"/>
        <v>21</v>
      </c>
      <c r="B31" s="1487">
        <v>45188</v>
      </c>
      <c r="C31" s="539">
        <v>174</v>
      </c>
      <c r="D31" s="1869">
        <v>169</v>
      </c>
      <c r="E31" s="542">
        <f t="shared" si="0"/>
        <v>343</v>
      </c>
      <c r="F31" s="225">
        <f t="shared" si="9"/>
        <v>0.26691070946088702</v>
      </c>
      <c r="G31" s="221">
        <f t="shared" si="10"/>
        <v>0.25924086148787301</v>
      </c>
      <c r="H31" s="540">
        <f t="shared" si="13"/>
        <v>0.52615157094876008</v>
      </c>
      <c r="I31" s="541">
        <f t="shared" si="2"/>
        <v>173.73308929053911</v>
      </c>
      <c r="J31" s="221">
        <f t="shared" si="3"/>
        <v>168.74075913851212</v>
      </c>
      <c r="K31" s="540">
        <f t="shared" si="4"/>
        <v>342.47384842905126</v>
      </c>
      <c r="L31" s="646">
        <f>'ET Forecast Capital Additions'!$L31</f>
        <v>0.33333333333333331</v>
      </c>
      <c r="M31" s="225">
        <f t="shared" si="5"/>
        <v>57.911029763513035</v>
      </c>
      <c r="N31" s="221">
        <f t="shared" si="6"/>
        <v>56.246919712837368</v>
      </c>
      <c r="O31" s="542">
        <f t="shared" si="7"/>
        <v>114.15794947635041</v>
      </c>
      <c r="P31" s="345">
        <f t="shared" si="14"/>
        <v>21</v>
      </c>
      <c r="Q31" s="79"/>
      <c r="R31" s="1125"/>
    </row>
    <row r="32" spans="1:18" x14ac:dyDescent="0.35">
      <c r="A32" s="345">
        <f t="shared" si="8"/>
        <v>22</v>
      </c>
      <c r="B32" s="1487">
        <v>45218</v>
      </c>
      <c r="C32" s="539">
        <v>188</v>
      </c>
      <c r="D32" s="1869">
        <v>183</v>
      </c>
      <c r="E32" s="542">
        <f t="shared" si="0"/>
        <v>371</v>
      </c>
      <c r="F32" s="225">
        <f t="shared" si="9"/>
        <v>0.28838628378532621</v>
      </c>
      <c r="G32" s="221">
        <f t="shared" si="10"/>
        <v>0.2807164358123122</v>
      </c>
      <c r="H32" s="540">
        <f t="shared" si="13"/>
        <v>0.56910271959763836</v>
      </c>
      <c r="I32" s="541">
        <f t="shared" si="2"/>
        <v>187.71161371621469</v>
      </c>
      <c r="J32" s="221">
        <f t="shared" si="3"/>
        <v>182.71928356418769</v>
      </c>
      <c r="K32" s="540">
        <f t="shared" si="4"/>
        <v>370.43089728040241</v>
      </c>
      <c r="L32" s="644">
        <f>'ET Forecast Capital Additions'!$L32</f>
        <v>0.25</v>
      </c>
      <c r="M32" s="225">
        <f t="shared" si="5"/>
        <v>46.927903429053671</v>
      </c>
      <c r="N32" s="221">
        <f t="shared" si="6"/>
        <v>45.679820891046923</v>
      </c>
      <c r="O32" s="542">
        <f t="shared" si="7"/>
        <v>92.607724320100601</v>
      </c>
      <c r="P32" s="345">
        <f t="shared" si="14"/>
        <v>22</v>
      </c>
      <c r="Q32" s="79"/>
      <c r="R32" s="1125"/>
    </row>
    <row r="33" spans="1:18" x14ac:dyDescent="0.35">
      <c r="A33" s="345">
        <f t="shared" si="8"/>
        <v>23</v>
      </c>
      <c r="B33" s="1487">
        <v>45249</v>
      </c>
      <c r="C33" s="539">
        <v>205</v>
      </c>
      <c r="D33" s="1869">
        <v>199</v>
      </c>
      <c r="E33" s="542">
        <f t="shared" si="0"/>
        <v>404</v>
      </c>
      <c r="F33" s="225">
        <f t="shared" si="9"/>
        <v>0.31446376689357375</v>
      </c>
      <c r="G33" s="221">
        <f t="shared" si="10"/>
        <v>0.30525994932595696</v>
      </c>
      <c r="H33" s="540">
        <f t="shared" si="13"/>
        <v>0.61972371621953071</v>
      </c>
      <c r="I33" s="541">
        <f t="shared" si="2"/>
        <v>204.68553623310643</v>
      </c>
      <c r="J33" s="221">
        <f t="shared" si="3"/>
        <v>198.69474005067406</v>
      </c>
      <c r="K33" s="540">
        <f t="shared" si="4"/>
        <v>403.38027628378052</v>
      </c>
      <c r="L33" s="644">
        <f>'ET Forecast Capital Additions'!$L33</f>
        <v>0.16666666666666666</v>
      </c>
      <c r="M33" s="225">
        <f t="shared" si="5"/>
        <v>34.114256038851067</v>
      </c>
      <c r="N33" s="221">
        <f t="shared" si="6"/>
        <v>33.115790008445671</v>
      </c>
      <c r="O33" s="542">
        <f t="shared" si="7"/>
        <v>67.230046047296739</v>
      </c>
      <c r="P33" s="345">
        <f t="shared" si="14"/>
        <v>23</v>
      </c>
      <c r="Q33" s="79"/>
      <c r="R33" s="1125"/>
    </row>
    <row r="34" spans="1:18" ht="16" thickBot="1" x14ac:dyDescent="0.4">
      <c r="A34" s="345">
        <f t="shared" si="8"/>
        <v>24</v>
      </c>
      <c r="B34" s="1487">
        <v>45279</v>
      </c>
      <c r="C34" s="539">
        <v>504</v>
      </c>
      <c r="D34" s="1869">
        <v>490</v>
      </c>
      <c r="E34" s="542">
        <f t="shared" si="0"/>
        <v>994</v>
      </c>
      <c r="F34" s="225">
        <f t="shared" si="9"/>
        <v>0.77312067567981069</v>
      </c>
      <c r="G34" s="221">
        <f t="shared" si="10"/>
        <v>0.75164510135537144</v>
      </c>
      <c r="H34" s="540">
        <f t="shared" si="13"/>
        <v>1.5247657770351821</v>
      </c>
      <c r="I34" s="541">
        <f t="shared" si="2"/>
        <v>503.22687932432018</v>
      </c>
      <c r="J34" s="221">
        <f t="shared" si="3"/>
        <v>489.24835489864461</v>
      </c>
      <c r="K34" s="540">
        <f t="shared" si="4"/>
        <v>992.47523422296479</v>
      </c>
      <c r="L34" s="644">
        <f>'ET Forecast Capital Additions'!$L34</f>
        <v>8.3333333333333329E-2</v>
      </c>
      <c r="M34" s="225">
        <f t="shared" si="5"/>
        <v>41.935573277026677</v>
      </c>
      <c r="N34" s="221">
        <f t="shared" si="6"/>
        <v>40.770696241553715</v>
      </c>
      <c r="O34" s="542">
        <f t="shared" si="7"/>
        <v>82.706269518580399</v>
      </c>
      <c r="P34" s="345">
        <f t="shared" si="14"/>
        <v>24</v>
      </c>
      <c r="Q34" s="79"/>
      <c r="R34" s="1125"/>
    </row>
    <row r="35" spans="1:18" ht="16" thickBot="1" x14ac:dyDescent="0.4">
      <c r="A35" s="345">
        <f t="shared" si="8"/>
        <v>25</v>
      </c>
      <c r="B35" s="1490" t="s">
        <v>31</v>
      </c>
      <c r="C35" s="556">
        <f t="shared" ref="C35:K35" si="15">SUM(C11:C34)</f>
        <v>6490</v>
      </c>
      <c r="D35" s="557">
        <f t="shared" si="15"/>
        <v>6302</v>
      </c>
      <c r="E35" s="559">
        <f t="shared" si="15"/>
        <v>12792</v>
      </c>
      <c r="F35" s="560">
        <f t="shared" si="15"/>
        <v>9.9554626689721655</v>
      </c>
      <c r="G35" s="557">
        <f t="shared" si="15"/>
        <v>9.6670763851868404</v>
      </c>
      <c r="H35" s="558">
        <f t="shared" si="15"/>
        <v>19.622539054159002</v>
      </c>
      <c r="I35" s="556">
        <f t="shared" si="15"/>
        <v>6480.0445373310267</v>
      </c>
      <c r="J35" s="557">
        <f t="shared" si="15"/>
        <v>6292.3329236148147</v>
      </c>
      <c r="K35" s="558">
        <f t="shared" si="15"/>
        <v>12772.377460945841</v>
      </c>
      <c r="L35" s="590"/>
      <c r="M35" s="560">
        <f>SUM(M11:M34)</f>
        <v>5080.7776012203967</v>
      </c>
      <c r="N35" s="557">
        <f>SUM(N11:N34)</f>
        <v>4933.0878342229325</v>
      </c>
      <c r="O35" s="559">
        <f>SUM(O11:O34)</f>
        <v>10013.865435443329</v>
      </c>
      <c r="P35" s="345">
        <f t="shared" si="14"/>
        <v>25</v>
      </c>
      <c r="Q35" s="79"/>
      <c r="R35" s="79"/>
    </row>
    <row r="36" spans="1:18" x14ac:dyDescent="0.35">
      <c r="A36" s="345">
        <f>A35+1</f>
        <v>26</v>
      </c>
      <c r="B36" s="1445"/>
      <c r="C36" s="1520"/>
      <c r="D36" s="1520"/>
      <c r="E36" s="1521"/>
      <c r="F36" s="81"/>
      <c r="G36" s="81"/>
      <c r="H36" s="820"/>
      <c r="I36" s="81"/>
      <c r="J36" s="81"/>
      <c r="K36" s="512"/>
      <c r="L36" s="345"/>
      <c r="M36" s="81"/>
      <c r="N36" s="81"/>
      <c r="O36" s="562"/>
      <c r="P36" s="345">
        <f>P35+1</f>
        <v>26</v>
      </c>
      <c r="Q36" s="79"/>
      <c r="R36" s="79"/>
    </row>
    <row r="37" spans="1:18" s="1086" customFormat="1" x14ac:dyDescent="0.35">
      <c r="A37" s="345">
        <f>A36+1</f>
        <v>27</v>
      </c>
      <c r="B37" s="1492"/>
      <c r="C37" s="1493"/>
      <c r="D37" s="1493"/>
      <c r="E37" s="1494" t="s">
        <v>649</v>
      </c>
      <c r="F37" s="1495"/>
      <c r="G37" s="1495"/>
      <c r="H37" s="591">
        <f>'ET Forecast Capital Additions'!H37</f>
        <v>11467.787</v>
      </c>
      <c r="I37" s="564"/>
      <c r="J37" s="81" t="str">
        <f>'ET Forecast Capital Additions'!J37</f>
        <v>Form 1; Page 204-207; Line 58; Col. d</v>
      </c>
      <c r="K37" s="564"/>
      <c r="L37" s="1522"/>
      <c r="M37" s="1493"/>
      <c r="N37" s="1493"/>
      <c r="O37" s="1496"/>
      <c r="P37" s="345">
        <f t="shared" ref="P37:P42" si="16">P36+1</f>
        <v>27</v>
      </c>
      <c r="Q37" s="79"/>
      <c r="R37" s="1497"/>
    </row>
    <row r="38" spans="1:18" s="1086" customFormat="1" x14ac:dyDescent="0.35">
      <c r="A38" s="345">
        <f>A37+1</f>
        <v>28</v>
      </c>
      <c r="B38" s="1492"/>
      <c r="C38" s="1493"/>
      <c r="D38" s="1493"/>
      <c r="E38" s="1494"/>
      <c r="F38" s="1495"/>
      <c r="G38" s="1495"/>
      <c r="H38" s="72"/>
      <c r="I38" s="564"/>
      <c r="J38" s="81"/>
      <c r="K38" s="564"/>
      <c r="L38" s="1522"/>
      <c r="M38" s="1493"/>
      <c r="N38" s="1493"/>
      <c r="O38" s="1496"/>
      <c r="P38" s="345">
        <f t="shared" si="16"/>
        <v>28</v>
      </c>
      <c r="Q38" s="79"/>
      <c r="R38" s="1497"/>
    </row>
    <row r="39" spans="1:18" s="1086" customFormat="1" x14ac:dyDescent="0.35">
      <c r="A39" s="345">
        <f t="shared" ref="A39:A40" si="17">A38+1</f>
        <v>29</v>
      </c>
      <c r="B39" s="1492"/>
      <c r="C39" s="1493"/>
      <c r="D39" s="1493"/>
      <c r="E39" s="1494" t="s">
        <v>650</v>
      </c>
      <c r="F39" s="1495"/>
      <c r="G39" s="1495"/>
      <c r="H39" s="592">
        <f>'ET Forecast Capital Additions'!H39</f>
        <v>7475889.3789999997</v>
      </c>
      <c r="I39" s="564"/>
      <c r="J39" s="81" t="str">
        <f>'ET Forecast Capital Additions'!J39</f>
        <v>Form 1; Page 204-207; Line 58; Col. g</v>
      </c>
      <c r="K39" s="564"/>
      <c r="L39" s="1522"/>
      <c r="M39" s="1493"/>
      <c r="N39" s="1493"/>
      <c r="O39" s="1496"/>
      <c r="P39" s="345">
        <f t="shared" si="16"/>
        <v>29</v>
      </c>
      <c r="Q39" s="79"/>
      <c r="R39" s="1497"/>
    </row>
    <row r="40" spans="1:18" s="1086" customFormat="1" ht="16" thickBot="1" x14ac:dyDescent="0.4">
      <c r="A40" s="345">
        <f t="shared" si="17"/>
        <v>30</v>
      </c>
      <c r="B40" s="1492"/>
      <c r="C40" s="1493"/>
      <c r="D40" s="1493"/>
      <c r="E40" s="1495"/>
      <c r="F40" s="1495"/>
      <c r="G40" s="1495"/>
      <c r="H40" s="564"/>
      <c r="I40" s="564"/>
      <c r="J40" s="564"/>
      <c r="K40" s="564"/>
      <c r="L40" s="1522"/>
      <c r="M40" s="1493"/>
      <c r="N40" s="1493"/>
      <c r="O40" s="1496"/>
      <c r="P40" s="345">
        <f t="shared" si="16"/>
        <v>30</v>
      </c>
      <c r="Q40" s="1497"/>
      <c r="R40" s="1497"/>
    </row>
    <row r="41" spans="1:18" ht="16" thickBot="1" x14ac:dyDescent="0.4">
      <c r="A41" s="345">
        <f>A40+1</f>
        <v>31</v>
      </c>
      <c r="B41" s="1445"/>
      <c r="C41" s="81"/>
      <c r="D41" s="81"/>
      <c r="E41" s="109" t="s">
        <v>699</v>
      </c>
      <c r="F41" s="81"/>
      <c r="G41" s="81"/>
      <c r="H41" s="565">
        <f>H37/H39</f>
        <v>1.5339695946027989E-3</v>
      </c>
      <c r="I41" s="1498"/>
      <c r="J41" s="81" t="s">
        <v>1207</v>
      </c>
      <c r="K41" s="1498"/>
      <c r="L41" s="345"/>
      <c r="M41" s="81"/>
      <c r="N41" s="81"/>
      <c r="O41" s="1499"/>
      <c r="P41" s="345">
        <f t="shared" si="16"/>
        <v>31</v>
      </c>
      <c r="Q41" s="79"/>
      <c r="R41" s="79"/>
    </row>
    <row r="42" spans="1:18" ht="16" thickBot="1" x14ac:dyDescent="0.4">
      <c r="A42" s="345">
        <f t="shared" si="8"/>
        <v>32</v>
      </c>
      <c r="B42" s="1500"/>
      <c r="C42" s="366"/>
      <c r="D42" s="366"/>
      <c r="E42" s="366"/>
      <c r="F42" s="366"/>
      <c r="G42" s="366"/>
      <c r="H42" s="366"/>
      <c r="I42" s="366"/>
      <c r="J42" s="366"/>
      <c r="K42" s="366"/>
      <c r="L42" s="1523"/>
      <c r="M42" s="366"/>
      <c r="N42" s="366"/>
      <c r="O42" s="568"/>
      <c r="P42" s="345">
        <f t="shared" si="16"/>
        <v>32</v>
      </c>
      <c r="Q42" s="1497"/>
      <c r="R42" s="79"/>
    </row>
    <row r="43" spans="1:18" ht="16" thickBot="1" x14ac:dyDescent="0.4">
      <c r="A43" s="345">
        <f t="shared" si="8"/>
        <v>33</v>
      </c>
      <c r="B43" s="1524"/>
      <c r="C43" s="1525"/>
      <c r="D43" s="1525"/>
      <c r="E43" s="1525"/>
      <c r="F43" s="1525"/>
      <c r="G43" s="1525"/>
      <c r="H43" s="1525"/>
      <c r="I43" s="1525"/>
      <c r="J43" s="1525"/>
      <c r="K43" s="1525"/>
      <c r="L43" s="1526"/>
      <c r="M43" s="1525"/>
      <c r="N43" s="1525"/>
      <c r="O43" s="1527"/>
      <c r="P43" s="345">
        <f t="shared" ref="P43:P49" si="18">P42+1</f>
        <v>33</v>
      </c>
      <c r="Q43" s="1497"/>
      <c r="R43" s="79"/>
    </row>
    <row r="44" spans="1:18" ht="16" thickBot="1" x14ac:dyDescent="0.4">
      <c r="A44" s="345">
        <f t="shared" si="8"/>
        <v>34</v>
      </c>
      <c r="B44" s="1503"/>
      <c r="C44" s="81"/>
      <c r="D44" s="1226"/>
      <c r="E44" s="81"/>
      <c r="F44" s="81"/>
      <c r="G44" s="1219"/>
      <c r="H44" s="1516" t="s">
        <v>537</v>
      </c>
      <c r="I44" s="1507" t="s">
        <v>700</v>
      </c>
      <c r="J44" s="1508" t="s">
        <v>701</v>
      </c>
      <c r="K44" s="1508" t="s">
        <v>531</v>
      </c>
      <c r="L44" s="595"/>
      <c r="M44" s="1507" t="s">
        <v>532</v>
      </c>
      <c r="N44" s="1507" t="s">
        <v>533</v>
      </c>
      <c r="O44" s="1507" t="s">
        <v>534</v>
      </c>
      <c r="P44" s="345">
        <f t="shared" si="18"/>
        <v>34</v>
      </c>
      <c r="Q44" s="1497"/>
      <c r="R44" s="79"/>
    </row>
    <row r="45" spans="1:18" ht="16" thickBot="1" x14ac:dyDescent="0.4">
      <c r="A45" s="345">
        <f t="shared" si="8"/>
        <v>35</v>
      </c>
      <c r="B45" s="1445"/>
      <c r="C45" s="81"/>
      <c r="D45" s="81"/>
      <c r="E45" s="81"/>
      <c r="F45" s="81"/>
      <c r="G45" s="1219"/>
      <c r="H45" s="1516" t="s">
        <v>538</v>
      </c>
      <c r="I45" s="569">
        <f>+I35</f>
        <v>6480.0445373310267</v>
      </c>
      <c r="J45" s="569">
        <f>+J35</f>
        <v>6292.3329236148147</v>
      </c>
      <c r="K45" s="569">
        <f>+K35</f>
        <v>12772.377460945841</v>
      </c>
      <c r="L45" s="593"/>
      <c r="M45" s="569">
        <f>+M35</f>
        <v>5080.7776012203967</v>
      </c>
      <c r="N45" s="569">
        <f>+N35</f>
        <v>4933.0878342229325</v>
      </c>
      <c r="O45" s="569">
        <f>+O35</f>
        <v>10013.865435443329</v>
      </c>
      <c r="P45" s="345">
        <f t="shared" si="18"/>
        <v>35</v>
      </c>
      <c r="Q45" s="79"/>
      <c r="R45" s="79"/>
    </row>
    <row r="46" spans="1:18" ht="16" thickTop="1" x14ac:dyDescent="0.35">
      <c r="A46" s="345">
        <f t="shared" si="8"/>
        <v>36</v>
      </c>
      <c r="B46" s="1445"/>
      <c r="C46" s="81"/>
      <c r="D46" s="81"/>
      <c r="E46" s="81"/>
      <c r="F46" s="81"/>
      <c r="G46" s="1219"/>
      <c r="H46" s="1219"/>
      <c r="I46" s="594">
        <v>0</v>
      </c>
      <c r="J46" s="594">
        <v>0</v>
      </c>
      <c r="K46" s="594">
        <v>0</v>
      </c>
      <c r="L46" s="595"/>
      <c r="M46" s="594">
        <v>0</v>
      </c>
      <c r="N46" s="594">
        <v>0</v>
      </c>
      <c r="O46" s="594">
        <v>0</v>
      </c>
      <c r="P46" s="345">
        <f t="shared" si="18"/>
        <v>36</v>
      </c>
      <c r="Q46" s="79"/>
      <c r="R46" s="79"/>
    </row>
    <row r="47" spans="1:18" ht="16" thickBot="1" x14ac:dyDescent="0.4">
      <c r="A47" s="345">
        <f>A46+1</f>
        <v>37</v>
      </c>
      <c r="B47" s="1445"/>
      <c r="C47" s="81"/>
      <c r="D47" s="81"/>
      <c r="E47" s="81"/>
      <c r="F47" s="81"/>
      <c r="G47" s="1219"/>
      <c r="H47" s="1516" t="s">
        <v>383</v>
      </c>
      <c r="I47" s="576">
        <f>+I45/K45</f>
        <v>0.50734834271419627</v>
      </c>
      <c r="J47" s="576">
        <f>+J45/K45</f>
        <v>0.49265165728580373</v>
      </c>
      <c r="K47" s="576">
        <f>I47+J47</f>
        <v>1</v>
      </c>
      <c r="L47" s="595"/>
      <c r="M47" s="576">
        <f>+M45/O45</f>
        <v>0.50737426361226745</v>
      </c>
      <c r="N47" s="576">
        <f>+N45/O45</f>
        <v>0.4926257363877326</v>
      </c>
      <c r="O47" s="576">
        <f>M47+N47</f>
        <v>1</v>
      </c>
      <c r="P47" s="345">
        <f>P46+1</f>
        <v>37</v>
      </c>
      <c r="Q47" s="79"/>
      <c r="R47" s="79"/>
    </row>
    <row r="48" spans="1:18" ht="16.5" thickTop="1" thickBot="1" x14ac:dyDescent="0.4">
      <c r="A48" s="345">
        <f t="shared" si="8"/>
        <v>38</v>
      </c>
      <c r="B48" s="1440"/>
      <c r="C48" s="81"/>
      <c r="D48" s="81"/>
      <c r="E48" s="81"/>
      <c r="F48" s="81"/>
      <c r="G48" s="81"/>
      <c r="H48" s="81"/>
      <c r="I48" s="580"/>
      <c r="J48" s="580"/>
      <c r="K48" s="580"/>
      <c r="L48" s="345"/>
      <c r="M48" s="1528"/>
      <c r="N48" s="1528"/>
      <c r="O48" s="1528"/>
      <c r="P48" s="345">
        <f t="shared" si="18"/>
        <v>38</v>
      </c>
      <c r="Q48" s="79"/>
      <c r="R48" s="79"/>
    </row>
    <row r="49" spans="1:18" ht="16" thickBot="1" x14ac:dyDescent="0.4">
      <c r="A49" s="345">
        <f t="shared" si="8"/>
        <v>39</v>
      </c>
      <c r="B49" s="1458"/>
      <c r="C49" s="366"/>
      <c r="D49" s="366"/>
      <c r="E49" s="366"/>
      <c r="F49" s="366"/>
      <c r="G49" s="366"/>
      <c r="H49" s="366"/>
      <c r="I49" s="366"/>
      <c r="J49" s="366"/>
      <c r="K49" s="366"/>
      <c r="L49" s="1523"/>
      <c r="M49" s="366"/>
      <c r="N49" s="366"/>
      <c r="O49" s="568"/>
      <c r="P49" s="345">
        <f t="shared" si="18"/>
        <v>39</v>
      </c>
      <c r="Q49" s="79"/>
      <c r="R49" s="79"/>
    </row>
    <row r="50" spans="1:18" x14ac:dyDescent="0.35">
      <c r="A50" s="345"/>
      <c r="B50" s="109"/>
      <c r="C50" s="81"/>
      <c r="D50" s="81"/>
      <c r="E50" s="81"/>
      <c r="F50" s="81"/>
      <c r="G50" s="81"/>
      <c r="H50" s="81"/>
      <c r="I50" s="81"/>
      <c r="J50" s="81"/>
      <c r="K50" s="81"/>
      <c r="L50" s="345"/>
      <c r="M50" s="81"/>
      <c r="N50" s="81"/>
      <c r="O50" s="81"/>
      <c r="P50" s="345"/>
      <c r="Q50" s="79"/>
      <c r="R50" s="79"/>
    </row>
    <row r="51" spans="1:18" x14ac:dyDescent="0.35">
      <c r="A51" s="345"/>
      <c r="B51" s="109"/>
      <c r="C51" s="81"/>
      <c r="D51" s="81"/>
      <c r="E51" s="81"/>
      <c r="F51" s="81"/>
      <c r="G51" s="81"/>
      <c r="H51" s="81"/>
      <c r="I51" s="81"/>
      <c r="J51" s="81"/>
      <c r="K51" s="81"/>
      <c r="L51" s="345"/>
      <c r="M51" s="81"/>
      <c r="N51" s="81"/>
      <c r="O51" s="81"/>
      <c r="P51" s="345"/>
      <c r="Q51" s="79"/>
      <c r="R51" s="79"/>
    </row>
    <row r="52" spans="1:18" ht="18" x14ac:dyDescent="0.35">
      <c r="A52" s="1517">
        <v>1</v>
      </c>
      <c r="B52" s="81" t="s">
        <v>1641</v>
      </c>
      <c r="C52" s="81"/>
      <c r="D52" s="81"/>
      <c r="E52" s="81"/>
      <c r="F52" s="81"/>
      <c r="G52" s="81"/>
      <c r="H52" s="81"/>
      <c r="I52" s="81"/>
      <c r="J52" s="81"/>
      <c r="K52" s="81"/>
      <c r="L52" s="345"/>
      <c r="M52" s="81"/>
      <c r="N52" s="81"/>
      <c r="O52" s="81"/>
      <c r="P52" s="345"/>
      <c r="Q52" s="79"/>
      <c r="R52" s="79"/>
    </row>
    <row r="53" spans="1:18" x14ac:dyDescent="0.35">
      <c r="A53" s="1563"/>
      <c r="B53" s="81"/>
      <c r="C53" s="81"/>
      <c r="D53" s="81"/>
      <c r="E53" s="81"/>
      <c r="F53" s="81"/>
      <c r="G53" s="81"/>
      <c r="H53" s="81"/>
      <c r="I53" s="81"/>
      <c r="J53" s="81"/>
      <c r="K53" s="81"/>
      <c r="L53" s="345"/>
      <c r="M53" s="81"/>
      <c r="N53" s="81"/>
      <c r="O53" s="81"/>
      <c r="P53" s="1563"/>
      <c r="Q53" s="79"/>
      <c r="R53" s="79"/>
    </row>
    <row r="54" spans="1:18" x14ac:dyDescent="0.35">
      <c r="A54" s="1563"/>
      <c r="B54" s="109"/>
      <c r="C54" s="81"/>
      <c r="D54" s="81"/>
      <c r="E54" s="81"/>
      <c r="F54" s="81"/>
      <c r="G54" s="81"/>
      <c r="H54" s="81"/>
      <c r="I54" s="81"/>
      <c r="J54" s="81"/>
      <c r="K54" s="81"/>
      <c r="L54" s="345"/>
      <c r="M54" s="81"/>
      <c r="N54" s="81"/>
      <c r="O54" s="81"/>
      <c r="P54" s="1563"/>
      <c r="Q54" s="79"/>
      <c r="R54" s="79"/>
    </row>
    <row r="55" spans="1:18" x14ac:dyDescent="0.35">
      <c r="A55" s="1563"/>
      <c r="P55" s="1563"/>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Transmission Related Common, General, and Electric Miscellaneous Intangible Plant Additions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zoomScale="80" zoomScaleNormal="80" workbookViewId="0"/>
  </sheetViews>
  <sheetFormatPr defaultColWidth="8.90625" defaultRowHeight="15.5" x14ac:dyDescent="0.35"/>
  <cols>
    <col min="1" max="1" width="5.08984375" style="1569" customWidth="1"/>
    <col min="2" max="2" width="8.54296875" style="7" customWidth="1"/>
    <col min="3" max="11" width="15.90625" style="7" customWidth="1"/>
    <col min="12" max="12" width="11.08984375" style="7" customWidth="1"/>
    <col min="13" max="15" width="15.90625" style="7" customWidth="1"/>
    <col min="16" max="16" width="5.08984375" style="1569" customWidth="1"/>
    <col min="17" max="16384" width="8.90625" style="7"/>
  </cols>
  <sheetData>
    <row r="1" spans="1:18" x14ac:dyDescent="0.35">
      <c r="A1" s="1563"/>
      <c r="B1" s="79"/>
      <c r="C1" s="701"/>
      <c r="D1" s="79"/>
      <c r="E1" s="79"/>
      <c r="F1" s="79"/>
      <c r="G1" s="79"/>
      <c r="H1" s="79"/>
      <c r="I1" s="79"/>
      <c r="J1" s="79"/>
      <c r="K1" s="79"/>
      <c r="L1" s="79"/>
      <c r="M1" s="79"/>
      <c r="N1" s="79"/>
      <c r="O1" s="79"/>
      <c r="P1" s="1563"/>
      <c r="Q1" s="79"/>
      <c r="R1" s="79"/>
    </row>
    <row r="2" spans="1:18" x14ac:dyDescent="0.35">
      <c r="B2" s="2289" t="s">
        <v>18</v>
      </c>
      <c r="C2" s="2289"/>
      <c r="D2" s="2289"/>
      <c r="E2" s="2289"/>
      <c r="F2" s="2289"/>
      <c r="G2" s="2289"/>
      <c r="H2" s="2289"/>
      <c r="I2" s="2289"/>
      <c r="J2" s="2289"/>
      <c r="K2" s="2289"/>
      <c r="L2" s="2289"/>
      <c r="M2" s="2289"/>
      <c r="N2" s="2289"/>
      <c r="O2" s="2289"/>
      <c r="P2" s="1563"/>
      <c r="Q2" s="79"/>
      <c r="R2" s="79"/>
    </row>
    <row r="3" spans="1:18" x14ac:dyDescent="0.35">
      <c r="B3" s="2289" t="s">
        <v>522</v>
      </c>
      <c r="C3" s="2289"/>
      <c r="D3" s="2289"/>
      <c r="E3" s="2289"/>
      <c r="F3" s="2289"/>
      <c r="G3" s="2289"/>
      <c r="H3" s="2289"/>
      <c r="I3" s="2289"/>
      <c r="J3" s="2289"/>
      <c r="K3" s="2289"/>
      <c r="L3" s="2289"/>
      <c r="M3" s="2289"/>
      <c r="N3" s="2289"/>
      <c r="O3" s="2289"/>
      <c r="P3" s="1563"/>
      <c r="Q3" s="79"/>
      <c r="R3" s="79"/>
    </row>
    <row r="4" spans="1:18" x14ac:dyDescent="0.35">
      <c r="B4" s="2283" t="str">
        <f>'Summary of HV-LV Splits'!B4</f>
        <v>24-Month Forecast Period (January 1, 2022 - December 31, 2023)</v>
      </c>
      <c r="C4" s="2283"/>
      <c r="D4" s="2283"/>
      <c r="E4" s="2283"/>
      <c r="F4" s="2283"/>
      <c r="G4" s="2283"/>
      <c r="H4" s="2283"/>
      <c r="I4" s="2283"/>
      <c r="J4" s="2283"/>
      <c r="K4" s="2283"/>
      <c r="L4" s="2283"/>
      <c r="M4" s="2283"/>
      <c r="N4" s="2283"/>
      <c r="O4" s="2283"/>
      <c r="P4" s="1563"/>
      <c r="Q4" s="79"/>
      <c r="R4" s="79"/>
    </row>
    <row r="5" spans="1:18" x14ac:dyDescent="0.35">
      <c r="B5" s="2289" t="s">
        <v>549</v>
      </c>
      <c r="C5" s="2289"/>
      <c r="D5" s="2289"/>
      <c r="E5" s="2289"/>
      <c r="F5" s="2289"/>
      <c r="G5" s="2289"/>
      <c r="H5" s="2289"/>
      <c r="I5" s="2289"/>
      <c r="J5" s="2289"/>
      <c r="K5" s="2289"/>
      <c r="L5" s="2289"/>
      <c r="M5" s="2289"/>
      <c r="N5" s="2289"/>
      <c r="O5" s="2289"/>
      <c r="P5" s="1563"/>
      <c r="Q5" s="79"/>
      <c r="R5" s="79"/>
    </row>
    <row r="6" spans="1:18" x14ac:dyDescent="0.35">
      <c r="B6" s="2319">
        <v>-1000</v>
      </c>
      <c r="C6" s="2319"/>
      <c r="D6" s="2319"/>
      <c r="E6" s="2319"/>
      <c r="F6" s="2319"/>
      <c r="G6" s="2319"/>
      <c r="H6" s="2319"/>
      <c r="I6" s="2319"/>
      <c r="J6" s="2319"/>
      <c r="K6" s="2319"/>
      <c r="L6" s="2319"/>
      <c r="M6" s="2319"/>
      <c r="N6" s="2319"/>
      <c r="O6" s="2319"/>
      <c r="P6" s="1563"/>
      <c r="Q6" s="79"/>
      <c r="R6" s="79"/>
    </row>
    <row r="7" spans="1:18" ht="16" thickBot="1" x14ac:dyDescent="0.4">
      <c r="A7" s="1563"/>
      <c r="B7" s="79"/>
      <c r="C7" s="79"/>
      <c r="D7" s="79"/>
      <c r="E7" s="79"/>
      <c r="F7" s="79"/>
      <c r="G7" s="79"/>
      <c r="H7" s="79"/>
      <c r="I7" s="79"/>
      <c r="J7" s="79"/>
      <c r="K7" s="79"/>
      <c r="L7" s="79"/>
      <c r="M7" s="79"/>
      <c r="N7" s="79"/>
      <c r="O7" s="79"/>
      <c r="P7" s="1563"/>
      <c r="Q7" s="79"/>
      <c r="R7" s="79"/>
    </row>
    <row r="8" spans="1:18" x14ac:dyDescent="0.35">
      <c r="A8" s="345" t="s">
        <v>3</v>
      </c>
      <c r="B8" s="624"/>
      <c r="C8" s="622" t="s">
        <v>550</v>
      </c>
      <c r="D8" s="620"/>
      <c r="E8" s="623"/>
      <c r="F8" s="619" t="s">
        <v>101</v>
      </c>
      <c r="G8" s="620"/>
      <c r="H8" s="621"/>
      <c r="I8" s="622" t="s">
        <v>524</v>
      </c>
      <c r="J8" s="620"/>
      <c r="K8" s="623"/>
      <c r="L8" s="624" t="s">
        <v>525</v>
      </c>
      <c r="M8" s="622" t="s">
        <v>526</v>
      </c>
      <c r="N8" s="620"/>
      <c r="O8" s="621"/>
      <c r="P8" s="345" t="s">
        <v>3</v>
      </c>
      <c r="Q8" s="88"/>
      <c r="R8" s="88"/>
    </row>
    <row r="9" spans="1:18" ht="16" thickBot="1" x14ac:dyDescent="0.4">
      <c r="A9" s="345" t="s">
        <v>25</v>
      </c>
      <c r="B9" s="1474" t="s">
        <v>527</v>
      </c>
      <c r="C9" s="1479" t="s">
        <v>528</v>
      </c>
      <c r="D9" s="1476" t="s">
        <v>529</v>
      </c>
      <c r="E9" s="1477" t="s">
        <v>31</v>
      </c>
      <c r="F9" s="1475" t="s">
        <v>528</v>
      </c>
      <c r="G9" s="1476" t="s">
        <v>529</v>
      </c>
      <c r="H9" s="1478" t="s">
        <v>31</v>
      </c>
      <c r="I9" s="1479" t="s">
        <v>528</v>
      </c>
      <c r="J9" s="1476" t="s">
        <v>529</v>
      </c>
      <c r="K9" s="1477" t="s">
        <v>31</v>
      </c>
      <c r="L9" s="1480" t="s">
        <v>34</v>
      </c>
      <c r="M9" s="1479" t="s">
        <v>528</v>
      </c>
      <c r="N9" s="1476" t="s">
        <v>529</v>
      </c>
      <c r="O9" s="1478" t="s">
        <v>31</v>
      </c>
      <c r="P9" s="693" t="s">
        <v>25</v>
      </c>
      <c r="Q9" s="88"/>
      <c r="R9" s="88"/>
    </row>
    <row r="10" spans="1:18" x14ac:dyDescent="0.35">
      <c r="A10" s="595"/>
      <c r="B10" s="624"/>
      <c r="C10" s="595"/>
      <c r="D10" s="1483"/>
      <c r="E10" s="595"/>
      <c r="F10" s="1429"/>
      <c r="G10" s="1529"/>
      <c r="H10" s="1485"/>
      <c r="I10" s="595"/>
      <c r="J10" s="1483"/>
      <c r="K10" s="595"/>
      <c r="L10" s="1486"/>
      <c r="M10" s="595"/>
      <c r="N10" s="1483"/>
      <c r="O10" s="1485"/>
      <c r="P10" s="1566"/>
      <c r="Q10" s="109"/>
      <c r="R10" s="109"/>
    </row>
    <row r="11" spans="1:18" x14ac:dyDescent="0.35">
      <c r="A11" s="345">
        <v>1</v>
      </c>
      <c r="B11" s="1487">
        <v>44580</v>
      </c>
      <c r="C11" s="596">
        <v>0</v>
      </c>
      <c r="D11" s="597">
        <v>0</v>
      </c>
      <c r="E11" s="387">
        <f t="shared" ref="E11:E34" si="0">C11+D11</f>
        <v>0</v>
      </c>
      <c r="F11" s="598">
        <f>C11*$H$41</f>
        <v>0</v>
      </c>
      <c r="G11" s="388">
        <f t="shared" ref="G11:G34" si="1">D11*$H$41</f>
        <v>0</v>
      </c>
      <c r="H11" s="599">
        <f t="shared" ref="H11:H34" si="2">F11+G11</f>
        <v>0</v>
      </c>
      <c r="I11" s="151">
        <f>C11-F11</f>
        <v>0</v>
      </c>
      <c r="J11" s="165">
        <f>D11-G11</f>
        <v>0</v>
      </c>
      <c r="K11" s="387">
        <f t="shared" ref="K11:K34" si="3">I11+J11</f>
        <v>0</v>
      </c>
      <c r="L11" s="644">
        <f>'ET Forecast Capital Additions'!$L11</f>
        <v>1</v>
      </c>
      <c r="M11" s="151">
        <f>I11*L11</f>
        <v>0</v>
      </c>
      <c r="N11" s="165">
        <f t="shared" ref="N11:N34" si="4">J11*L11</f>
        <v>0</v>
      </c>
      <c r="O11" s="388">
        <f t="shared" ref="O11:O34" si="5">M11+N11</f>
        <v>0</v>
      </c>
      <c r="P11" s="345">
        <f>A11</f>
        <v>1</v>
      </c>
      <c r="Q11" s="79"/>
      <c r="R11" s="79"/>
    </row>
    <row r="12" spans="1:18" x14ac:dyDescent="0.35">
      <c r="A12" s="345">
        <f t="shared" ref="A12:A49" si="6">A11+1</f>
        <v>2</v>
      </c>
      <c r="B12" s="1487">
        <v>44611</v>
      </c>
      <c r="C12" s="600">
        <v>0</v>
      </c>
      <c r="D12" s="601">
        <v>0</v>
      </c>
      <c r="E12" s="602">
        <f t="shared" si="0"/>
        <v>0</v>
      </c>
      <c r="F12" s="603">
        <f t="shared" ref="F12:F34" si="7">C12*$H$41</f>
        <v>0</v>
      </c>
      <c r="G12" s="404">
        <f t="shared" si="1"/>
        <v>0</v>
      </c>
      <c r="H12" s="604">
        <f t="shared" si="2"/>
        <v>0</v>
      </c>
      <c r="I12" s="152">
        <f t="shared" ref="I12:J34" si="8">C12-F12</f>
        <v>0</v>
      </c>
      <c r="J12" s="167">
        <f t="shared" si="8"/>
        <v>0</v>
      </c>
      <c r="K12" s="602">
        <f t="shared" si="3"/>
        <v>0</v>
      </c>
      <c r="L12" s="644">
        <f>'ET Forecast Capital Additions'!$L12</f>
        <v>1</v>
      </c>
      <c r="M12" s="152">
        <f t="shared" ref="M12:M34" si="9">I12*L12</f>
        <v>0</v>
      </c>
      <c r="N12" s="167">
        <f t="shared" si="4"/>
        <v>0</v>
      </c>
      <c r="O12" s="404">
        <f t="shared" si="5"/>
        <v>0</v>
      </c>
      <c r="P12" s="345">
        <f t="shared" ref="P12:P49" si="10">P11+1</f>
        <v>2</v>
      </c>
      <c r="Q12" s="79"/>
      <c r="R12" s="79"/>
    </row>
    <row r="13" spans="1:18" x14ac:dyDescent="0.35">
      <c r="A13" s="345">
        <f t="shared" si="6"/>
        <v>3</v>
      </c>
      <c r="B13" s="1487">
        <v>44639</v>
      </c>
      <c r="C13" s="600">
        <v>0</v>
      </c>
      <c r="D13" s="601">
        <v>0</v>
      </c>
      <c r="E13" s="602">
        <f t="shared" si="0"/>
        <v>0</v>
      </c>
      <c r="F13" s="603">
        <f t="shared" si="7"/>
        <v>0</v>
      </c>
      <c r="G13" s="404">
        <f t="shared" si="1"/>
        <v>0</v>
      </c>
      <c r="H13" s="604">
        <f t="shared" si="2"/>
        <v>0</v>
      </c>
      <c r="I13" s="152">
        <f t="shared" si="8"/>
        <v>0</v>
      </c>
      <c r="J13" s="167">
        <f t="shared" si="8"/>
        <v>0</v>
      </c>
      <c r="K13" s="602">
        <f t="shared" si="3"/>
        <v>0</v>
      </c>
      <c r="L13" s="644">
        <f>'ET Forecast Capital Additions'!$L13</f>
        <v>1</v>
      </c>
      <c r="M13" s="152">
        <f t="shared" si="9"/>
        <v>0</v>
      </c>
      <c r="N13" s="167">
        <f t="shared" si="4"/>
        <v>0</v>
      </c>
      <c r="O13" s="404">
        <f t="shared" si="5"/>
        <v>0</v>
      </c>
      <c r="P13" s="345">
        <f t="shared" si="10"/>
        <v>3</v>
      </c>
      <c r="Q13" s="79"/>
      <c r="R13" s="79"/>
    </row>
    <row r="14" spans="1:18" ht="16" thickBot="1" x14ac:dyDescent="0.4">
      <c r="A14" s="345">
        <f t="shared" si="6"/>
        <v>4</v>
      </c>
      <c r="B14" s="1488">
        <v>44670</v>
      </c>
      <c r="C14" s="605">
        <v>0</v>
      </c>
      <c r="D14" s="606">
        <v>0</v>
      </c>
      <c r="E14" s="607">
        <f t="shared" si="0"/>
        <v>0</v>
      </c>
      <c r="F14" s="608">
        <f t="shared" si="7"/>
        <v>0</v>
      </c>
      <c r="G14" s="609">
        <f t="shared" si="1"/>
        <v>0</v>
      </c>
      <c r="H14" s="610">
        <f t="shared" si="2"/>
        <v>0</v>
      </c>
      <c r="I14" s="611">
        <f t="shared" si="8"/>
        <v>0</v>
      </c>
      <c r="J14" s="612">
        <f t="shared" si="8"/>
        <v>0</v>
      </c>
      <c r="K14" s="607">
        <f t="shared" si="3"/>
        <v>0</v>
      </c>
      <c r="L14" s="645">
        <f>'ET Forecast Capital Additions'!$L14</f>
        <v>1</v>
      </c>
      <c r="M14" s="611">
        <f t="shared" si="9"/>
        <v>0</v>
      </c>
      <c r="N14" s="612">
        <f t="shared" si="4"/>
        <v>0</v>
      </c>
      <c r="O14" s="609">
        <f t="shared" si="5"/>
        <v>0</v>
      </c>
      <c r="P14" s="345">
        <f t="shared" si="10"/>
        <v>4</v>
      </c>
      <c r="Q14" s="79"/>
      <c r="R14" s="79"/>
    </row>
    <row r="15" spans="1:18" x14ac:dyDescent="0.35">
      <c r="A15" s="345">
        <f t="shared" si="6"/>
        <v>5</v>
      </c>
      <c r="B15" s="1487">
        <v>44700</v>
      </c>
      <c r="C15" s="613">
        <v>0</v>
      </c>
      <c r="D15" s="614">
        <v>0</v>
      </c>
      <c r="E15" s="394">
        <f t="shared" si="0"/>
        <v>0</v>
      </c>
      <c r="F15" s="615">
        <f t="shared" si="7"/>
        <v>0</v>
      </c>
      <c r="G15" s="395">
        <f t="shared" si="1"/>
        <v>0</v>
      </c>
      <c r="H15" s="616">
        <f t="shared" si="2"/>
        <v>0</v>
      </c>
      <c r="I15" s="152">
        <f t="shared" si="8"/>
        <v>0</v>
      </c>
      <c r="J15" s="167">
        <f t="shared" si="8"/>
        <v>0</v>
      </c>
      <c r="K15" s="394">
        <f t="shared" si="3"/>
        <v>0</v>
      </c>
      <c r="L15" s="646">
        <f>'ET Forecast Capital Additions'!$L15</f>
        <v>1</v>
      </c>
      <c r="M15" s="152">
        <f t="shared" si="9"/>
        <v>0</v>
      </c>
      <c r="N15" s="167">
        <f t="shared" si="4"/>
        <v>0</v>
      </c>
      <c r="O15" s="395">
        <f t="shared" si="5"/>
        <v>0</v>
      </c>
      <c r="P15" s="345">
        <f t="shared" si="10"/>
        <v>5</v>
      </c>
      <c r="Q15" s="79"/>
      <c r="R15" s="79"/>
    </row>
    <row r="16" spans="1:18" x14ac:dyDescent="0.35">
      <c r="A16" s="345">
        <f t="shared" si="6"/>
        <v>6</v>
      </c>
      <c r="B16" s="1487">
        <v>44731</v>
      </c>
      <c r="C16" s="600">
        <v>0</v>
      </c>
      <c r="D16" s="601">
        <v>0</v>
      </c>
      <c r="E16" s="602">
        <f t="shared" si="0"/>
        <v>0</v>
      </c>
      <c r="F16" s="603">
        <f t="shared" si="7"/>
        <v>0</v>
      </c>
      <c r="G16" s="404">
        <f t="shared" si="1"/>
        <v>0</v>
      </c>
      <c r="H16" s="604">
        <f t="shared" si="2"/>
        <v>0</v>
      </c>
      <c r="I16" s="152">
        <f t="shared" si="8"/>
        <v>0</v>
      </c>
      <c r="J16" s="167">
        <f t="shared" si="8"/>
        <v>0</v>
      </c>
      <c r="K16" s="602">
        <f t="shared" si="3"/>
        <v>0</v>
      </c>
      <c r="L16" s="644">
        <f>'ET Forecast Capital Additions'!$L16</f>
        <v>1</v>
      </c>
      <c r="M16" s="152">
        <f t="shared" si="9"/>
        <v>0</v>
      </c>
      <c r="N16" s="167">
        <f t="shared" si="4"/>
        <v>0</v>
      </c>
      <c r="O16" s="404">
        <f t="shared" si="5"/>
        <v>0</v>
      </c>
      <c r="P16" s="345">
        <f t="shared" si="10"/>
        <v>6</v>
      </c>
      <c r="Q16" s="79"/>
      <c r="R16" s="79"/>
    </row>
    <row r="17" spans="1:18" x14ac:dyDescent="0.35">
      <c r="A17" s="345">
        <f t="shared" si="6"/>
        <v>7</v>
      </c>
      <c r="B17" s="1487">
        <v>44761</v>
      </c>
      <c r="C17" s="600">
        <v>0</v>
      </c>
      <c r="D17" s="601">
        <v>0</v>
      </c>
      <c r="E17" s="602">
        <f t="shared" si="0"/>
        <v>0</v>
      </c>
      <c r="F17" s="603">
        <f t="shared" si="7"/>
        <v>0</v>
      </c>
      <c r="G17" s="404">
        <f t="shared" si="1"/>
        <v>0</v>
      </c>
      <c r="H17" s="604">
        <f t="shared" si="2"/>
        <v>0</v>
      </c>
      <c r="I17" s="152">
        <f t="shared" si="8"/>
        <v>0</v>
      </c>
      <c r="J17" s="167">
        <f t="shared" si="8"/>
        <v>0</v>
      </c>
      <c r="K17" s="602">
        <f t="shared" si="3"/>
        <v>0</v>
      </c>
      <c r="L17" s="644">
        <f>'ET Forecast Capital Additions'!$L17</f>
        <v>1</v>
      </c>
      <c r="M17" s="152">
        <f t="shared" si="9"/>
        <v>0</v>
      </c>
      <c r="N17" s="167">
        <f t="shared" si="4"/>
        <v>0</v>
      </c>
      <c r="O17" s="404">
        <f t="shared" si="5"/>
        <v>0</v>
      </c>
      <c r="P17" s="345">
        <f t="shared" si="10"/>
        <v>7</v>
      </c>
      <c r="Q17" s="79"/>
      <c r="R17" s="79"/>
    </row>
    <row r="18" spans="1:18" ht="16" thickBot="1" x14ac:dyDescent="0.4">
      <c r="A18" s="345">
        <f t="shared" si="6"/>
        <v>8</v>
      </c>
      <c r="B18" s="1488">
        <v>44792</v>
      </c>
      <c r="C18" s="605">
        <v>0</v>
      </c>
      <c r="D18" s="606">
        <v>0</v>
      </c>
      <c r="E18" s="607">
        <f t="shared" si="0"/>
        <v>0</v>
      </c>
      <c r="F18" s="608">
        <f t="shared" si="7"/>
        <v>0</v>
      </c>
      <c r="G18" s="609">
        <f t="shared" si="1"/>
        <v>0</v>
      </c>
      <c r="H18" s="610">
        <f t="shared" si="2"/>
        <v>0</v>
      </c>
      <c r="I18" s="611">
        <f t="shared" si="8"/>
        <v>0</v>
      </c>
      <c r="J18" s="612">
        <f t="shared" si="8"/>
        <v>0</v>
      </c>
      <c r="K18" s="607">
        <f t="shared" si="3"/>
        <v>0</v>
      </c>
      <c r="L18" s="645">
        <f>'ET Forecast Capital Additions'!$L18</f>
        <v>1</v>
      </c>
      <c r="M18" s="611">
        <f t="shared" si="9"/>
        <v>0</v>
      </c>
      <c r="N18" s="612">
        <f t="shared" si="4"/>
        <v>0</v>
      </c>
      <c r="O18" s="609">
        <f t="shared" si="5"/>
        <v>0</v>
      </c>
      <c r="P18" s="345">
        <f t="shared" si="10"/>
        <v>8</v>
      </c>
      <c r="Q18" s="79"/>
      <c r="R18" s="79"/>
    </row>
    <row r="19" spans="1:18" x14ac:dyDescent="0.35">
      <c r="A19" s="345">
        <f t="shared" si="6"/>
        <v>9</v>
      </c>
      <c r="B19" s="1487">
        <v>44823</v>
      </c>
      <c r="C19" s="613">
        <v>0</v>
      </c>
      <c r="D19" s="614">
        <v>0</v>
      </c>
      <c r="E19" s="394">
        <f t="shared" si="0"/>
        <v>0</v>
      </c>
      <c r="F19" s="615">
        <f t="shared" si="7"/>
        <v>0</v>
      </c>
      <c r="G19" s="395">
        <f t="shared" si="1"/>
        <v>0</v>
      </c>
      <c r="H19" s="616">
        <f t="shared" si="2"/>
        <v>0</v>
      </c>
      <c r="I19" s="152">
        <f t="shared" si="8"/>
        <v>0</v>
      </c>
      <c r="J19" s="167">
        <f t="shared" si="8"/>
        <v>0</v>
      </c>
      <c r="K19" s="394">
        <f t="shared" si="3"/>
        <v>0</v>
      </c>
      <c r="L19" s="646">
        <f>'ET Forecast Capital Additions'!$L19</f>
        <v>1</v>
      </c>
      <c r="M19" s="152">
        <f t="shared" si="9"/>
        <v>0</v>
      </c>
      <c r="N19" s="167">
        <f t="shared" si="4"/>
        <v>0</v>
      </c>
      <c r="O19" s="395">
        <f t="shared" si="5"/>
        <v>0</v>
      </c>
      <c r="P19" s="345">
        <f t="shared" si="10"/>
        <v>9</v>
      </c>
      <c r="Q19" s="79"/>
      <c r="R19" s="79"/>
    </row>
    <row r="20" spans="1:18" x14ac:dyDescent="0.35">
      <c r="A20" s="345">
        <f t="shared" si="6"/>
        <v>10</v>
      </c>
      <c r="B20" s="1487">
        <v>44853</v>
      </c>
      <c r="C20" s="600">
        <v>0</v>
      </c>
      <c r="D20" s="601">
        <v>0</v>
      </c>
      <c r="E20" s="602">
        <f t="shared" si="0"/>
        <v>0</v>
      </c>
      <c r="F20" s="603">
        <f t="shared" si="7"/>
        <v>0</v>
      </c>
      <c r="G20" s="404">
        <f t="shared" si="1"/>
        <v>0</v>
      </c>
      <c r="H20" s="604">
        <f t="shared" si="2"/>
        <v>0</v>
      </c>
      <c r="I20" s="152">
        <f t="shared" si="8"/>
        <v>0</v>
      </c>
      <c r="J20" s="167">
        <f t="shared" si="8"/>
        <v>0</v>
      </c>
      <c r="K20" s="602">
        <f t="shared" si="3"/>
        <v>0</v>
      </c>
      <c r="L20" s="644">
        <f>'ET Forecast Capital Additions'!$L20</f>
        <v>1</v>
      </c>
      <c r="M20" s="152">
        <f t="shared" si="9"/>
        <v>0</v>
      </c>
      <c r="N20" s="167">
        <f t="shared" si="4"/>
        <v>0</v>
      </c>
      <c r="O20" s="404">
        <f t="shared" si="5"/>
        <v>0</v>
      </c>
      <c r="P20" s="345">
        <f t="shared" si="10"/>
        <v>10</v>
      </c>
      <c r="Q20" s="79"/>
      <c r="R20" s="79"/>
    </row>
    <row r="21" spans="1:18" x14ac:dyDescent="0.35">
      <c r="A21" s="345">
        <f t="shared" si="6"/>
        <v>11</v>
      </c>
      <c r="B21" s="1487">
        <v>44884</v>
      </c>
      <c r="C21" s="617">
        <v>0</v>
      </c>
      <c r="D21" s="601">
        <v>0</v>
      </c>
      <c r="E21" s="299">
        <f t="shared" si="0"/>
        <v>0</v>
      </c>
      <c r="F21" s="603">
        <f t="shared" si="7"/>
        <v>0</v>
      </c>
      <c r="G21" s="404">
        <f t="shared" si="1"/>
        <v>0</v>
      </c>
      <c r="H21" s="604">
        <f t="shared" si="2"/>
        <v>0</v>
      </c>
      <c r="I21" s="152">
        <f t="shared" si="8"/>
        <v>0</v>
      </c>
      <c r="J21" s="167">
        <f t="shared" si="8"/>
        <v>0</v>
      </c>
      <c r="K21" s="299">
        <f t="shared" si="3"/>
        <v>0</v>
      </c>
      <c r="L21" s="644">
        <f>'ET Forecast Capital Additions'!$L21</f>
        <v>1</v>
      </c>
      <c r="M21" s="152">
        <f t="shared" si="9"/>
        <v>0</v>
      </c>
      <c r="N21" s="167">
        <f t="shared" si="4"/>
        <v>0</v>
      </c>
      <c r="O21" s="604">
        <f t="shared" si="5"/>
        <v>0</v>
      </c>
      <c r="P21" s="345">
        <f t="shared" si="10"/>
        <v>11</v>
      </c>
      <c r="Q21" s="81"/>
      <c r="R21" s="81"/>
    </row>
    <row r="22" spans="1:18" ht="16" thickBot="1" x14ac:dyDescent="0.4">
      <c r="A22" s="345">
        <f t="shared" si="6"/>
        <v>12</v>
      </c>
      <c r="B22" s="1487">
        <v>44914</v>
      </c>
      <c r="C22" s="605">
        <v>0</v>
      </c>
      <c r="D22" s="606">
        <v>0</v>
      </c>
      <c r="E22" s="607">
        <f t="shared" si="0"/>
        <v>0</v>
      </c>
      <c r="F22" s="608">
        <f t="shared" si="7"/>
        <v>0</v>
      </c>
      <c r="G22" s="609">
        <f t="shared" si="1"/>
        <v>0</v>
      </c>
      <c r="H22" s="610">
        <f t="shared" si="2"/>
        <v>0</v>
      </c>
      <c r="I22" s="611">
        <f t="shared" si="8"/>
        <v>0</v>
      </c>
      <c r="J22" s="612">
        <f t="shared" si="8"/>
        <v>0</v>
      </c>
      <c r="K22" s="607">
        <f t="shared" si="3"/>
        <v>0</v>
      </c>
      <c r="L22" s="645">
        <f>'ET Forecast Capital Additions'!$L22</f>
        <v>1</v>
      </c>
      <c r="M22" s="611">
        <f t="shared" si="9"/>
        <v>0</v>
      </c>
      <c r="N22" s="612">
        <f t="shared" si="4"/>
        <v>0</v>
      </c>
      <c r="O22" s="609">
        <f t="shared" si="5"/>
        <v>0</v>
      </c>
      <c r="P22" s="345">
        <f t="shared" si="10"/>
        <v>12</v>
      </c>
      <c r="Q22" s="79"/>
      <c r="R22" s="79"/>
    </row>
    <row r="23" spans="1:18" x14ac:dyDescent="0.35">
      <c r="A23" s="345">
        <f t="shared" si="6"/>
        <v>13</v>
      </c>
      <c r="B23" s="1489">
        <v>44945</v>
      </c>
      <c r="C23" s="613">
        <v>0</v>
      </c>
      <c r="D23" s="614">
        <v>0</v>
      </c>
      <c r="E23" s="394">
        <f t="shared" si="0"/>
        <v>0</v>
      </c>
      <c r="F23" s="615">
        <f t="shared" si="7"/>
        <v>0</v>
      </c>
      <c r="G23" s="395">
        <f t="shared" si="1"/>
        <v>0</v>
      </c>
      <c r="H23" s="616">
        <f t="shared" si="2"/>
        <v>0</v>
      </c>
      <c r="I23" s="152">
        <f t="shared" si="8"/>
        <v>0</v>
      </c>
      <c r="J23" s="167">
        <f t="shared" si="8"/>
        <v>0</v>
      </c>
      <c r="K23" s="394">
        <f t="shared" si="3"/>
        <v>0</v>
      </c>
      <c r="L23" s="646">
        <f>'ET Forecast Capital Additions'!$L23</f>
        <v>1</v>
      </c>
      <c r="M23" s="152">
        <f t="shared" si="9"/>
        <v>0</v>
      </c>
      <c r="N23" s="167">
        <f t="shared" si="4"/>
        <v>0</v>
      </c>
      <c r="O23" s="395">
        <f t="shared" si="5"/>
        <v>0</v>
      </c>
      <c r="P23" s="345">
        <f t="shared" si="10"/>
        <v>13</v>
      </c>
      <c r="Q23" s="79"/>
      <c r="R23" s="79"/>
    </row>
    <row r="24" spans="1:18" x14ac:dyDescent="0.35">
      <c r="A24" s="345">
        <f t="shared" si="6"/>
        <v>14</v>
      </c>
      <c r="B24" s="1487">
        <v>44976</v>
      </c>
      <c r="C24" s="600">
        <v>0</v>
      </c>
      <c r="D24" s="601">
        <v>0</v>
      </c>
      <c r="E24" s="602">
        <f t="shared" si="0"/>
        <v>0</v>
      </c>
      <c r="F24" s="603">
        <f t="shared" si="7"/>
        <v>0</v>
      </c>
      <c r="G24" s="404">
        <f t="shared" si="1"/>
        <v>0</v>
      </c>
      <c r="H24" s="604">
        <f t="shared" si="2"/>
        <v>0</v>
      </c>
      <c r="I24" s="152">
        <f t="shared" si="8"/>
        <v>0</v>
      </c>
      <c r="J24" s="167">
        <f t="shared" si="8"/>
        <v>0</v>
      </c>
      <c r="K24" s="602">
        <f t="shared" si="3"/>
        <v>0</v>
      </c>
      <c r="L24" s="644">
        <f>'ET Forecast Capital Additions'!$L24</f>
        <v>0.91666666666666663</v>
      </c>
      <c r="M24" s="152">
        <f t="shared" si="9"/>
        <v>0</v>
      </c>
      <c r="N24" s="167">
        <f t="shared" si="4"/>
        <v>0</v>
      </c>
      <c r="O24" s="404">
        <f t="shared" si="5"/>
        <v>0</v>
      </c>
      <c r="P24" s="345">
        <f t="shared" si="10"/>
        <v>14</v>
      </c>
      <c r="Q24" s="79"/>
      <c r="R24" s="79"/>
    </row>
    <row r="25" spans="1:18" x14ac:dyDescent="0.35">
      <c r="A25" s="345">
        <f t="shared" si="6"/>
        <v>15</v>
      </c>
      <c r="B25" s="1487">
        <v>45004</v>
      </c>
      <c r="C25" s="600">
        <v>0</v>
      </c>
      <c r="D25" s="601">
        <v>0</v>
      </c>
      <c r="E25" s="602">
        <f t="shared" si="0"/>
        <v>0</v>
      </c>
      <c r="F25" s="603">
        <f t="shared" si="7"/>
        <v>0</v>
      </c>
      <c r="G25" s="404">
        <f t="shared" si="1"/>
        <v>0</v>
      </c>
      <c r="H25" s="604">
        <f t="shared" si="2"/>
        <v>0</v>
      </c>
      <c r="I25" s="152">
        <f t="shared" si="8"/>
        <v>0</v>
      </c>
      <c r="J25" s="167">
        <f t="shared" si="8"/>
        <v>0</v>
      </c>
      <c r="K25" s="602">
        <f t="shared" si="3"/>
        <v>0</v>
      </c>
      <c r="L25" s="644">
        <f>'ET Forecast Capital Additions'!$L25</f>
        <v>0.83333333333333337</v>
      </c>
      <c r="M25" s="152">
        <f t="shared" si="9"/>
        <v>0</v>
      </c>
      <c r="N25" s="167">
        <f t="shared" si="4"/>
        <v>0</v>
      </c>
      <c r="O25" s="404">
        <f t="shared" si="5"/>
        <v>0</v>
      </c>
      <c r="P25" s="345">
        <f t="shared" si="10"/>
        <v>15</v>
      </c>
      <c r="Q25" s="79"/>
      <c r="R25" s="79"/>
    </row>
    <row r="26" spans="1:18" ht="16" thickBot="1" x14ac:dyDescent="0.4">
      <c r="A26" s="345">
        <f t="shared" si="6"/>
        <v>16</v>
      </c>
      <c r="B26" s="1488">
        <v>45035</v>
      </c>
      <c r="C26" s="605">
        <v>0</v>
      </c>
      <c r="D26" s="606">
        <v>0</v>
      </c>
      <c r="E26" s="607">
        <f t="shared" si="0"/>
        <v>0</v>
      </c>
      <c r="F26" s="608">
        <f t="shared" si="7"/>
        <v>0</v>
      </c>
      <c r="G26" s="609">
        <f t="shared" si="1"/>
        <v>0</v>
      </c>
      <c r="H26" s="610">
        <f t="shared" si="2"/>
        <v>0</v>
      </c>
      <c r="I26" s="611">
        <f t="shared" si="8"/>
        <v>0</v>
      </c>
      <c r="J26" s="612">
        <f t="shared" si="8"/>
        <v>0</v>
      </c>
      <c r="K26" s="607">
        <f t="shared" si="3"/>
        <v>0</v>
      </c>
      <c r="L26" s="645">
        <f>'ET Forecast Capital Additions'!$L26</f>
        <v>0.75</v>
      </c>
      <c r="M26" s="611">
        <f t="shared" si="9"/>
        <v>0</v>
      </c>
      <c r="N26" s="612">
        <f t="shared" si="4"/>
        <v>0</v>
      </c>
      <c r="O26" s="609">
        <f t="shared" si="5"/>
        <v>0</v>
      </c>
      <c r="P26" s="345">
        <f t="shared" si="10"/>
        <v>16</v>
      </c>
      <c r="Q26" s="79"/>
      <c r="R26" s="79"/>
    </row>
    <row r="27" spans="1:18" x14ac:dyDescent="0.35">
      <c r="A27" s="345">
        <f t="shared" si="6"/>
        <v>17</v>
      </c>
      <c r="B27" s="1487">
        <v>45065</v>
      </c>
      <c r="C27" s="617">
        <v>0</v>
      </c>
      <c r="D27" s="601">
        <v>0</v>
      </c>
      <c r="E27" s="299">
        <f t="shared" si="0"/>
        <v>0</v>
      </c>
      <c r="F27" s="615">
        <f t="shared" si="7"/>
        <v>0</v>
      </c>
      <c r="G27" s="395">
        <f t="shared" si="1"/>
        <v>0</v>
      </c>
      <c r="H27" s="604">
        <f t="shared" si="2"/>
        <v>0</v>
      </c>
      <c r="I27" s="152">
        <f t="shared" si="8"/>
        <v>0</v>
      </c>
      <c r="J27" s="167">
        <f t="shared" si="8"/>
        <v>0</v>
      </c>
      <c r="K27" s="299">
        <f t="shared" si="3"/>
        <v>0</v>
      </c>
      <c r="L27" s="646">
        <f>'ET Forecast Capital Additions'!$L27</f>
        <v>0.66666666666666663</v>
      </c>
      <c r="M27" s="152">
        <f t="shared" si="9"/>
        <v>0</v>
      </c>
      <c r="N27" s="167">
        <f t="shared" si="4"/>
        <v>0</v>
      </c>
      <c r="O27" s="604">
        <f t="shared" si="5"/>
        <v>0</v>
      </c>
      <c r="P27" s="345">
        <f t="shared" si="10"/>
        <v>17</v>
      </c>
      <c r="Q27" s="81"/>
      <c r="R27" s="81"/>
    </row>
    <row r="28" spans="1:18" x14ac:dyDescent="0.35">
      <c r="A28" s="345">
        <f t="shared" si="6"/>
        <v>18</v>
      </c>
      <c r="B28" s="1487">
        <v>45096</v>
      </c>
      <c r="C28" s="600">
        <v>0</v>
      </c>
      <c r="D28" s="601">
        <v>0</v>
      </c>
      <c r="E28" s="602">
        <f t="shared" si="0"/>
        <v>0</v>
      </c>
      <c r="F28" s="603">
        <f t="shared" si="7"/>
        <v>0</v>
      </c>
      <c r="G28" s="404">
        <f t="shared" si="1"/>
        <v>0</v>
      </c>
      <c r="H28" s="604">
        <f t="shared" si="2"/>
        <v>0</v>
      </c>
      <c r="I28" s="152">
        <f t="shared" si="8"/>
        <v>0</v>
      </c>
      <c r="J28" s="167">
        <f t="shared" si="8"/>
        <v>0</v>
      </c>
      <c r="K28" s="602">
        <f t="shared" si="3"/>
        <v>0</v>
      </c>
      <c r="L28" s="644">
        <f>'ET Forecast Capital Additions'!$L28</f>
        <v>0.58333333333333337</v>
      </c>
      <c r="M28" s="152">
        <f t="shared" si="9"/>
        <v>0</v>
      </c>
      <c r="N28" s="167">
        <f t="shared" si="4"/>
        <v>0</v>
      </c>
      <c r="O28" s="404">
        <f t="shared" si="5"/>
        <v>0</v>
      </c>
      <c r="P28" s="345">
        <f t="shared" si="10"/>
        <v>18</v>
      </c>
      <c r="Q28" s="79"/>
      <c r="R28" s="79"/>
    </row>
    <row r="29" spans="1:18" x14ac:dyDescent="0.35">
      <c r="A29" s="345">
        <f t="shared" si="6"/>
        <v>19</v>
      </c>
      <c r="B29" s="1487">
        <v>45126</v>
      </c>
      <c r="C29" s="600">
        <v>0</v>
      </c>
      <c r="D29" s="601">
        <v>0</v>
      </c>
      <c r="E29" s="602">
        <f t="shared" si="0"/>
        <v>0</v>
      </c>
      <c r="F29" s="603">
        <f t="shared" si="7"/>
        <v>0</v>
      </c>
      <c r="G29" s="404">
        <f t="shared" si="1"/>
        <v>0</v>
      </c>
      <c r="H29" s="604">
        <f t="shared" si="2"/>
        <v>0</v>
      </c>
      <c r="I29" s="152">
        <f t="shared" si="8"/>
        <v>0</v>
      </c>
      <c r="J29" s="167">
        <f t="shared" si="8"/>
        <v>0</v>
      </c>
      <c r="K29" s="602">
        <f t="shared" si="3"/>
        <v>0</v>
      </c>
      <c r="L29" s="644">
        <f>'ET Forecast Capital Additions'!$L29</f>
        <v>0.5</v>
      </c>
      <c r="M29" s="152">
        <f t="shared" si="9"/>
        <v>0</v>
      </c>
      <c r="N29" s="167">
        <f t="shared" si="4"/>
        <v>0</v>
      </c>
      <c r="O29" s="404">
        <f t="shared" si="5"/>
        <v>0</v>
      </c>
      <c r="P29" s="345">
        <f t="shared" si="10"/>
        <v>19</v>
      </c>
      <c r="Q29" s="79"/>
      <c r="R29" s="79"/>
    </row>
    <row r="30" spans="1:18" ht="16" thickBot="1" x14ac:dyDescent="0.4">
      <c r="A30" s="345">
        <f t="shared" si="6"/>
        <v>20</v>
      </c>
      <c r="B30" s="1488">
        <v>45157</v>
      </c>
      <c r="C30" s="605">
        <v>0</v>
      </c>
      <c r="D30" s="606">
        <v>0</v>
      </c>
      <c r="E30" s="607">
        <f t="shared" si="0"/>
        <v>0</v>
      </c>
      <c r="F30" s="608">
        <f t="shared" si="7"/>
        <v>0</v>
      </c>
      <c r="G30" s="609">
        <f t="shared" si="1"/>
        <v>0</v>
      </c>
      <c r="H30" s="610">
        <f t="shared" si="2"/>
        <v>0</v>
      </c>
      <c r="I30" s="611">
        <f t="shared" si="8"/>
        <v>0</v>
      </c>
      <c r="J30" s="612">
        <f t="shared" si="8"/>
        <v>0</v>
      </c>
      <c r="K30" s="607">
        <f t="shared" si="3"/>
        <v>0</v>
      </c>
      <c r="L30" s="645">
        <f>'ET Forecast Capital Additions'!$L30</f>
        <v>0.41666666666666669</v>
      </c>
      <c r="M30" s="611">
        <f t="shared" si="9"/>
        <v>0</v>
      </c>
      <c r="N30" s="612">
        <f t="shared" si="4"/>
        <v>0</v>
      </c>
      <c r="O30" s="609">
        <f t="shared" si="5"/>
        <v>0</v>
      </c>
      <c r="P30" s="345">
        <f t="shared" si="10"/>
        <v>20</v>
      </c>
      <c r="Q30" s="79"/>
      <c r="R30" s="79"/>
    </row>
    <row r="31" spans="1:18" x14ac:dyDescent="0.35">
      <c r="A31" s="345">
        <f t="shared" si="6"/>
        <v>21</v>
      </c>
      <c r="B31" s="1487">
        <v>45188</v>
      </c>
      <c r="C31" s="600">
        <v>0</v>
      </c>
      <c r="D31" s="601">
        <v>0</v>
      </c>
      <c r="E31" s="602">
        <f t="shared" si="0"/>
        <v>0</v>
      </c>
      <c r="F31" s="615">
        <f t="shared" si="7"/>
        <v>0</v>
      </c>
      <c r="G31" s="395">
        <f t="shared" si="1"/>
        <v>0</v>
      </c>
      <c r="H31" s="604">
        <f t="shared" si="2"/>
        <v>0</v>
      </c>
      <c r="I31" s="152">
        <f t="shared" si="8"/>
        <v>0</v>
      </c>
      <c r="J31" s="167">
        <f t="shared" si="8"/>
        <v>0</v>
      </c>
      <c r="K31" s="602">
        <f t="shared" si="3"/>
        <v>0</v>
      </c>
      <c r="L31" s="646">
        <f>'ET Forecast Capital Additions'!$L31</f>
        <v>0.33333333333333331</v>
      </c>
      <c r="M31" s="152">
        <f t="shared" si="9"/>
        <v>0</v>
      </c>
      <c r="N31" s="167">
        <f t="shared" si="4"/>
        <v>0</v>
      </c>
      <c r="O31" s="404">
        <f t="shared" si="5"/>
        <v>0</v>
      </c>
      <c r="P31" s="345">
        <f t="shared" si="10"/>
        <v>21</v>
      </c>
      <c r="Q31" s="79"/>
      <c r="R31" s="79"/>
    </row>
    <row r="32" spans="1:18" x14ac:dyDescent="0.35">
      <c r="A32" s="345">
        <f t="shared" si="6"/>
        <v>22</v>
      </c>
      <c r="B32" s="1487">
        <v>45218</v>
      </c>
      <c r="C32" s="617">
        <v>0</v>
      </c>
      <c r="D32" s="601">
        <v>0</v>
      </c>
      <c r="E32" s="299">
        <f t="shared" si="0"/>
        <v>0</v>
      </c>
      <c r="F32" s="603">
        <f t="shared" si="7"/>
        <v>0</v>
      </c>
      <c r="G32" s="404">
        <f t="shared" si="1"/>
        <v>0</v>
      </c>
      <c r="H32" s="604">
        <f t="shared" si="2"/>
        <v>0</v>
      </c>
      <c r="I32" s="152">
        <f t="shared" si="8"/>
        <v>0</v>
      </c>
      <c r="J32" s="167">
        <f t="shared" si="8"/>
        <v>0</v>
      </c>
      <c r="K32" s="299">
        <f t="shared" si="3"/>
        <v>0</v>
      </c>
      <c r="L32" s="644">
        <f>'ET Forecast Capital Additions'!$L32</f>
        <v>0.25</v>
      </c>
      <c r="M32" s="152">
        <f t="shared" si="9"/>
        <v>0</v>
      </c>
      <c r="N32" s="167">
        <f t="shared" si="4"/>
        <v>0</v>
      </c>
      <c r="O32" s="604">
        <f t="shared" si="5"/>
        <v>0</v>
      </c>
      <c r="P32" s="345">
        <f t="shared" si="10"/>
        <v>22</v>
      </c>
      <c r="Q32" s="81"/>
      <c r="R32" s="81"/>
    </row>
    <row r="33" spans="1:18" x14ac:dyDescent="0.35">
      <c r="A33" s="345">
        <f t="shared" si="6"/>
        <v>23</v>
      </c>
      <c r="B33" s="1487">
        <v>45249</v>
      </c>
      <c r="C33" s="600">
        <v>0</v>
      </c>
      <c r="D33" s="601">
        <v>0</v>
      </c>
      <c r="E33" s="602">
        <f t="shared" si="0"/>
        <v>0</v>
      </c>
      <c r="F33" s="603">
        <f t="shared" si="7"/>
        <v>0</v>
      </c>
      <c r="G33" s="404">
        <f t="shared" si="1"/>
        <v>0</v>
      </c>
      <c r="H33" s="604">
        <f t="shared" si="2"/>
        <v>0</v>
      </c>
      <c r="I33" s="152">
        <f t="shared" si="8"/>
        <v>0</v>
      </c>
      <c r="J33" s="167">
        <f t="shared" si="8"/>
        <v>0</v>
      </c>
      <c r="K33" s="602">
        <f t="shared" si="3"/>
        <v>0</v>
      </c>
      <c r="L33" s="644">
        <f>'ET Forecast Capital Additions'!$L33</f>
        <v>0.16666666666666666</v>
      </c>
      <c r="M33" s="152">
        <f t="shared" si="9"/>
        <v>0</v>
      </c>
      <c r="N33" s="167">
        <f t="shared" si="4"/>
        <v>0</v>
      </c>
      <c r="O33" s="404">
        <f t="shared" si="5"/>
        <v>0</v>
      </c>
      <c r="P33" s="345">
        <f t="shared" si="10"/>
        <v>23</v>
      </c>
      <c r="Q33" s="79"/>
      <c r="R33" s="79"/>
    </row>
    <row r="34" spans="1:18" ht="16" thickBot="1" x14ac:dyDescent="0.4">
      <c r="A34" s="345">
        <f t="shared" si="6"/>
        <v>24</v>
      </c>
      <c r="B34" s="1487">
        <v>45279</v>
      </c>
      <c r="C34" s="600">
        <v>0</v>
      </c>
      <c r="D34" s="601">
        <v>0</v>
      </c>
      <c r="E34" s="602">
        <f t="shared" si="0"/>
        <v>0</v>
      </c>
      <c r="F34" s="608">
        <f t="shared" si="7"/>
        <v>0</v>
      </c>
      <c r="G34" s="609">
        <f t="shared" si="1"/>
        <v>0</v>
      </c>
      <c r="H34" s="604">
        <f t="shared" si="2"/>
        <v>0</v>
      </c>
      <c r="I34" s="611">
        <f t="shared" si="8"/>
        <v>0</v>
      </c>
      <c r="J34" s="612">
        <f t="shared" si="8"/>
        <v>0</v>
      </c>
      <c r="K34" s="602">
        <f t="shared" si="3"/>
        <v>0</v>
      </c>
      <c r="L34" s="644">
        <f>'ET Forecast Capital Additions'!$L34</f>
        <v>8.3333333333333329E-2</v>
      </c>
      <c r="M34" s="611">
        <f t="shared" si="9"/>
        <v>0</v>
      </c>
      <c r="N34" s="612">
        <f t="shared" si="4"/>
        <v>0</v>
      </c>
      <c r="O34" s="404">
        <f t="shared" si="5"/>
        <v>0</v>
      </c>
      <c r="P34" s="345">
        <f t="shared" si="10"/>
        <v>24</v>
      </c>
      <c r="Q34" s="79"/>
      <c r="R34" s="1125"/>
    </row>
    <row r="35" spans="1:18" ht="16" thickBot="1" x14ac:dyDescent="0.4">
      <c r="A35" s="345">
        <f t="shared" si="6"/>
        <v>25</v>
      </c>
      <c r="B35" s="1490" t="s">
        <v>31</v>
      </c>
      <c r="C35" s="560">
        <f t="shared" ref="C35:K35" si="11">SUM(C11:C34)</f>
        <v>0</v>
      </c>
      <c r="D35" s="557">
        <f t="shared" si="11"/>
        <v>0</v>
      </c>
      <c r="E35" s="558">
        <f t="shared" si="11"/>
        <v>0</v>
      </c>
      <c r="F35" s="556">
        <f t="shared" si="11"/>
        <v>0</v>
      </c>
      <c r="G35" s="557">
        <f t="shared" si="11"/>
        <v>0</v>
      </c>
      <c r="H35" s="559">
        <f t="shared" si="11"/>
        <v>0</v>
      </c>
      <c r="I35" s="560">
        <f t="shared" si="11"/>
        <v>0</v>
      </c>
      <c r="J35" s="557">
        <f t="shared" si="11"/>
        <v>0</v>
      </c>
      <c r="K35" s="558">
        <f t="shared" si="11"/>
        <v>0</v>
      </c>
      <c r="L35" s="561"/>
      <c r="M35" s="560">
        <f>SUM(M11:M34)</f>
        <v>0</v>
      </c>
      <c r="N35" s="557">
        <f>SUM(N11:N34)</f>
        <v>0</v>
      </c>
      <c r="O35" s="559">
        <f>SUM(O11:O34)</f>
        <v>0</v>
      </c>
      <c r="P35" s="345">
        <f t="shared" si="10"/>
        <v>25</v>
      </c>
      <c r="Q35" s="79"/>
      <c r="R35" s="79"/>
    </row>
    <row r="36" spans="1:18" x14ac:dyDescent="0.35">
      <c r="A36" s="345">
        <f>A35+1</f>
        <v>26</v>
      </c>
      <c r="B36" s="1445"/>
      <c r="C36" s="72"/>
      <c r="D36" s="72"/>
      <c r="E36" s="1491"/>
      <c r="F36" s="81"/>
      <c r="G36" s="81"/>
      <c r="H36" s="512"/>
      <c r="I36" s="81"/>
      <c r="J36" s="81"/>
      <c r="K36" s="512"/>
      <c r="L36" s="81"/>
      <c r="M36" s="81"/>
      <c r="N36" s="81"/>
      <c r="O36" s="562"/>
      <c r="P36" s="345">
        <f>P35+1</f>
        <v>26</v>
      </c>
      <c r="Q36" s="79"/>
      <c r="R36" s="79"/>
    </row>
    <row r="37" spans="1:18" s="1086" customFormat="1" x14ac:dyDescent="0.35">
      <c r="A37" s="345">
        <f>A36+1</f>
        <v>27</v>
      </c>
      <c r="B37" s="1492"/>
      <c r="C37" s="1493"/>
      <c r="D37" s="1493"/>
      <c r="E37" s="1494" t="s">
        <v>649</v>
      </c>
      <c r="F37" s="1495"/>
      <c r="G37" s="1495"/>
      <c r="H37" s="591">
        <f>'ET Forecast Capital Additions'!H37</f>
        <v>11467.787</v>
      </c>
      <c r="I37" s="564"/>
      <c r="J37" s="81" t="str">
        <f>'ET Forecast Capital Additions'!J37</f>
        <v>Form 1; Page 204-207; Line 58; Col. d</v>
      </c>
      <c r="K37" s="564"/>
      <c r="L37" s="1493"/>
      <c r="M37" s="1493"/>
      <c r="N37" s="1493"/>
      <c r="O37" s="1496"/>
      <c r="P37" s="345">
        <f>P36+1</f>
        <v>27</v>
      </c>
      <c r="Q37" s="79"/>
      <c r="R37" s="1497"/>
    </row>
    <row r="38" spans="1:18" s="1086" customFormat="1" x14ac:dyDescent="0.35">
      <c r="A38" s="345">
        <f>A37+1</f>
        <v>28</v>
      </c>
      <c r="B38" s="1492"/>
      <c r="C38" s="1493"/>
      <c r="D38" s="1493"/>
      <c r="E38" s="1494"/>
      <c r="F38" s="1495"/>
      <c r="G38" s="1495"/>
      <c r="H38" s="72"/>
      <c r="I38" s="564"/>
      <c r="J38" s="81"/>
      <c r="K38" s="564"/>
      <c r="L38" s="1493"/>
      <c r="M38" s="1493"/>
      <c r="N38" s="1493"/>
      <c r="O38" s="1496"/>
      <c r="P38" s="345">
        <f>P37+1</f>
        <v>28</v>
      </c>
      <c r="Q38" s="1497"/>
      <c r="R38" s="1497"/>
    </row>
    <row r="39" spans="1:18" s="1086" customFormat="1" x14ac:dyDescent="0.35">
      <c r="A39" s="345">
        <f t="shared" ref="A39:A41" si="12">A38+1</f>
        <v>29</v>
      </c>
      <c r="B39" s="1492"/>
      <c r="C39" s="1493"/>
      <c r="D39" s="1493"/>
      <c r="E39" s="1494" t="s">
        <v>650</v>
      </c>
      <c r="F39" s="1495"/>
      <c r="G39" s="1495"/>
      <c r="H39" s="592">
        <f>'ET Forecast Capital Additions'!H39</f>
        <v>7475889.3789999997</v>
      </c>
      <c r="I39" s="564"/>
      <c r="J39" s="81" t="str">
        <f>'ET Forecast Capital Additions'!J39</f>
        <v>Form 1; Page 204-207; Line 58; Col. g</v>
      </c>
      <c r="K39" s="564"/>
      <c r="L39" s="1493"/>
      <c r="M39" s="1493"/>
      <c r="N39" s="1493"/>
      <c r="O39" s="1496"/>
      <c r="P39" s="345">
        <f t="shared" ref="P39:P48" si="13">P38+1</f>
        <v>29</v>
      </c>
      <c r="Q39" s="1497"/>
      <c r="R39" s="1497"/>
    </row>
    <row r="40" spans="1:18" s="1086" customFormat="1" ht="16" thickBot="1" x14ac:dyDescent="0.4">
      <c r="A40" s="345">
        <f t="shared" si="12"/>
        <v>30</v>
      </c>
      <c r="B40" s="1492"/>
      <c r="C40" s="1493"/>
      <c r="D40" s="1493"/>
      <c r="E40" s="1495"/>
      <c r="F40" s="1495"/>
      <c r="G40" s="1495"/>
      <c r="H40" s="564"/>
      <c r="I40" s="564"/>
      <c r="J40" s="564"/>
      <c r="K40" s="564"/>
      <c r="L40" s="1493"/>
      <c r="M40" s="1493"/>
      <c r="N40" s="1493"/>
      <c r="O40" s="1496"/>
      <c r="P40" s="345">
        <f t="shared" si="13"/>
        <v>30</v>
      </c>
      <c r="Q40" s="1497"/>
      <c r="R40" s="1497"/>
    </row>
    <row r="41" spans="1:18" ht="16" thickBot="1" x14ac:dyDescent="0.4">
      <c r="A41" s="345">
        <f t="shared" si="12"/>
        <v>31</v>
      </c>
      <c r="B41" s="1445"/>
      <c r="C41" s="81"/>
      <c r="D41" s="81"/>
      <c r="E41" s="109" t="s">
        <v>699</v>
      </c>
      <c r="F41" s="81"/>
      <c r="G41" s="81"/>
      <c r="H41" s="565">
        <f>H37/H39</f>
        <v>1.5339695946027989E-3</v>
      </c>
      <c r="I41" s="81"/>
      <c r="J41" s="81" t="s">
        <v>1207</v>
      </c>
      <c r="K41" s="1498"/>
      <c r="L41" s="81"/>
      <c r="M41" s="81"/>
      <c r="N41" s="81"/>
      <c r="O41" s="1499"/>
      <c r="P41" s="345">
        <f t="shared" si="13"/>
        <v>31</v>
      </c>
      <c r="Q41" s="79"/>
      <c r="R41" s="79"/>
    </row>
    <row r="42" spans="1:18" ht="16" thickBot="1" x14ac:dyDescent="0.4">
      <c r="A42" s="345">
        <f t="shared" si="6"/>
        <v>32</v>
      </c>
      <c r="B42" s="1500"/>
      <c r="C42" s="366"/>
      <c r="D42" s="366"/>
      <c r="E42" s="566"/>
      <c r="F42" s="366"/>
      <c r="G42" s="366"/>
      <c r="H42" s="567"/>
      <c r="I42" s="366"/>
      <c r="J42" s="366"/>
      <c r="K42" s="366"/>
      <c r="L42" s="366"/>
      <c r="M42" s="366"/>
      <c r="N42" s="366"/>
      <c r="O42" s="568"/>
      <c r="P42" s="345">
        <f t="shared" si="13"/>
        <v>32</v>
      </c>
      <c r="Q42" s="1497"/>
      <c r="R42" s="79"/>
    </row>
    <row r="43" spans="1:18" ht="16" thickBot="1" x14ac:dyDescent="0.4">
      <c r="A43" s="345">
        <f t="shared" si="6"/>
        <v>33</v>
      </c>
      <c r="B43" s="1445"/>
      <c r="C43" s="81"/>
      <c r="D43" s="81"/>
      <c r="E43" s="72"/>
      <c r="F43" s="81"/>
      <c r="G43" s="81"/>
      <c r="H43" s="81"/>
      <c r="I43" s="81"/>
      <c r="J43" s="81"/>
      <c r="K43" s="512" t="s">
        <v>10</v>
      </c>
      <c r="L43" s="81"/>
      <c r="M43" s="1501"/>
      <c r="N43" s="1501"/>
      <c r="O43" s="1502"/>
      <c r="P43" s="345">
        <f t="shared" si="13"/>
        <v>33</v>
      </c>
      <c r="Q43" s="1497"/>
      <c r="R43" s="79"/>
    </row>
    <row r="44" spans="1:18" ht="16" thickBot="1" x14ac:dyDescent="0.4">
      <c r="A44" s="345">
        <f t="shared" si="6"/>
        <v>34</v>
      </c>
      <c r="B44" s="1503"/>
      <c r="C44" s="81"/>
      <c r="D44" s="1226"/>
      <c r="E44" s="1504"/>
      <c r="F44" s="1505"/>
      <c r="G44" s="1506"/>
      <c r="H44" s="1506" t="s">
        <v>530</v>
      </c>
      <c r="I44" s="1507" t="s">
        <v>700</v>
      </c>
      <c r="J44" s="1508" t="s">
        <v>701</v>
      </c>
      <c r="K44" s="1509" t="s">
        <v>531</v>
      </c>
      <c r="L44" s="109"/>
      <c r="M44" s="1510" t="s">
        <v>532</v>
      </c>
      <c r="N44" s="1511" t="s">
        <v>533</v>
      </c>
      <c r="O44" s="1512" t="s">
        <v>534</v>
      </c>
      <c r="P44" s="345">
        <f t="shared" si="13"/>
        <v>34</v>
      </c>
      <c r="Q44" s="1497"/>
      <c r="R44" s="79"/>
    </row>
    <row r="45" spans="1:18" ht="16" thickBot="1" x14ac:dyDescent="0.4">
      <c r="A45" s="345">
        <f t="shared" si="6"/>
        <v>35</v>
      </c>
      <c r="B45" s="1445"/>
      <c r="C45" s="81"/>
      <c r="D45" s="81"/>
      <c r="E45" s="1513"/>
      <c r="F45" s="1514"/>
      <c r="G45" s="1515"/>
      <c r="H45" s="1515" t="s">
        <v>535</v>
      </c>
      <c r="I45" s="569">
        <f>+I35</f>
        <v>0</v>
      </c>
      <c r="J45" s="569">
        <f>+J35</f>
        <v>0</v>
      </c>
      <c r="K45" s="569">
        <f>+K35</f>
        <v>0</v>
      </c>
      <c r="L45" s="571"/>
      <c r="M45" s="569">
        <f>+M35</f>
        <v>0</v>
      </c>
      <c r="N45" s="569">
        <f>+N35</f>
        <v>0</v>
      </c>
      <c r="O45" s="569">
        <f>+O35</f>
        <v>0</v>
      </c>
      <c r="P45" s="345">
        <f t="shared" si="13"/>
        <v>35</v>
      </c>
      <c r="Q45" s="79"/>
      <c r="R45" s="79"/>
    </row>
    <row r="46" spans="1:18" ht="16" thickTop="1" x14ac:dyDescent="0.35">
      <c r="A46" s="345">
        <f t="shared" si="6"/>
        <v>36</v>
      </c>
      <c r="B46" s="1445"/>
      <c r="C46" s="81"/>
      <c r="D46" s="81"/>
      <c r="E46" s="1445"/>
      <c r="F46" s="81"/>
      <c r="G46" s="1219"/>
      <c r="H46" s="1219"/>
      <c r="I46" s="594"/>
      <c r="J46" s="594"/>
      <c r="K46" s="594"/>
      <c r="L46" s="81"/>
      <c r="M46" s="594"/>
      <c r="N46" s="594"/>
      <c r="O46" s="594"/>
      <c r="P46" s="345">
        <f t="shared" si="13"/>
        <v>36</v>
      </c>
      <c r="Q46" s="79"/>
      <c r="R46" s="79"/>
    </row>
    <row r="47" spans="1:18" ht="16" thickBot="1" x14ac:dyDescent="0.4">
      <c r="A47" s="345">
        <f>A46+1</f>
        <v>37</v>
      </c>
      <c r="B47" s="1445"/>
      <c r="C47" s="81"/>
      <c r="D47" s="81"/>
      <c r="E47" s="1445"/>
      <c r="F47" s="81"/>
      <c r="G47" s="1219"/>
      <c r="H47" s="1516" t="s">
        <v>383</v>
      </c>
      <c r="I47" s="576">
        <f>IFERROR((+I45/K45),0)</f>
        <v>0</v>
      </c>
      <c r="J47" s="576">
        <f>IFERROR((+J45/K45),0)</f>
        <v>0</v>
      </c>
      <c r="K47" s="576">
        <f>I47+J47</f>
        <v>0</v>
      </c>
      <c r="L47" s="109"/>
      <c r="M47" s="576">
        <f>IFERROR((+M45/O45),0)</f>
        <v>0</v>
      </c>
      <c r="N47" s="576">
        <f>IFERROR((+N45/O45),0)</f>
        <v>0</v>
      </c>
      <c r="O47" s="576">
        <f>M47+N47</f>
        <v>0</v>
      </c>
      <c r="P47" s="345">
        <f>P46+1</f>
        <v>37</v>
      </c>
      <c r="Q47" s="79"/>
      <c r="R47" s="79"/>
    </row>
    <row r="48" spans="1:18" ht="16.5" thickTop="1" thickBot="1" x14ac:dyDescent="0.4">
      <c r="A48" s="345">
        <f t="shared" si="6"/>
        <v>38</v>
      </c>
      <c r="B48" s="1440"/>
      <c r="C48" s="81"/>
      <c r="D48" s="81"/>
      <c r="E48" s="1500"/>
      <c r="F48" s="366"/>
      <c r="G48" s="366"/>
      <c r="H48" s="366"/>
      <c r="I48" s="580"/>
      <c r="J48" s="580"/>
      <c r="K48" s="568"/>
      <c r="L48" s="81"/>
      <c r="M48" s="581"/>
      <c r="N48" s="582"/>
      <c r="O48" s="568"/>
      <c r="P48" s="345">
        <f t="shared" si="13"/>
        <v>38</v>
      </c>
      <c r="Q48" s="79"/>
      <c r="R48" s="79"/>
    </row>
    <row r="49" spans="1:18" ht="16" thickBot="1" x14ac:dyDescent="0.4">
      <c r="A49" s="345">
        <f t="shared" si="6"/>
        <v>39</v>
      </c>
      <c r="B49" s="1458"/>
      <c r="C49" s="366"/>
      <c r="D49" s="366"/>
      <c r="E49" s="366"/>
      <c r="F49" s="366"/>
      <c r="G49" s="366"/>
      <c r="H49" s="366"/>
      <c r="I49" s="366"/>
      <c r="J49" s="366"/>
      <c r="K49" s="366"/>
      <c r="L49" s="366"/>
      <c r="M49" s="366"/>
      <c r="N49" s="366"/>
      <c r="O49" s="568"/>
      <c r="P49" s="345">
        <f t="shared" si="10"/>
        <v>39</v>
      </c>
      <c r="Q49" s="79"/>
      <c r="R49" s="79"/>
    </row>
    <row r="50" spans="1:18" x14ac:dyDescent="0.35">
      <c r="A50" s="345"/>
      <c r="B50" s="109"/>
      <c r="C50" s="81"/>
      <c r="D50" s="81"/>
      <c r="E50" s="81"/>
      <c r="F50" s="81"/>
      <c r="G50" s="81"/>
      <c r="H50" s="81"/>
      <c r="I50" s="81"/>
      <c r="J50" s="81"/>
      <c r="K50" s="81"/>
      <c r="L50" s="81"/>
      <c r="M50" s="81"/>
      <c r="N50" s="81"/>
      <c r="O50" s="81"/>
      <c r="P50" s="345"/>
      <c r="Q50" s="79"/>
      <c r="R50" s="79"/>
    </row>
    <row r="51" spans="1:18" x14ac:dyDescent="0.35">
      <c r="A51" s="1563"/>
      <c r="B51" s="109"/>
      <c r="C51" s="81"/>
      <c r="D51" s="81"/>
      <c r="E51" s="81"/>
      <c r="F51" s="81"/>
      <c r="G51" s="81"/>
      <c r="H51" s="81"/>
      <c r="I51" s="81"/>
      <c r="J51" s="81"/>
      <c r="K51" s="81"/>
      <c r="L51" s="81"/>
      <c r="M51" s="81"/>
      <c r="N51" s="81"/>
      <c r="O51" s="81"/>
      <c r="P51" s="1563"/>
      <c r="Q51" s="79"/>
      <c r="R51" s="79"/>
    </row>
    <row r="52" spans="1:18" x14ac:dyDescent="0.35">
      <c r="A52" s="1563"/>
      <c r="B52" s="109"/>
      <c r="C52" s="81"/>
      <c r="D52" s="81"/>
      <c r="E52" s="81"/>
      <c r="F52" s="81"/>
      <c r="G52" s="81"/>
      <c r="H52" s="81"/>
      <c r="I52" s="81"/>
      <c r="J52" s="81"/>
      <c r="K52" s="81"/>
      <c r="L52" s="81"/>
      <c r="M52" s="81"/>
      <c r="N52" s="81"/>
      <c r="O52" s="81"/>
      <c r="P52" s="1563"/>
      <c r="Q52" s="79"/>
      <c r="R52" s="79"/>
    </row>
    <row r="53" spans="1:18" x14ac:dyDescent="0.35">
      <c r="A53" s="1563"/>
      <c r="B53" s="1530"/>
      <c r="C53" s="1531"/>
      <c r="D53" s="1531"/>
      <c r="E53" s="1531"/>
      <c r="F53" s="1531"/>
      <c r="G53" s="1531"/>
      <c r="H53" s="1531"/>
      <c r="I53" s="1531"/>
      <c r="J53" s="1531"/>
      <c r="K53" s="1531"/>
      <c r="L53" s="1125"/>
      <c r="M53" s="1531"/>
      <c r="N53" s="1531"/>
      <c r="O53" s="1531"/>
      <c r="P53" s="1563"/>
      <c r="Q53" s="79"/>
      <c r="R53" s="79"/>
    </row>
    <row r="54" spans="1:18" x14ac:dyDescent="0.35">
      <c r="A54" s="1563"/>
      <c r="B54" s="1530"/>
      <c r="C54" s="1531"/>
      <c r="D54" s="1531"/>
      <c r="E54" s="1531"/>
      <c r="F54" s="1531"/>
      <c r="G54" s="1531"/>
      <c r="H54" s="1531"/>
      <c r="I54" s="1531"/>
      <c r="J54" s="1531"/>
      <c r="K54" s="1531"/>
      <c r="L54" s="1125"/>
      <c r="M54" s="1531"/>
      <c r="N54" s="1531"/>
      <c r="O54" s="1531"/>
      <c r="P54" s="1563"/>
      <c r="Q54" s="79"/>
      <c r="R54" s="79"/>
    </row>
    <row r="55" spans="1:18" x14ac:dyDescent="0.35">
      <c r="A55" s="1563"/>
      <c r="B55" s="1530"/>
      <c r="C55" s="1531"/>
      <c r="D55" s="1531"/>
      <c r="E55" s="1531"/>
      <c r="F55" s="1531"/>
      <c r="G55" s="1531"/>
      <c r="H55" s="1531"/>
      <c r="I55" s="1531"/>
      <c r="J55" s="1531"/>
      <c r="K55" s="1531"/>
      <c r="L55" s="1125"/>
      <c r="M55" s="1531"/>
      <c r="N55" s="1531"/>
      <c r="O55" s="1531"/>
      <c r="P55" s="1563"/>
      <c r="Q55" s="79"/>
      <c r="R55" s="79"/>
    </row>
    <row r="56" spans="1:18" x14ac:dyDescent="0.35">
      <c r="A56" s="1563"/>
      <c r="B56" s="1530"/>
      <c r="C56" s="1531"/>
      <c r="D56" s="1531"/>
      <c r="E56" s="1531"/>
      <c r="F56" s="1531"/>
      <c r="G56" s="1531"/>
      <c r="H56" s="1531"/>
      <c r="I56" s="1531"/>
      <c r="J56" s="1531"/>
      <c r="K56" s="1531"/>
      <c r="L56" s="1125"/>
      <c r="M56" s="1531"/>
      <c r="N56" s="1531"/>
      <c r="O56" s="1531"/>
      <c r="P56" s="1563"/>
      <c r="Q56" s="79"/>
      <c r="R56" s="79"/>
    </row>
    <row r="57" spans="1:18" x14ac:dyDescent="0.35">
      <c r="A57" s="1563"/>
      <c r="B57" s="1530"/>
      <c r="C57" s="1531"/>
      <c r="D57" s="1531"/>
      <c r="E57" s="1531"/>
      <c r="F57" s="1531"/>
      <c r="G57" s="1531"/>
      <c r="H57" s="1531"/>
      <c r="I57" s="1531"/>
      <c r="J57" s="1531"/>
      <c r="K57" s="1531"/>
      <c r="L57" s="1125"/>
      <c r="M57" s="1531"/>
      <c r="N57" s="1531"/>
      <c r="O57" s="1531"/>
      <c r="P57" s="1563"/>
      <c r="Q57" s="79"/>
      <c r="R57" s="79"/>
    </row>
    <row r="58" spans="1:18" x14ac:dyDescent="0.35">
      <c r="A58" s="1563"/>
      <c r="B58" s="1530"/>
      <c r="C58" s="79"/>
      <c r="D58" s="79"/>
      <c r="E58" s="79"/>
      <c r="F58" s="79"/>
      <c r="G58" s="79"/>
      <c r="H58" s="79"/>
      <c r="I58" s="79"/>
      <c r="J58" s="79"/>
      <c r="K58" s="79"/>
      <c r="L58" s="79"/>
      <c r="M58" s="79"/>
      <c r="N58" s="79"/>
      <c r="O58" s="79"/>
      <c r="P58" s="1563"/>
      <c r="Q58" s="79"/>
      <c r="R58" s="79"/>
    </row>
  </sheetData>
  <mergeCells count="5">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Plant Additions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zoomScale="80" zoomScaleNormal="80" workbookViewId="0"/>
  </sheetViews>
  <sheetFormatPr defaultColWidth="9.08984375" defaultRowHeight="15.5" x14ac:dyDescent="0.35"/>
  <cols>
    <col min="1" max="1" width="5.08984375" style="1563" customWidth="1"/>
    <col min="2" max="2" width="8.54296875" style="79" customWidth="1"/>
    <col min="3" max="11" width="15.90625" style="79" customWidth="1"/>
    <col min="12" max="12" width="11.08984375" style="79" customWidth="1"/>
    <col min="13" max="15" width="15.90625" style="79" customWidth="1"/>
    <col min="16" max="16" width="5.08984375" style="1563" customWidth="1"/>
    <col min="17" max="17" width="9.08984375" style="79"/>
    <col min="18" max="18" width="9.54296875" style="79" bestFit="1" customWidth="1"/>
    <col min="19" max="16384" width="9.08984375" style="79"/>
  </cols>
  <sheetData>
    <row r="1" spans="1:16" x14ac:dyDescent="0.35">
      <c r="C1" s="701"/>
    </row>
    <row r="2" spans="1:16" x14ac:dyDescent="0.35">
      <c r="B2" s="2289" t="s">
        <v>18</v>
      </c>
      <c r="C2" s="2289"/>
      <c r="D2" s="2289"/>
      <c r="E2" s="2289"/>
      <c r="F2" s="2289"/>
      <c r="G2" s="2289"/>
      <c r="H2" s="2289"/>
      <c r="I2" s="2289"/>
      <c r="J2" s="2289"/>
      <c r="K2" s="2289"/>
      <c r="L2" s="2289"/>
      <c r="M2" s="2289"/>
      <c r="N2" s="2289"/>
      <c r="O2" s="2289"/>
    </row>
    <row r="3" spans="1:16" x14ac:dyDescent="0.35">
      <c r="B3" s="2289" t="s">
        <v>522</v>
      </c>
      <c r="C3" s="2289"/>
      <c r="D3" s="2289"/>
      <c r="E3" s="2289"/>
      <c r="F3" s="2289"/>
      <c r="G3" s="2289"/>
      <c r="H3" s="2289"/>
      <c r="I3" s="2289"/>
      <c r="J3" s="2289"/>
      <c r="K3" s="2289"/>
      <c r="L3" s="2289"/>
      <c r="M3" s="2289"/>
      <c r="N3" s="2289"/>
      <c r="O3" s="2289"/>
    </row>
    <row r="4" spans="1:16" x14ac:dyDescent="0.35">
      <c r="B4" s="2283" t="str">
        <f>'Summary of HV-LV Splits'!B4</f>
        <v>24-Month Forecast Period (January 1, 2022 - December 31, 2023)</v>
      </c>
      <c r="C4" s="2283"/>
      <c r="D4" s="2283"/>
      <c r="E4" s="2283"/>
      <c r="F4" s="2283"/>
      <c r="G4" s="2283"/>
      <c r="H4" s="2283"/>
      <c r="I4" s="2283"/>
      <c r="J4" s="2283"/>
      <c r="K4" s="2283"/>
      <c r="L4" s="2283"/>
      <c r="M4" s="2283"/>
      <c r="N4" s="2283"/>
      <c r="O4" s="2283"/>
    </row>
    <row r="5" spans="1:16" x14ac:dyDescent="0.35">
      <c r="B5" s="2289" t="s">
        <v>551</v>
      </c>
      <c r="C5" s="2289"/>
      <c r="D5" s="2289"/>
      <c r="E5" s="2289"/>
      <c r="F5" s="2289"/>
      <c r="G5" s="2289"/>
      <c r="H5" s="2289"/>
      <c r="I5" s="2289"/>
      <c r="J5" s="2289"/>
      <c r="K5" s="2289"/>
      <c r="L5" s="2289"/>
      <c r="M5" s="2289"/>
      <c r="N5" s="2289"/>
      <c r="O5" s="2289"/>
    </row>
    <row r="6" spans="1:16" x14ac:dyDescent="0.35">
      <c r="B6" s="2289" t="s">
        <v>552</v>
      </c>
      <c r="C6" s="2289"/>
      <c r="D6" s="2289"/>
      <c r="E6" s="2289"/>
      <c r="F6" s="2289"/>
      <c r="G6" s="2289"/>
      <c r="H6" s="2289"/>
      <c r="I6" s="2289"/>
      <c r="J6" s="2289"/>
      <c r="K6" s="2289"/>
      <c r="L6" s="2289"/>
      <c r="M6" s="2289"/>
      <c r="N6" s="2289"/>
      <c r="O6" s="2289"/>
    </row>
    <row r="7" spans="1:16" x14ac:dyDescent="0.35">
      <c r="B7" s="2319">
        <v>-1000</v>
      </c>
      <c r="C7" s="2319"/>
      <c r="D7" s="2319"/>
      <c r="E7" s="2319"/>
      <c r="F7" s="2319"/>
      <c r="G7" s="2319"/>
      <c r="H7" s="2319"/>
      <c r="I7" s="2319"/>
      <c r="J7" s="2319"/>
      <c r="K7" s="2319"/>
      <c r="L7" s="2319"/>
      <c r="M7" s="2319"/>
      <c r="N7" s="2319"/>
      <c r="O7" s="2319"/>
    </row>
    <row r="8" spans="1:16" ht="16" thickBot="1" x14ac:dyDescent="0.4"/>
    <row r="9" spans="1:16" s="88" customFormat="1" x14ac:dyDescent="0.35">
      <c r="A9" s="345" t="s">
        <v>3</v>
      </c>
      <c r="B9" s="624"/>
      <c r="C9" s="622" t="s">
        <v>550</v>
      </c>
      <c r="D9" s="620"/>
      <c r="E9" s="623"/>
      <c r="F9" s="619" t="s">
        <v>101</v>
      </c>
      <c r="G9" s="620"/>
      <c r="H9" s="621"/>
      <c r="I9" s="622" t="s">
        <v>524</v>
      </c>
      <c r="J9" s="620"/>
      <c r="K9" s="623"/>
      <c r="L9" s="624" t="s">
        <v>525</v>
      </c>
      <c r="M9" s="622" t="s">
        <v>526</v>
      </c>
      <c r="N9" s="620"/>
      <c r="O9" s="621"/>
      <c r="P9" s="345" t="s">
        <v>3</v>
      </c>
    </row>
    <row r="10" spans="1:16" s="88" customFormat="1" ht="16" thickBot="1" x14ac:dyDescent="0.4">
      <c r="A10" s="345" t="s">
        <v>25</v>
      </c>
      <c r="B10" s="1474" t="s">
        <v>527</v>
      </c>
      <c r="C10" s="1479" t="s">
        <v>528</v>
      </c>
      <c r="D10" s="1476" t="s">
        <v>529</v>
      </c>
      <c r="E10" s="1477" t="s">
        <v>31</v>
      </c>
      <c r="F10" s="1475" t="s">
        <v>528</v>
      </c>
      <c r="G10" s="1476" t="s">
        <v>529</v>
      </c>
      <c r="H10" s="1478" t="s">
        <v>31</v>
      </c>
      <c r="I10" s="1479" t="s">
        <v>528</v>
      </c>
      <c r="J10" s="1476" t="s">
        <v>529</v>
      </c>
      <c r="K10" s="1477" t="s">
        <v>31</v>
      </c>
      <c r="L10" s="1480" t="s">
        <v>34</v>
      </c>
      <c r="M10" s="1479" t="s">
        <v>528</v>
      </c>
      <c r="N10" s="1476" t="s">
        <v>529</v>
      </c>
      <c r="O10" s="1478" t="s">
        <v>31</v>
      </c>
      <c r="P10" s="693" t="s">
        <v>25</v>
      </c>
    </row>
    <row r="11" spans="1:16" s="109" customFormat="1" ht="15" x14ac:dyDescent="0.35">
      <c r="A11" s="595"/>
      <c r="B11" s="624"/>
      <c r="C11" s="595"/>
      <c r="D11" s="1483"/>
      <c r="E11" s="595"/>
      <c r="F11" s="1429"/>
      <c r="G11" s="1529"/>
      <c r="H11" s="1485"/>
      <c r="I11" s="595"/>
      <c r="J11" s="1483"/>
      <c r="K11" s="595"/>
      <c r="L11" s="1486"/>
      <c r="M11" s="595"/>
      <c r="N11" s="1483"/>
      <c r="O11" s="1485"/>
      <c r="P11" s="1566"/>
    </row>
    <row r="12" spans="1:16" x14ac:dyDescent="0.35">
      <c r="A12" s="345">
        <v>1</v>
      </c>
      <c r="B12" s="1487">
        <v>44580</v>
      </c>
      <c r="C12" s="596">
        <v>0</v>
      </c>
      <c r="D12" s="597">
        <v>0</v>
      </c>
      <c r="E12" s="387">
        <f t="shared" ref="E12:E35" si="0">C12+D12</f>
        <v>0</v>
      </c>
      <c r="F12" s="598">
        <f>C12*$H$42</f>
        <v>0</v>
      </c>
      <c r="G12" s="388">
        <f>D12*$H$42</f>
        <v>0</v>
      </c>
      <c r="H12" s="599">
        <f t="shared" ref="H12:H35" si="1">F12+G12</f>
        <v>0</v>
      </c>
      <c r="I12" s="151">
        <f>C12-F12</f>
        <v>0</v>
      </c>
      <c r="J12" s="165">
        <f>D12-G12</f>
        <v>0</v>
      </c>
      <c r="K12" s="387">
        <f t="shared" ref="K12:K35" si="2">I12+J12</f>
        <v>0</v>
      </c>
      <c r="L12" s="644">
        <f>'ET Forecast Capital Additions'!$L11</f>
        <v>1</v>
      </c>
      <c r="M12" s="151">
        <f t="shared" ref="M12:M35" si="3">I12*L12</f>
        <v>0</v>
      </c>
      <c r="N12" s="165">
        <f t="shared" ref="N12:N35" si="4">J12*L12</f>
        <v>0</v>
      </c>
      <c r="O12" s="388">
        <f t="shared" ref="O12:O35" si="5">M12+N12</f>
        <v>0</v>
      </c>
      <c r="P12" s="345">
        <f>A12</f>
        <v>1</v>
      </c>
    </row>
    <row r="13" spans="1:16" x14ac:dyDescent="0.35">
      <c r="A13" s="345">
        <f t="shared" ref="A13:A50" si="6">A12+1</f>
        <v>2</v>
      </c>
      <c r="B13" s="1487">
        <v>44611</v>
      </c>
      <c r="C13" s="600">
        <v>0</v>
      </c>
      <c r="D13" s="601">
        <v>0</v>
      </c>
      <c r="E13" s="602">
        <f t="shared" si="0"/>
        <v>0</v>
      </c>
      <c r="F13" s="603">
        <f t="shared" ref="F13:G35" si="7">C13*$H$42</f>
        <v>0</v>
      </c>
      <c r="G13" s="404">
        <f t="shared" si="7"/>
        <v>0</v>
      </c>
      <c r="H13" s="604">
        <f t="shared" si="1"/>
        <v>0</v>
      </c>
      <c r="I13" s="152">
        <f t="shared" ref="I13:J35" si="8">C13-F13</f>
        <v>0</v>
      </c>
      <c r="J13" s="167">
        <f t="shared" si="8"/>
        <v>0</v>
      </c>
      <c r="K13" s="602">
        <f t="shared" si="2"/>
        <v>0</v>
      </c>
      <c r="L13" s="644">
        <f>'ET Forecast Capital Additions'!$L12</f>
        <v>1</v>
      </c>
      <c r="M13" s="152">
        <f t="shared" si="3"/>
        <v>0</v>
      </c>
      <c r="N13" s="167">
        <f t="shared" si="4"/>
        <v>0</v>
      </c>
      <c r="O13" s="404">
        <f t="shared" si="5"/>
        <v>0</v>
      </c>
      <c r="P13" s="345">
        <f t="shared" ref="P13:P50" si="9">P12+1</f>
        <v>2</v>
      </c>
    </row>
    <row r="14" spans="1:16" x14ac:dyDescent="0.35">
      <c r="A14" s="345">
        <f t="shared" si="6"/>
        <v>3</v>
      </c>
      <c r="B14" s="1487">
        <v>44639</v>
      </c>
      <c r="C14" s="600">
        <v>0</v>
      </c>
      <c r="D14" s="601">
        <v>0</v>
      </c>
      <c r="E14" s="602">
        <f t="shared" si="0"/>
        <v>0</v>
      </c>
      <c r="F14" s="603">
        <f t="shared" si="7"/>
        <v>0</v>
      </c>
      <c r="G14" s="404">
        <f t="shared" si="7"/>
        <v>0</v>
      </c>
      <c r="H14" s="604">
        <f t="shared" si="1"/>
        <v>0</v>
      </c>
      <c r="I14" s="152">
        <f t="shared" si="8"/>
        <v>0</v>
      </c>
      <c r="J14" s="167">
        <f t="shared" si="8"/>
        <v>0</v>
      </c>
      <c r="K14" s="602">
        <f t="shared" si="2"/>
        <v>0</v>
      </c>
      <c r="L14" s="644">
        <f>'ET Forecast Capital Additions'!$L13</f>
        <v>1</v>
      </c>
      <c r="M14" s="152">
        <f t="shared" si="3"/>
        <v>0</v>
      </c>
      <c r="N14" s="167">
        <f t="shared" si="4"/>
        <v>0</v>
      </c>
      <c r="O14" s="404">
        <f t="shared" si="5"/>
        <v>0</v>
      </c>
      <c r="P14" s="345">
        <f t="shared" si="9"/>
        <v>3</v>
      </c>
    </row>
    <row r="15" spans="1:16" ht="16" thickBot="1" x14ac:dyDescent="0.4">
      <c r="A15" s="345">
        <f t="shared" si="6"/>
        <v>4</v>
      </c>
      <c r="B15" s="1488">
        <v>44670</v>
      </c>
      <c r="C15" s="605">
        <v>0</v>
      </c>
      <c r="D15" s="606">
        <v>0</v>
      </c>
      <c r="E15" s="607">
        <f t="shared" si="0"/>
        <v>0</v>
      </c>
      <c r="F15" s="608">
        <f t="shared" si="7"/>
        <v>0</v>
      </c>
      <c r="G15" s="609">
        <f t="shared" si="7"/>
        <v>0</v>
      </c>
      <c r="H15" s="610">
        <f t="shared" si="1"/>
        <v>0</v>
      </c>
      <c r="I15" s="611">
        <f t="shared" si="8"/>
        <v>0</v>
      </c>
      <c r="J15" s="612">
        <f t="shared" si="8"/>
        <v>0</v>
      </c>
      <c r="K15" s="607">
        <f t="shared" si="2"/>
        <v>0</v>
      </c>
      <c r="L15" s="645">
        <f>'ET Forecast Capital Additions'!$L14</f>
        <v>1</v>
      </c>
      <c r="M15" s="611">
        <f t="shared" si="3"/>
        <v>0</v>
      </c>
      <c r="N15" s="612">
        <f t="shared" si="4"/>
        <v>0</v>
      </c>
      <c r="O15" s="609">
        <f t="shared" si="5"/>
        <v>0</v>
      </c>
      <c r="P15" s="345">
        <f t="shared" si="9"/>
        <v>4</v>
      </c>
    </row>
    <row r="16" spans="1:16" x14ac:dyDescent="0.35">
      <c r="A16" s="345">
        <f t="shared" si="6"/>
        <v>5</v>
      </c>
      <c r="B16" s="1487">
        <v>44700</v>
      </c>
      <c r="C16" s="613">
        <v>0</v>
      </c>
      <c r="D16" s="614">
        <v>0</v>
      </c>
      <c r="E16" s="394">
        <f t="shared" si="0"/>
        <v>0</v>
      </c>
      <c r="F16" s="615">
        <f t="shared" si="7"/>
        <v>0</v>
      </c>
      <c r="G16" s="395">
        <f t="shared" si="7"/>
        <v>0</v>
      </c>
      <c r="H16" s="616">
        <f t="shared" si="1"/>
        <v>0</v>
      </c>
      <c r="I16" s="152">
        <f t="shared" si="8"/>
        <v>0</v>
      </c>
      <c r="J16" s="167">
        <f t="shared" si="8"/>
        <v>0</v>
      </c>
      <c r="K16" s="394">
        <f t="shared" si="2"/>
        <v>0</v>
      </c>
      <c r="L16" s="646">
        <f>'ET Forecast Capital Additions'!$L15</f>
        <v>1</v>
      </c>
      <c r="M16" s="152">
        <f t="shared" si="3"/>
        <v>0</v>
      </c>
      <c r="N16" s="167">
        <f t="shared" si="4"/>
        <v>0</v>
      </c>
      <c r="O16" s="395">
        <f t="shared" si="5"/>
        <v>0</v>
      </c>
      <c r="P16" s="345">
        <f t="shared" si="9"/>
        <v>5</v>
      </c>
    </row>
    <row r="17" spans="1:16" x14ac:dyDescent="0.35">
      <c r="A17" s="345">
        <f t="shared" si="6"/>
        <v>6</v>
      </c>
      <c r="B17" s="1487">
        <v>44731</v>
      </c>
      <c r="C17" s="600">
        <v>0</v>
      </c>
      <c r="D17" s="601">
        <v>0</v>
      </c>
      <c r="E17" s="602">
        <f t="shared" si="0"/>
        <v>0</v>
      </c>
      <c r="F17" s="603">
        <f t="shared" si="7"/>
        <v>0</v>
      </c>
      <c r="G17" s="404">
        <f t="shared" si="7"/>
        <v>0</v>
      </c>
      <c r="H17" s="604">
        <f t="shared" si="1"/>
        <v>0</v>
      </c>
      <c r="I17" s="152">
        <f t="shared" si="8"/>
        <v>0</v>
      </c>
      <c r="J17" s="167">
        <f t="shared" si="8"/>
        <v>0</v>
      </c>
      <c r="K17" s="602">
        <f t="shared" si="2"/>
        <v>0</v>
      </c>
      <c r="L17" s="644">
        <f>'ET Forecast Capital Additions'!$L16</f>
        <v>1</v>
      </c>
      <c r="M17" s="152">
        <f t="shared" si="3"/>
        <v>0</v>
      </c>
      <c r="N17" s="167">
        <f t="shared" si="4"/>
        <v>0</v>
      </c>
      <c r="O17" s="404">
        <f t="shared" si="5"/>
        <v>0</v>
      </c>
      <c r="P17" s="345">
        <f t="shared" si="9"/>
        <v>6</v>
      </c>
    </row>
    <row r="18" spans="1:16" x14ac:dyDescent="0.35">
      <c r="A18" s="345">
        <f t="shared" si="6"/>
        <v>7</v>
      </c>
      <c r="B18" s="1487">
        <v>44761</v>
      </c>
      <c r="C18" s="600">
        <v>0</v>
      </c>
      <c r="D18" s="601">
        <v>0</v>
      </c>
      <c r="E18" s="602">
        <f t="shared" si="0"/>
        <v>0</v>
      </c>
      <c r="F18" s="603">
        <f t="shared" si="7"/>
        <v>0</v>
      </c>
      <c r="G18" s="404">
        <f t="shared" si="7"/>
        <v>0</v>
      </c>
      <c r="H18" s="604">
        <f t="shared" si="1"/>
        <v>0</v>
      </c>
      <c r="I18" s="152">
        <f t="shared" si="8"/>
        <v>0</v>
      </c>
      <c r="J18" s="167">
        <f t="shared" si="8"/>
        <v>0</v>
      </c>
      <c r="K18" s="602">
        <f t="shared" si="2"/>
        <v>0</v>
      </c>
      <c r="L18" s="644">
        <f>'ET Forecast Capital Additions'!$L17</f>
        <v>1</v>
      </c>
      <c r="M18" s="152">
        <f t="shared" si="3"/>
        <v>0</v>
      </c>
      <c r="N18" s="167">
        <f t="shared" si="4"/>
        <v>0</v>
      </c>
      <c r="O18" s="404">
        <f t="shared" si="5"/>
        <v>0</v>
      </c>
      <c r="P18" s="345">
        <f t="shared" si="9"/>
        <v>7</v>
      </c>
    </row>
    <row r="19" spans="1:16" ht="16" thickBot="1" x14ac:dyDescent="0.4">
      <c r="A19" s="345">
        <f t="shared" si="6"/>
        <v>8</v>
      </c>
      <c r="B19" s="1488">
        <v>44792</v>
      </c>
      <c r="C19" s="605">
        <v>0</v>
      </c>
      <c r="D19" s="606">
        <v>0</v>
      </c>
      <c r="E19" s="607">
        <f t="shared" si="0"/>
        <v>0</v>
      </c>
      <c r="F19" s="608">
        <f t="shared" si="7"/>
        <v>0</v>
      </c>
      <c r="G19" s="609">
        <f t="shared" si="7"/>
        <v>0</v>
      </c>
      <c r="H19" s="610">
        <f t="shared" si="1"/>
        <v>0</v>
      </c>
      <c r="I19" s="611">
        <f t="shared" si="8"/>
        <v>0</v>
      </c>
      <c r="J19" s="612">
        <f t="shared" si="8"/>
        <v>0</v>
      </c>
      <c r="K19" s="607">
        <f t="shared" si="2"/>
        <v>0</v>
      </c>
      <c r="L19" s="645">
        <f>'ET Forecast Capital Additions'!$L18</f>
        <v>1</v>
      </c>
      <c r="M19" s="611">
        <f t="shared" si="3"/>
        <v>0</v>
      </c>
      <c r="N19" s="612">
        <f t="shared" si="4"/>
        <v>0</v>
      </c>
      <c r="O19" s="609">
        <f t="shared" si="5"/>
        <v>0</v>
      </c>
      <c r="P19" s="345">
        <f t="shared" si="9"/>
        <v>8</v>
      </c>
    </row>
    <row r="20" spans="1:16" x14ac:dyDescent="0.35">
      <c r="A20" s="345">
        <f t="shared" si="6"/>
        <v>9</v>
      </c>
      <c r="B20" s="1487">
        <v>44823</v>
      </c>
      <c r="C20" s="613">
        <v>0</v>
      </c>
      <c r="D20" s="614">
        <v>0</v>
      </c>
      <c r="E20" s="394">
        <f t="shared" si="0"/>
        <v>0</v>
      </c>
      <c r="F20" s="615">
        <f t="shared" si="7"/>
        <v>0</v>
      </c>
      <c r="G20" s="395">
        <f t="shared" si="7"/>
        <v>0</v>
      </c>
      <c r="H20" s="616">
        <f t="shared" si="1"/>
        <v>0</v>
      </c>
      <c r="I20" s="152">
        <f t="shared" si="8"/>
        <v>0</v>
      </c>
      <c r="J20" s="167">
        <f t="shared" si="8"/>
        <v>0</v>
      </c>
      <c r="K20" s="394">
        <f t="shared" si="2"/>
        <v>0</v>
      </c>
      <c r="L20" s="646">
        <f>'ET Forecast Capital Additions'!$L19</f>
        <v>1</v>
      </c>
      <c r="M20" s="152">
        <f t="shared" si="3"/>
        <v>0</v>
      </c>
      <c r="N20" s="167">
        <f t="shared" si="4"/>
        <v>0</v>
      </c>
      <c r="O20" s="395">
        <f t="shared" si="5"/>
        <v>0</v>
      </c>
      <c r="P20" s="345">
        <f t="shared" si="9"/>
        <v>9</v>
      </c>
    </row>
    <row r="21" spans="1:16" x14ac:dyDescent="0.35">
      <c r="A21" s="345">
        <f t="shared" si="6"/>
        <v>10</v>
      </c>
      <c r="B21" s="1487">
        <v>44853</v>
      </c>
      <c r="C21" s="600">
        <v>0</v>
      </c>
      <c r="D21" s="601">
        <v>0</v>
      </c>
      <c r="E21" s="602">
        <f t="shared" si="0"/>
        <v>0</v>
      </c>
      <c r="F21" s="603">
        <f t="shared" si="7"/>
        <v>0</v>
      </c>
      <c r="G21" s="404">
        <f t="shared" si="7"/>
        <v>0</v>
      </c>
      <c r="H21" s="604">
        <f t="shared" si="1"/>
        <v>0</v>
      </c>
      <c r="I21" s="152">
        <f t="shared" si="8"/>
        <v>0</v>
      </c>
      <c r="J21" s="167">
        <f t="shared" si="8"/>
        <v>0</v>
      </c>
      <c r="K21" s="602">
        <f t="shared" si="2"/>
        <v>0</v>
      </c>
      <c r="L21" s="644">
        <f>'ET Forecast Capital Additions'!$L20</f>
        <v>1</v>
      </c>
      <c r="M21" s="152">
        <f t="shared" si="3"/>
        <v>0</v>
      </c>
      <c r="N21" s="167">
        <f t="shared" si="4"/>
        <v>0</v>
      </c>
      <c r="O21" s="404">
        <f t="shared" si="5"/>
        <v>0</v>
      </c>
      <c r="P21" s="345">
        <f t="shared" si="9"/>
        <v>10</v>
      </c>
    </row>
    <row r="22" spans="1:16" s="81" customFormat="1" x14ac:dyDescent="0.35">
      <c r="A22" s="345">
        <f t="shared" si="6"/>
        <v>11</v>
      </c>
      <c r="B22" s="1487">
        <v>44884</v>
      </c>
      <c r="C22" s="617">
        <v>0</v>
      </c>
      <c r="D22" s="601">
        <v>0</v>
      </c>
      <c r="E22" s="299">
        <f t="shared" si="0"/>
        <v>0</v>
      </c>
      <c r="F22" s="603">
        <f t="shared" si="7"/>
        <v>0</v>
      </c>
      <c r="G22" s="404">
        <f t="shared" si="7"/>
        <v>0</v>
      </c>
      <c r="H22" s="604">
        <f t="shared" si="1"/>
        <v>0</v>
      </c>
      <c r="I22" s="152">
        <f t="shared" si="8"/>
        <v>0</v>
      </c>
      <c r="J22" s="167">
        <f t="shared" si="8"/>
        <v>0</v>
      </c>
      <c r="K22" s="299">
        <f t="shared" si="2"/>
        <v>0</v>
      </c>
      <c r="L22" s="644">
        <f>'ET Forecast Capital Additions'!$L21</f>
        <v>1</v>
      </c>
      <c r="M22" s="152">
        <f t="shared" si="3"/>
        <v>0</v>
      </c>
      <c r="N22" s="167">
        <f t="shared" si="4"/>
        <v>0</v>
      </c>
      <c r="O22" s="604">
        <f t="shared" si="5"/>
        <v>0</v>
      </c>
      <c r="P22" s="345">
        <f t="shared" si="9"/>
        <v>11</v>
      </c>
    </row>
    <row r="23" spans="1:16" ht="16" thickBot="1" x14ac:dyDescent="0.4">
      <c r="A23" s="345">
        <f t="shared" si="6"/>
        <v>12</v>
      </c>
      <c r="B23" s="1487">
        <v>44914</v>
      </c>
      <c r="C23" s="605">
        <v>0</v>
      </c>
      <c r="D23" s="606">
        <v>0</v>
      </c>
      <c r="E23" s="607">
        <f t="shared" si="0"/>
        <v>0</v>
      </c>
      <c r="F23" s="608">
        <f t="shared" si="7"/>
        <v>0</v>
      </c>
      <c r="G23" s="609">
        <f t="shared" si="7"/>
        <v>0</v>
      </c>
      <c r="H23" s="610">
        <f t="shared" si="1"/>
        <v>0</v>
      </c>
      <c r="I23" s="611">
        <f t="shared" si="8"/>
        <v>0</v>
      </c>
      <c r="J23" s="612">
        <f t="shared" si="8"/>
        <v>0</v>
      </c>
      <c r="K23" s="607">
        <f t="shared" si="2"/>
        <v>0</v>
      </c>
      <c r="L23" s="645">
        <f>'ET Forecast Capital Additions'!$L22</f>
        <v>1</v>
      </c>
      <c r="M23" s="611">
        <f t="shared" si="3"/>
        <v>0</v>
      </c>
      <c r="N23" s="612">
        <f t="shared" si="4"/>
        <v>0</v>
      </c>
      <c r="O23" s="609">
        <f t="shared" si="5"/>
        <v>0</v>
      </c>
      <c r="P23" s="345">
        <f t="shared" si="9"/>
        <v>12</v>
      </c>
    </row>
    <row r="24" spans="1:16" x14ac:dyDescent="0.35">
      <c r="A24" s="345">
        <f t="shared" si="6"/>
        <v>13</v>
      </c>
      <c r="B24" s="1489">
        <v>44945</v>
      </c>
      <c r="C24" s="613">
        <v>0</v>
      </c>
      <c r="D24" s="614">
        <v>0</v>
      </c>
      <c r="E24" s="394">
        <f t="shared" si="0"/>
        <v>0</v>
      </c>
      <c r="F24" s="615">
        <f t="shared" si="7"/>
        <v>0</v>
      </c>
      <c r="G24" s="395">
        <f t="shared" si="7"/>
        <v>0</v>
      </c>
      <c r="H24" s="616">
        <f t="shared" si="1"/>
        <v>0</v>
      </c>
      <c r="I24" s="152">
        <f t="shared" si="8"/>
        <v>0</v>
      </c>
      <c r="J24" s="167">
        <f t="shared" si="8"/>
        <v>0</v>
      </c>
      <c r="K24" s="394">
        <f t="shared" si="2"/>
        <v>0</v>
      </c>
      <c r="L24" s="646">
        <f>'ET Forecast Capital Additions'!$L23</f>
        <v>1</v>
      </c>
      <c r="M24" s="152">
        <f t="shared" si="3"/>
        <v>0</v>
      </c>
      <c r="N24" s="167">
        <f t="shared" si="4"/>
        <v>0</v>
      </c>
      <c r="O24" s="395">
        <f t="shared" si="5"/>
        <v>0</v>
      </c>
      <c r="P24" s="345">
        <f t="shared" si="9"/>
        <v>13</v>
      </c>
    </row>
    <row r="25" spans="1:16" x14ac:dyDescent="0.35">
      <c r="A25" s="345">
        <f t="shared" si="6"/>
        <v>14</v>
      </c>
      <c r="B25" s="1487">
        <v>44976</v>
      </c>
      <c r="C25" s="600">
        <v>0</v>
      </c>
      <c r="D25" s="601">
        <v>0</v>
      </c>
      <c r="E25" s="602">
        <f t="shared" si="0"/>
        <v>0</v>
      </c>
      <c r="F25" s="603">
        <f t="shared" si="7"/>
        <v>0</v>
      </c>
      <c r="G25" s="404">
        <f t="shared" si="7"/>
        <v>0</v>
      </c>
      <c r="H25" s="604">
        <f t="shared" si="1"/>
        <v>0</v>
      </c>
      <c r="I25" s="152">
        <f t="shared" si="8"/>
        <v>0</v>
      </c>
      <c r="J25" s="167">
        <f t="shared" si="8"/>
        <v>0</v>
      </c>
      <c r="K25" s="602">
        <f t="shared" si="2"/>
        <v>0</v>
      </c>
      <c r="L25" s="644">
        <f>'ET Forecast Capital Additions'!$L24</f>
        <v>0.91666666666666663</v>
      </c>
      <c r="M25" s="152">
        <f t="shared" si="3"/>
        <v>0</v>
      </c>
      <c r="N25" s="167">
        <f t="shared" si="4"/>
        <v>0</v>
      </c>
      <c r="O25" s="404">
        <f t="shared" si="5"/>
        <v>0</v>
      </c>
      <c r="P25" s="345">
        <f t="shared" si="9"/>
        <v>14</v>
      </c>
    </row>
    <row r="26" spans="1:16" x14ac:dyDescent="0.35">
      <c r="A26" s="345">
        <f t="shared" si="6"/>
        <v>15</v>
      </c>
      <c r="B26" s="1487">
        <v>45004</v>
      </c>
      <c r="C26" s="600">
        <v>0</v>
      </c>
      <c r="D26" s="601">
        <v>0</v>
      </c>
      <c r="E26" s="602">
        <f t="shared" si="0"/>
        <v>0</v>
      </c>
      <c r="F26" s="603">
        <f t="shared" si="7"/>
        <v>0</v>
      </c>
      <c r="G26" s="404">
        <f t="shared" si="7"/>
        <v>0</v>
      </c>
      <c r="H26" s="604">
        <f t="shared" si="1"/>
        <v>0</v>
      </c>
      <c r="I26" s="152">
        <f t="shared" si="8"/>
        <v>0</v>
      </c>
      <c r="J26" s="167">
        <f t="shared" si="8"/>
        <v>0</v>
      </c>
      <c r="K26" s="602">
        <f t="shared" si="2"/>
        <v>0</v>
      </c>
      <c r="L26" s="644">
        <f>'ET Forecast Capital Additions'!$L25</f>
        <v>0.83333333333333337</v>
      </c>
      <c r="M26" s="152">
        <f t="shared" si="3"/>
        <v>0</v>
      </c>
      <c r="N26" s="167">
        <f t="shared" si="4"/>
        <v>0</v>
      </c>
      <c r="O26" s="404">
        <f t="shared" si="5"/>
        <v>0</v>
      </c>
      <c r="P26" s="345">
        <f t="shared" si="9"/>
        <v>15</v>
      </c>
    </row>
    <row r="27" spans="1:16" ht="16" thickBot="1" x14ac:dyDescent="0.4">
      <c r="A27" s="345">
        <f t="shared" si="6"/>
        <v>16</v>
      </c>
      <c r="B27" s="1488">
        <v>45035</v>
      </c>
      <c r="C27" s="605">
        <v>0</v>
      </c>
      <c r="D27" s="606">
        <v>0</v>
      </c>
      <c r="E27" s="607">
        <f t="shared" si="0"/>
        <v>0</v>
      </c>
      <c r="F27" s="608">
        <f t="shared" si="7"/>
        <v>0</v>
      </c>
      <c r="G27" s="609">
        <f t="shared" si="7"/>
        <v>0</v>
      </c>
      <c r="H27" s="610">
        <f t="shared" si="1"/>
        <v>0</v>
      </c>
      <c r="I27" s="611">
        <f t="shared" si="8"/>
        <v>0</v>
      </c>
      <c r="J27" s="612">
        <f t="shared" si="8"/>
        <v>0</v>
      </c>
      <c r="K27" s="607">
        <f t="shared" si="2"/>
        <v>0</v>
      </c>
      <c r="L27" s="645">
        <f>'ET Forecast Capital Additions'!$L26</f>
        <v>0.75</v>
      </c>
      <c r="M27" s="611">
        <f t="shared" si="3"/>
        <v>0</v>
      </c>
      <c r="N27" s="612">
        <f t="shared" si="4"/>
        <v>0</v>
      </c>
      <c r="O27" s="609">
        <f t="shared" si="5"/>
        <v>0</v>
      </c>
      <c r="P27" s="345">
        <f t="shared" si="9"/>
        <v>16</v>
      </c>
    </row>
    <row r="28" spans="1:16" s="81" customFormat="1" x14ac:dyDescent="0.35">
      <c r="A28" s="345">
        <f t="shared" si="6"/>
        <v>17</v>
      </c>
      <c r="B28" s="1487">
        <v>45065</v>
      </c>
      <c r="C28" s="617">
        <v>0</v>
      </c>
      <c r="D28" s="601">
        <v>0</v>
      </c>
      <c r="E28" s="299">
        <f t="shared" si="0"/>
        <v>0</v>
      </c>
      <c r="F28" s="615">
        <f t="shared" si="7"/>
        <v>0</v>
      </c>
      <c r="G28" s="395">
        <f t="shared" si="7"/>
        <v>0</v>
      </c>
      <c r="H28" s="604">
        <f t="shared" si="1"/>
        <v>0</v>
      </c>
      <c r="I28" s="152">
        <f t="shared" si="8"/>
        <v>0</v>
      </c>
      <c r="J28" s="167">
        <f t="shared" si="8"/>
        <v>0</v>
      </c>
      <c r="K28" s="299">
        <f t="shared" si="2"/>
        <v>0</v>
      </c>
      <c r="L28" s="646">
        <f>'ET Forecast Capital Additions'!$L27</f>
        <v>0.66666666666666663</v>
      </c>
      <c r="M28" s="152">
        <f t="shared" si="3"/>
        <v>0</v>
      </c>
      <c r="N28" s="167">
        <f t="shared" si="4"/>
        <v>0</v>
      </c>
      <c r="O28" s="604">
        <f t="shared" si="5"/>
        <v>0</v>
      </c>
      <c r="P28" s="345">
        <f t="shared" si="9"/>
        <v>17</v>
      </c>
    </row>
    <row r="29" spans="1:16" x14ac:dyDescent="0.35">
      <c r="A29" s="345">
        <f t="shared" si="6"/>
        <v>18</v>
      </c>
      <c r="B29" s="1487">
        <v>45096</v>
      </c>
      <c r="C29" s="600">
        <v>0</v>
      </c>
      <c r="D29" s="601">
        <v>0</v>
      </c>
      <c r="E29" s="602">
        <f t="shared" si="0"/>
        <v>0</v>
      </c>
      <c r="F29" s="603">
        <f t="shared" si="7"/>
        <v>0</v>
      </c>
      <c r="G29" s="404">
        <f t="shared" si="7"/>
        <v>0</v>
      </c>
      <c r="H29" s="604">
        <f t="shared" si="1"/>
        <v>0</v>
      </c>
      <c r="I29" s="152">
        <f t="shared" si="8"/>
        <v>0</v>
      </c>
      <c r="J29" s="167">
        <f t="shared" si="8"/>
        <v>0</v>
      </c>
      <c r="K29" s="602">
        <f t="shared" si="2"/>
        <v>0</v>
      </c>
      <c r="L29" s="644">
        <f>'ET Forecast Capital Additions'!$L28</f>
        <v>0.58333333333333337</v>
      </c>
      <c r="M29" s="152">
        <f t="shared" si="3"/>
        <v>0</v>
      </c>
      <c r="N29" s="167">
        <f t="shared" si="4"/>
        <v>0</v>
      </c>
      <c r="O29" s="404">
        <f t="shared" si="5"/>
        <v>0</v>
      </c>
      <c r="P29" s="345">
        <f t="shared" si="9"/>
        <v>18</v>
      </c>
    </row>
    <row r="30" spans="1:16" x14ac:dyDescent="0.35">
      <c r="A30" s="345">
        <f t="shared" si="6"/>
        <v>19</v>
      </c>
      <c r="B30" s="1487">
        <v>45126</v>
      </c>
      <c r="C30" s="600">
        <v>0</v>
      </c>
      <c r="D30" s="601">
        <v>0</v>
      </c>
      <c r="E30" s="602">
        <f t="shared" si="0"/>
        <v>0</v>
      </c>
      <c r="F30" s="603">
        <f t="shared" si="7"/>
        <v>0</v>
      </c>
      <c r="G30" s="404">
        <f t="shared" si="7"/>
        <v>0</v>
      </c>
      <c r="H30" s="604">
        <f t="shared" si="1"/>
        <v>0</v>
      </c>
      <c r="I30" s="152">
        <f t="shared" si="8"/>
        <v>0</v>
      </c>
      <c r="J30" s="167">
        <f t="shared" si="8"/>
        <v>0</v>
      </c>
      <c r="K30" s="602">
        <f t="shared" si="2"/>
        <v>0</v>
      </c>
      <c r="L30" s="644">
        <f>'ET Forecast Capital Additions'!$L29</f>
        <v>0.5</v>
      </c>
      <c r="M30" s="152">
        <f t="shared" si="3"/>
        <v>0</v>
      </c>
      <c r="N30" s="167">
        <f t="shared" si="4"/>
        <v>0</v>
      </c>
      <c r="O30" s="404">
        <f t="shared" si="5"/>
        <v>0</v>
      </c>
      <c r="P30" s="345">
        <f t="shared" si="9"/>
        <v>19</v>
      </c>
    </row>
    <row r="31" spans="1:16" ht="16" thickBot="1" x14ac:dyDescent="0.4">
      <c r="A31" s="345">
        <f t="shared" si="6"/>
        <v>20</v>
      </c>
      <c r="B31" s="1488">
        <v>45157</v>
      </c>
      <c r="C31" s="605">
        <v>0</v>
      </c>
      <c r="D31" s="606">
        <v>0</v>
      </c>
      <c r="E31" s="607">
        <f t="shared" si="0"/>
        <v>0</v>
      </c>
      <c r="F31" s="608">
        <f t="shared" si="7"/>
        <v>0</v>
      </c>
      <c r="G31" s="609">
        <f t="shared" si="7"/>
        <v>0</v>
      </c>
      <c r="H31" s="610">
        <f t="shared" si="1"/>
        <v>0</v>
      </c>
      <c r="I31" s="611">
        <f t="shared" si="8"/>
        <v>0</v>
      </c>
      <c r="J31" s="612">
        <f t="shared" si="8"/>
        <v>0</v>
      </c>
      <c r="K31" s="607">
        <f t="shared" si="2"/>
        <v>0</v>
      </c>
      <c r="L31" s="645">
        <f>'ET Forecast Capital Additions'!$L30</f>
        <v>0.41666666666666669</v>
      </c>
      <c r="M31" s="611">
        <f t="shared" si="3"/>
        <v>0</v>
      </c>
      <c r="N31" s="612">
        <f t="shared" si="4"/>
        <v>0</v>
      </c>
      <c r="O31" s="609">
        <f t="shared" si="5"/>
        <v>0</v>
      </c>
      <c r="P31" s="345">
        <f t="shared" si="9"/>
        <v>20</v>
      </c>
    </row>
    <row r="32" spans="1:16" x14ac:dyDescent="0.35">
      <c r="A32" s="345">
        <f t="shared" si="6"/>
        <v>21</v>
      </c>
      <c r="B32" s="1487">
        <v>45188</v>
      </c>
      <c r="C32" s="600">
        <v>0</v>
      </c>
      <c r="D32" s="601">
        <v>0</v>
      </c>
      <c r="E32" s="602">
        <f t="shared" si="0"/>
        <v>0</v>
      </c>
      <c r="F32" s="603">
        <f t="shared" si="7"/>
        <v>0</v>
      </c>
      <c r="G32" s="167">
        <f t="shared" si="7"/>
        <v>0</v>
      </c>
      <c r="H32" s="404">
        <f t="shared" si="1"/>
        <v>0</v>
      </c>
      <c r="I32" s="152">
        <f t="shared" si="8"/>
        <v>0</v>
      </c>
      <c r="J32" s="167">
        <f t="shared" si="8"/>
        <v>0</v>
      </c>
      <c r="K32" s="602">
        <f t="shared" si="2"/>
        <v>0</v>
      </c>
      <c r="L32" s="646">
        <f>'ET Forecast Capital Additions'!$L31</f>
        <v>0.33333333333333331</v>
      </c>
      <c r="M32" s="152">
        <f t="shared" si="3"/>
        <v>0</v>
      </c>
      <c r="N32" s="167">
        <f t="shared" si="4"/>
        <v>0</v>
      </c>
      <c r="O32" s="404">
        <f t="shared" si="5"/>
        <v>0</v>
      </c>
      <c r="P32" s="345">
        <f t="shared" si="9"/>
        <v>21</v>
      </c>
    </row>
    <row r="33" spans="1:18" s="81" customFormat="1" x14ac:dyDescent="0.35">
      <c r="A33" s="345">
        <f t="shared" si="6"/>
        <v>22</v>
      </c>
      <c r="B33" s="1487">
        <v>45218</v>
      </c>
      <c r="C33" s="617">
        <v>0</v>
      </c>
      <c r="D33" s="601">
        <v>0</v>
      </c>
      <c r="E33" s="299">
        <f t="shared" si="0"/>
        <v>0</v>
      </c>
      <c r="F33" s="603">
        <f t="shared" si="7"/>
        <v>0</v>
      </c>
      <c r="G33" s="167">
        <f t="shared" si="7"/>
        <v>0</v>
      </c>
      <c r="H33" s="604">
        <f t="shared" si="1"/>
        <v>0</v>
      </c>
      <c r="I33" s="152">
        <f t="shared" si="8"/>
        <v>0</v>
      </c>
      <c r="J33" s="167">
        <f t="shared" si="8"/>
        <v>0</v>
      </c>
      <c r="K33" s="299">
        <f t="shared" si="2"/>
        <v>0</v>
      </c>
      <c r="L33" s="644">
        <f>'ET Forecast Capital Additions'!$L32</f>
        <v>0.25</v>
      </c>
      <c r="M33" s="152">
        <f t="shared" si="3"/>
        <v>0</v>
      </c>
      <c r="N33" s="167">
        <f t="shared" si="4"/>
        <v>0</v>
      </c>
      <c r="O33" s="604">
        <f t="shared" si="5"/>
        <v>0</v>
      </c>
      <c r="P33" s="345">
        <f t="shared" si="9"/>
        <v>22</v>
      </c>
    </row>
    <row r="34" spans="1:18" x14ac:dyDescent="0.35">
      <c r="A34" s="345">
        <f t="shared" si="6"/>
        <v>23</v>
      </c>
      <c r="B34" s="1487">
        <v>45249</v>
      </c>
      <c r="C34" s="600">
        <v>0</v>
      </c>
      <c r="D34" s="601">
        <v>0</v>
      </c>
      <c r="E34" s="602">
        <f t="shared" si="0"/>
        <v>0</v>
      </c>
      <c r="F34" s="603">
        <f t="shared" si="7"/>
        <v>0</v>
      </c>
      <c r="G34" s="167">
        <f t="shared" si="7"/>
        <v>0</v>
      </c>
      <c r="H34" s="404">
        <f t="shared" si="1"/>
        <v>0</v>
      </c>
      <c r="I34" s="152">
        <f t="shared" si="8"/>
        <v>0</v>
      </c>
      <c r="J34" s="167">
        <f t="shared" si="8"/>
        <v>0</v>
      </c>
      <c r="K34" s="602">
        <f t="shared" si="2"/>
        <v>0</v>
      </c>
      <c r="L34" s="644">
        <f>'ET Forecast Capital Additions'!$L33</f>
        <v>0.16666666666666666</v>
      </c>
      <c r="M34" s="152">
        <f t="shared" si="3"/>
        <v>0</v>
      </c>
      <c r="N34" s="167">
        <f t="shared" si="4"/>
        <v>0</v>
      </c>
      <c r="O34" s="404">
        <f t="shared" si="5"/>
        <v>0</v>
      </c>
      <c r="P34" s="345">
        <f t="shared" si="9"/>
        <v>23</v>
      </c>
    </row>
    <row r="35" spans="1:18" ht="16" thickBot="1" x14ac:dyDescent="0.4">
      <c r="A35" s="345">
        <f t="shared" si="6"/>
        <v>24</v>
      </c>
      <c r="B35" s="1487">
        <v>45279</v>
      </c>
      <c r="C35" s="600">
        <v>0</v>
      </c>
      <c r="D35" s="601">
        <v>0</v>
      </c>
      <c r="E35" s="602">
        <f t="shared" si="0"/>
        <v>0</v>
      </c>
      <c r="F35" s="603">
        <f t="shared" si="7"/>
        <v>0</v>
      </c>
      <c r="G35" s="167">
        <f t="shared" si="7"/>
        <v>0</v>
      </c>
      <c r="H35" s="404">
        <f t="shared" si="1"/>
        <v>0</v>
      </c>
      <c r="I35" s="611">
        <f t="shared" si="8"/>
        <v>0</v>
      </c>
      <c r="J35" s="612">
        <f t="shared" si="8"/>
        <v>0</v>
      </c>
      <c r="K35" s="602">
        <f t="shared" si="2"/>
        <v>0</v>
      </c>
      <c r="L35" s="644">
        <f>'ET Forecast Capital Additions'!$L34</f>
        <v>8.3333333333333329E-2</v>
      </c>
      <c r="M35" s="611">
        <f t="shared" si="3"/>
        <v>0</v>
      </c>
      <c r="N35" s="612">
        <f t="shared" si="4"/>
        <v>0</v>
      </c>
      <c r="O35" s="404">
        <f t="shared" si="5"/>
        <v>0</v>
      </c>
      <c r="P35" s="345">
        <f t="shared" si="9"/>
        <v>24</v>
      </c>
      <c r="R35" s="1125"/>
    </row>
    <row r="36" spans="1:18" ht="16" thickBot="1" x14ac:dyDescent="0.4">
      <c r="A36" s="345">
        <f t="shared" si="6"/>
        <v>25</v>
      </c>
      <c r="B36" s="1490" t="s">
        <v>31</v>
      </c>
      <c r="C36" s="560">
        <f t="shared" ref="C36:K36" si="10">SUM(C12:C35)</f>
        <v>0</v>
      </c>
      <c r="D36" s="557">
        <f t="shared" si="10"/>
        <v>0</v>
      </c>
      <c r="E36" s="558">
        <f t="shared" si="10"/>
        <v>0</v>
      </c>
      <c r="F36" s="556">
        <f t="shared" si="10"/>
        <v>0</v>
      </c>
      <c r="G36" s="557">
        <f t="shared" si="10"/>
        <v>0</v>
      </c>
      <c r="H36" s="559">
        <f t="shared" si="10"/>
        <v>0</v>
      </c>
      <c r="I36" s="560">
        <f t="shared" si="10"/>
        <v>0</v>
      </c>
      <c r="J36" s="557">
        <f t="shared" si="10"/>
        <v>0</v>
      </c>
      <c r="K36" s="558">
        <f t="shared" si="10"/>
        <v>0</v>
      </c>
      <c r="L36" s="561"/>
      <c r="M36" s="560">
        <f>SUM(M12:M35)</f>
        <v>0</v>
      </c>
      <c r="N36" s="557">
        <f>SUM(N12:N35)</f>
        <v>0</v>
      </c>
      <c r="O36" s="559">
        <f>SUM(O12:O35)</f>
        <v>0</v>
      </c>
      <c r="P36" s="345">
        <f t="shared" si="9"/>
        <v>25</v>
      </c>
    </row>
    <row r="37" spans="1:18" x14ac:dyDescent="0.35">
      <c r="A37" s="345">
        <f>A36+1</f>
        <v>26</v>
      </c>
      <c r="B37" s="1445"/>
      <c r="C37" s="72"/>
      <c r="D37" s="72"/>
      <c r="E37" s="1491"/>
      <c r="F37" s="81"/>
      <c r="G37" s="81"/>
      <c r="H37" s="512"/>
      <c r="I37" s="81"/>
      <c r="J37" s="81"/>
      <c r="K37" s="512"/>
      <c r="L37" s="81"/>
      <c r="M37" s="81"/>
      <c r="N37" s="81"/>
      <c r="O37" s="562"/>
      <c r="P37" s="345">
        <f>P36+1</f>
        <v>26</v>
      </c>
    </row>
    <row r="38" spans="1:18" s="1086" customFormat="1" x14ac:dyDescent="0.35">
      <c r="A38" s="345">
        <f>A37+1</f>
        <v>27</v>
      </c>
      <c r="B38" s="1492"/>
      <c r="C38" s="1493"/>
      <c r="D38" s="1493"/>
      <c r="E38" s="1494" t="s">
        <v>649</v>
      </c>
      <c r="F38" s="1495"/>
      <c r="G38" s="1495"/>
      <c r="H38" s="591">
        <f>'ET Forecast Capital Additions'!H37</f>
        <v>11467.787</v>
      </c>
      <c r="I38" s="564"/>
      <c r="J38" s="81" t="str">
        <f>'ET Forecast Capital Additions'!J37</f>
        <v>Form 1; Page 204-207; Line 58; Col. d</v>
      </c>
      <c r="K38" s="564"/>
      <c r="L38" s="1493"/>
      <c r="M38" s="1493"/>
      <c r="N38" s="1493"/>
      <c r="O38" s="1496"/>
      <c r="P38" s="345">
        <f>P37+1</f>
        <v>27</v>
      </c>
      <c r="Q38" s="79"/>
      <c r="R38" s="1497"/>
    </row>
    <row r="39" spans="1:18" s="1086" customFormat="1" x14ac:dyDescent="0.35">
      <c r="A39" s="345">
        <f>A38+1</f>
        <v>28</v>
      </c>
      <c r="B39" s="1492"/>
      <c r="C39" s="1493"/>
      <c r="D39" s="1493"/>
      <c r="E39" s="1494"/>
      <c r="F39" s="1495"/>
      <c r="G39" s="1495"/>
      <c r="H39" s="72"/>
      <c r="I39" s="564"/>
      <c r="J39" s="81"/>
      <c r="K39" s="564"/>
      <c r="L39" s="1493"/>
      <c r="M39" s="1493"/>
      <c r="N39" s="1493"/>
      <c r="O39" s="1496"/>
      <c r="P39" s="345">
        <f>P38+1</f>
        <v>28</v>
      </c>
      <c r="Q39" s="1497"/>
      <c r="R39" s="1497"/>
    </row>
    <row r="40" spans="1:18" s="1086" customFormat="1" x14ac:dyDescent="0.35">
      <c r="A40" s="345">
        <f t="shared" ref="A40:A47" si="11">A39+1</f>
        <v>29</v>
      </c>
      <c r="B40" s="1492"/>
      <c r="C40" s="1493"/>
      <c r="D40" s="1493"/>
      <c r="E40" s="1494" t="s">
        <v>650</v>
      </c>
      <c r="F40" s="1495"/>
      <c r="G40" s="1495"/>
      <c r="H40" s="592">
        <f>'ET Forecast Capital Additions'!H39</f>
        <v>7475889.3789999997</v>
      </c>
      <c r="I40" s="564"/>
      <c r="J40" s="81" t="str">
        <f>'ET Forecast Capital Additions'!J39</f>
        <v>Form 1; Page 204-207; Line 58; Col. g</v>
      </c>
      <c r="K40" s="564"/>
      <c r="L40" s="1493"/>
      <c r="M40" s="1493"/>
      <c r="N40" s="1493"/>
      <c r="O40" s="1496"/>
      <c r="P40" s="345">
        <f t="shared" ref="P40:P42" si="12">P39+1</f>
        <v>29</v>
      </c>
      <c r="Q40" s="1497"/>
      <c r="R40" s="1497"/>
    </row>
    <row r="41" spans="1:18" ht="16" thickBot="1" x14ac:dyDescent="0.4">
      <c r="A41" s="345">
        <f t="shared" si="11"/>
        <v>30</v>
      </c>
      <c r="B41" s="1445"/>
      <c r="C41" s="81"/>
      <c r="D41" s="81"/>
      <c r="E41" s="109"/>
      <c r="F41" s="109"/>
      <c r="G41" s="109"/>
      <c r="H41" s="81"/>
      <c r="I41" s="81"/>
      <c r="J41" s="81"/>
      <c r="K41" s="81"/>
      <c r="L41" s="81"/>
      <c r="M41" s="81"/>
      <c r="N41" s="81"/>
      <c r="O41" s="1499"/>
      <c r="P41" s="345">
        <f t="shared" si="12"/>
        <v>30</v>
      </c>
      <c r="Q41" s="1497"/>
      <c r="R41" s="1497"/>
    </row>
    <row r="42" spans="1:18" ht="16" thickBot="1" x14ac:dyDescent="0.4">
      <c r="A42" s="345">
        <f t="shared" si="11"/>
        <v>31</v>
      </c>
      <c r="B42" s="1445"/>
      <c r="C42" s="81"/>
      <c r="D42" s="81"/>
      <c r="E42" s="109" t="s">
        <v>699</v>
      </c>
      <c r="F42" s="81"/>
      <c r="G42" s="81"/>
      <c r="H42" s="565">
        <f>H38/H40</f>
        <v>1.5339695946027989E-3</v>
      </c>
      <c r="I42" s="81"/>
      <c r="J42" s="81" t="s">
        <v>1207</v>
      </c>
      <c r="K42" s="1498"/>
      <c r="L42" s="81"/>
      <c r="M42" s="81"/>
      <c r="N42" s="81"/>
      <c r="O42" s="1499"/>
      <c r="P42" s="345">
        <f t="shared" si="12"/>
        <v>31</v>
      </c>
    </row>
    <row r="43" spans="1:18" ht="16" thickBot="1" x14ac:dyDescent="0.4">
      <c r="A43" s="345">
        <f t="shared" si="11"/>
        <v>32</v>
      </c>
      <c r="B43" s="1500"/>
      <c r="C43" s="366"/>
      <c r="D43" s="366"/>
      <c r="E43" s="566"/>
      <c r="F43" s="366"/>
      <c r="G43" s="366"/>
      <c r="H43" s="567"/>
      <c r="I43" s="366"/>
      <c r="J43" s="366"/>
      <c r="K43" s="366"/>
      <c r="L43" s="366"/>
      <c r="M43" s="366"/>
      <c r="N43" s="366"/>
      <c r="O43" s="568"/>
      <c r="P43" s="345">
        <f t="shared" si="9"/>
        <v>32</v>
      </c>
      <c r="Q43" s="1497"/>
    </row>
    <row r="44" spans="1:18" ht="16" thickBot="1" x14ac:dyDescent="0.4">
      <c r="A44" s="345">
        <f t="shared" si="11"/>
        <v>33</v>
      </c>
      <c r="B44" s="1445"/>
      <c r="C44" s="81"/>
      <c r="D44" s="81"/>
      <c r="E44" s="72"/>
      <c r="F44" s="81"/>
      <c r="G44" s="81"/>
      <c r="H44" s="81"/>
      <c r="I44" s="81"/>
      <c r="J44" s="81"/>
      <c r="K44" s="512" t="s">
        <v>10</v>
      </c>
      <c r="L44" s="81"/>
      <c r="M44" s="1501"/>
      <c r="N44" s="1501"/>
      <c r="O44" s="1502"/>
      <c r="P44" s="345">
        <f t="shared" si="9"/>
        <v>33</v>
      </c>
      <c r="Q44" s="1497"/>
    </row>
    <row r="45" spans="1:18" ht="16" thickBot="1" x14ac:dyDescent="0.4">
      <c r="A45" s="345">
        <f t="shared" si="11"/>
        <v>34</v>
      </c>
      <c r="B45" s="1503"/>
      <c r="C45" s="81"/>
      <c r="D45" s="1226"/>
      <c r="E45" s="1504"/>
      <c r="F45" s="1505"/>
      <c r="G45" s="1506"/>
      <c r="H45" s="1506" t="s">
        <v>530</v>
      </c>
      <c r="I45" s="1507" t="s">
        <v>700</v>
      </c>
      <c r="J45" s="1508" t="s">
        <v>701</v>
      </c>
      <c r="K45" s="1509" t="s">
        <v>531</v>
      </c>
      <c r="L45" s="109"/>
      <c r="M45" s="1510" t="s">
        <v>532</v>
      </c>
      <c r="N45" s="1511" t="s">
        <v>533</v>
      </c>
      <c r="O45" s="1512" t="s">
        <v>534</v>
      </c>
      <c r="P45" s="345">
        <f t="shared" si="9"/>
        <v>34</v>
      </c>
      <c r="Q45" s="1497"/>
    </row>
    <row r="46" spans="1:18" ht="16" thickBot="1" x14ac:dyDescent="0.4">
      <c r="A46" s="345">
        <f t="shared" si="11"/>
        <v>35</v>
      </c>
      <c r="B46" s="1445"/>
      <c r="C46" s="81"/>
      <c r="D46" s="81"/>
      <c r="E46" s="1513"/>
      <c r="F46" s="1514"/>
      <c r="G46" s="1515"/>
      <c r="H46" s="1515" t="s">
        <v>535</v>
      </c>
      <c r="I46" s="569">
        <f>+I36</f>
        <v>0</v>
      </c>
      <c r="J46" s="569">
        <f>+J36</f>
        <v>0</v>
      </c>
      <c r="K46" s="569">
        <f>+K36</f>
        <v>0</v>
      </c>
      <c r="L46" s="571"/>
      <c r="M46" s="569">
        <f>+M36</f>
        <v>0</v>
      </c>
      <c r="N46" s="569">
        <f>+N36</f>
        <v>0</v>
      </c>
      <c r="O46" s="569">
        <f>+O36</f>
        <v>0</v>
      </c>
      <c r="P46" s="345">
        <f t="shared" si="9"/>
        <v>35</v>
      </c>
    </row>
    <row r="47" spans="1:18" ht="16" thickTop="1" x14ac:dyDescent="0.35">
      <c r="A47" s="345">
        <f t="shared" si="11"/>
        <v>36</v>
      </c>
      <c r="B47" s="1445"/>
      <c r="C47" s="81"/>
      <c r="D47" s="81"/>
      <c r="E47" s="1445"/>
      <c r="F47" s="81"/>
      <c r="G47" s="1219"/>
      <c r="H47" s="1219"/>
      <c r="I47" s="594"/>
      <c r="J47" s="594"/>
      <c r="K47" s="594"/>
      <c r="L47" s="81"/>
      <c r="M47" s="594"/>
      <c r="N47" s="594"/>
      <c r="O47" s="594"/>
      <c r="P47" s="345">
        <f t="shared" si="9"/>
        <v>36</v>
      </c>
    </row>
    <row r="48" spans="1:18" ht="16" thickBot="1" x14ac:dyDescent="0.4">
      <c r="A48" s="345">
        <f>A47+1</f>
        <v>37</v>
      </c>
      <c r="B48" s="1445"/>
      <c r="C48" s="81"/>
      <c r="D48" s="81"/>
      <c r="E48" s="1445"/>
      <c r="F48" s="81"/>
      <c r="G48" s="1219"/>
      <c r="H48" s="1516" t="s">
        <v>383</v>
      </c>
      <c r="I48" s="576">
        <f>IFERROR((+I46/K46),0)</f>
        <v>0</v>
      </c>
      <c r="J48" s="576">
        <f>IFERROR((+J46/K46),0)</f>
        <v>0</v>
      </c>
      <c r="K48" s="576">
        <f>I48+J48</f>
        <v>0</v>
      </c>
      <c r="L48" s="109"/>
      <c r="M48" s="576">
        <f>IFERROR((+M46/O46),0)</f>
        <v>0</v>
      </c>
      <c r="N48" s="576">
        <f>IFERROR((+N46/O46),0)</f>
        <v>0</v>
      </c>
      <c r="O48" s="576">
        <f>M48+N48</f>
        <v>0</v>
      </c>
      <c r="P48" s="345">
        <f>P47+1</f>
        <v>37</v>
      </c>
    </row>
    <row r="49" spans="1:16" ht="16.5" thickTop="1" thickBot="1" x14ac:dyDescent="0.4">
      <c r="A49" s="345">
        <f t="shared" si="6"/>
        <v>38</v>
      </c>
      <c r="B49" s="1440"/>
      <c r="C49" s="81"/>
      <c r="D49" s="81"/>
      <c r="E49" s="1500"/>
      <c r="F49" s="366"/>
      <c r="G49" s="366"/>
      <c r="H49" s="366"/>
      <c r="I49" s="580"/>
      <c r="J49" s="580"/>
      <c r="K49" s="568"/>
      <c r="L49" s="81"/>
      <c r="M49" s="581"/>
      <c r="N49" s="582"/>
      <c r="O49" s="568"/>
      <c r="P49" s="345">
        <f t="shared" si="9"/>
        <v>38</v>
      </c>
    </row>
    <row r="50" spans="1:16" ht="16" thickBot="1" x14ac:dyDescent="0.4">
      <c r="A50" s="345">
        <f t="shared" si="6"/>
        <v>39</v>
      </c>
      <c r="B50" s="1458"/>
      <c r="C50" s="366"/>
      <c r="D50" s="366"/>
      <c r="E50" s="366"/>
      <c r="F50" s="366"/>
      <c r="G50" s="366"/>
      <c r="H50" s="366"/>
      <c r="I50" s="366"/>
      <c r="J50" s="366"/>
      <c r="K50" s="366"/>
      <c r="L50" s="366"/>
      <c r="M50" s="366"/>
      <c r="N50" s="366"/>
      <c r="O50" s="568"/>
      <c r="P50" s="345">
        <f t="shared" si="9"/>
        <v>39</v>
      </c>
    </row>
    <row r="51" spans="1:16" x14ac:dyDescent="0.35">
      <c r="A51" s="345"/>
      <c r="B51" s="109"/>
      <c r="C51" s="81"/>
      <c r="D51" s="81"/>
      <c r="E51" s="81"/>
      <c r="F51" s="81"/>
      <c r="G51" s="81"/>
      <c r="H51" s="81"/>
      <c r="I51" s="81"/>
      <c r="J51" s="81"/>
      <c r="K51" s="81"/>
      <c r="L51" s="81"/>
      <c r="M51" s="81"/>
      <c r="N51" s="81"/>
      <c r="O51" s="81"/>
      <c r="P51" s="345"/>
    </row>
    <row r="52" spans="1:16" x14ac:dyDescent="0.35">
      <c r="B52" s="109"/>
      <c r="C52" s="81"/>
      <c r="D52" s="81"/>
      <c r="E52" s="81"/>
      <c r="F52" s="81"/>
      <c r="G52" s="81"/>
      <c r="H52" s="81"/>
      <c r="I52" s="81"/>
      <c r="J52" s="81"/>
      <c r="K52" s="81"/>
      <c r="L52" s="81"/>
      <c r="M52" s="81"/>
      <c r="N52" s="81"/>
      <c r="O52" s="81"/>
    </row>
    <row r="53" spans="1:16" x14ac:dyDescent="0.35">
      <c r="B53" s="109"/>
      <c r="C53" s="81"/>
      <c r="D53" s="81"/>
      <c r="E53" s="81"/>
      <c r="F53" s="81"/>
      <c r="G53" s="81"/>
      <c r="H53" s="81"/>
      <c r="I53" s="81"/>
      <c r="J53" s="81"/>
      <c r="K53" s="81"/>
      <c r="L53" s="81"/>
      <c r="M53" s="81"/>
      <c r="N53" s="81"/>
      <c r="O53" s="81"/>
    </row>
    <row r="54" spans="1:16" x14ac:dyDescent="0.35">
      <c r="B54" s="1530"/>
      <c r="C54" s="1531"/>
      <c r="D54" s="1531"/>
      <c r="E54" s="1531"/>
      <c r="F54" s="1531"/>
      <c r="G54" s="1531"/>
      <c r="H54" s="1531"/>
      <c r="I54" s="1531"/>
      <c r="J54" s="1531"/>
      <c r="K54" s="1531"/>
      <c r="L54" s="1125"/>
      <c r="M54" s="1531"/>
      <c r="N54" s="1531"/>
      <c r="O54" s="1531"/>
    </row>
    <row r="55" spans="1:16" x14ac:dyDescent="0.35">
      <c r="B55" s="1530"/>
      <c r="C55" s="1531"/>
      <c r="D55" s="1531"/>
      <c r="E55" s="1531"/>
      <c r="F55" s="1531"/>
      <c r="G55" s="1531"/>
      <c r="H55" s="1531"/>
      <c r="I55" s="1531"/>
      <c r="J55" s="1531"/>
      <c r="K55" s="1531"/>
      <c r="L55" s="1125"/>
      <c r="M55" s="1531"/>
      <c r="N55" s="1531"/>
      <c r="O55" s="1531"/>
    </row>
    <row r="56" spans="1:16" x14ac:dyDescent="0.35">
      <c r="B56" s="1530"/>
      <c r="C56" s="1531"/>
      <c r="D56" s="1531"/>
      <c r="E56" s="1531"/>
      <c r="F56" s="1531"/>
      <c r="G56" s="1531"/>
      <c r="H56" s="1531"/>
      <c r="I56" s="1531"/>
      <c r="J56" s="1531"/>
      <c r="K56" s="1531"/>
      <c r="L56" s="1125"/>
      <c r="M56" s="1531"/>
      <c r="N56" s="1531"/>
      <c r="O56" s="1531"/>
    </row>
    <row r="57" spans="1:16" x14ac:dyDescent="0.35">
      <c r="B57" s="1530"/>
      <c r="C57" s="1531"/>
      <c r="D57" s="1531"/>
      <c r="E57" s="1531"/>
      <c r="F57" s="1531"/>
      <c r="G57" s="1531"/>
      <c r="H57" s="1531"/>
      <c r="I57" s="1531"/>
      <c r="J57" s="1531"/>
      <c r="K57" s="1531"/>
      <c r="L57" s="1125"/>
      <c r="M57" s="1531"/>
      <c r="N57" s="1531"/>
      <c r="O57" s="1531"/>
    </row>
    <row r="58" spans="1:16" x14ac:dyDescent="0.35">
      <c r="B58" s="1530"/>
      <c r="C58" s="1531"/>
      <c r="D58" s="1531"/>
      <c r="E58" s="1531"/>
      <c r="F58" s="1531"/>
      <c r="G58" s="1531"/>
      <c r="H58" s="1531"/>
      <c r="I58" s="1531"/>
      <c r="J58" s="1531"/>
      <c r="K58" s="1531"/>
      <c r="L58" s="1125"/>
      <c r="M58" s="1531"/>
      <c r="N58" s="1531"/>
      <c r="O58" s="1531"/>
    </row>
    <row r="59" spans="1:16" x14ac:dyDescent="0.35">
      <c r="B59" s="1530"/>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zoomScale="80" zoomScaleNormal="80" workbookViewId="0"/>
  </sheetViews>
  <sheetFormatPr defaultColWidth="8.90625" defaultRowHeight="15.5" x14ac:dyDescent="0.35"/>
  <cols>
    <col min="1" max="1" width="5.08984375" style="1569" customWidth="1"/>
    <col min="2" max="2" width="8.54296875" style="7" customWidth="1"/>
    <col min="3" max="11" width="15.90625" style="7" customWidth="1"/>
    <col min="12" max="12" width="11.08984375" style="7" customWidth="1"/>
    <col min="13" max="15" width="15.90625" style="7" customWidth="1"/>
    <col min="16" max="16" width="5.08984375" style="1569" customWidth="1"/>
    <col min="17" max="16384" width="8.90625" style="7"/>
  </cols>
  <sheetData>
    <row r="1" spans="1:16" x14ac:dyDescent="0.35">
      <c r="A1" s="1563"/>
      <c r="B1" s="79"/>
      <c r="C1" s="701"/>
      <c r="D1" s="79"/>
      <c r="E1" s="79"/>
      <c r="F1" s="79"/>
      <c r="G1" s="79"/>
      <c r="H1" s="79"/>
      <c r="I1" s="79"/>
      <c r="J1" s="79"/>
      <c r="K1" s="79"/>
      <c r="L1" s="79"/>
      <c r="M1" s="79"/>
      <c r="N1" s="79"/>
      <c r="O1" s="79"/>
      <c r="P1" s="1563"/>
    </row>
    <row r="2" spans="1:16" x14ac:dyDescent="0.35">
      <c r="B2" s="2289" t="s">
        <v>18</v>
      </c>
      <c r="C2" s="2289"/>
      <c r="D2" s="2289"/>
      <c r="E2" s="2289"/>
      <c r="F2" s="2289"/>
      <c r="G2" s="2289"/>
      <c r="H2" s="2289"/>
      <c r="I2" s="2289"/>
      <c r="J2" s="2289"/>
      <c r="K2" s="2289"/>
      <c r="L2" s="2289"/>
      <c r="M2" s="2289"/>
      <c r="N2" s="2289"/>
      <c r="O2" s="2289"/>
      <c r="P2" s="1563"/>
    </row>
    <row r="3" spans="1:16" x14ac:dyDescent="0.35">
      <c r="B3" s="2289" t="s">
        <v>522</v>
      </c>
      <c r="C3" s="2289"/>
      <c r="D3" s="2289"/>
      <c r="E3" s="2289"/>
      <c r="F3" s="2289"/>
      <c r="G3" s="2289"/>
      <c r="H3" s="2289"/>
      <c r="I3" s="2289"/>
      <c r="J3" s="2289"/>
      <c r="K3" s="2289"/>
      <c r="L3" s="2289"/>
      <c r="M3" s="2289"/>
      <c r="N3" s="2289"/>
      <c r="O3" s="2289"/>
      <c r="P3" s="1563"/>
    </row>
    <row r="4" spans="1:16" x14ac:dyDescent="0.35">
      <c r="B4" s="2283" t="str">
        <f>'Summary of HV-LV Splits'!B4</f>
        <v>24-Month Forecast Period (January 1, 2022 - December 31, 2023)</v>
      </c>
      <c r="C4" s="2283"/>
      <c r="D4" s="2283"/>
      <c r="E4" s="2283"/>
      <c r="F4" s="2283"/>
      <c r="G4" s="2283"/>
      <c r="H4" s="2283"/>
      <c r="I4" s="2283"/>
      <c r="J4" s="2283"/>
      <c r="K4" s="2283"/>
      <c r="L4" s="2283"/>
      <c r="M4" s="2283"/>
      <c r="N4" s="2283"/>
      <c r="O4" s="2283"/>
      <c r="P4" s="1563"/>
    </row>
    <row r="5" spans="1:16" x14ac:dyDescent="0.35">
      <c r="B5" s="2289" t="s">
        <v>551</v>
      </c>
      <c r="C5" s="2289"/>
      <c r="D5" s="2289"/>
      <c r="E5" s="2289"/>
      <c r="F5" s="2289"/>
      <c r="G5" s="2289"/>
      <c r="H5" s="2289"/>
      <c r="I5" s="2289"/>
      <c r="J5" s="2289"/>
      <c r="K5" s="2289"/>
      <c r="L5" s="2289"/>
      <c r="M5" s="2289"/>
      <c r="N5" s="2289"/>
      <c r="O5" s="2289"/>
      <c r="P5" s="1563"/>
    </row>
    <row r="6" spans="1:16" x14ac:dyDescent="0.35">
      <c r="B6" s="2289" t="s">
        <v>553</v>
      </c>
      <c r="C6" s="2289"/>
      <c r="D6" s="2289"/>
      <c r="E6" s="2289"/>
      <c r="F6" s="2289"/>
      <c r="G6" s="2289"/>
      <c r="H6" s="2289"/>
      <c r="I6" s="2289"/>
      <c r="J6" s="2289"/>
      <c r="K6" s="2289"/>
      <c r="L6" s="2289"/>
      <c r="M6" s="2289"/>
      <c r="N6" s="2289"/>
      <c r="O6" s="2289"/>
      <c r="P6" s="1563"/>
    </row>
    <row r="7" spans="1:16" x14ac:dyDescent="0.35">
      <c r="B7" s="2319">
        <v>-1000</v>
      </c>
      <c r="C7" s="2319"/>
      <c r="D7" s="2319"/>
      <c r="E7" s="2319"/>
      <c r="F7" s="2319"/>
      <c r="G7" s="2319"/>
      <c r="H7" s="2319"/>
      <c r="I7" s="2319"/>
      <c r="J7" s="2319"/>
      <c r="K7" s="2319"/>
      <c r="L7" s="2319"/>
      <c r="M7" s="2319"/>
      <c r="N7" s="2319"/>
      <c r="O7" s="2319"/>
      <c r="P7" s="1563"/>
    </row>
    <row r="8" spans="1:16" ht="16" thickBot="1" x14ac:dyDescent="0.4">
      <c r="A8" s="1563"/>
      <c r="B8" s="79"/>
      <c r="C8" s="79"/>
      <c r="D8" s="79"/>
      <c r="E8" s="79"/>
      <c r="F8" s="79"/>
      <c r="G8" s="79"/>
      <c r="H8" s="79"/>
      <c r="I8" s="79"/>
      <c r="J8" s="79"/>
      <c r="K8" s="79"/>
      <c r="L8" s="79"/>
      <c r="M8" s="79"/>
      <c r="N8" s="79"/>
      <c r="O8" s="79"/>
      <c r="P8" s="1563"/>
    </row>
    <row r="9" spans="1:16" x14ac:dyDescent="0.35">
      <c r="A9" s="345" t="s">
        <v>3</v>
      </c>
      <c r="B9" s="624"/>
      <c r="C9" s="622" t="s">
        <v>550</v>
      </c>
      <c r="D9" s="620"/>
      <c r="E9" s="623"/>
      <c r="F9" s="619" t="s">
        <v>101</v>
      </c>
      <c r="G9" s="620"/>
      <c r="H9" s="621"/>
      <c r="I9" s="622" t="s">
        <v>524</v>
      </c>
      <c r="J9" s="623"/>
      <c r="K9" s="1532"/>
      <c r="L9" s="624" t="s">
        <v>525</v>
      </c>
      <c r="M9" s="622" t="s">
        <v>526</v>
      </c>
      <c r="N9" s="620"/>
      <c r="O9" s="621"/>
      <c r="P9" s="345" t="s">
        <v>3</v>
      </c>
    </row>
    <row r="10" spans="1:16" ht="16" thickBot="1" x14ac:dyDescent="0.4">
      <c r="A10" s="345" t="s">
        <v>25</v>
      </c>
      <c r="B10" s="1474" t="s">
        <v>527</v>
      </c>
      <c r="C10" s="1479" t="s">
        <v>528</v>
      </c>
      <c r="D10" s="1476" t="s">
        <v>529</v>
      </c>
      <c r="E10" s="1477" t="s">
        <v>31</v>
      </c>
      <c r="F10" s="1475" t="s">
        <v>528</v>
      </c>
      <c r="G10" s="1476" t="s">
        <v>529</v>
      </c>
      <c r="H10" s="1478" t="s">
        <v>31</v>
      </c>
      <c r="I10" s="1479" t="s">
        <v>528</v>
      </c>
      <c r="J10" s="1476" t="s">
        <v>529</v>
      </c>
      <c r="K10" s="1477" t="s">
        <v>31</v>
      </c>
      <c r="L10" s="1480" t="s">
        <v>34</v>
      </c>
      <c r="M10" s="1479" t="s">
        <v>528</v>
      </c>
      <c r="N10" s="1476" t="s">
        <v>529</v>
      </c>
      <c r="O10" s="1478" t="s">
        <v>31</v>
      </c>
      <c r="P10" s="693" t="s">
        <v>25</v>
      </c>
    </row>
    <row r="11" spans="1:16" x14ac:dyDescent="0.35">
      <c r="A11" s="595"/>
      <c r="B11" s="624"/>
      <c r="C11" s="595"/>
      <c r="D11" s="1483"/>
      <c r="E11" s="595"/>
      <c r="F11" s="1429"/>
      <c r="G11" s="1483"/>
      <c r="H11" s="1485"/>
      <c r="I11" s="595"/>
      <c r="J11" s="1483"/>
      <c r="K11" s="595"/>
      <c r="L11" s="1486"/>
      <c r="M11" s="595"/>
      <c r="N11" s="1483"/>
      <c r="O11" s="1485"/>
      <c r="P11" s="1566"/>
    </row>
    <row r="12" spans="1:16" x14ac:dyDescent="0.35">
      <c r="A12" s="345">
        <v>1</v>
      </c>
      <c r="B12" s="1487">
        <v>44580</v>
      </c>
      <c r="C12" s="596">
        <v>0</v>
      </c>
      <c r="D12" s="597">
        <v>0</v>
      </c>
      <c r="E12" s="387">
        <f t="shared" ref="E12:E35" si="0">C12+D12</f>
        <v>0</v>
      </c>
      <c r="F12" s="598">
        <f>C12*$H$42</f>
        <v>0</v>
      </c>
      <c r="G12" s="165">
        <f>D12*$H$42</f>
        <v>0</v>
      </c>
      <c r="H12" s="599">
        <f t="shared" ref="H12:H35" si="1">F12+G12</f>
        <v>0</v>
      </c>
      <c r="I12" s="151">
        <f>C12-F12</f>
        <v>0</v>
      </c>
      <c r="J12" s="165">
        <f>D12-G12</f>
        <v>0</v>
      </c>
      <c r="K12" s="387">
        <f t="shared" ref="K12:K35" si="2">I12+J12</f>
        <v>0</v>
      </c>
      <c r="L12" s="644">
        <f>'ET Forecast Capital Additions'!$L11</f>
        <v>1</v>
      </c>
      <c r="M12" s="151">
        <f t="shared" ref="M12:M35" si="3">I12*L12</f>
        <v>0</v>
      </c>
      <c r="N12" s="165">
        <f t="shared" ref="N12:N35" si="4">J12*L12</f>
        <v>0</v>
      </c>
      <c r="O12" s="388">
        <f t="shared" ref="O12:O35" si="5">M12+N12</f>
        <v>0</v>
      </c>
      <c r="P12" s="345">
        <f>A12</f>
        <v>1</v>
      </c>
    </row>
    <row r="13" spans="1:16" x14ac:dyDescent="0.35">
      <c r="A13" s="345">
        <f t="shared" ref="A13:A50" si="6">A12+1</f>
        <v>2</v>
      </c>
      <c r="B13" s="1487">
        <v>44611</v>
      </c>
      <c r="C13" s="600">
        <v>0</v>
      </c>
      <c r="D13" s="601">
        <v>0</v>
      </c>
      <c r="E13" s="602">
        <f t="shared" si="0"/>
        <v>0</v>
      </c>
      <c r="F13" s="603">
        <f t="shared" ref="F13:G35" si="7">C13*$H$42</f>
        <v>0</v>
      </c>
      <c r="G13" s="167">
        <f t="shared" si="7"/>
        <v>0</v>
      </c>
      <c r="H13" s="604">
        <f t="shared" si="1"/>
        <v>0</v>
      </c>
      <c r="I13" s="152">
        <f t="shared" ref="I13:J35" si="8">C13-F13</f>
        <v>0</v>
      </c>
      <c r="J13" s="167">
        <f t="shared" si="8"/>
        <v>0</v>
      </c>
      <c r="K13" s="602">
        <f t="shared" si="2"/>
        <v>0</v>
      </c>
      <c r="L13" s="644">
        <f>'ET Forecast Capital Additions'!$L12</f>
        <v>1</v>
      </c>
      <c r="M13" s="152">
        <f t="shared" si="3"/>
        <v>0</v>
      </c>
      <c r="N13" s="167">
        <f t="shared" si="4"/>
        <v>0</v>
      </c>
      <c r="O13" s="404">
        <f t="shared" si="5"/>
        <v>0</v>
      </c>
      <c r="P13" s="345">
        <f t="shared" ref="P13:P50" si="9">P12+1</f>
        <v>2</v>
      </c>
    </row>
    <row r="14" spans="1:16" x14ac:dyDescent="0.35">
      <c r="A14" s="345">
        <f t="shared" si="6"/>
        <v>3</v>
      </c>
      <c r="B14" s="1487">
        <v>44639</v>
      </c>
      <c r="C14" s="600">
        <v>0</v>
      </c>
      <c r="D14" s="601">
        <v>0</v>
      </c>
      <c r="E14" s="602">
        <f t="shared" si="0"/>
        <v>0</v>
      </c>
      <c r="F14" s="603">
        <f t="shared" si="7"/>
        <v>0</v>
      </c>
      <c r="G14" s="167">
        <f t="shared" si="7"/>
        <v>0</v>
      </c>
      <c r="H14" s="604">
        <f t="shared" si="1"/>
        <v>0</v>
      </c>
      <c r="I14" s="152">
        <f t="shared" si="8"/>
        <v>0</v>
      </c>
      <c r="J14" s="167">
        <f t="shared" si="8"/>
        <v>0</v>
      </c>
      <c r="K14" s="602">
        <f t="shared" si="2"/>
        <v>0</v>
      </c>
      <c r="L14" s="644">
        <f>'ET Forecast Capital Additions'!$L13</f>
        <v>1</v>
      </c>
      <c r="M14" s="152">
        <f t="shared" si="3"/>
        <v>0</v>
      </c>
      <c r="N14" s="167">
        <f t="shared" si="4"/>
        <v>0</v>
      </c>
      <c r="O14" s="404">
        <f t="shared" si="5"/>
        <v>0</v>
      </c>
      <c r="P14" s="345">
        <f t="shared" si="9"/>
        <v>3</v>
      </c>
    </row>
    <row r="15" spans="1:16" ht="16" thickBot="1" x14ac:dyDescent="0.4">
      <c r="A15" s="345">
        <f t="shared" si="6"/>
        <v>4</v>
      </c>
      <c r="B15" s="1488">
        <v>44670</v>
      </c>
      <c r="C15" s="605">
        <v>0</v>
      </c>
      <c r="D15" s="606">
        <v>0</v>
      </c>
      <c r="E15" s="607">
        <f t="shared" si="0"/>
        <v>0</v>
      </c>
      <c r="F15" s="608">
        <f t="shared" si="7"/>
        <v>0</v>
      </c>
      <c r="G15" s="612">
        <f t="shared" si="7"/>
        <v>0</v>
      </c>
      <c r="H15" s="610">
        <f t="shared" si="1"/>
        <v>0</v>
      </c>
      <c r="I15" s="611">
        <f t="shared" si="8"/>
        <v>0</v>
      </c>
      <c r="J15" s="612">
        <f t="shared" si="8"/>
        <v>0</v>
      </c>
      <c r="K15" s="607">
        <f t="shared" si="2"/>
        <v>0</v>
      </c>
      <c r="L15" s="645">
        <f>'ET Forecast Capital Additions'!$L14</f>
        <v>1</v>
      </c>
      <c r="M15" s="611">
        <f t="shared" si="3"/>
        <v>0</v>
      </c>
      <c r="N15" s="612">
        <f t="shared" si="4"/>
        <v>0</v>
      </c>
      <c r="O15" s="609">
        <f t="shared" si="5"/>
        <v>0</v>
      </c>
      <c r="P15" s="345">
        <f t="shared" si="9"/>
        <v>4</v>
      </c>
    </row>
    <row r="16" spans="1:16" x14ac:dyDescent="0.35">
      <c r="A16" s="345">
        <f t="shared" si="6"/>
        <v>5</v>
      </c>
      <c r="B16" s="1487">
        <v>44700</v>
      </c>
      <c r="C16" s="613">
        <v>0</v>
      </c>
      <c r="D16" s="614">
        <v>0</v>
      </c>
      <c r="E16" s="394">
        <f t="shared" si="0"/>
        <v>0</v>
      </c>
      <c r="F16" s="615">
        <f t="shared" si="7"/>
        <v>0</v>
      </c>
      <c r="G16" s="403">
        <f t="shared" si="7"/>
        <v>0</v>
      </c>
      <c r="H16" s="616">
        <f t="shared" si="1"/>
        <v>0</v>
      </c>
      <c r="I16" s="152">
        <f t="shared" si="8"/>
        <v>0</v>
      </c>
      <c r="J16" s="167">
        <f t="shared" si="8"/>
        <v>0</v>
      </c>
      <c r="K16" s="394">
        <f t="shared" si="2"/>
        <v>0</v>
      </c>
      <c r="L16" s="646">
        <f>'ET Forecast Capital Additions'!$L15</f>
        <v>1</v>
      </c>
      <c r="M16" s="152">
        <f t="shared" si="3"/>
        <v>0</v>
      </c>
      <c r="N16" s="167">
        <f t="shared" si="4"/>
        <v>0</v>
      </c>
      <c r="O16" s="395">
        <f t="shared" si="5"/>
        <v>0</v>
      </c>
      <c r="P16" s="345">
        <f t="shared" si="9"/>
        <v>5</v>
      </c>
    </row>
    <row r="17" spans="1:16" x14ac:dyDescent="0.35">
      <c r="A17" s="345">
        <f t="shared" si="6"/>
        <v>6</v>
      </c>
      <c r="B17" s="1487">
        <v>44731</v>
      </c>
      <c r="C17" s="600">
        <v>0</v>
      </c>
      <c r="D17" s="601">
        <v>0</v>
      </c>
      <c r="E17" s="602">
        <f t="shared" si="0"/>
        <v>0</v>
      </c>
      <c r="F17" s="603">
        <f t="shared" si="7"/>
        <v>0</v>
      </c>
      <c r="G17" s="167">
        <f t="shared" si="7"/>
        <v>0</v>
      </c>
      <c r="H17" s="604">
        <f t="shared" si="1"/>
        <v>0</v>
      </c>
      <c r="I17" s="152">
        <f t="shared" si="8"/>
        <v>0</v>
      </c>
      <c r="J17" s="167">
        <f t="shared" si="8"/>
        <v>0</v>
      </c>
      <c r="K17" s="602">
        <f t="shared" si="2"/>
        <v>0</v>
      </c>
      <c r="L17" s="644">
        <f>'ET Forecast Capital Additions'!$L16</f>
        <v>1</v>
      </c>
      <c r="M17" s="152">
        <f t="shared" si="3"/>
        <v>0</v>
      </c>
      <c r="N17" s="167">
        <f t="shared" si="4"/>
        <v>0</v>
      </c>
      <c r="O17" s="404">
        <f t="shared" si="5"/>
        <v>0</v>
      </c>
      <c r="P17" s="345">
        <f t="shared" si="9"/>
        <v>6</v>
      </c>
    </row>
    <row r="18" spans="1:16" x14ac:dyDescent="0.35">
      <c r="A18" s="345">
        <f t="shared" si="6"/>
        <v>7</v>
      </c>
      <c r="B18" s="1487">
        <v>44761</v>
      </c>
      <c r="C18" s="600">
        <v>0</v>
      </c>
      <c r="D18" s="601">
        <v>0</v>
      </c>
      <c r="E18" s="602">
        <f t="shared" si="0"/>
        <v>0</v>
      </c>
      <c r="F18" s="603">
        <f t="shared" si="7"/>
        <v>0</v>
      </c>
      <c r="G18" s="167">
        <f t="shared" si="7"/>
        <v>0</v>
      </c>
      <c r="H18" s="604">
        <f t="shared" si="1"/>
        <v>0</v>
      </c>
      <c r="I18" s="152">
        <f t="shared" si="8"/>
        <v>0</v>
      </c>
      <c r="J18" s="167">
        <f t="shared" si="8"/>
        <v>0</v>
      </c>
      <c r="K18" s="602">
        <f t="shared" si="2"/>
        <v>0</v>
      </c>
      <c r="L18" s="644">
        <f>'ET Forecast Capital Additions'!$L17</f>
        <v>1</v>
      </c>
      <c r="M18" s="152">
        <f t="shared" si="3"/>
        <v>0</v>
      </c>
      <c r="N18" s="167">
        <f t="shared" si="4"/>
        <v>0</v>
      </c>
      <c r="O18" s="404">
        <f t="shared" si="5"/>
        <v>0</v>
      </c>
      <c r="P18" s="345">
        <f t="shared" si="9"/>
        <v>7</v>
      </c>
    </row>
    <row r="19" spans="1:16" ht="16" thickBot="1" x14ac:dyDescent="0.4">
      <c r="A19" s="345">
        <f t="shared" si="6"/>
        <v>8</v>
      </c>
      <c r="B19" s="1488">
        <v>44792</v>
      </c>
      <c r="C19" s="605">
        <v>0</v>
      </c>
      <c r="D19" s="606">
        <v>0</v>
      </c>
      <c r="E19" s="607">
        <f t="shared" si="0"/>
        <v>0</v>
      </c>
      <c r="F19" s="608">
        <f t="shared" si="7"/>
        <v>0</v>
      </c>
      <c r="G19" s="612">
        <f t="shared" si="7"/>
        <v>0</v>
      </c>
      <c r="H19" s="610">
        <f t="shared" si="1"/>
        <v>0</v>
      </c>
      <c r="I19" s="611">
        <f t="shared" si="8"/>
        <v>0</v>
      </c>
      <c r="J19" s="612">
        <f t="shared" si="8"/>
        <v>0</v>
      </c>
      <c r="K19" s="607">
        <f t="shared" si="2"/>
        <v>0</v>
      </c>
      <c r="L19" s="645">
        <f>'ET Forecast Capital Additions'!$L18</f>
        <v>1</v>
      </c>
      <c r="M19" s="611">
        <f t="shared" si="3"/>
        <v>0</v>
      </c>
      <c r="N19" s="612">
        <f t="shared" si="4"/>
        <v>0</v>
      </c>
      <c r="O19" s="609">
        <f t="shared" si="5"/>
        <v>0</v>
      </c>
      <c r="P19" s="345">
        <f t="shared" si="9"/>
        <v>8</v>
      </c>
    </row>
    <row r="20" spans="1:16" x14ac:dyDescent="0.35">
      <c r="A20" s="345">
        <f t="shared" si="6"/>
        <v>9</v>
      </c>
      <c r="B20" s="1487">
        <v>44823</v>
      </c>
      <c r="C20" s="613">
        <v>0</v>
      </c>
      <c r="D20" s="614">
        <v>0</v>
      </c>
      <c r="E20" s="394">
        <f t="shared" si="0"/>
        <v>0</v>
      </c>
      <c r="F20" s="615">
        <f t="shared" si="7"/>
        <v>0</v>
      </c>
      <c r="G20" s="403">
        <f t="shared" si="7"/>
        <v>0</v>
      </c>
      <c r="H20" s="616">
        <f t="shared" si="1"/>
        <v>0</v>
      </c>
      <c r="I20" s="152">
        <f t="shared" si="8"/>
        <v>0</v>
      </c>
      <c r="J20" s="167">
        <f t="shared" si="8"/>
        <v>0</v>
      </c>
      <c r="K20" s="394">
        <f t="shared" si="2"/>
        <v>0</v>
      </c>
      <c r="L20" s="646">
        <f>'ET Forecast Capital Additions'!$L19</f>
        <v>1</v>
      </c>
      <c r="M20" s="152">
        <f t="shared" si="3"/>
        <v>0</v>
      </c>
      <c r="N20" s="167">
        <f t="shared" si="4"/>
        <v>0</v>
      </c>
      <c r="O20" s="395">
        <f t="shared" si="5"/>
        <v>0</v>
      </c>
      <c r="P20" s="345">
        <f t="shared" si="9"/>
        <v>9</v>
      </c>
    </row>
    <row r="21" spans="1:16" x14ac:dyDescent="0.35">
      <c r="A21" s="345">
        <f t="shared" si="6"/>
        <v>10</v>
      </c>
      <c r="B21" s="1487">
        <v>44853</v>
      </c>
      <c r="C21" s="600">
        <v>0</v>
      </c>
      <c r="D21" s="601">
        <v>0</v>
      </c>
      <c r="E21" s="602">
        <f t="shared" si="0"/>
        <v>0</v>
      </c>
      <c r="F21" s="603">
        <f t="shared" si="7"/>
        <v>0</v>
      </c>
      <c r="G21" s="167">
        <f t="shared" si="7"/>
        <v>0</v>
      </c>
      <c r="H21" s="604">
        <f t="shared" si="1"/>
        <v>0</v>
      </c>
      <c r="I21" s="152">
        <f t="shared" si="8"/>
        <v>0</v>
      </c>
      <c r="J21" s="167">
        <f t="shared" si="8"/>
        <v>0</v>
      </c>
      <c r="K21" s="602">
        <f t="shared" si="2"/>
        <v>0</v>
      </c>
      <c r="L21" s="644">
        <f>'ET Forecast Capital Additions'!$L20</f>
        <v>1</v>
      </c>
      <c r="M21" s="152">
        <f t="shared" si="3"/>
        <v>0</v>
      </c>
      <c r="N21" s="167">
        <f t="shared" si="4"/>
        <v>0</v>
      </c>
      <c r="O21" s="404">
        <f t="shared" si="5"/>
        <v>0</v>
      </c>
      <c r="P21" s="345">
        <f t="shared" si="9"/>
        <v>10</v>
      </c>
    </row>
    <row r="22" spans="1:16" x14ac:dyDescent="0.35">
      <c r="A22" s="345">
        <f t="shared" si="6"/>
        <v>11</v>
      </c>
      <c r="B22" s="1487">
        <v>44884</v>
      </c>
      <c r="C22" s="617">
        <v>0</v>
      </c>
      <c r="D22" s="601">
        <v>0</v>
      </c>
      <c r="E22" s="299">
        <f t="shared" si="0"/>
        <v>0</v>
      </c>
      <c r="F22" s="603">
        <f t="shared" si="7"/>
        <v>0</v>
      </c>
      <c r="G22" s="167">
        <f t="shared" si="7"/>
        <v>0</v>
      </c>
      <c r="H22" s="604">
        <f t="shared" si="1"/>
        <v>0</v>
      </c>
      <c r="I22" s="152">
        <f t="shared" si="8"/>
        <v>0</v>
      </c>
      <c r="J22" s="167">
        <f t="shared" si="8"/>
        <v>0</v>
      </c>
      <c r="K22" s="299">
        <f t="shared" si="2"/>
        <v>0</v>
      </c>
      <c r="L22" s="644">
        <f>'ET Forecast Capital Additions'!$L21</f>
        <v>1</v>
      </c>
      <c r="M22" s="152">
        <f t="shared" si="3"/>
        <v>0</v>
      </c>
      <c r="N22" s="167">
        <f t="shared" si="4"/>
        <v>0</v>
      </c>
      <c r="O22" s="604">
        <f t="shared" si="5"/>
        <v>0</v>
      </c>
      <c r="P22" s="345">
        <f t="shared" si="9"/>
        <v>11</v>
      </c>
    </row>
    <row r="23" spans="1:16" ht="16" thickBot="1" x14ac:dyDescent="0.4">
      <c r="A23" s="345">
        <f t="shared" si="6"/>
        <v>12</v>
      </c>
      <c r="B23" s="1487">
        <v>44914</v>
      </c>
      <c r="C23" s="605">
        <v>0</v>
      </c>
      <c r="D23" s="606">
        <v>0</v>
      </c>
      <c r="E23" s="607">
        <f t="shared" si="0"/>
        <v>0</v>
      </c>
      <c r="F23" s="608">
        <f t="shared" si="7"/>
        <v>0</v>
      </c>
      <c r="G23" s="612">
        <f t="shared" si="7"/>
        <v>0</v>
      </c>
      <c r="H23" s="610">
        <f t="shared" si="1"/>
        <v>0</v>
      </c>
      <c r="I23" s="611">
        <f t="shared" si="8"/>
        <v>0</v>
      </c>
      <c r="J23" s="612">
        <f t="shared" si="8"/>
        <v>0</v>
      </c>
      <c r="K23" s="607">
        <f t="shared" si="2"/>
        <v>0</v>
      </c>
      <c r="L23" s="645">
        <f>'ET Forecast Capital Additions'!$L22</f>
        <v>1</v>
      </c>
      <c r="M23" s="611">
        <f t="shared" si="3"/>
        <v>0</v>
      </c>
      <c r="N23" s="612">
        <f t="shared" si="4"/>
        <v>0</v>
      </c>
      <c r="O23" s="609">
        <f t="shared" si="5"/>
        <v>0</v>
      </c>
      <c r="P23" s="345">
        <f t="shared" si="9"/>
        <v>12</v>
      </c>
    </row>
    <row r="24" spans="1:16" x14ac:dyDescent="0.35">
      <c r="A24" s="345">
        <f t="shared" si="6"/>
        <v>13</v>
      </c>
      <c r="B24" s="1489">
        <v>44945</v>
      </c>
      <c r="C24" s="613">
        <v>0</v>
      </c>
      <c r="D24" s="614">
        <v>0</v>
      </c>
      <c r="E24" s="394">
        <f t="shared" si="0"/>
        <v>0</v>
      </c>
      <c r="F24" s="603">
        <f t="shared" si="7"/>
        <v>0</v>
      </c>
      <c r="G24" s="167">
        <f t="shared" si="7"/>
        <v>0</v>
      </c>
      <c r="H24" s="616">
        <f t="shared" si="1"/>
        <v>0</v>
      </c>
      <c r="I24" s="152">
        <f t="shared" si="8"/>
        <v>0</v>
      </c>
      <c r="J24" s="167">
        <f t="shared" si="8"/>
        <v>0</v>
      </c>
      <c r="K24" s="394">
        <f t="shared" si="2"/>
        <v>0</v>
      </c>
      <c r="L24" s="646">
        <f>'ET Forecast Capital Additions'!$L23</f>
        <v>1</v>
      </c>
      <c r="M24" s="152">
        <f t="shared" si="3"/>
        <v>0</v>
      </c>
      <c r="N24" s="167">
        <f t="shared" si="4"/>
        <v>0</v>
      </c>
      <c r="O24" s="395">
        <f t="shared" si="5"/>
        <v>0</v>
      </c>
      <c r="P24" s="345">
        <f t="shared" si="9"/>
        <v>13</v>
      </c>
    </row>
    <row r="25" spans="1:16" x14ac:dyDescent="0.35">
      <c r="A25" s="345">
        <f t="shared" si="6"/>
        <v>14</v>
      </c>
      <c r="B25" s="1487">
        <v>44976</v>
      </c>
      <c r="C25" s="600">
        <v>0</v>
      </c>
      <c r="D25" s="601">
        <v>0</v>
      </c>
      <c r="E25" s="602">
        <f t="shared" si="0"/>
        <v>0</v>
      </c>
      <c r="F25" s="603">
        <f t="shared" si="7"/>
        <v>0</v>
      </c>
      <c r="G25" s="167">
        <f t="shared" si="7"/>
        <v>0</v>
      </c>
      <c r="H25" s="604">
        <f t="shared" si="1"/>
        <v>0</v>
      </c>
      <c r="I25" s="152">
        <f t="shared" si="8"/>
        <v>0</v>
      </c>
      <c r="J25" s="167">
        <f t="shared" si="8"/>
        <v>0</v>
      </c>
      <c r="K25" s="602">
        <f t="shared" si="2"/>
        <v>0</v>
      </c>
      <c r="L25" s="644">
        <f>'ET Forecast Capital Additions'!$L24</f>
        <v>0.91666666666666663</v>
      </c>
      <c r="M25" s="152">
        <f t="shared" si="3"/>
        <v>0</v>
      </c>
      <c r="N25" s="167">
        <f t="shared" si="4"/>
        <v>0</v>
      </c>
      <c r="O25" s="404">
        <f t="shared" si="5"/>
        <v>0</v>
      </c>
      <c r="P25" s="345">
        <f t="shared" si="9"/>
        <v>14</v>
      </c>
    </row>
    <row r="26" spans="1:16" x14ac:dyDescent="0.35">
      <c r="A26" s="345">
        <f t="shared" si="6"/>
        <v>15</v>
      </c>
      <c r="B26" s="1487">
        <v>45004</v>
      </c>
      <c r="C26" s="600">
        <v>0</v>
      </c>
      <c r="D26" s="601">
        <v>0</v>
      </c>
      <c r="E26" s="602">
        <f t="shared" si="0"/>
        <v>0</v>
      </c>
      <c r="F26" s="603">
        <f t="shared" si="7"/>
        <v>0</v>
      </c>
      <c r="G26" s="167">
        <f t="shared" si="7"/>
        <v>0</v>
      </c>
      <c r="H26" s="604">
        <f t="shared" si="1"/>
        <v>0</v>
      </c>
      <c r="I26" s="152">
        <f t="shared" si="8"/>
        <v>0</v>
      </c>
      <c r="J26" s="167">
        <f t="shared" si="8"/>
        <v>0</v>
      </c>
      <c r="K26" s="602">
        <f t="shared" si="2"/>
        <v>0</v>
      </c>
      <c r="L26" s="644">
        <f>'ET Forecast Capital Additions'!$L25</f>
        <v>0.83333333333333337</v>
      </c>
      <c r="M26" s="152">
        <f t="shared" si="3"/>
        <v>0</v>
      </c>
      <c r="N26" s="167">
        <f t="shared" si="4"/>
        <v>0</v>
      </c>
      <c r="O26" s="404">
        <f t="shared" si="5"/>
        <v>0</v>
      </c>
      <c r="P26" s="345">
        <f t="shared" si="9"/>
        <v>15</v>
      </c>
    </row>
    <row r="27" spans="1:16" ht="16" thickBot="1" x14ac:dyDescent="0.4">
      <c r="A27" s="345">
        <f t="shared" si="6"/>
        <v>16</v>
      </c>
      <c r="B27" s="1488">
        <v>45035</v>
      </c>
      <c r="C27" s="605">
        <v>0</v>
      </c>
      <c r="D27" s="606">
        <v>0</v>
      </c>
      <c r="E27" s="607">
        <f t="shared" si="0"/>
        <v>0</v>
      </c>
      <c r="F27" s="608">
        <f t="shared" si="7"/>
        <v>0</v>
      </c>
      <c r="G27" s="612">
        <f t="shared" si="7"/>
        <v>0</v>
      </c>
      <c r="H27" s="610">
        <f t="shared" si="1"/>
        <v>0</v>
      </c>
      <c r="I27" s="611">
        <f t="shared" si="8"/>
        <v>0</v>
      </c>
      <c r="J27" s="612">
        <f t="shared" si="8"/>
        <v>0</v>
      </c>
      <c r="K27" s="607">
        <f t="shared" si="2"/>
        <v>0</v>
      </c>
      <c r="L27" s="645">
        <f>'ET Forecast Capital Additions'!$L26</f>
        <v>0.75</v>
      </c>
      <c r="M27" s="611">
        <f t="shared" si="3"/>
        <v>0</v>
      </c>
      <c r="N27" s="612">
        <f t="shared" si="4"/>
        <v>0</v>
      </c>
      <c r="O27" s="609">
        <f t="shared" si="5"/>
        <v>0</v>
      </c>
      <c r="P27" s="345">
        <f t="shared" si="9"/>
        <v>16</v>
      </c>
    </row>
    <row r="28" spans="1:16" x14ac:dyDescent="0.35">
      <c r="A28" s="345">
        <f t="shared" si="6"/>
        <v>17</v>
      </c>
      <c r="B28" s="1487">
        <v>45065</v>
      </c>
      <c r="C28" s="617">
        <v>0</v>
      </c>
      <c r="D28" s="601">
        <v>0</v>
      </c>
      <c r="E28" s="299">
        <f t="shared" si="0"/>
        <v>0</v>
      </c>
      <c r="F28" s="603">
        <f t="shared" si="7"/>
        <v>0</v>
      </c>
      <c r="G28" s="167">
        <f t="shared" si="7"/>
        <v>0</v>
      </c>
      <c r="H28" s="604">
        <f t="shared" si="1"/>
        <v>0</v>
      </c>
      <c r="I28" s="152">
        <f t="shared" si="8"/>
        <v>0</v>
      </c>
      <c r="J28" s="167">
        <f t="shared" si="8"/>
        <v>0</v>
      </c>
      <c r="K28" s="299">
        <f t="shared" si="2"/>
        <v>0</v>
      </c>
      <c r="L28" s="646">
        <f>'ET Forecast Capital Additions'!$L27</f>
        <v>0.66666666666666663</v>
      </c>
      <c r="M28" s="152">
        <f t="shared" si="3"/>
        <v>0</v>
      </c>
      <c r="N28" s="167">
        <f t="shared" si="4"/>
        <v>0</v>
      </c>
      <c r="O28" s="604">
        <f t="shared" si="5"/>
        <v>0</v>
      </c>
      <c r="P28" s="345">
        <f t="shared" si="9"/>
        <v>17</v>
      </c>
    </row>
    <row r="29" spans="1:16" x14ac:dyDescent="0.35">
      <c r="A29" s="345">
        <f t="shared" si="6"/>
        <v>18</v>
      </c>
      <c r="B29" s="1487">
        <v>45096</v>
      </c>
      <c r="C29" s="600">
        <v>0</v>
      </c>
      <c r="D29" s="601">
        <v>0</v>
      </c>
      <c r="E29" s="602">
        <f t="shared" si="0"/>
        <v>0</v>
      </c>
      <c r="F29" s="603">
        <f t="shared" si="7"/>
        <v>0</v>
      </c>
      <c r="G29" s="167">
        <f t="shared" si="7"/>
        <v>0</v>
      </c>
      <c r="H29" s="604">
        <f t="shared" si="1"/>
        <v>0</v>
      </c>
      <c r="I29" s="152">
        <f t="shared" si="8"/>
        <v>0</v>
      </c>
      <c r="J29" s="167">
        <f t="shared" si="8"/>
        <v>0</v>
      </c>
      <c r="K29" s="602">
        <f t="shared" si="2"/>
        <v>0</v>
      </c>
      <c r="L29" s="644">
        <f>'ET Forecast Capital Additions'!$L28</f>
        <v>0.58333333333333337</v>
      </c>
      <c r="M29" s="152">
        <f t="shared" si="3"/>
        <v>0</v>
      </c>
      <c r="N29" s="167">
        <f t="shared" si="4"/>
        <v>0</v>
      </c>
      <c r="O29" s="404">
        <f t="shared" si="5"/>
        <v>0</v>
      </c>
      <c r="P29" s="345">
        <f t="shared" si="9"/>
        <v>18</v>
      </c>
    </row>
    <row r="30" spans="1:16" x14ac:dyDescent="0.35">
      <c r="A30" s="345">
        <f t="shared" si="6"/>
        <v>19</v>
      </c>
      <c r="B30" s="1487">
        <v>45126</v>
      </c>
      <c r="C30" s="600">
        <v>0</v>
      </c>
      <c r="D30" s="601">
        <v>0</v>
      </c>
      <c r="E30" s="602">
        <f t="shared" si="0"/>
        <v>0</v>
      </c>
      <c r="F30" s="603">
        <f t="shared" si="7"/>
        <v>0</v>
      </c>
      <c r="G30" s="167">
        <f t="shared" si="7"/>
        <v>0</v>
      </c>
      <c r="H30" s="604">
        <f t="shared" si="1"/>
        <v>0</v>
      </c>
      <c r="I30" s="152">
        <f t="shared" si="8"/>
        <v>0</v>
      </c>
      <c r="J30" s="167">
        <f t="shared" si="8"/>
        <v>0</v>
      </c>
      <c r="K30" s="602">
        <f t="shared" si="2"/>
        <v>0</v>
      </c>
      <c r="L30" s="644">
        <f>'ET Forecast Capital Additions'!$L29</f>
        <v>0.5</v>
      </c>
      <c r="M30" s="152">
        <f t="shared" si="3"/>
        <v>0</v>
      </c>
      <c r="N30" s="167">
        <f t="shared" si="4"/>
        <v>0</v>
      </c>
      <c r="O30" s="404">
        <f t="shared" si="5"/>
        <v>0</v>
      </c>
      <c r="P30" s="345">
        <f t="shared" si="9"/>
        <v>19</v>
      </c>
    </row>
    <row r="31" spans="1:16" ht="16" thickBot="1" x14ac:dyDescent="0.4">
      <c r="A31" s="345">
        <f t="shared" si="6"/>
        <v>20</v>
      </c>
      <c r="B31" s="1488">
        <v>45157</v>
      </c>
      <c r="C31" s="605">
        <v>0</v>
      </c>
      <c r="D31" s="606">
        <v>0</v>
      </c>
      <c r="E31" s="607">
        <f t="shared" si="0"/>
        <v>0</v>
      </c>
      <c r="F31" s="608">
        <f t="shared" si="7"/>
        <v>0</v>
      </c>
      <c r="G31" s="612">
        <f t="shared" si="7"/>
        <v>0</v>
      </c>
      <c r="H31" s="610">
        <f t="shared" si="1"/>
        <v>0</v>
      </c>
      <c r="I31" s="611">
        <f t="shared" si="8"/>
        <v>0</v>
      </c>
      <c r="J31" s="612">
        <f t="shared" si="8"/>
        <v>0</v>
      </c>
      <c r="K31" s="607">
        <f t="shared" si="2"/>
        <v>0</v>
      </c>
      <c r="L31" s="645">
        <f>'ET Forecast Capital Additions'!$L30</f>
        <v>0.41666666666666669</v>
      </c>
      <c r="M31" s="611">
        <f t="shared" si="3"/>
        <v>0</v>
      </c>
      <c r="N31" s="612">
        <f t="shared" si="4"/>
        <v>0</v>
      </c>
      <c r="O31" s="609">
        <f t="shared" si="5"/>
        <v>0</v>
      </c>
      <c r="P31" s="345">
        <f t="shared" si="9"/>
        <v>20</v>
      </c>
    </row>
    <row r="32" spans="1:16" x14ac:dyDescent="0.35">
      <c r="A32" s="345">
        <f t="shared" si="6"/>
        <v>21</v>
      </c>
      <c r="B32" s="1487">
        <v>45188</v>
      </c>
      <c r="C32" s="600">
        <v>0</v>
      </c>
      <c r="D32" s="601">
        <v>0</v>
      </c>
      <c r="E32" s="602">
        <f t="shared" si="0"/>
        <v>0</v>
      </c>
      <c r="F32" s="603">
        <f t="shared" si="7"/>
        <v>0</v>
      </c>
      <c r="G32" s="167">
        <f t="shared" si="7"/>
        <v>0</v>
      </c>
      <c r="H32" s="604">
        <f t="shared" si="1"/>
        <v>0</v>
      </c>
      <c r="I32" s="152">
        <f t="shared" si="8"/>
        <v>0</v>
      </c>
      <c r="J32" s="167">
        <f t="shared" si="8"/>
        <v>0</v>
      </c>
      <c r="K32" s="602">
        <f t="shared" si="2"/>
        <v>0</v>
      </c>
      <c r="L32" s="646">
        <f>'ET Forecast Capital Additions'!$L31</f>
        <v>0.33333333333333331</v>
      </c>
      <c r="M32" s="152">
        <f t="shared" si="3"/>
        <v>0</v>
      </c>
      <c r="N32" s="167">
        <f t="shared" si="4"/>
        <v>0</v>
      </c>
      <c r="O32" s="404">
        <f t="shared" si="5"/>
        <v>0</v>
      </c>
      <c r="P32" s="345">
        <f t="shared" si="9"/>
        <v>21</v>
      </c>
    </row>
    <row r="33" spans="1:18" x14ac:dyDescent="0.35">
      <c r="A33" s="345">
        <f t="shared" si="6"/>
        <v>22</v>
      </c>
      <c r="B33" s="1487">
        <v>45218</v>
      </c>
      <c r="C33" s="617">
        <v>0</v>
      </c>
      <c r="D33" s="601">
        <v>0</v>
      </c>
      <c r="E33" s="299">
        <f t="shared" si="0"/>
        <v>0</v>
      </c>
      <c r="F33" s="603">
        <f t="shared" si="7"/>
        <v>0</v>
      </c>
      <c r="G33" s="167">
        <f t="shared" si="7"/>
        <v>0</v>
      </c>
      <c r="H33" s="604">
        <f t="shared" si="1"/>
        <v>0</v>
      </c>
      <c r="I33" s="152">
        <f t="shared" si="8"/>
        <v>0</v>
      </c>
      <c r="J33" s="167">
        <f t="shared" si="8"/>
        <v>0</v>
      </c>
      <c r="K33" s="299">
        <f t="shared" si="2"/>
        <v>0</v>
      </c>
      <c r="L33" s="644">
        <f>'ET Forecast Capital Additions'!$L32</f>
        <v>0.25</v>
      </c>
      <c r="M33" s="152">
        <f t="shared" si="3"/>
        <v>0</v>
      </c>
      <c r="N33" s="167">
        <f t="shared" si="4"/>
        <v>0</v>
      </c>
      <c r="O33" s="604">
        <f t="shared" si="5"/>
        <v>0</v>
      </c>
      <c r="P33" s="345">
        <f t="shared" si="9"/>
        <v>22</v>
      </c>
    </row>
    <row r="34" spans="1:18" x14ac:dyDescent="0.35">
      <c r="A34" s="345">
        <f t="shared" si="6"/>
        <v>23</v>
      </c>
      <c r="B34" s="1487">
        <v>45249</v>
      </c>
      <c r="C34" s="600">
        <v>0</v>
      </c>
      <c r="D34" s="601">
        <v>0</v>
      </c>
      <c r="E34" s="602">
        <f t="shared" si="0"/>
        <v>0</v>
      </c>
      <c r="F34" s="603">
        <f t="shared" si="7"/>
        <v>0</v>
      </c>
      <c r="G34" s="167">
        <f t="shared" si="7"/>
        <v>0</v>
      </c>
      <c r="H34" s="604">
        <f t="shared" si="1"/>
        <v>0</v>
      </c>
      <c r="I34" s="152">
        <f t="shared" si="8"/>
        <v>0</v>
      </c>
      <c r="J34" s="167">
        <f t="shared" si="8"/>
        <v>0</v>
      </c>
      <c r="K34" s="602">
        <f t="shared" si="2"/>
        <v>0</v>
      </c>
      <c r="L34" s="644">
        <f>'ET Forecast Capital Additions'!$L33</f>
        <v>0.16666666666666666</v>
      </c>
      <c r="M34" s="152">
        <f t="shared" si="3"/>
        <v>0</v>
      </c>
      <c r="N34" s="167">
        <f t="shared" si="4"/>
        <v>0</v>
      </c>
      <c r="O34" s="404">
        <f t="shared" si="5"/>
        <v>0</v>
      </c>
      <c r="P34" s="345">
        <f t="shared" si="9"/>
        <v>23</v>
      </c>
    </row>
    <row r="35" spans="1:18" ht="16" thickBot="1" x14ac:dyDescent="0.4">
      <c r="A35" s="345">
        <f t="shared" si="6"/>
        <v>24</v>
      </c>
      <c r="B35" s="1487">
        <v>45279</v>
      </c>
      <c r="C35" s="600">
        <v>0</v>
      </c>
      <c r="D35" s="601">
        <v>0</v>
      </c>
      <c r="E35" s="602">
        <f t="shared" si="0"/>
        <v>0</v>
      </c>
      <c r="F35" s="603">
        <f t="shared" si="7"/>
        <v>0</v>
      </c>
      <c r="G35" s="167">
        <f t="shared" si="7"/>
        <v>0</v>
      </c>
      <c r="H35" s="404">
        <f t="shared" si="1"/>
        <v>0</v>
      </c>
      <c r="I35" s="611">
        <f t="shared" si="8"/>
        <v>0</v>
      </c>
      <c r="J35" s="612">
        <f t="shared" si="8"/>
        <v>0</v>
      </c>
      <c r="K35" s="602">
        <f t="shared" si="2"/>
        <v>0</v>
      </c>
      <c r="L35" s="644">
        <f>'ET Forecast Capital Additions'!$L34</f>
        <v>8.3333333333333329E-2</v>
      </c>
      <c r="M35" s="611">
        <f t="shared" si="3"/>
        <v>0</v>
      </c>
      <c r="N35" s="612">
        <f t="shared" si="4"/>
        <v>0</v>
      </c>
      <c r="O35" s="404">
        <f t="shared" si="5"/>
        <v>0</v>
      </c>
      <c r="P35" s="345">
        <f t="shared" si="9"/>
        <v>24</v>
      </c>
    </row>
    <row r="36" spans="1:18" ht="16" thickBot="1" x14ac:dyDescent="0.4">
      <c r="A36" s="345">
        <f t="shared" si="6"/>
        <v>25</v>
      </c>
      <c r="B36" s="1490" t="s">
        <v>31</v>
      </c>
      <c r="C36" s="560">
        <f t="shared" ref="C36:K36" si="10">SUM(C12:C35)</f>
        <v>0</v>
      </c>
      <c r="D36" s="557">
        <f t="shared" si="10"/>
        <v>0</v>
      </c>
      <c r="E36" s="558">
        <f t="shared" si="10"/>
        <v>0</v>
      </c>
      <c r="F36" s="556">
        <f t="shared" si="10"/>
        <v>0</v>
      </c>
      <c r="G36" s="557">
        <f t="shared" si="10"/>
        <v>0</v>
      </c>
      <c r="H36" s="559">
        <f t="shared" si="10"/>
        <v>0</v>
      </c>
      <c r="I36" s="560">
        <f t="shared" si="10"/>
        <v>0</v>
      </c>
      <c r="J36" s="557">
        <f t="shared" si="10"/>
        <v>0</v>
      </c>
      <c r="K36" s="558">
        <f t="shared" si="10"/>
        <v>0</v>
      </c>
      <c r="L36" s="561"/>
      <c r="M36" s="560">
        <f>SUM(M12:M35)</f>
        <v>0</v>
      </c>
      <c r="N36" s="557">
        <f>SUM(N12:N35)</f>
        <v>0</v>
      </c>
      <c r="O36" s="559">
        <f>SUM(O12:O35)</f>
        <v>0</v>
      </c>
      <c r="P36" s="345">
        <f t="shared" si="9"/>
        <v>25</v>
      </c>
    </row>
    <row r="37" spans="1:18" x14ac:dyDescent="0.35">
      <c r="A37" s="345">
        <f>A36+1</f>
        <v>26</v>
      </c>
      <c r="B37" s="1445"/>
      <c r="C37" s="72"/>
      <c r="D37" s="72"/>
      <c r="E37" s="1491"/>
      <c r="F37" s="81"/>
      <c r="G37" s="81"/>
      <c r="H37" s="512"/>
      <c r="I37" s="81"/>
      <c r="J37" s="81"/>
      <c r="K37" s="512"/>
      <c r="L37" s="81"/>
      <c r="M37" s="81"/>
      <c r="N37" s="81"/>
      <c r="O37" s="562"/>
      <c r="P37" s="345">
        <f>P36+1</f>
        <v>26</v>
      </c>
      <c r="Q37" s="79"/>
      <c r="R37" s="79"/>
    </row>
    <row r="38" spans="1:18" s="1086" customFormat="1" x14ac:dyDescent="0.35">
      <c r="A38" s="345">
        <f>A37+1</f>
        <v>27</v>
      </c>
      <c r="B38" s="1492"/>
      <c r="C38" s="1493"/>
      <c r="D38" s="1493"/>
      <c r="E38" s="1494" t="s">
        <v>649</v>
      </c>
      <c r="F38" s="1495"/>
      <c r="G38" s="1495"/>
      <c r="H38" s="591">
        <f>'ET Forecast Capital Additions'!H37</f>
        <v>11467.787</v>
      </c>
      <c r="I38" s="564"/>
      <c r="J38" s="81" t="str">
        <f>'ET Forecast Capital Additions'!J37</f>
        <v>Form 1; Page 204-207; Line 58; Col. d</v>
      </c>
      <c r="K38" s="1493"/>
      <c r="L38" s="1493"/>
      <c r="M38" s="1493"/>
      <c r="N38" s="1493"/>
      <c r="O38" s="1496"/>
      <c r="P38" s="345">
        <f>P37+1</f>
        <v>27</v>
      </c>
      <c r="Q38" s="79"/>
      <c r="R38" s="1497"/>
    </row>
    <row r="39" spans="1:18" s="1086" customFormat="1" x14ac:dyDescent="0.35">
      <c r="A39" s="345">
        <f>A38+1</f>
        <v>28</v>
      </c>
      <c r="B39" s="1492"/>
      <c r="C39" s="1493"/>
      <c r="D39" s="1493"/>
      <c r="E39" s="1494"/>
      <c r="F39" s="1495"/>
      <c r="G39" s="1495"/>
      <c r="H39" s="72"/>
      <c r="I39" s="564"/>
      <c r="J39" s="81"/>
      <c r="K39" s="1493"/>
      <c r="L39" s="1493"/>
      <c r="M39" s="1493"/>
      <c r="N39" s="1493"/>
      <c r="O39" s="1496"/>
      <c r="P39" s="345">
        <f>P38+1</f>
        <v>28</v>
      </c>
      <c r="Q39" s="1497"/>
      <c r="R39" s="1497"/>
    </row>
    <row r="40" spans="1:18" s="1086" customFormat="1" x14ac:dyDescent="0.35">
      <c r="A40" s="345">
        <f t="shared" ref="A40:A42" si="11">A39+1</f>
        <v>29</v>
      </c>
      <c r="B40" s="1492"/>
      <c r="C40" s="1493"/>
      <c r="D40" s="1493"/>
      <c r="E40" s="1494" t="s">
        <v>650</v>
      </c>
      <c r="F40" s="1495"/>
      <c r="G40" s="1495"/>
      <c r="H40" s="592">
        <f>'ET Forecast Capital Additions'!H39</f>
        <v>7475889.3789999997</v>
      </c>
      <c r="I40" s="564"/>
      <c r="J40" s="81" t="str">
        <f>'ET Forecast Capital Additions'!J39</f>
        <v>Form 1; Page 204-207; Line 58; Col. g</v>
      </c>
      <c r="K40" s="1493"/>
      <c r="L40" s="1493"/>
      <c r="M40" s="1493"/>
      <c r="N40" s="1493"/>
      <c r="O40" s="1496"/>
      <c r="P40" s="345">
        <f t="shared" ref="P40:P47" si="12">P39+1</f>
        <v>29</v>
      </c>
      <c r="Q40" s="1497"/>
      <c r="R40" s="1497"/>
    </row>
    <row r="41" spans="1:18" s="79" customFormat="1" ht="16" thickBot="1" x14ac:dyDescent="0.4">
      <c r="A41" s="345">
        <f t="shared" si="11"/>
        <v>30</v>
      </c>
      <c r="B41" s="1445"/>
      <c r="C41" s="81"/>
      <c r="D41" s="81"/>
      <c r="E41" s="109"/>
      <c r="F41" s="109"/>
      <c r="G41" s="109"/>
      <c r="H41" s="81"/>
      <c r="I41" s="81"/>
      <c r="J41" s="81"/>
      <c r="K41" s="81"/>
      <c r="L41" s="81"/>
      <c r="M41" s="81"/>
      <c r="N41" s="81"/>
      <c r="O41" s="1499"/>
      <c r="P41" s="345">
        <f t="shared" si="12"/>
        <v>30</v>
      </c>
      <c r="Q41" s="1497"/>
      <c r="R41" s="1497"/>
    </row>
    <row r="42" spans="1:18" ht="16" thickBot="1" x14ac:dyDescent="0.4">
      <c r="A42" s="345">
        <f t="shared" si="11"/>
        <v>31</v>
      </c>
      <c r="B42" s="1445"/>
      <c r="C42" s="81"/>
      <c r="D42" s="81"/>
      <c r="E42" s="109" t="s">
        <v>699</v>
      </c>
      <c r="F42" s="81"/>
      <c r="G42" s="81"/>
      <c r="H42" s="565">
        <f>H38/H40</f>
        <v>1.5339695946027989E-3</v>
      </c>
      <c r="I42" s="81"/>
      <c r="J42" s="81" t="s">
        <v>1207</v>
      </c>
      <c r="K42" s="1498"/>
      <c r="L42" s="81"/>
      <c r="M42" s="81"/>
      <c r="N42" s="81"/>
      <c r="O42" s="1499"/>
      <c r="P42" s="345">
        <f t="shared" si="12"/>
        <v>31</v>
      </c>
      <c r="Q42" s="79"/>
      <c r="R42" s="79"/>
    </row>
    <row r="43" spans="1:18" ht="16" thickBot="1" x14ac:dyDescent="0.4">
      <c r="A43" s="345">
        <f t="shared" si="6"/>
        <v>32</v>
      </c>
      <c r="B43" s="1500"/>
      <c r="C43" s="366"/>
      <c r="D43" s="366"/>
      <c r="E43" s="566"/>
      <c r="F43" s="366"/>
      <c r="G43" s="366"/>
      <c r="H43" s="567"/>
      <c r="I43" s="366"/>
      <c r="J43" s="366"/>
      <c r="K43" s="366"/>
      <c r="L43" s="366"/>
      <c r="M43" s="366"/>
      <c r="N43" s="366"/>
      <c r="O43" s="568"/>
      <c r="P43" s="345">
        <f t="shared" si="12"/>
        <v>32</v>
      </c>
      <c r="Q43" s="1497"/>
      <c r="R43" s="79"/>
    </row>
    <row r="44" spans="1:18" ht="16" thickBot="1" x14ac:dyDescent="0.4">
      <c r="A44" s="345">
        <f t="shared" si="6"/>
        <v>33</v>
      </c>
      <c r="B44" s="1445"/>
      <c r="C44" s="81"/>
      <c r="D44" s="81"/>
      <c r="E44" s="72"/>
      <c r="F44" s="81"/>
      <c r="G44" s="81"/>
      <c r="H44" s="81"/>
      <c r="I44" s="81"/>
      <c r="J44" s="81"/>
      <c r="K44" s="512" t="s">
        <v>10</v>
      </c>
      <c r="L44" s="81"/>
      <c r="M44" s="1501"/>
      <c r="N44" s="1501"/>
      <c r="O44" s="1502"/>
      <c r="P44" s="345">
        <f t="shared" si="12"/>
        <v>33</v>
      </c>
      <c r="Q44" s="1497"/>
      <c r="R44" s="79"/>
    </row>
    <row r="45" spans="1:18" ht="16" thickBot="1" x14ac:dyDescent="0.4">
      <c r="A45" s="345">
        <f t="shared" si="6"/>
        <v>34</v>
      </c>
      <c r="B45" s="1503"/>
      <c r="C45" s="81"/>
      <c r="D45" s="1226"/>
      <c r="E45" s="1504"/>
      <c r="F45" s="1505"/>
      <c r="G45" s="1506"/>
      <c r="H45" s="1506" t="s">
        <v>530</v>
      </c>
      <c r="I45" s="1507" t="s">
        <v>700</v>
      </c>
      <c r="J45" s="1508" t="s">
        <v>701</v>
      </c>
      <c r="K45" s="1509" t="s">
        <v>531</v>
      </c>
      <c r="L45" s="109"/>
      <c r="M45" s="1510" t="s">
        <v>532</v>
      </c>
      <c r="N45" s="1511" t="s">
        <v>533</v>
      </c>
      <c r="O45" s="1512" t="s">
        <v>534</v>
      </c>
      <c r="P45" s="345">
        <f t="shared" si="12"/>
        <v>34</v>
      </c>
      <c r="Q45" s="1497"/>
      <c r="R45" s="79"/>
    </row>
    <row r="46" spans="1:18" ht="16" thickBot="1" x14ac:dyDescent="0.4">
      <c r="A46" s="345">
        <f t="shared" si="6"/>
        <v>35</v>
      </c>
      <c r="B46" s="1445"/>
      <c r="C46" s="81"/>
      <c r="D46" s="81"/>
      <c r="E46" s="1513"/>
      <c r="F46" s="1514"/>
      <c r="G46" s="1515"/>
      <c r="H46" s="1515" t="s">
        <v>535</v>
      </c>
      <c r="I46" s="569">
        <f>+I36</f>
        <v>0</v>
      </c>
      <c r="J46" s="569">
        <f>+J36</f>
        <v>0</v>
      </c>
      <c r="K46" s="569">
        <f>+K36</f>
        <v>0</v>
      </c>
      <c r="L46" s="571"/>
      <c r="M46" s="569">
        <f>+M36</f>
        <v>0</v>
      </c>
      <c r="N46" s="569">
        <f>+N36</f>
        <v>0</v>
      </c>
      <c r="O46" s="569">
        <f>+O36</f>
        <v>0</v>
      </c>
      <c r="P46" s="345">
        <f t="shared" si="12"/>
        <v>35</v>
      </c>
      <c r="Q46" s="79"/>
      <c r="R46" s="79"/>
    </row>
    <row r="47" spans="1:18" ht="16" thickTop="1" x14ac:dyDescent="0.35">
      <c r="A47" s="345">
        <f t="shared" si="6"/>
        <v>36</v>
      </c>
      <c r="B47" s="1445"/>
      <c r="C47" s="81"/>
      <c r="D47" s="81"/>
      <c r="E47" s="1445"/>
      <c r="F47" s="81"/>
      <c r="G47" s="1219"/>
      <c r="H47" s="1219"/>
      <c r="I47" s="594"/>
      <c r="J47" s="594"/>
      <c r="K47" s="594"/>
      <c r="L47" s="81"/>
      <c r="M47" s="594"/>
      <c r="N47" s="594"/>
      <c r="O47" s="594"/>
      <c r="P47" s="345">
        <f t="shared" si="12"/>
        <v>36</v>
      </c>
      <c r="Q47" s="79"/>
      <c r="R47" s="79"/>
    </row>
    <row r="48" spans="1:18" ht="16" thickBot="1" x14ac:dyDescent="0.4">
      <c r="A48" s="345">
        <f>A47+1</f>
        <v>37</v>
      </c>
      <c r="B48" s="1445"/>
      <c r="C48" s="81"/>
      <c r="D48" s="81"/>
      <c r="E48" s="1445"/>
      <c r="F48" s="81"/>
      <c r="G48" s="1219"/>
      <c r="H48" s="1516" t="s">
        <v>383</v>
      </c>
      <c r="I48" s="576">
        <f>IFERROR((+I46/K46),0)</f>
        <v>0</v>
      </c>
      <c r="J48" s="576">
        <f>IFERROR((+J46/K46),0)</f>
        <v>0</v>
      </c>
      <c r="K48" s="576">
        <f>I48+J48</f>
        <v>0</v>
      </c>
      <c r="L48" s="109"/>
      <c r="M48" s="576">
        <f>IFERROR((+M46/O46),0)</f>
        <v>0</v>
      </c>
      <c r="N48" s="576">
        <f>IFERROR((+N46/O46),0)</f>
        <v>0</v>
      </c>
      <c r="O48" s="576">
        <f>M48+N48</f>
        <v>0</v>
      </c>
      <c r="P48" s="345">
        <f>P47+1</f>
        <v>37</v>
      </c>
      <c r="Q48" s="79"/>
      <c r="R48" s="79"/>
    </row>
    <row r="49" spans="1:18" ht="16.5" thickTop="1" thickBot="1" x14ac:dyDescent="0.4">
      <c r="A49" s="345">
        <f t="shared" si="6"/>
        <v>38</v>
      </c>
      <c r="B49" s="1440"/>
      <c r="C49" s="81"/>
      <c r="D49" s="81"/>
      <c r="E49" s="1500"/>
      <c r="F49" s="366"/>
      <c r="G49" s="366"/>
      <c r="H49" s="366"/>
      <c r="I49" s="580"/>
      <c r="J49" s="580"/>
      <c r="K49" s="568"/>
      <c r="L49" s="81"/>
      <c r="M49" s="581"/>
      <c r="N49" s="582"/>
      <c r="O49" s="568"/>
      <c r="P49" s="345">
        <f t="shared" si="9"/>
        <v>38</v>
      </c>
      <c r="Q49" s="79"/>
      <c r="R49" s="79"/>
    </row>
    <row r="50" spans="1:18" ht="16" thickBot="1" x14ac:dyDescent="0.4">
      <c r="A50" s="345">
        <f t="shared" si="6"/>
        <v>39</v>
      </c>
      <c r="B50" s="1458"/>
      <c r="C50" s="366"/>
      <c r="D50" s="366"/>
      <c r="E50" s="366"/>
      <c r="F50" s="366"/>
      <c r="G50" s="366"/>
      <c r="H50" s="366"/>
      <c r="I50" s="366"/>
      <c r="J50" s="366"/>
      <c r="K50" s="366"/>
      <c r="L50" s="366"/>
      <c r="M50" s="366"/>
      <c r="N50" s="366"/>
      <c r="O50" s="568"/>
      <c r="P50" s="345">
        <f t="shared" si="9"/>
        <v>39</v>
      </c>
      <c r="R50" s="79"/>
    </row>
    <row r="51" spans="1:18" x14ac:dyDescent="0.35">
      <c r="A51" s="345"/>
      <c r="B51" s="109"/>
      <c r="C51" s="81"/>
      <c r="D51" s="81"/>
      <c r="E51" s="81"/>
      <c r="F51" s="81"/>
      <c r="G51" s="81"/>
      <c r="H51" s="81"/>
      <c r="I51" s="81"/>
      <c r="J51" s="81"/>
      <c r="K51" s="81"/>
      <c r="L51" s="81"/>
      <c r="M51" s="81"/>
      <c r="N51" s="81"/>
      <c r="O51" s="81"/>
      <c r="P51" s="345"/>
    </row>
    <row r="52" spans="1:18" x14ac:dyDescent="0.35">
      <c r="A52" s="1563"/>
      <c r="B52" s="109"/>
      <c r="C52" s="81"/>
      <c r="D52" s="81"/>
      <c r="E52" s="81"/>
      <c r="F52" s="81"/>
      <c r="G52" s="81"/>
      <c r="H52" s="81"/>
      <c r="I52" s="81"/>
      <c r="J52" s="81"/>
      <c r="K52" s="81"/>
      <c r="L52" s="81"/>
      <c r="M52" s="81"/>
      <c r="N52" s="81"/>
      <c r="O52" s="81"/>
      <c r="P52" s="1563"/>
    </row>
    <row r="53" spans="1:18" x14ac:dyDescent="0.35">
      <c r="A53" s="1563"/>
      <c r="B53" s="109"/>
      <c r="C53" s="81"/>
      <c r="D53" s="81"/>
      <c r="E53" s="81"/>
      <c r="F53" s="81"/>
      <c r="G53" s="81"/>
      <c r="H53" s="81"/>
      <c r="I53" s="81"/>
      <c r="J53" s="81"/>
      <c r="K53" s="81"/>
      <c r="L53" s="81"/>
      <c r="M53" s="81"/>
      <c r="N53" s="81"/>
      <c r="O53" s="81"/>
      <c r="P53" s="1563"/>
    </row>
    <row r="54" spans="1:18" x14ac:dyDescent="0.35">
      <c r="A54" s="1563"/>
      <c r="B54" s="1530"/>
      <c r="C54" s="1531"/>
      <c r="D54" s="1531"/>
      <c r="E54" s="1531"/>
      <c r="F54" s="1531"/>
      <c r="G54" s="1531"/>
      <c r="H54" s="1531"/>
      <c r="I54" s="1531"/>
      <c r="J54" s="1531"/>
      <c r="K54" s="1531"/>
      <c r="L54" s="1125"/>
      <c r="M54" s="1531"/>
      <c r="N54" s="1531"/>
      <c r="O54" s="1531"/>
      <c r="P54" s="1563"/>
    </row>
    <row r="55" spans="1:18" x14ac:dyDescent="0.35">
      <c r="A55" s="1563"/>
      <c r="B55" s="1530"/>
      <c r="C55" s="1531"/>
      <c r="D55" s="1531"/>
      <c r="E55" s="1531"/>
      <c r="F55" s="1531"/>
      <c r="G55" s="1531"/>
      <c r="H55" s="1531"/>
      <c r="I55" s="1531"/>
      <c r="J55" s="1531"/>
      <c r="K55" s="1531"/>
      <c r="L55" s="1125"/>
      <c r="M55" s="1531"/>
      <c r="N55" s="1531"/>
      <c r="O55" s="1531"/>
      <c r="P55" s="1563"/>
    </row>
    <row r="56" spans="1:18" x14ac:dyDescent="0.35">
      <c r="A56" s="1563"/>
      <c r="B56" s="1530"/>
      <c r="C56" s="1531"/>
      <c r="D56" s="1531"/>
      <c r="E56" s="1531"/>
      <c r="F56" s="1531"/>
      <c r="G56" s="1531"/>
      <c r="H56" s="1531"/>
      <c r="I56" s="1531"/>
      <c r="J56" s="1531"/>
      <c r="K56" s="1531"/>
      <c r="L56" s="1125"/>
      <c r="M56" s="1531"/>
      <c r="N56" s="1531"/>
      <c r="O56" s="1531"/>
      <c r="P56" s="1563"/>
    </row>
    <row r="57" spans="1:18" x14ac:dyDescent="0.35">
      <c r="A57" s="1563"/>
      <c r="B57" s="1530"/>
      <c r="C57" s="1531"/>
      <c r="D57" s="1531"/>
      <c r="E57" s="1531"/>
      <c r="F57" s="1531"/>
      <c r="G57" s="1531"/>
      <c r="H57" s="1531"/>
      <c r="I57" s="1531"/>
      <c r="J57" s="1531"/>
      <c r="K57" s="1531"/>
      <c r="L57" s="1125"/>
      <c r="M57" s="1531"/>
      <c r="N57" s="1531"/>
      <c r="O57" s="1531"/>
      <c r="P57" s="1563"/>
    </row>
    <row r="58" spans="1:18" x14ac:dyDescent="0.35">
      <c r="A58" s="1563"/>
      <c r="B58" s="1530"/>
      <c r="C58" s="1531"/>
      <c r="D58" s="1531"/>
      <c r="E58" s="1531"/>
      <c r="F58" s="1531"/>
      <c r="G58" s="1531"/>
      <c r="H58" s="1531"/>
      <c r="I58" s="1531"/>
      <c r="J58" s="1531"/>
      <c r="K58" s="1531"/>
      <c r="L58" s="1125"/>
      <c r="M58" s="1531"/>
      <c r="N58" s="1531"/>
      <c r="O58" s="1531"/>
      <c r="P58" s="1563"/>
    </row>
    <row r="59" spans="1:18" x14ac:dyDescent="0.35">
      <c r="A59" s="1563"/>
      <c r="B59" s="1530"/>
      <c r="C59" s="79"/>
      <c r="D59" s="79"/>
      <c r="E59" s="79"/>
      <c r="F59" s="79"/>
      <c r="G59" s="79"/>
      <c r="H59" s="79"/>
      <c r="I59" s="79"/>
      <c r="J59" s="79"/>
      <c r="K59" s="79"/>
      <c r="L59" s="79"/>
      <c r="M59" s="79"/>
      <c r="N59" s="79"/>
      <c r="O59" s="79"/>
      <c r="P59" s="1563"/>
    </row>
  </sheetData>
  <mergeCells count="6">
    <mergeCell ref="B7:O7"/>
    <mergeCell ref="B2:O2"/>
    <mergeCell ref="B3:O3"/>
    <mergeCell ref="B4:O4"/>
    <mergeCell ref="B5:O5"/>
    <mergeCell ref="B6:O6"/>
  </mergeCells>
  <printOptions horizontalCentered="1"/>
  <pageMargins left="0.5" right="0.5" top="0.5" bottom="0.5" header="0.25" footer="0.25"/>
  <pageSetup scale="57" orientation="landscape" r:id="rId1"/>
  <headerFooter scaleWithDoc="0">
    <oddFooter>&amp;C&amp;"Times New Roman,Regular"&amp;10Summary of Weighted Incentive Transmission CWIP - 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268B23024258429DAC4122732B87ED" ma:contentTypeVersion="4" ma:contentTypeDescription="Create a new document." ma:contentTypeScope="" ma:versionID="636ff0a5a2bdf7d37862f872c94f0413">
  <xsd:schema xmlns:xsd="http://www.w3.org/2001/XMLSchema" xmlns:xs="http://www.w3.org/2001/XMLSchema" xmlns:p="http://schemas.microsoft.com/office/2006/metadata/properties" xmlns:ns2="af4f6bea-4661-4cda-b825-bd4d480ecdc0" targetNamespace="http://schemas.microsoft.com/office/2006/metadata/properties" ma:root="true" ma:fieldsID="1c3ab18bd271619b778fa6c53a5ac965" ns2:_="">
    <xsd:import namespace="af4f6bea-4661-4cda-b825-bd4d480ecd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f6bea-4661-4cda-b825-bd4d480ec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28AC0-A937-4726-9F01-D09E7304DA1A}">
  <ds:schemaRefs>
    <ds:schemaRef ds:uri="http://schemas.microsoft.com/sharepoint/v3/contenttype/forms"/>
  </ds:schemaRefs>
</ds:datastoreItem>
</file>

<file path=customXml/itemProps2.xml><?xml version="1.0" encoding="utf-8"?>
<ds:datastoreItem xmlns:ds="http://schemas.openxmlformats.org/officeDocument/2006/customXml" ds:itemID="{3D456AF1-7B0E-4B64-907A-AB4FD608C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f6bea-4661-4cda-b825-bd4d480ec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6125E5-D8B8-45DB-99CA-EF2AAE465A1F}">
  <ds:schemaRefs>
    <ds:schemaRef ds:uri="http://schemas.openxmlformats.org/package/2006/metadata/core-properties"/>
    <ds:schemaRef ds:uri="http://purl.org/dc/dcmitype/"/>
    <ds:schemaRef ds:uri="http://www.w3.org/XML/1998/namespace"/>
    <ds:schemaRef ds:uri="af4f6bea-4661-4cda-b825-bd4d480ecdc0"/>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4</vt:i4>
      </vt:variant>
    </vt:vector>
  </HeadingPairs>
  <TitlesOfParts>
    <vt:vector size="87"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AQ</vt:lpstr>
      <vt:lpstr>Stmt AR</vt:lpstr>
      <vt:lpstr>AR-1</vt:lpstr>
      <vt:lpstr>Stmt AT</vt:lpstr>
      <vt:lpstr>AT-1</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TO5 True-Up BK-1</vt:lpstr>
      <vt:lpstr>TO5 Stmt AF Proration</vt:lpstr>
      <vt:lpstr>True-Up Stmt AV</vt:lpstr>
      <vt:lpstr>Interest TU BP</vt:lpstr>
      <vt:lpstr>Interest TU CY</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'AH-2'!Print_Area</vt:lpstr>
      <vt:lpstr>'AL-1'!Print_Area</vt:lpstr>
      <vt:lpstr>'AH-2'!Print_Titles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2022-10-18T17:13:04Z</cp:lastPrinted>
  <dcterms:created xsi:type="dcterms:W3CDTF">2016-08-29T13:22:03Z</dcterms:created>
  <dcterms:modified xsi:type="dcterms:W3CDTF">2022-11-15T22:11:38Z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0x01010056268B23024258429DAC4122732B87ED</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CofWorkbookId">
    <vt:lpwstr>ee73a1ec-89ec-466c-9e3d-2409a3f0716a</vt:lpwstr>
  </property>
</Properties>
</file>