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2/TO5-Cycle 5 Formula Rate Filing/December Filing/Cost Adjustment Workpapers/"/>
    </mc:Choice>
  </mc:AlternateContent>
  <xr:revisionPtr revIDLastSave="594" documentId="8_{2B43BE6F-735B-49F4-BE6F-46FE4BB98F57}" xr6:coauthVersionLast="47" xr6:coauthVersionMax="47" xr10:uidLastSave="{E96DA655-EDAC-40FB-8B1E-9AD084777723}"/>
  <bookViews>
    <workbookView xWindow="-108" yWindow="-108" windowWidth="23256" windowHeight="12576" xr2:uid="{F2347CB9-C744-43C3-B93C-3F4EDD823EA7}"/>
  </bookViews>
  <sheets>
    <sheet name="Pg1 TO5 C4 BTRR Adj" sheetId="1" r:id="rId1"/>
    <sheet name="Pg2 BK-1 Comparison" sheetId="3" r:id="rId2"/>
    <sheet name="Pg3 BK-1 Rev TO5 C4-Cost Adj " sheetId="4" r:id="rId3"/>
    <sheet name="Pg4 BK-1 Retail TRR-As Filed" sheetId="5" r:id="rId4"/>
    <sheet name="Pg5 Rev Stmt AF" sheetId="36" r:id="rId5"/>
    <sheet name="Pg5.1 As Filed Stmt AF" sheetId="35" r:id="rId6"/>
    <sheet name="Pg5.2 Rev AF-1" sheetId="47" r:id="rId7"/>
    <sheet name="Pg5.2A As Filed AF-1" sheetId="33" r:id="rId8"/>
    <sheet name="Pg5.3 Rev AF-2" sheetId="48" r:id="rId9"/>
    <sheet name="Pg5.3A As Filed AF-2" sheetId="31" r:id="rId10"/>
    <sheet name="Pg6 Rev Stmt AH" sheetId="29" r:id="rId11"/>
    <sheet name="Pg6.1 Rev AH-2" sheetId="28" r:id="rId12"/>
    <sheet name="Pg7 Rev Stmt AL" sheetId="30" r:id="rId13"/>
    <sheet name="Pg7.1 As Filed Stmt AL" sheetId="52" r:id="rId14"/>
    <sheet name="Pg8 Rev Stmt AR" sheetId="38" r:id="rId15"/>
    <sheet name="Pg8.1 As Filed Stmt AR" sheetId="37" r:id="rId16"/>
    <sheet name="Pg8.2 Rev AR-1" sheetId="49" r:id="rId17"/>
    <sheet name="Pg8.2A As Filed AR-1" sheetId="39" r:id="rId18"/>
    <sheet name="Pg9 Rev Order 864-1" sheetId="50" r:id="rId19"/>
    <sheet name="Pg9.1 As Filed Order 864-1" sheetId="41" r:id="rId20"/>
    <sheet name="Pg9.2 Rev Order 864-3" sheetId="51" r:id="rId21"/>
    <sheet name="Pg9.3 As Filed Order 864-3" sheetId="45" r:id="rId22"/>
    <sheet name="Pg10 Rev Stmt Misc" sheetId="19" r:id="rId23"/>
    <sheet name="Pg10.1 As Filed Stmt Misc" sheetId="17" r:id="rId24"/>
    <sheet name="Pg10.2 Rev Misc.-1" sheetId="15" r:id="rId25"/>
    <sheet name="Pg10.2A As Filed Misc.-1" sheetId="27" r:id="rId26"/>
    <sheet name="Pg10.3 Rev Misc.-1.1" sheetId="25" r:id="rId27"/>
    <sheet name="Pg10.3A As Filed Misc.-1.1" sheetId="26" r:id="rId28"/>
    <sheet name="Pg11 Rev Stmt AV" sheetId="10" r:id="rId29"/>
    <sheet name="Pg12 As Filed Stmt AV" sheetId="12" r:id="rId30"/>
    <sheet name="Pg13 Rev Stmt AU" sheetId="54" r:id="rId31"/>
    <sheet name="Pg13.1 As Filed Stmt AU" sheetId="53" r:id="rId32"/>
    <sheet name="Pg14 Rev AU-1" sheetId="56" r:id="rId33"/>
    <sheet name="Pg15 As Filed AU-1" sheetId="55" r:id="rId34"/>
    <sheet name="Pg16 TO5 C4 Int Calc" sheetId="13" r:id="rId35"/>
  </sheets>
  <definedNames>
    <definedName name="_xlnm.Print_Area" localSheetId="23">'Pg10.1 As Filed Stmt Misc'!$A$2:$H$23</definedName>
    <definedName name="_xlnm.Print_Area" localSheetId="25">'Pg10.2A As Filed Misc.-1'!$A$2:$I$20</definedName>
    <definedName name="_xlnm.Print_Area" localSheetId="27">'Pg10.3A As Filed Misc.-1.1'!$A$2:$I$36</definedName>
    <definedName name="_xlnm.Print_Area" localSheetId="29">'Pg12 As Filed Stmt AV'!$A$2:$J$258</definedName>
    <definedName name="_xlnm.Print_Area" localSheetId="31">'Pg13.1 As Filed Stmt AU'!$A$2:$H$31</definedName>
    <definedName name="_xlnm.Print_Area" localSheetId="33">'Pg15 As Filed AU-1'!$A$2:$W$45</definedName>
    <definedName name="_xlnm.Print_Area" localSheetId="1">'Pg2 BK-1 Comparison'!$A$1:$L$192</definedName>
    <definedName name="_xlnm.Print_Area" localSheetId="3">'Pg4 BK-1 Retail TRR-As Filed'!$A$2:$H$187</definedName>
    <definedName name="_xlnm.Print_Area" localSheetId="5">'Pg5.1 As Filed Stmt AF'!$A$2:$L$28</definedName>
    <definedName name="_xlnm.Print_Area" localSheetId="7">'Pg5.2A As Filed AF-1'!$A$2:$K$34</definedName>
    <definedName name="_xlnm.Print_Area" localSheetId="9">'Pg5.3A As Filed AF-2'!$A$2:$K$34</definedName>
    <definedName name="_xlnm.Print_Area" localSheetId="11">'Pg6.1 Rev AH-2'!$A$1:$L$77</definedName>
    <definedName name="_xlnm.Print_Area" localSheetId="13">'Pg7.1 As Filed Stmt AL'!$A$2:$J$51</definedName>
    <definedName name="_xlnm.Print_Area" localSheetId="14">'Pg8 Rev Stmt AR'!$A$1:$H$23</definedName>
    <definedName name="_xlnm.Print_Area" localSheetId="15">'Pg8.1 As Filed Stmt AR'!$A$2:$H$23</definedName>
    <definedName name="_xlnm.Print_Area" localSheetId="17">'Pg8.2A As Filed AR-1'!$A$2:$I$38</definedName>
    <definedName name="_xlnm.Print_Area" localSheetId="18">'Pg9 Rev Order 864-1'!$A$2:$P$41</definedName>
    <definedName name="_xlnm.Print_Area" localSheetId="19">'Pg9.1 As Filed Order 864-1'!$A$3:$O$40</definedName>
    <definedName name="_xlnm.Print_Area" localSheetId="20">'Pg9.2 Rev Order 864-3'!$A$2:$P$41</definedName>
    <definedName name="_xlnm.Print_Area" localSheetId="21">'Pg9.3 As Filed Order 864-3'!$A$3:$O$69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5" l="1"/>
  <c r="E15" i="15"/>
  <c r="C15" i="15"/>
  <c r="E36" i="4"/>
  <c r="E21" i="54"/>
  <c r="E19" i="54"/>
  <c r="E15" i="54"/>
  <c r="A12" i="54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H11" i="54"/>
  <c r="H12" i="54" s="1"/>
  <c r="H13" i="54" s="1"/>
  <c r="H14" i="54" s="1"/>
  <c r="H15" i="54" s="1"/>
  <c r="H16" i="54" s="1"/>
  <c r="H17" i="54" s="1"/>
  <c r="H18" i="54" s="1"/>
  <c r="H19" i="54" s="1"/>
  <c r="H20" i="54" s="1"/>
  <c r="H21" i="54" s="1"/>
  <c r="H22" i="54" s="1"/>
  <c r="H23" i="54" s="1"/>
  <c r="H24" i="54" s="1"/>
  <c r="H25" i="54" s="1"/>
  <c r="N38" i="56"/>
  <c r="E23" i="54" l="1"/>
  <c r="N44" i="56" l="1"/>
  <c r="N43" i="56"/>
  <c r="M43" i="56"/>
  <c r="N42" i="56"/>
  <c r="N41" i="56"/>
  <c r="M41" i="56"/>
  <c r="N40" i="56"/>
  <c r="N39" i="56"/>
  <c r="M39" i="56"/>
  <c r="N35" i="56"/>
  <c r="F35" i="56"/>
  <c r="U32" i="56"/>
  <c r="T32" i="56"/>
  <c r="S32" i="56"/>
  <c r="R32" i="56"/>
  <c r="Q32" i="56"/>
  <c r="P32" i="56"/>
  <c r="K32" i="56"/>
  <c r="J32" i="56"/>
  <c r="I32" i="56"/>
  <c r="I35" i="56" s="1"/>
  <c r="H32" i="56"/>
  <c r="G32" i="56"/>
  <c r="F32" i="56"/>
  <c r="E32" i="56"/>
  <c r="V30" i="56"/>
  <c r="V29" i="56"/>
  <c r="V32" i="56" s="1"/>
  <c r="O29" i="56"/>
  <c r="U27" i="56"/>
  <c r="T27" i="56"/>
  <c r="S27" i="56"/>
  <c r="R27" i="56"/>
  <c r="Q27" i="56"/>
  <c r="K27" i="56"/>
  <c r="J27" i="56"/>
  <c r="I27" i="56"/>
  <c r="H27" i="56"/>
  <c r="G27" i="56"/>
  <c r="F27" i="56"/>
  <c r="E27" i="56"/>
  <c r="V25" i="56"/>
  <c r="P25" i="56"/>
  <c r="O25" i="56"/>
  <c r="N25" i="56"/>
  <c r="V24" i="56"/>
  <c r="P24" i="56"/>
  <c r="O24" i="56"/>
  <c r="N24" i="56"/>
  <c r="V23" i="56"/>
  <c r="P23" i="56"/>
  <c r="O23" i="56"/>
  <c r="N23" i="56"/>
  <c r="V22" i="56"/>
  <c r="P22" i="56"/>
  <c r="O22" i="56"/>
  <c r="N22" i="56"/>
  <c r="V21" i="56"/>
  <c r="P21" i="56"/>
  <c r="O21" i="56"/>
  <c r="N21" i="56"/>
  <c r="V20" i="56"/>
  <c r="P20" i="56"/>
  <c r="O20" i="56"/>
  <c r="N20" i="56"/>
  <c r="V19" i="56"/>
  <c r="P19" i="56"/>
  <c r="O19" i="56"/>
  <c r="N19" i="56"/>
  <c r="V18" i="56"/>
  <c r="P18" i="56"/>
  <c r="O18" i="56"/>
  <c r="N18" i="56"/>
  <c r="V17" i="56"/>
  <c r="P17" i="56"/>
  <c r="O17" i="56"/>
  <c r="N17" i="56"/>
  <c r="V16" i="56"/>
  <c r="P16" i="56"/>
  <c r="O16" i="56"/>
  <c r="N16" i="56"/>
  <c r="V15" i="56"/>
  <c r="P15" i="56"/>
  <c r="O15" i="56"/>
  <c r="N15" i="56"/>
  <c r="U13" i="56"/>
  <c r="T13" i="56"/>
  <c r="T35" i="56" s="1"/>
  <c r="S13" i="56"/>
  <c r="S35" i="56" s="1"/>
  <c r="R13" i="56"/>
  <c r="R35" i="56" s="1"/>
  <c r="Q13" i="56"/>
  <c r="Q35" i="56" s="1"/>
  <c r="K13" i="56"/>
  <c r="K35" i="56" s="1"/>
  <c r="J13" i="56"/>
  <c r="J35" i="56" s="1"/>
  <c r="I13" i="56"/>
  <c r="H13" i="56"/>
  <c r="H35" i="56" s="1"/>
  <c r="G13" i="56"/>
  <c r="G35" i="56" s="1"/>
  <c r="F13" i="56"/>
  <c r="E13" i="56"/>
  <c r="E35" i="56" s="1"/>
  <c r="V11" i="56"/>
  <c r="V13" i="56" s="1"/>
  <c r="M11" i="56"/>
  <c r="L11" i="56"/>
  <c r="L12" i="56" s="1"/>
  <c r="A11" i="56"/>
  <c r="A12" i="56" s="1"/>
  <c r="V10" i="56"/>
  <c r="M10" i="56"/>
  <c r="L10" i="56"/>
  <c r="W10" i="56" s="1"/>
  <c r="W8" i="56"/>
  <c r="P8" i="56"/>
  <c r="O8" i="56"/>
  <c r="N8" i="56"/>
  <c r="M8" i="56"/>
  <c r="W7" i="56"/>
  <c r="O7" i="56"/>
  <c r="N7" i="56"/>
  <c r="M7" i="56"/>
  <c r="N5" i="56"/>
  <c r="N4" i="56"/>
  <c r="N3" i="56"/>
  <c r="N2" i="56"/>
  <c r="N45" i="55"/>
  <c r="N44" i="55"/>
  <c r="M44" i="55"/>
  <c r="N43" i="55"/>
  <c r="N42" i="55"/>
  <c r="M42" i="55"/>
  <c r="N41" i="55"/>
  <c r="N40" i="55"/>
  <c r="M40" i="55"/>
  <c r="N36" i="55"/>
  <c r="G36" i="55"/>
  <c r="U33" i="55"/>
  <c r="T33" i="55"/>
  <c r="S33" i="55"/>
  <c r="R33" i="55"/>
  <c r="Q33" i="55"/>
  <c r="P33" i="55"/>
  <c r="K33" i="55"/>
  <c r="J33" i="55"/>
  <c r="I33" i="55"/>
  <c r="H33" i="55"/>
  <c r="G33" i="55"/>
  <c r="F33" i="55"/>
  <c r="E33" i="55"/>
  <c r="V31" i="55"/>
  <c r="V30" i="55"/>
  <c r="V33" i="55" s="1"/>
  <c r="E22" i="53" s="1"/>
  <c r="O30" i="55"/>
  <c r="U28" i="55"/>
  <c r="T28" i="55"/>
  <c r="S28" i="55"/>
  <c r="R28" i="55"/>
  <c r="Q28" i="55"/>
  <c r="K28" i="55"/>
  <c r="J28" i="55"/>
  <c r="I28" i="55"/>
  <c r="H28" i="55"/>
  <c r="G28" i="55"/>
  <c r="F28" i="55"/>
  <c r="E28" i="55"/>
  <c r="V26" i="55"/>
  <c r="P26" i="55"/>
  <c r="O26" i="55"/>
  <c r="N26" i="55"/>
  <c r="V25" i="55"/>
  <c r="P25" i="55"/>
  <c r="O25" i="55"/>
  <c r="N25" i="55"/>
  <c r="V24" i="55"/>
  <c r="P24" i="55"/>
  <c r="O24" i="55"/>
  <c r="N24" i="55"/>
  <c r="V23" i="55"/>
  <c r="P23" i="55"/>
  <c r="O23" i="55"/>
  <c r="N23" i="55"/>
  <c r="V22" i="55"/>
  <c r="P22" i="55"/>
  <c r="O22" i="55"/>
  <c r="N22" i="55"/>
  <c r="V21" i="55"/>
  <c r="P21" i="55"/>
  <c r="O21" i="55"/>
  <c r="N21" i="55"/>
  <c r="V20" i="55"/>
  <c r="P20" i="55"/>
  <c r="O20" i="55"/>
  <c r="N20" i="55"/>
  <c r="V19" i="55"/>
  <c r="P19" i="55"/>
  <c r="O19" i="55"/>
  <c r="N19" i="55"/>
  <c r="V18" i="55"/>
  <c r="P18" i="55"/>
  <c r="O18" i="55"/>
  <c r="N18" i="55"/>
  <c r="V17" i="55"/>
  <c r="P17" i="55"/>
  <c r="O17" i="55"/>
  <c r="N17" i="55"/>
  <c r="V16" i="55"/>
  <c r="P16" i="55"/>
  <c r="O16" i="55"/>
  <c r="N16" i="55"/>
  <c r="U14" i="55"/>
  <c r="U36" i="55" s="1"/>
  <c r="T14" i="55"/>
  <c r="T36" i="55" s="1"/>
  <c r="S14" i="55"/>
  <c r="S36" i="55" s="1"/>
  <c r="R14" i="55"/>
  <c r="R36" i="55" s="1"/>
  <c r="Q14" i="55"/>
  <c r="Q36" i="55" s="1"/>
  <c r="K14" i="55"/>
  <c r="K36" i="55" s="1"/>
  <c r="J14" i="55"/>
  <c r="J36" i="55" s="1"/>
  <c r="I14" i="55"/>
  <c r="I36" i="55" s="1"/>
  <c r="H14" i="55"/>
  <c r="H36" i="55" s="1"/>
  <c r="G14" i="55"/>
  <c r="F14" i="55"/>
  <c r="E14" i="55"/>
  <c r="V12" i="55"/>
  <c r="V14" i="55" s="1"/>
  <c r="A12" i="55"/>
  <c r="A13" i="55" s="1"/>
  <c r="V11" i="55"/>
  <c r="M11" i="55"/>
  <c r="L11" i="55"/>
  <c r="L12" i="55" s="1"/>
  <c r="W9" i="55"/>
  <c r="P9" i="55"/>
  <c r="O9" i="55"/>
  <c r="N9" i="55"/>
  <c r="M9" i="55"/>
  <c r="W8" i="55"/>
  <c r="O8" i="55"/>
  <c r="N8" i="55"/>
  <c r="M8" i="55"/>
  <c r="N6" i="55"/>
  <c r="N5" i="55"/>
  <c r="N4" i="55"/>
  <c r="N3" i="55"/>
  <c r="A13" i="53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H12" i="53"/>
  <c r="H13" i="53" s="1"/>
  <c r="H14" i="53" s="1"/>
  <c r="H15" i="53" s="1"/>
  <c r="H16" i="53" s="1"/>
  <c r="H17" i="53" s="1"/>
  <c r="H18" i="53" s="1"/>
  <c r="H19" i="53" s="1"/>
  <c r="H20" i="53" s="1"/>
  <c r="H21" i="53" s="1"/>
  <c r="H22" i="53" s="1"/>
  <c r="H23" i="53" s="1"/>
  <c r="H24" i="53" s="1"/>
  <c r="H25" i="53" s="1"/>
  <c r="H26" i="53" s="1"/>
  <c r="V28" i="55" l="1"/>
  <c r="E20" i="53" s="1"/>
  <c r="E36" i="55"/>
  <c r="V36" i="55"/>
  <c r="E16" i="53"/>
  <c r="E24" i="53" s="1"/>
  <c r="F36" i="55"/>
  <c r="V27" i="56"/>
  <c r="U35" i="56"/>
  <c r="V35" i="56"/>
  <c r="M12" i="56"/>
  <c r="A13" i="56"/>
  <c r="L13" i="56"/>
  <c r="W12" i="56"/>
  <c r="W11" i="56"/>
  <c r="M13" i="55"/>
  <c r="A14" i="55"/>
  <c r="L13" i="55"/>
  <c r="W12" i="55"/>
  <c r="W11" i="55"/>
  <c r="M12" i="55"/>
  <c r="L14" i="56" l="1"/>
  <c r="W13" i="56"/>
  <c r="M13" i="56"/>
  <c r="A14" i="56"/>
  <c r="L14" i="55"/>
  <c r="W13" i="55"/>
  <c r="M14" i="55"/>
  <c r="A15" i="55"/>
  <c r="W14" i="56" l="1"/>
  <c r="L15" i="56"/>
  <c r="A15" i="56"/>
  <c r="M14" i="56"/>
  <c r="A16" i="55"/>
  <c r="M15" i="55"/>
  <c r="L15" i="55"/>
  <c r="W14" i="55"/>
  <c r="A16" i="56" l="1"/>
  <c r="M15" i="56"/>
  <c r="W15" i="56"/>
  <c r="L16" i="56"/>
  <c r="L16" i="55"/>
  <c r="W15" i="55"/>
  <c r="A17" i="55"/>
  <c r="M16" i="55"/>
  <c r="L17" i="56" l="1"/>
  <c r="W16" i="56"/>
  <c r="A17" i="56"/>
  <c r="M16" i="56"/>
  <c r="M17" i="55"/>
  <c r="A18" i="55"/>
  <c r="W16" i="55"/>
  <c r="L17" i="55"/>
  <c r="W17" i="56" l="1"/>
  <c r="L18" i="56"/>
  <c r="A18" i="56"/>
  <c r="M17" i="56"/>
  <c r="L18" i="55"/>
  <c r="W17" i="55"/>
  <c r="A19" i="55"/>
  <c r="M18" i="55"/>
  <c r="A19" i="56" l="1"/>
  <c r="M18" i="56"/>
  <c r="L19" i="56"/>
  <c r="W18" i="56"/>
  <c r="A20" i="55"/>
  <c r="M19" i="55"/>
  <c r="W18" i="55"/>
  <c r="L19" i="55"/>
  <c r="W19" i="56" l="1"/>
  <c r="L20" i="56"/>
  <c r="A20" i="56"/>
  <c r="M19" i="56"/>
  <c r="L20" i="55"/>
  <c r="W19" i="55"/>
  <c r="A21" i="55"/>
  <c r="M20" i="55"/>
  <c r="M20" i="56" l="1"/>
  <c r="A21" i="56"/>
  <c r="L21" i="56"/>
  <c r="W20" i="56"/>
  <c r="A22" i="55"/>
  <c r="M21" i="55"/>
  <c r="W20" i="55"/>
  <c r="L21" i="55"/>
  <c r="W21" i="56" l="1"/>
  <c r="L22" i="56"/>
  <c r="A22" i="56"/>
  <c r="M21" i="56"/>
  <c r="L22" i="55"/>
  <c r="W21" i="55"/>
  <c r="A23" i="55"/>
  <c r="M22" i="55"/>
  <c r="A23" i="56" l="1"/>
  <c r="M22" i="56"/>
  <c r="L23" i="56"/>
  <c r="W22" i="56"/>
  <c r="A24" i="55"/>
  <c r="M23" i="55"/>
  <c r="W22" i="55"/>
  <c r="L23" i="55"/>
  <c r="A24" i="56" l="1"/>
  <c r="M23" i="56"/>
  <c r="W23" i="56"/>
  <c r="L24" i="56"/>
  <c r="L24" i="55"/>
  <c r="W23" i="55"/>
  <c r="A25" i="55"/>
  <c r="M24" i="55"/>
  <c r="L25" i="56" l="1"/>
  <c r="W24" i="56"/>
  <c r="M24" i="56"/>
  <c r="A25" i="56"/>
  <c r="A26" i="55"/>
  <c r="M25" i="55"/>
  <c r="W24" i="55"/>
  <c r="L25" i="55"/>
  <c r="A26" i="56" l="1"/>
  <c r="M25" i="56"/>
  <c r="W25" i="56"/>
  <c r="L26" i="56"/>
  <c r="L26" i="55"/>
  <c r="W25" i="55"/>
  <c r="A27" i="55"/>
  <c r="M26" i="55"/>
  <c r="L27" i="56" l="1"/>
  <c r="W26" i="56"/>
  <c r="A27" i="56"/>
  <c r="M26" i="56"/>
  <c r="A28" i="55"/>
  <c r="M27" i="55"/>
  <c r="W26" i="55"/>
  <c r="L27" i="55"/>
  <c r="M27" i="56" l="1"/>
  <c r="A28" i="56"/>
  <c r="L28" i="56"/>
  <c r="W27" i="56"/>
  <c r="L28" i="55"/>
  <c r="W27" i="55"/>
  <c r="M28" i="55"/>
  <c r="A29" i="55"/>
  <c r="L29" i="56" l="1"/>
  <c r="W28" i="56"/>
  <c r="A29" i="56"/>
  <c r="M28" i="56"/>
  <c r="L29" i="55"/>
  <c r="W28" i="55"/>
  <c r="A30" i="55"/>
  <c r="M29" i="55"/>
  <c r="A30" i="56" l="1"/>
  <c r="M29" i="56"/>
  <c r="L30" i="56"/>
  <c r="W29" i="56"/>
  <c r="L30" i="55"/>
  <c r="W29" i="55"/>
  <c r="A31" i="55"/>
  <c r="M30" i="55"/>
  <c r="L31" i="56" l="1"/>
  <c r="W30" i="56"/>
  <c r="A31" i="56"/>
  <c r="M30" i="56"/>
  <c r="A32" i="55"/>
  <c r="M31" i="55"/>
  <c r="L31" i="55"/>
  <c r="W30" i="55"/>
  <c r="A32" i="56" l="1"/>
  <c r="M31" i="56"/>
  <c r="L32" i="56"/>
  <c r="W31" i="56"/>
  <c r="L32" i="55"/>
  <c r="W31" i="55"/>
  <c r="A33" i="55"/>
  <c r="M32" i="55"/>
  <c r="W32" i="56" l="1"/>
  <c r="L33" i="56"/>
  <c r="A33" i="56"/>
  <c r="M32" i="56"/>
  <c r="A34" i="55"/>
  <c r="M33" i="55"/>
  <c r="L33" i="55"/>
  <c r="W32" i="55"/>
  <c r="W33" i="56" l="1"/>
  <c r="L34" i="56"/>
  <c r="A34" i="56"/>
  <c r="M33" i="56"/>
  <c r="L34" i="55"/>
  <c r="W33" i="55"/>
  <c r="A35" i="55"/>
  <c r="M34" i="55"/>
  <c r="M34" i="56" l="1"/>
  <c r="A35" i="56"/>
  <c r="L35" i="56"/>
  <c r="W34" i="56"/>
  <c r="L35" i="55"/>
  <c r="W34" i="55"/>
  <c r="M35" i="55"/>
  <c r="A36" i="55"/>
  <c r="L36" i="56" l="1"/>
  <c r="W36" i="56" s="1"/>
  <c r="W35" i="56"/>
  <c r="M35" i="56"/>
  <c r="A36" i="56"/>
  <c r="M36" i="56" s="1"/>
  <c r="W35" i="55"/>
  <c r="L36" i="55"/>
  <c r="M36" i="55"/>
  <c r="A37" i="55"/>
  <c r="M37" i="55" s="1"/>
  <c r="L37" i="55" l="1"/>
  <c r="W37" i="55" s="1"/>
  <c r="W36" i="55"/>
  <c r="E33" i="52" l="1"/>
  <c r="E28" i="52"/>
  <c r="E35" i="52" s="1"/>
  <c r="E23" i="52"/>
  <c r="E26" i="52" s="1"/>
  <c r="E30" i="52" s="1"/>
  <c r="G20" i="52"/>
  <c r="G16" i="52"/>
  <c r="A13" i="52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J12" i="52"/>
  <c r="J13" i="52" s="1"/>
  <c r="J14" i="52" s="1"/>
  <c r="J15" i="52" s="1"/>
  <c r="J16" i="52" s="1"/>
  <c r="J17" i="52" s="1"/>
  <c r="J18" i="52" s="1"/>
  <c r="J19" i="52" s="1"/>
  <c r="J20" i="52" s="1"/>
  <c r="J21" i="52" s="1"/>
  <c r="J22" i="52" s="1"/>
  <c r="J23" i="52" s="1"/>
  <c r="J24" i="52" s="1"/>
  <c r="J25" i="52" s="1"/>
  <c r="J26" i="52" s="1"/>
  <c r="J27" i="52" s="1"/>
  <c r="J28" i="52" s="1"/>
  <c r="J29" i="52" s="1"/>
  <c r="J30" i="52" s="1"/>
  <c r="J31" i="52" s="1"/>
  <c r="J32" i="52" s="1"/>
  <c r="J33" i="52" s="1"/>
  <c r="J34" i="52" s="1"/>
  <c r="J35" i="52" s="1"/>
  <c r="J36" i="52" s="1"/>
  <c r="J37" i="52" s="1"/>
  <c r="J38" i="52" s="1"/>
  <c r="J39" i="52" s="1"/>
  <c r="J40" i="52" s="1"/>
  <c r="J41" i="52" s="1"/>
  <c r="J42" i="52" s="1"/>
  <c r="J43" i="52" s="1"/>
  <c r="J44" i="52" s="1"/>
  <c r="J45" i="52" s="1"/>
  <c r="L65" i="28"/>
  <c r="L66" i="28"/>
  <c r="L67" i="28"/>
  <c r="A65" i="28"/>
  <c r="A66" i="28" s="1"/>
  <c r="E37" i="52" l="1"/>
  <c r="E41" i="52"/>
  <c r="E45" i="52"/>
  <c r="B39" i="51" l="1"/>
  <c r="J32" i="51"/>
  <c r="M32" i="51" s="1"/>
  <c r="K30" i="51"/>
  <c r="I30" i="51"/>
  <c r="H30" i="51"/>
  <c r="G30" i="51"/>
  <c r="G34" i="51" s="1"/>
  <c r="F30" i="51"/>
  <c r="E30" i="51"/>
  <c r="D30" i="51"/>
  <c r="J29" i="51"/>
  <c r="M29" i="51" s="1"/>
  <c r="J28" i="51"/>
  <c r="L28" i="51" s="1"/>
  <c r="J27" i="51"/>
  <c r="K24" i="51"/>
  <c r="I24" i="51"/>
  <c r="H24" i="51"/>
  <c r="G24" i="51"/>
  <c r="F24" i="51"/>
  <c r="E24" i="51"/>
  <c r="D24" i="51"/>
  <c r="J23" i="51"/>
  <c r="L23" i="51" s="1"/>
  <c r="J22" i="51"/>
  <c r="M22" i="51" s="1"/>
  <c r="K19" i="51"/>
  <c r="I19" i="51"/>
  <c r="H19" i="51"/>
  <c r="G19" i="51"/>
  <c r="F19" i="51"/>
  <c r="E19" i="51"/>
  <c r="D19" i="51"/>
  <c r="J17" i="51"/>
  <c r="M17" i="51" s="1"/>
  <c r="J16" i="51"/>
  <c r="M16" i="51" s="1"/>
  <c r="P15" i="51"/>
  <c r="P16" i="51" s="1"/>
  <c r="P17" i="51" s="1"/>
  <c r="P18" i="51" s="1"/>
  <c r="P19" i="51" s="1"/>
  <c r="P20" i="51" s="1"/>
  <c r="P21" i="51" s="1"/>
  <c r="P22" i="51" s="1"/>
  <c r="P23" i="51" s="1"/>
  <c r="P24" i="51" s="1"/>
  <c r="P25" i="51" s="1"/>
  <c r="P26" i="51" s="1"/>
  <c r="P27" i="51" s="1"/>
  <c r="P28" i="51" s="1"/>
  <c r="P29" i="51" s="1"/>
  <c r="P30" i="51" s="1"/>
  <c r="P31" i="51" s="1"/>
  <c r="P32" i="51" s="1"/>
  <c r="P33" i="51" s="1"/>
  <c r="P34" i="51" s="1"/>
  <c r="P35" i="51" s="1"/>
  <c r="P36" i="51" s="1"/>
  <c r="J15" i="51"/>
  <c r="L15" i="51" s="1"/>
  <c r="A15" i="5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B39" i="50"/>
  <c r="J32" i="50"/>
  <c r="I30" i="50"/>
  <c r="H30" i="50"/>
  <c r="G30" i="50"/>
  <c r="F30" i="50"/>
  <c r="E30" i="50"/>
  <c r="D30" i="50"/>
  <c r="J29" i="50"/>
  <c r="M29" i="50" s="1"/>
  <c r="J28" i="50"/>
  <c r="J27" i="50"/>
  <c r="M27" i="50" s="1"/>
  <c r="K24" i="50"/>
  <c r="I24" i="50"/>
  <c r="G24" i="50"/>
  <c r="F24" i="50"/>
  <c r="D24" i="50"/>
  <c r="H24" i="50"/>
  <c r="J23" i="50"/>
  <c r="J22" i="50"/>
  <c r="I19" i="50"/>
  <c r="H19" i="50"/>
  <c r="G19" i="50"/>
  <c r="F19" i="50"/>
  <c r="E19" i="50"/>
  <c r="D19" i="50"/>
  <c r="J17" i="50"/>
  <c r="J16" i="50"/>
  <c r="P15" i="50"/>
  <c r="P16" i="50" s="1"/>
  <c r="P17" i="50" s="1"/>
  <c r="P18" i="50" s="1"/>
  <c r="P19" i="50" s="1"/>
  <c r="P20" i="50" s="1"/>
  <c r="P21" i="50" s="1"/>
  <c r="P22" i="50" s="1"/>
  <c r="P23" i="50" s="1"/>
  <c r="P24" i="50" s="1"/>
  <c r="P25" i="50" s="1"/>
  <c r="P26" i="50" s="1"/>
  <c r="P27" i="50" s="1"/>
  <c r="P28" i="50" s="1"/>
  <c r="P29" i="50" s="1"/>
  <c r="P30" i="50" s="1"/>
  <c r="P31" i="50" s="1"/>
  <c r="P32" i="50" s="1"/>
  <c r="P33" i="50" s="1"/>
  <c r="P34" i="50" s="1"/>
  <c r="P35" i="50" s="1"/>
  <c r="P36" i="50" s="1"/>
  <c r="J15" i="50"/>
  <c r="M15" i="50" s="1"/>
  <c r="A15" i="50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E16" i="38"/>
  <c r="E15" i="38"/>
  <c r="E14" i="38"/>
  <c r="B36" i="49"/>
  <c r="E33" i="49"/>
  <c r="C33" i="49"/>
  <c r="G32" i="49"/>
  <c r="G31" i="49"/>
  <c r="G30" i="49"/>
  <c r="G29" i="49"/>
  <c r="G28" i="49"/>
  <c r="E25" i="49"/>
  <c r="C25" i="49"/>
  <c r="G24" i="49"/>
  <c r="G23" i="49"/>
  <c r="G22" i="49"/>
  <c r="G21" i="49"/>
  <c r="E18" i="49"/>
  <c r="C18" i="49"/>
  <c r="G17" i="49"/>
  <c r="G16" i="49"/>
  <c r="G15" i="49"/>
  <c r="G14" i="49"/>
  <c r="G13" i="49"/>
  <c r="A13" i="49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J12" i="49"/>
  <c r="J13" i="49" s="1"/>
  <c r="J14" i="49" s="1"/>
  <c r="J15" i="49" s="1"/>
  <c r="J16" i="49" s="1"/>
  <c r="J17" i="49" s="1"/>
  <c r="J18" i="49" s="1"/>
  <c r="J19" i="49" s="1"/>
  <c r="J20" i="49" s="1"/>
  <c r="J21" i="49" s="1"/>
  <c r="J22" i="49" s="1"/>
  <c r="J23" i="49" s="1"/>
  <c r="J24" i="49" s="1"/>
  <c r="J25" i="49" s="1"/>
  <c r="J26" i="49" s="1"/>
  <c r="J27" i="49" s="1"/>
  <c r="J28" i="49" s="1"/>
  <c r="J29" i="49" s="1"/>
  <c r="J30" i="49" s="1"/>
  <c r="J31" i="49" s="1"/>
  <c r="J32" i="49" s="1"/>
  <c r="J33" i="49" s="1"/>
  <c r="G15" i="36"/>
  <c r="G11" i="36"/>
  <c r="B36" i="48"/>
  <c r="G33" i="48"/>
  <c r="E33" i="48"/>
  <c r="C33" i="48"/>
  <c r="I32" i="48"/>
  <c r="I31" i="48"/>
  <c r="I30" i="48"/>
  <c r="I29" i="48"/>
  <c r="I28" i="48"/>
  <c r="G25" i="48"/>
  <c r="E25" i="48"/>
  <c r="C25" i="48"/>
  <c r="I24" i="48"/>
  <c r="I23" i="48"/>
  <c r="I22" i="48"/>
  <c r="I21" i="48"/>
  <c r="G18" i="48"/>
  <c r="E18" i="48"/>
  <c r="C18" i="48"/>
  <c r="I17" i="48"/>
  <c r="I16" i="48"/>
  <c r="I15" i="48"/>
  <c r="I14" i="48"/>
  <c r="I13" i="48"/>
  <c r="A13" i="48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L12" i="48"/>
  <c r="L13" i="48" s="1"/>
  <c r="L14" i="48" s="1"/>
  <c r="L15" i="48" s="1"/>
  <c r="L16" i="48" s="1"/>
  <c r="L17" i="48" s="1"/>
  <c r="L18" i="48" s="1"/>
  <c r="L19" i="48" s="1"/>
  <c r="L20" i="48" s="1"/>
  <c r="L21" i="48" s="1"/>
  <c r="L22" i="48" s="1"/>
  <c r="L23" i="48" s="1"/>
  <c r="L24" i="48" s="1"/>
  <c r="L25" i="48" s="1"/>
  <c r="L26" i="48" s="1"/>
  <c r="L27" i="48" s="1"/>
  <c r="L28" i="48" s="1"/>
  <c r="L29" i="48" s="1"/>
  <c r="L30" i="48" s="1"/>
  <c r="L31" i="48" s="1"/>
  <c r="L32" i="48" s="1"/>
  <c r="L33" i="48" s="1"/>
  <c r="E15" i="36"/>
  <c r="E11" i="36"/>
  <c r="B36" i="47"/>
  <c r="G33" i="47"/>
  <c r="E33" i="47"/>
  <c r="C33" i="47"/>
  <c r="I32" i="47"/>
  <c r="I31" i="47"/>
  <c r="I30" i="47"/>
  <c r="I29" i="47"/>
  <c r="I28" i="47"/>
  <c r="G25" i="47"/>
  <c r="E25" i="47"/>
  <c r="C25" i="47"/>
  <c r="I24" i="47"/>
  <c r="I23" i="47"/>
  <c r="I22" i="47"/>
  <c r="I21" i="47"/>
  <c r="G18" i="47"/>
  <c r="E18" i="47"/>
  <c r="C18" i="47"/>
  <c r="I17" i="47"/>
  <c r="I16" i="47"/>
  <c r="I15" i="47"/>
  <c r="I14" i="47"/>
  <c r="I13" i="47"/>
  <c r="A13" i="47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L12" i="47"/>
  <c r="L13" i="47" s="1"/>
  <c r="L14" i="47" s="1"/>
  <c r="L15" i="47" s="1"/>
  <c r="L16" i="47" s="1"/>
  <c r="L17" i="47" s="1"/>
  <c r="L18" i="47" s="1"/>
  <c r="L19" i="47" s="1"/>
  <c r="L20" i="47" s="1"/>
  <c r="L21" i="47" s="1"/>
  <c r="L22" i="47" s="1"/>
  <c r="L23" i="47" s="1"/>
  <c r="L24" i="47" s="1"/>
  <c r="L25" i="47" s="1"/>
  <c r="L26" i="47" s="1"/>
  <c r="L27" i="47" s="1"/>
  <c r="L28" i="47" s="1"/>
  <c r="L29" i="47" s="1"/>
  <c r="L30" i="47" s="1"/>
  <c r="L31" i="47" s="1"/>
  <c r="L32" i="47" s="1"/>
  <c r="L33" i="47" s="1"/>
  <c r="B182" i="10"/>
  <c r="B181" i="10"/>
  <c r="B37" i="25"/>
  <c r="B22" i="15"/>
  <c r="B22" i="38"/>
  <c r="B46" i="30"/>
  <c r="B43" i="4"/>
  <c r="B42" i="4"/>
  <c r="E34" i="51" l="1"/>
  <c r="L16" i="51"/>
  <c r="L19" i="51" s="1"/>
  <c r="D34" i="51"/>
  <c r="M15" i="51"/>
  <c r="I34" i="51"/>
  <c r="K34" i="51"/>
  <c r="I36" i="51"/>
  <c r="L29" i="51"/>
  <c r="M28" i="51"/>
  <c r="F34" i="51"/>
  <c r="F36" i="51" s="1"/>
  <c r="H34" i="51"/>
  <c r="H36" i="51" s="1"/>
  <c r="G36" i="51"/>
  <c r="J19" i="51"/>
  <c r="K36" i="51"/>
  <c r="M19" i="51"/>
  <c r="J30" i="51"/>
  <c r="L17" i="51"/>
  <c r="E36" i="51"/>
  <c r="D36" i="51"/>
  <c r="M23" i="51"/>
  <c r="M24" i="51" s="1"/>
  <c r="L32" i="51"/>
  <c r="L22" i="51"/>
  <c r="L24" i="51" s="1"/>
  <c r="M27" i="51"/>
  <c r="J24" i="51"/>
  <c r="L27" i="51"/>
  <c r="D34" i="50"/>
  <c r="D36" i="50" s="1"/>
  <c r="F34" i="50"/>
  <c r="G34" i="50"/>
  <c r="G36" i="50" s="1"/>
  <c r="L16" i="50"/>
  <c r="L28" i="50"/>
  <c r="K30" i="50"/>
  <c r="K34" i="50" s="1"/>
  <c r="K19" i="50"/>
  <c r="M16" i="50"/>
  <c r="M22" i="50"/>
  <c r="J19" i="50"/>
  <c r="F36" i="50"/>
  <c r="I34" i="50"/>
  <c r="I36" i="50" s="1"/>
  <c r="M17" i="50"/>
  <c r="M23" i="50"/>
  <c r="L23" i="50"/>
  <c r="J24" i="50"/>
  <c r="H34" i="50"/>
  <c r="H36" i="50" s="1"/>
  <c r="L17" i="50"/>
  <c r="E24" i="50"/>
  <c r="E34" i="50" s="1"/>
  <c r="E36" i="50" s="1"/>
  <c r="L22" i="50"/>
  <c r="L27" i="50"/>
  <c r="L32" i="50"/>
  <c r="J30" i="50"/>
  <c r="M28" i="50"/>
  <c r="M30" i="50" s="1"/>
  <c r="M32" i="50"/>
  <c r="L15" i="50"/>
  <c r="L29" i="50"/>
  <c r="G33" i="49"/>
  <c r="G25" i="49"/>
  <c r="G18" i="49"/>
  <c r="I25" i="48"/>
  <c r="G13" i="36" s="1"/>
  <c r="I33" i="48"/>
  <c r="I18" i="48"/>
  <c r="I33" i="47"/>
  <c r="I25" i="47"/>
  <c r="E13" i="36" s="1"/>
  <c r="I18" i="47"/>
  <c r="B153" i="3"/>
  <c r="B97" i="3"/>
  <c r="B97" i="4"/>
  <c r="B153" i="4" s="1"/>
  <c r="E17" i="37"/>
  <c r="E16" i="37"/>
  <c r="E15" i="37"/>
  <c r="G16" i="35"/>
  <c r="I16" i="35" s="1"/>
  <c r="G14" i="35"/>
  <c r="I14" i="35" s="1"/>
  <c r="G12" i="35"/>
  <c r="E16" i="35"/>
  <c r="E14" i="35"/>
  <c r="E12" i="35"/>
  <c r="E18" i="35" s="1"/>
  <c r="J33" i="41"/>
  <c r="I31" i="41"/>
  <c r="H31" i="41"/>
  <c r="G31" i="41"/>
  <c r="F31" i="41"/>
  <c r="F35" i="41" s="1"/>
  <c r="E31" i="41"/>
  <c r="D31" i="41"/>
  <c r="J30" i="41"/>
  <c r="J29" i="41"/>
  <c r="K31" i="41"/>
  <c r="K35" i="41" s="1"/>
  <c r="J28" i="41"/>
  <c r="I25" i="41"/>
  <c r="H25" i="41"/>
  <c r="G25" i="41"/>
  <c r="F25" i="41"/>
  <c r="E25" i="41"/>
  <c r="D25" i="41"/>
  <c r="J24" i="41"/>
  <c r="M24" i="41" s="1"/>
  <c r="K25" i="41"/>
  <c r="J23" i="41"/>
  <c r="I20" i="41"/>
  <c r="H20" i="41"/>
  <c r="G20" i="41"/>
  <c r="F20" i="41"/>
  <c r="E20" i="41"/>
  <c r="D20" i="41"/>
  <c r="J18" i="41"/>
  <c r="L18" i="41" s="1"/>
  <c r="J17" i="41"/>
  <c r="O16" i="41"/>
  <c r="O17" i="41" s="1"/>
  <c r="O18" i="41" s="1"/>
  <c r="O19" i="41" s="1"/>
  <c r="O20" i="41" s="1"/>
  <c r="O21" i="41" s="1"/>
  <c r="O22" i="41" s="1"/>
  <c r="O23" i="41" s="1"/>
  <c r="O24" i="41" s="1"/>
  <c r="O25" i="41" s="1"/>
  <c r="O26" i="41" s="1"/>
  <c r="O27" i="41" s="1"/>
  <c r="O28" i="41" s="1"/>
  <c r="O29" i="41" s="1"/>
  <c r="O30" i="41" s="1"/>
  <c r="O31" i="41" s="1"/>
  <c r="O32" i="41" s="1"/>
  <c r="O33" i="41" s="1"/>
  <c r="O34" i="41" s="1"/>
  <c r="O35" i="41" s="1"/>
  <c r="O36" i="41" s="1"/>
  <c r="O37" i="41" s="1"/>
  <c r="J16" i="41"/>
  <c r="A16" i="4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J33" i="45"/>
  <c r="I31" i="45"/>
  <c r="H31" i="45"/>
  <c r="G31" i="45"/>
  <c r="F31" i="45"/>
  <c r="J30" i="45"/>
  <c r="M30" i="45" s="1"/>
  <c r="I25" i="45"/>
  <c r="H25" i="45"/>
  <c r="G25" i="45"/>
  <c r="F25" i="45"/>
  <c r="J23" i="45"/>
  <c r="I20" i="45"/>
  <c r="H20" i="45"/>
  <c r="G20" i="45"/>
  <c r="F20" i="45"/>
  <c r="J17" i="45"/>
  <c r="O16" i="45"/>
  <c r="O17" i="45" s="1"/>
  <c r="O18" i="45" s="1"/>
  <c r="O19" i="45" s="1"/>
  <c r="O20" i="45" s="1"/>
  <c r="O21" i="45" s="1"/>
  <c r="O22" i="45" s="1"/>
  <c r="O23" i="45" s="1"/>
  <c r="O24" i="45" s="1"/>
  <c r="O25" i="45" s="1"/>
  <c r="O26" i="45" s="1"/>
  <c r="O27" i="45" s="1"/>
  <c r="O28" i="45" s="1"/>
  <c r="O29" i="45" s="1"/>
  <c r="O30" i="45" s="1"/>
  <c r="O31" i="45" s="1"/>
  <c r="O32" i="45" s="1"/>
  <c r="O33" i="45" s="1"/>
  <c r="O34" i="45" s="1"/>
  <c r="O35" i="45" s="1"/>
  <c r="O36" i="45" s="1"/>
  <c r="O37" i="45" s="1"/>
  <c r="K20" i="45"/>
  <c r="A16" i="45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E34" i="39"/>
  <c r="C34" i="39"/>
  <c r="G33" i="39"/>
  <c r="G32" i="39"/>
  <c r="G31" i="39"/>
  <c r="G30" i="39"/>
  <c r="G29" i="39"/>
  <c r="G34" i="39" s="1"/>
  <c r="E26" i="39"/>
  <c r="C26" i="39"/>
  <c r="G25" i="39"/>
  <c r="G24" i="39"/>
  <c r="G23" i="39"/>
  <c r="G22" i="39"/>
  <c r="E19" i="39"/>
  <c r="C19" i="39"/>
  <c r="G18" i="39"/>
  <c r="G17" i="39"/>
  <c r="G16" i="39"/>
  <c r="G15" i="39"/>
  <c r="I14" i="39"/>
  <c r="I15" i="39" s="1"/>
  <c r="I16" i="39" s="1"/>
  <c r="I17" i="39" s="1"/>
  <c r="I18" i="39" s="1"/>
  <c r="I19" i="39" s="1"/>
  <c r="I20" i="39" s="1"/>
  <c r="I21" i="39" s="1"/>
  <c r="I22" i="39" s="1"/>
  <c r="I23" i="39" s="1"/>
  <c r="I24" i="39" s="1"/>
  <c r="I25" i="39" s="1"/>
  <c r="I26" i="39" s="1"/>
  <c r="I27" i="39" s="1"/>
  <c r="I28" i="39" s="1"/>
  <c r="I29" i="39" s="1"/>
  <c r="I30" i="39" s="1"/>
  <c r="I31" i="39" s="1"/>
  <c r="I32" i="39" s="1"/>
  <c r="I33" i="39" s="1"/>
  <c r="I34" i="39" s="1"/>
  <c r="G14" i="39"/>
  <c r="G19" i="39" s="1"/>
  <c r="A14" i="39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I13" i="39"/>
  <c r="E18" i="37"/>
  <c r="E20" i="37" s="1"/>
  <c r="A12" i="37"/>
  <c r="H12" i="37" s="1"/>
  <c r="H13" i="37" s="1"/>
  <c r="H14" i="37" s="1"/>
  <c r="H15" i="37" s="1"/>
  <c r="H16" i="37" s="1"/>
  <c r="H17" i="37" s="1"/>
  <c r="H18" i="37" s="1"/>
  <c r="H19" i="37" s="1"/>
  <c r="H20" i="37" s="1"/>
  <c r="G34" i="31"/>
  <c r="E34" i="31"/>
  <c r="C34" i="31"/>
  <c r="I33" i="31"/>
  <c r="I32" i="31"/>
  <c r="I31" i="31"/>
  <c r="I30" i="31"/>
  <c r="I29" i="31"/>
  <c r="I34" i="31" s="1"/>
  <c r="G26" i="31"/>
  <c r="E26" i="31"/>
  <c r="C26" i="31"/>
  <c r="I25" i="31"/>
  <c r="I24" i="31"/>
  <c r="I23" i="31"/>
  <c r="I22" i="31"/>
  <c r="G19" i="31"/>
  <c r="E19" i="31"/>
  <c r="C19" i="31"/>
  <c r="I18" i="31"/>
  <c r="I17" i="31"/>
  <c r="I16" i="31"/>
  <c r="I15" i="31"/>
  <c r="I14" i="31"/>
  <c r="A14" i="3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K13" i="31"/>
  <c r="K14" i="31" s="1"/>
  <c r="K15" i="31" s="1"/>
  <c r="K16" i="31" s="1"/>
  <c r="K17" i="31" s="1"/>
  <c r="K18" i="31" s="1"/>
  <c r="K19" i="31" s="1"/>
  <c r="K20" i="31" s="1"/>
  <c r="K21" i="31" s="1"/>
  <c r="K22" i="31" s="1"/>
  <c r="K23" i="31" s="1"/>
  <c r="K24" i="31" s="1"/>
  <c r="K25" i="31" s="1"/>
  <c r="K26" i="31" s="1"/>
  <c r="K27" i="31" s="1"/>
  <c r="K28" i="31" s="1"/>
  <c r="K29" i="31" s="1"/>
  <c r="K30" i="31" s="1"/>
  <c r="K31" i="31" s="1"/>
  <c r="K32" i="31" s="1"/>
  <c r="K33" i="31" s="1"/>
  <c r="K34" i="31" s="1"/>
  <c r="G34" i="33"/>
  <c r="E34" i="33"/>
  <c r="C34" i="33"/>
  <c r="I33" i="33"/>
  <c r="I32" i="33"/>
  <c r="I31" i="33"/>
  <c r="I30" i="33"/>
  <c r="I29" i="33"/>
  <c r="I34" i="33" s="1"/>
  <c r="G26" i="33"/>
  <c r="E26" i="33"/>
  <c r="C26" i="33"/>
  <c r="I25" i="33"/>
  <c r="I24" i="33"/>
  <c r="I23" i="33"/>
  <c r="I22" i="33"/>
  <c r="I26" i="33" s="1"/>
  <c r="G19" i="33"/>
  <c r="E19" i="33"/>
  <c r="C19" i="33"/>
  <c r="I18" i="33"/>
  <c r="I17" i="33"/>
  <c r="I16" i="33"/>
  <c r="I15" i="33"/>
  <c r="I14" i="33"/>
  <c r="I19" i="33" s="1"/>
  <c r="A14" i="33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K13" i="33"/>
  <c r="K14" i="33" s="1"/>
  <c r="K15" i="33" s="1"/>
  <c r="K16" i="33" s="1"/>
  <c r="K17" i="33" s="1"/>
  <c r="K18" i="33" s="1"/>
  <c r="K19" i="33" s="1"/>
  <c r="K20" i="33" s="1"/>
  <c r="K21" i="33" s="1"/>
  <c r="K22" i="33" s="1"/>
  <c r="K23" i="33" s="1"/>
  <c r="K24" i="33" s="1"/>
  <c r="K25" i="33" s="1"/>
  <c r="K26" i="33" s="1"/>
  <c r="K27" i="33" s="1"/>
  <c r="K28" i="33" s="1"/>
  <c r="K29" i="33" s="1"/>
  <c r="K30" i="33" s="1"/>
  <c r="K31" i="33" s="1"/>
  <c r="K32" i="33" s="1"/>
  <c r="K33" i="33" s="1"/>
  <c r="K34" i="33" s="1"/>
  <c r="I24" i="35"/>
  <c r="I22" i="35"/>
  <c r="I20" i="35"/>
  <c r="A13" i="35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L12" i="35"/>
  <c r="L13" i="35" s="1"/>
  <c r="L14" i="35" s="1"/>
  <c r="L15" i="35" s="1"/>
  <c r="L16" i="35" s="1"/>
  <c r="L17" i="35" s="1"/>
  <c r="L18" i="35" s="1"/>
  <c r="L19" i="35" s="1"/>
  <c r="L20" i="35" s="1"/>
  <c r="L21" i="35" s="1"/>
  <c r="L22" i="35" s="1"/>
  <c r="L23" i="35" s="1"/>
  <c r="L24" i="35" s="1"/>
  <c r="M30" i="51" l="1"/>
  <c r="L30" i="51"/>
  <c r="L34" i="51" s="1"/>
  <c r="L36" i="51" s="1"/>
  <c r="J34" i="51"/>
  <c r="J36" i="51" s="1"/>
  <c r="M34" i="51"/>
  <c r="M36" i="51" s="1"/>
  <c r="K36" i="50"/>
  <c r="J34" i="50"/>
  <c r="J36" i="50" s="1"/>
  <c r="M19" i="50"/>
  <c r="L19" i="50"/>
  <c r="L30" i="50"/>
  <c r="L34" i="50" s="1"/>
  <c r="L36" i="50" s="1"/>
  <c r="L24" i="50"/>
  <c r="M24" i="50"/>
  <c r="M34" i="50"/>
  <c r="M36" i="50" s="1"/>
  <c r="G18" i="35"/>
  <c r="E35" i="41"/>
  <c r="E37" i="41" s="1"/>
  <c r="H35" i="41"/>
  <c r="H37" i="41" s="1"/>
  <c r="M29" i="41"/>
  <c r="M16" i="41"/>
  <c r="L30" i="41"/>
  <c r="M17" i="41"/>
  <c r="L29" i="41"/>
  <c r="L24" i="41"/>
  <c r="K20" i="41"/>
  <c r="K37" i="41" s="1"/>
  <c r="D35" i="41"/>
  <c r="D37" i="41" s="1"/>
  <c r="G35" i="41"/>
  <c r="G37" i="41" s="1"/>
  <c r="I35" i="41"/>
  <c r="I37" i="41" s="1"/>
  <c r="J31" i="41"/>
  <c r="F37" i="41"/>
  <c r="M18" i="41"/>
  <c r="M20" i="41" s="1"/>
  <c r="L16" i="41"/>
  <c r="L28" i="41"/>
  <c r="L33" i="41"/>
  <c r="M30" i="41"/>
  <c r="M28" i="41"/>
  <c r="M31" i="41" s="1"/>
  <c r="M33" i="41"/>
  <c r="L23" i="41"/>
  <c r="L25" i="41" s="1"/>
  <c r="J25" i="41"/>
  <c r="M23" i="41"/>
  <c r="M25" i="41" s="1"/>
  <c r="L17" i="41"/>
  <c r="J20" i="41"/>
  <c r="J28" i="45"/>
  <c r="M28" i="45" s="1"/>
  <c r="K31" i="45"/>
  <c r="G35" i="45"/>
  <c r="G37" i="45" s="1"/>
  <c r="H35" i="45"/>
  <c r="H37" i="45" s="1"/>
  <c r="J16" i="45"/>
  <c r="J20" i="45" s="1"/>
  <c r="D25" i="45"/>
  <c r="E31" i="45"/>
  <c r="E35" i="45" s="1"/>
  <c r="D20" i="45"/>
  <c r="E25" i="45"/>
  <c r="K25" i="45"/>
  <c r="F35" i="45"/>
  <c r="F37" i="45" s="1"/>
  <c r="J24" i="45"/>
  <c r="L24" i="45" s="1"/>
  <c r="J18" i="45"/>
  <c r="M18" i="45" s="1"/>
  <c r="I35" i="45"/>
  <c r="I37" i="45" s="1"/>
  <c r="D31" i="45"/>
  <c r="M17" i="45"/>
  <c r="L17" i="45"/>
  <c r="M24" i="45"/>
  <c r="M33" i="45"/>
  <c r="L33" i="45"/>
  <c r="J29" i="45"/>
  <c r="L23" i="45"/>
  <c r="E20" i="45"/>
  <c r="L30" i="45"/>
  <c r="M23" i="45"/>
  <c r="G26" i="39"/>
  <c r="A13" i="37"/>
  <c r="A14" i="37" s="1"/>
  <c r="A15" i="37" s="1"/>
  <c r="A16" i="37" s="1"/>
  <c r="A17" i="37" s="1"/>
  <c r="A18" i="37" s="1"/>
  <c r="A19" i="37" s="1"/>
  <c r="A20" i="37" s="1"/>
  <c r="I26" i="31"/>
  <c r="I19" i="31"/>
  <c r="I12" i="35"/>
  <c r="I18" i="35" s="1"/>
  <c r="J35" i="41" l="1"/>
  <c r="J37" i="41" s="1"/>
  <c r="M35" i="41"/>
  <c r="M37" i="41" s="1"/>
  <c r="L31" i="41"/>
  <c r="L20" i="41"/>
  <c r="L35" i="41"/>
  <c r="L37" i="41" s="1"/>
  <c r="E37" i="45"/>
  <c r="J31" i="45"/>
  <c r="L16" i="45"/>
  <c r="L20" i="45" s="1"/>
  <c r="M16" i="45"/>
  <c r="M20" i="45" s="1"/>
  <c r="K35" i="45"/>
  <c r="K37" i="45" s="1"/>
  <c r="L28" i="45"/>
  <c r="J25" i="45"/>
  <c r="L18" i="45"/>
  <c r="D35" i="45"/>
  <c r="D37" i="45" s="1"/>
  <c r="M25" i="45"/>
  <c r="L25" i="45"/>
  <c r="M29" i="45"/>
  <c r="M31" i="45" s="1"/>
  <c r="L29" i="45"/>
  <c r="J35" i="45" l="1"/>
  <c r="J37" i="45" s="1"/>
  <c r="L31" i="45"/>
  <c r="L35" i="45"/>
  <c r="L37" i="45" s="1"/>
  <c r="M35" i="45"/>
  <c r="M37" i="45" s="1"/>
  <c r="A11" i="38" l="1"/>
  <c r="A12" i="38" s="1"/>
  <c r="A13" i="38" s="1"/>
  <c r="A14" i="38" s="1"/>
  <c r="A15" i="38" s="1"/>
  <c r="A16" i="38" s="1"/>
  <c r="A17" i="38" s="1"/>
  <c r="A18" i="38" s="1"/>
  <c r="A19" i="38" s="1"/>
  <c r="I23" i="36"/>
  <c r="I21" i="36"/>
  <c r="I19" i="36"/>
  <c r="A12" i="36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L11" i="36"/>
  <c r="L12" i="36" s="1"/>
  <c r="L13" i="36" s="1"/>
  <c r="L14" i="36" s="1"/>
  <c r="L15" i="36" s="1"/>
  <c r="L16" i="36" s="1"/>
  <c r="L17" i="36" s="1"/>
  <c r="L18" i="36" s="1"/>
  <c r="L19" i="36" s="1"/>
  <c r="L20" i="36" s="1"/>
  <c r="L21" i="36" s="1"/>
  <c r="L22" i="36" s="1"/>
  <c r="L23" i="36" s="1"/>
  <c r="E22" i="30"/>
  <c r="E27" i="30"/>
  <c r="E34" i="30" s="1"/>
  <c r="E32" i="30"/>
  <c r="E36" i="30" s="1"/>
  <c r="G19" i="30"/>
  <c r="A12" i="30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J11" i="30"/>
  <c r="J12" i="30" s="1"/>
  <c r="J13" i="30" s="1"/>
  <c r="J14" i="30" s="1"/>
  <c r="J15" i="30" s="1"/>
  <c r="J16" i="30" s="1"/>
  <c r="J17" i="30" s="1"/>
  <c r="J18" i="30" s="1"/>
  <c r="J19" i="30" s="1"/>
  <c r="J20" i="30" s="1"/>
  <c r="J21" i="30" s="1"/>
  <c r="J22" i="30" s="1"/>
  <c r="J23" i="30" s="1"/>
  <c r="J24" i="30" s="1"/>
  <c r="J25" i="30" s="1"/>
  <c r="J26" i="30" s="1"/>
  <c r="J27" i="30" s="1"/>
  <c r="J28" i="30" s="1"/>
  <c r="J29" i="30" s="1"/>
  <c r="J30" i="30" s="1"/>
  <c r="J31" i="30" s="1"/>
  <c r="J32" i="30" s="1"/>
  <c r="J33" i="30" s="1"/>
  <c r="J34" i="30" s="1"/>
  <c r="J35" i="30" s="1"/>
  <c r="J36" i="30" s="1"/>
  <c r="J37" i="30" s="1"/>
  <c r="J38" i="30" s="1"/>
  <c r="J39" i="30" s="1"/>
  <c r="J40" i="30" s="1"/>
  <c r="J41" i="30" s="1"/>
  <c r="J42" i="30" s="1"/>
  <c r="J43" i="30" s="1"/>
  <c r="J44" i="30" s="1"/>
  <c r="H11" i="38" l="1"/>
  <c r="H12" i="38" s="1"/>
  <c r="H13" i="38" s="1"/>
  <c r="H14" i="38" s="1"/>
  <c r="H15" i="38" s="1"/>
  <c r="H16" i="38" s="1"/>
  <c r="H17" i="38" s="1"/>
  <c r="H18" i="38" s="1"/>
  <c r="H19" i="38" s="1"/>
  <c r="E44" i="30"/>
  <c r="E40" i="30"/>
  <c r="G15" i="30"/>
  <c r="G17" i="36" l="1"/>
  <c r="E17" i="38"/>
  <c r="E19" i="38" s="1"/>
  <c r="G122" i="10" s="1"/>
  <c r="E34" i="29"/>
  <c r="E33" i="29"/>
  <c r="E32" i="29"/>
  <c r="E31" i="29"/>
  <c r="E30" i="29"/>
  <c r="E28" i="29"/>
  <c r="E27" i="29"/>
  <c r="E26" i="29"/>
  <c r="E25" i="29"/>
  <c r="H35" i="29"/>
  <c r="H36" i="29"/>
  <c r="A35" i="29"/>
  <c r="A36" i="29" s="1"/>
  <c r="E49" i="29"/>
  <c r="E51" i="29"/>
  <c r="A12" i="29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H11" i="29"/>
  <c r="H12" i="29" s="1"/>
  <c r="H13" i="29" s="1"/>
  <c r="H14" i="29" s="1"/>
  <c r="H15" i="29" s="1"/>
  <c r="H16" i="29" s="1"/>
  <c r="H17" i="29" s="1"/>
  <c r="H18" i="29" s="1"/>
  <c r="H19" i="29" s="1"/>
  <c r="H20" i="29" s="1"/>
  <c r="H21" i="29" s="1"/>
  <c r="H22" i="29" s="1"/>
  <c r="H23" i="29" s="1"/>
  <c r="H24" i="29" s="1"/>
  <c r="H25" i="29" s="1"/>
  <c r="H26" i="29" s="1"/>
  <c r="H27" i="29" s="1"/>
  <c r="H28" i="29" s="1"/>
  <c r="H29" i="29" s="1"/>
  <c r="H30" i="29" s="1"/>
  <c r="H31" i="29" s="1"/>
  <c r="H32" i="29" s="1"/>
  <c r="H33" i="29" s="1"/>
  <c r="H34" i="29" s="1"/>
  <c r="H26" i="28"/>
  <c r="E35" i="29" s="1"/>
  <c r="E61" i="28"/>
  <c r="E24" i="28" s="1"/>
  <c r="F24" i="28" s="1"/>
  <c r="J24" i="28" s="1"/>
  <c r="D57" i="28"/>
  <c r="E59" i="28" s="1"/>
  <c r="E22" i="28" s="1"/>
  <c r="F22" i="28" s="1"/>
  <c r="J22" i="28" s="1"/>
  <c r="E55" i="28"/>
  <c r="E19" i="28" s="1"/>
  <c r="F19" i="28" s="1"/>
  <c r="J19" i="28" s="1"/>
  <c r="E48" i="28"/>
  <c r="E17" i="28" s="1"/>
  <c r="F17" i="28" s="1"/>
  <c r="J17" i="28" s="1"/>
  <c r="E45" i="28"/>
  <c r="E16" i="28" s="1"/>
  <c r="F16" i="28" s="1"/>
  <c r="J16" i="28" s="1"/>
  <c r="E42" i="28"/>
  <c r="E14" i="28" s="1"/>
  <c r="F14" i="28" s="1"/>
  <c r="J14" i="28" s="1"/>
  <c r="E35" i="28"/>
  <c r="E12" i="28" s="1"/>
  <c r="F12" i="28" s="1"/>
  <c r="J12" i="28" s="1"/>
  <c r="E32" i="28"/>
  <c r="D26" i="28"/>
  <c r="E22" i="29" s="1"/>
  <c r="F23" i="28"/>
  <c r="J23" i="28" s="1"/>
  <c r="E21" i="28"/>
  <c r="F21" i="28" s="1"/>
  <c r="J21" i="28" s="1"/>
  <c r="F20" i="28"/>
  <c r="J20" i="28" s="1"/>
  <c r="E18" i="28"/>
  <c r="F18" i="28" s="1"/>
  <c r="J18" i="28" s="1"/>
  <c r="F15" i="28"/>
  <c r="J15" i="28" s="1"/>
  <c r="E13" i="28"/>
  <c r="F13" i="28" s="1"/>
  <c r="J13" i="28" s="1"/>
  <c r="A12" i="28"/>
  <c r="L12" i="28" s="1"/>
  <c r="L11" i="28"/>
  <c r="I15" i="36" l="1"/>
  <c r="E24" i="29"/>
  <c r="E36" i="29" s="1"/>
  <c r="E37" i="29"/>
  <c r="H37" i="29"/>
  <c r="H38" i="29" s="1"/>
  <c r="H39" i="29" s="1"/>
  <c r="H40" i="29" s="1"/>
  <c r="H41" i="29" s="1"/>
  <c r="H42" i="29" s="1"/>
  <c r="H43" i="29" s="1"/>
  <c r="H44" i="29" s="1"/>
  <c r="H45" i="29" s="1"/>
  <c r="H46" i="29" s="1"/>
  <c r="H47" i="29" s="1"/>
  <c r="H48" i="29" s="1"/>
  <c r="H49" i="29" s="1"/>
  <c r="H50" i="29" s="1"/>
  <c r="H51" i="29" s="1"/>
  <c r="H52" i="29" s="1"/>
  <c r="H53" i="29" s="1"/>
  <c r="H54" i="29" s="1"/>
  <c r="H55" i="29" s="1"/>
  <c r="H56" i="29" s="1"/>
  <c r="H57" i="29" s="1"/>
  <c r="H58" i="29" s="1"/>
  <c r="H59" i="29" s="1"/>
  <c r="H60" i="29" s="1"/>
  <c r="H61" i="29" s="1"/>
  <c r="A37" i="29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E19" i="29"/>
  <c r="E59" i="29"/>
  <c r="E61" i="29" s="1"/>
  <c r="E63" i="28"/>
  <c r="A13" i="28"/>
  <c r="E11" i="28"/>
  <c r="I13" i="36" l="1"/>
  <c r="E41" i="29"/>
  <c r="E38" i="29"/>
  <c r="E40" i="29" s="1"/>
  <c r="F11" i="28"/>
  <c r="E26" i="28"/>
  <c r="L13" i="28"/>
  <c r="A14" i="28"/>
  <c r="E17" i="36" l="1"/>
  <c r="I11" i="36"/>
  <c r="I17" i="36" s="1"/>
  <c r="E125" i="4" s="1"/>
  <c r="E42" i="29"/>
  <c r="E23" i="30" s="1"/>
  <c r="E25" i="30" s="1"/>
  <c r="E29" i="30" s="1"/>
  <c r="E132" i="4" s="1"/>
  <c r="F26" i="28"/>
  <c r="J11" i="28"/>
  <c r="J26" i="28" s="1"/>
  <c r="L14" i="28"/>
  <c r="A15" i="28"/>
  <c r="E13" i="4" l="1"/>
  <c r="A16" i="28"/>
  <c r="A17" i="28" s="1"/>
  <c r="L15" i="28"/>
  <c r="A18" i="28" l="1"/>
  <c r="L18" i="28" s="1"/>
  <c r="L17" i="28"/>
  <c r="L16" i="28"/>
  <c r="A19" i="28" l="1"/>
  <c r="A20" i="28" l="1"/>
  <c r="L19" i="28"/>
  <c r="A21" i="28" l="1"/>
  <c r="L20" i="28"/>
  <c r="A22" i="28" l="1"/>
  <c r="L21" i="28"/>
  <c r="A23" i="28" l="1"/>
  <c r="L22" i="28"/>
  <c r="A24" i="28" l="1"/>
  <c r="L23" i="28"/>
  <c r="K26" i="28" l="1"/>
  <c r="A25" i="28"/>
  <c r="L24" i="28"/>
  <c r="A26" i="28" l="1"/>
  <c r="L25" i="28"/>
  <c r="A27" i="28" l="1"/>
  <c r="L26" i="28"/>
  <c r="A28" i="28" l="1"/>
  <c r="L27" i="28"/>
  <c r="A29" i="28" l="1"/>
  <c r="L28" i="28"/>
  <c r="A30" i="28" l="1"/>
  <c r="L29" i="28"/>
  <c r="A31" i="28" l="1"/>
  <c r="L30" i="28"/>
  <c r="A32" i="28" l="1"/>
  <c r="L31" i="28"/>
  <c r="A33" i="28" l="1"/>
  <c r="L32" i="28"/>
  <c r="L33" i="28" l="1"/>
  <c r="A34" i="28"/>
  <c r="A35" i="28" l="1"/>
  <c r="L34" i="28"/>
  <c r="L35" i="28" l="1"/>
  <c r="A36" i="28"/>
  <c r="A37" i="28" l="1"/>
  <c r="L37" i="28" s="1"/>
  <c r="L36" i="28"/>
  <c r="A38" i="28" l="1"/>
  <c r="L38" i="28" s="1"/>
  <c r="A39" i="28"/>
  <c r="L39" i="28" l="1"/>
  <c r="A40" i="28"/>
  <c r="A41" i="28" l="1"/>
  <c r="L40" i="28"/>
  <c r="L41" i="28" l="1"/>
  <c r="A42" i="28"/>
  <c r="A43" i="28" l="1"/>
  <c r="L42" i="28"/>
  <c r="L43" i="28" l="1"/>
  <c r="A44" i="28"/>
  <c r="A45" i="28" l="1"/>
  <c r="L44" i="28"/>
  <c r="A46" i="28" l="1"/>
  <c r="L45" i="28"/>
  <c r="L46" i="28" l="1"/>
  <c r="A47" i="28"/>
  <c r="A48" i="28" l="1"/>
  <c r="L47" i="28"/>
  <c r="A49" i="28" l="1"/>
  <c r="L48" i="28"/>
  <c r="A50" i="28" l="1"/>
  <c r="L49" i="28"/>
  <c r="A51" i="28" l="1"/>
  <c r="L50" i="28"/>
  <c r="A52" i="28" l="1"/>
  <c r="L51" i="28"/>
  <c r="A53" i="28" l="1"/>
  <c r="L52" i="28"/>
  <c r="A54" i="28" l="1"/>
  <c r="L53" i="28"/>
  <c r="A55" i="28" l="1"/>
  <c r="L54" i="28"/>
  <c r="L55" i="28" l="1"/>
  <c r="A56" i="28"/>
  <c r="A57" i="28" l="1"/>
  <c r="L56" i="28"/>
  <c r="A58" i="28" l="1"/>
  <c r="L57" i="28"/>
  <c r="A59" i="28" l="1"/>
  <c r="L58" i="28"/>
  <c r="A60" i="28" l="1"/>
  <c r="L59" i="28"/>
  <c r="L60" i="28" l="1"/>
  <c r="A61" i="28"/>
  <c r="A62" i="28" l="1"/>
  <c r="L61" i="28"/>
  <c r="A63" i="28" l="1"/>
  <c r="L62" i="28"/>
  <c r="L63" i="28" l="1"/>
  <c r="A64" i="28"/>
  <c r="L64" i="28" l="1"/>
  <c r="A67" i="28" l="1"/>
  <c r="A68" i="28" l="1"/>
  <c r="L68" i="28" l="1"/>
  <c r="A69" i="28"/>
  <c r="A70" i="28" l="1"/>
  <c r="L69" i="28"/>
  <c r="L70" i="28" l="1"/>
  <c r="A71" i="28"/>
  <c r="A72" i="28" l="1"/>
  <c r="L71" i="28"/>
  <c r="L72" i="28" l="1"/>
  <c r="A73" i="28"/>
  <c r="A74" i="28" s="1"/>
  <c r="A75" i="28" l="1"/>
  <c r="L75" i="28" s="1"/>
  <c r="L74" i="28"/>
  <c r="A76" i="28"/>
  <c r="L73" i="28"/>
  <c r="A77" i="28" l="1"/>
  <c r="L77" i="28" s="1"/>
  <c r="L76" i="28"/>
  <c r="I40" i="13"/>
  <c r="I41" i="13"/>
  <c r="I42" i="13"/>
  <c r="I43" i="13"/>
  <c r="I44" i="13" s="1"/>
  <c r="I45" i="13" s="1"/>
  <c r="I46" i="13" s="1"/>
  <c r="I47" i="13" s="1"/>
  <c r="I48" i="13" s="1"/>
  <c r="I49" i="13" s="1"/>
  <c r="I50" i="13" s="1"/>
  <c r="I51" i="13" s="1"/>
  <c r="I52" i="13" s="1"/>
  <c r="A40" i="13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G159" i="12" l="1"/>
  <c r="G126" i="12"/>
  <c r="C16" i="13" l="1"/>
  <c r="H53" i="3" l="1"/>
  <c r="F53" i="3"/>
  <c r="E33" i="5"/>
  <c r="E29" i="5"/>
  <c r="C36" i="26" l="1"/>
  <c r="C29" i="26" s="1"/>
  <c r="E30" i="26"/>
  <c r="G28" i="26"/>
  <c r="E25" i="26"/>
  <c r="C24" i="26"/>
  <c r="C25" i="26" s="1"/>
  <c r="G23" i="26"/>
  <c r="E20" i="26"/>
  <c r="C19" i="26"/>
  <c r="G19" i="26" s="1"/>
  <c r="G18" i="26"/>
  <c r="E15" i="26"/>
  <c r="C14" i="26"/>
  <c r="C15" i="26" s="1"/>
  <c r="I13" i="26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G13" i="26"/>
  <c r="A13" i="26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I12" i="26"/>
  <c r="I20" i="27"/>
  <c r="I19" i="27"/>
  <c r="I18" i="27"/>
  <c r="I17" i="27"/>
  <c r="I16" i="27"/>
  <c r="I15" i="27"/>
  <c r="I14" i="27"/>
  <c r="I13" i="27"/>
  <c r="I12" i="27"/>
  <c r="G20" i="27"/>
  <c r="E17" i="17" s="1"/>
  <c r="E20" i="27"/>
  <c r="C20" i="27"/>
  <c r="C35" i="25"/>
  <c r="C28" i="25" s="1"/>
  <c r="E29" i="25"/>
  <c r="G27" i="25"/>
  <c r="E24" i="25"/>
  <c r="C23" i="25"/>
  <c r="C24" i="25" s="1"/>
  <c r="G22" i="25"/>
  <c r="E19" i="25"/>
  <c r="C18" i="25"/>
  <c r="G18" i="25" s="1"/>
  <c r="G17" i="25"/>
  <c r="E14" i="25"/>
  <c r="C13" i="25"/>
  <c r="G13" i="25" s="1"/>
  <c r="G12" i="25"/>
  <c r="A12" i="25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J11" i="25"/>
  <c r="J12" i="25" s="1"/>
  <c r="J13" i="25" s="1"/>
  <c r="J14" i="25" s="1"/>
  <c r="J15" i="25" s="1"/>
  <c r="J16" i="25" s="1"/>
  <c r="J17" i="25" s="1"/>
  <c r="J18" i="25" s="1"/>
  <c r="J19" i="25" s="1"/>
  <c r="J20" i="25" s="1"/>
  <c r="J21" i="25" s="1"/>
  <c r="J22" i="25" s="1"/>
  <c r="J23" i="25" s="1"/>
  <c r="J24" i="25" s="1"/>
  <c r="J25" i="25" s="1"/>
  <c r="J26" i="25" s="1"/>
  <c r="J27" i="25" s="1"/>
  <c r="J28" i="25" s="1"/>
  <c r="J29" i="25" s="1"/>
  <c r="J19" i="15"/>
  <c r="J18" i="15"/>
  <c r="J17" i="15"/>
  <c r="J16" i="15"/>
  <c r="J15" i="15"/>
  <c r="J14" i="15"/>
  <c r="J13" i="15"/>
  <c r="J12" i="15"/>
  <c r="J11" i="15"/>
  <c r="E19" i="15"/>
  <c r="G24" i="26" l="1"/>
  <c r="G25" i="26" s="1"/>
  <c r="G19" i="25"/>
  <c r="C14" i="25"/>
  <c r="G23" i="25"/>
  <c r="G24" i="25" s="1"/>
  <c r="G19" i="15"/>
  <c r="E16" i="19" s="1"/>
  <c r="C19" i="15"/>
  <c r="G20" i="26"/>
  <c r="C30" i="26"/>
  <c r="G29" i="26"/>
  <c r="G30" i="26" s="1"/>
  <c r="C20" i="26"/>
  <c r="G14" i="26"/>
  <c r="G15" i="26" s="1"/>
  <c r="G14" i="25"/>
  <c r="C29" i="25"/>
  <c r="G28" i="25"/>
  <c r="G29" i="25" s="1"/>
  <c r="C19" i="25"/>
  <c r="A12" i="17" l="1"/>
  <c r="A13" i="17" s="1"/>
  <c r="A14" i="17" s="1"/>
  <c r="A15" i="17" s="1"/>
  <c r="A16" i="17" s="1"/>
  <c r="A17" i="17" s="1"/>
  <c r="A18" i="17" s="1"/>
  <c r="A19" i="17" s="1"/>
  <c r="H11" i="17"/>
  <c r="H12" i="17" s="1"/>
  <c r="H13" i="17" s="1"/>
  <c r="H14" i="17" s="1"/>
  <c r="H15" i="17" s="1"/>
  <c r="H16" i="17" s="1"/>
  <c r="H17" i="17" s="1"/>
  <c r="H18" i="17" s="1"/>
  <c r="H19" i="17" s="1"/>
  <c r="E136" i="4"/>
  <c r="A11" i="19"/>
  <c r="A12" i="19" s="1"/>
  <c r="A13" i="19" s="1"/>
  <c r="A14" i="19" s="1"/>
  <c r="A15" i="19" s="1"/>
  <c r="A16" i="19" s="1"/>
  <c r="A17" i="19" s="1"/>
  <c r="A18" i="19" s="1"/>
  <c r="H10" i="19"/>
  <c r="H11" i="19" s="1"/>
  <c r="H12" i="19" s="1"/>
  <c r="H13" i="19" s="1"/>
  <c r="H14" i="19" s="1"/>
  <c r="H15" i="19" s="1"/>
  <c r="H16" i="19" s="1"/>
  <c r="H17" i="19" s="1"/>
  <c r="H18" i="19" s="1"/>
  <c r="G247" i="12" l="1"/>
  <c r="G244" i="12"/>
  <c r="G235" i="12"/>
  <c r="G245" i="12"/>
  <c r="G214" i="12"/>
  <c r="G211" i="12"/>
  <c r="G202" i="12"/>
  <c r="G212" i="12"/>
  <c r="J194" i="12"/>
  <c r="J195" i="12" s="1"/>
  <c r="J196" i="12" s="1"/>
  <c r="J197" i="12" s="1"/>
  <c r="J198" i="12" s="1"/>
  <c r="J199" i="12" s="1"/>
  <c r="J200" i="12" s="1"/>
  <c r="J201" i="12" s="1"/>
  <c r="J202" i="12" s="1"/>
  <c r="J203" i="12" s="1"/>
  <c r="J204" i="12" s="1"/>
  <c r="J205" i="12" s="1"/>
  <c r="J206" i="12" s="1"/>
  <c r="J207" i="12" s="1"/>
  <c r="J208" i="12" s="1"/>
  <c r="J209" i="12" s="1"/>
  <c r="J210" i="12" s="1"/>
  <c r="J211" i="12" s="1"/>
  <c r="J212" i="12" s="1"/>
  <c r="J213" i="12" s="1"/>
  <c r="J214" i="12" s="1"/>
  <c r="J215" i="12" s="1"/>
  <c r="J216" i="12" s="1"/>
  <c r="J217" i="12" s="1"/>
  <c r="J218" i="12" s="1"/>
  <c r="J219" i="12" s="1"/>
  <c r="J220" i="12" s="1"/>
  <c r="J221" i="12" s="1"/>
  <c r="J222" i="12" s="1"/>
  <c r="J223" i="12" s="1"/>
  <c r="J224" i="12" s="1"/>
  <c r="J225" i="12" s="1"/>
  <c r="J226" i="12" s="1"/>
  <c r="J227" i="12" s="1"/>
  <c r="J228" i="12" s="1"/>
  <c r="J229" i="12" s="1"/>
  <c r="J230" i="12" s="1"/>
  <c r="J231" i="12" s="1"/>
  <c r="J232" i="12" s="1"/>
  <c r="J233" i="12" s="1"/>
  <c r="J234" i="12" s="1"/>
  <c r="J235" i="12" s="1"/>
  <c r="J236" i="12" s="1"/>
  <c r="J237" i="12" s="1"/>
  <c r="J238" i="12" s="1"/>
  <c r="J239" i="12" s="1"/>
  <c r="J240" i="12" s="1"/>
  <c r="J241" i="12" s="1"/>
  <c r="J242" i="12" s="1"/>
  <c r="J243" i="12" s="1"/>
  <c r="J244" i="12" s="1"/>
  <c r="J245" i="12" s="1"/>
  <c r="J246" i="12" s="1"/>
  <c r="J247" i="12" s="1"/>
  <c r="J248" i="12" s="1"/>
  <c r="J249" i="12" s="1"/>
  <c r="J250" i="12" s="1"/>
  <c r="J251" i="12" s="1"/>
  <c r="J252" i="12" s="1"/>
  <c r="J253" i="12" s="1"/>
  <c r="J254" i="12" s="1"/>
  <c r="J255" i="12" s="1"/>
  <c r="J256" i="12" s="1"/>
  <c r="A194" i="12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G169" i="12"/>
  <c r="G170" i="12"/>
  <c r="G137" i="12"/>
  <c r="G136" i="12"/>
  <c r="A121" i="12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J120" i="12"/>
  <c r="J121" i="12" s="1"/>
  <c r="J122" i="12" s="1"/>
  <c r="J123" i="12" s="1"/>
  <c r="J124" i="12" s="1"/>
  <c r="J125" i="12" s="1"/>
  <c r="J126" i="12" s="1"/>
  <c r="J127" i="12" s="1"/>
  <c r="J128" i="12" s="1"/>
  <c r="J129" i="12" s="1"/>
  <c r="J130" i="12" s="1"/>
  <c r="J131" i="12" s="1"/>
  <c r="J132" i="12" s="1"/>
  <c r="J133" i="12" s="1"/>
  <c r="J134" i="12" s="1"/>
  <c r="J135" i="12" s="1"/>
  <c r="J136" i="12" s="1"/>
  <c r="J137" i="12" s="1"/>
  <c r="J138" i="12" s="1"/>
  <c r="J139" i="12" s="1"/>
  <c r="J140" i="12" s="1"/>
  <c r="J141" i="12" s="1"/>
  <c r="J142" i="12" s="1"/>
  <c r="J143" i="12" s="1"/>
  <c r="J144" i="12" s="1"/>
  <c r="J145" i="12" s="1"/>
  <c r="J146" i="12" s="1"/>
  <c r="J147" i="12" s="1"/>
  <c r="J148" i="12" s="1"/>
  <c r="J149" i="12" s="1"/>
  <c r="J150" i="12" s="1"/>
  <c r="J151" i="12" s="1"/>
  <c r="J152" i="12" s="1"/>
  <c r="J153" i="12" s="1"/>
  <c r="J154" i="12" s="1"/>
  <c r="J155" i="12" s="1"/>
  <c r="J156" i="12" s="1"/>
  <c r="J157" i="12" s="1"/>
  <c r="J158" i="12" s="1"/>
  <c r="J159" i="12" s="1"/>
  <c r="J160" i="12" s="1"/>
  <c r="J161" i="12" s="1"/>
  <c r="J162" i="12" s="1"/>
  <c r="J163" i="12" s="1"/>
  <c r="J164" i="12" s="1"/>
  <c r="J165" i="12" s="1"/>
  <c r="J166" i="12" s="1"/>
  <c r="J167" i="12" s="1"/>
  <c r="J168" i="12" s="1"/>
  <c r="J169" i="12" s="1"/>
  <c r="J170" i="12" s="1"/>
  <c r="J171" i="12" s="1"/>
  <c r="J172" i="12" s="1"/>
  <c r="J173" i="12" s="1"/>
  <c r="J174" i="12" s="1"/>
  <c r="J175" i="12" s="1"/>
  <c r="J176" i="12" s="1"/>
  <c r="J177" i="12" s="1"/>
  <c r="J178" i="12" s="1"/>
  <c r="J179" i="12" s="1"/>
  <c r="J180" i="12" s="1"/>
  <c r="J181" i="12" s="1"/>
  <c r="J119" i="12"/>
  <c r="A119" i="12"/>
  <c r="A120" i="12" s="1"/>
  <c r="E100" i="12"/>
  <c r="C99" i="12"/>
  <c r="E87" i="12"/>
  <c r="C86" i="12"/>
  <c r="J81" i="12"/>
  <c r="J82" i="12" s="1"/>
  <c r="J83" i="12" s="1"/>
  <c r="J84" i="12" s="1"/>
  <c r="J85" i="12" s="1"/>
  <c r="J86" i="12" s="1"/>
  <c r="J87" i="12" s="1"/>
  <c r="J88" i="12" s="1"/>
  <c r="J89" i="12" s="1"/>
  <c r="J90" i="12" s="1"/>
  <c r="J91" i="12" s="1"/>
  <c r="J92" i="12" s="1"/>
  <c r="J93" i="12" s="1"/>
  <c r="J94" i="12" s="1"/>
  <c r="J95" i="12" s="1"/>
  <c r="J96" i="12" s="1"/>
  <c r="J97" i="12" s="1"/>
  <c r="J98" i="12" s="1"/>
  <c r="J99" i="12" s="1"/>
  <c r="J100" i="12" s="1"/>
  <c r="J101" i="12" s="1"/>
  <c r="J102" i="12" s="1"/>
  <c r="J103" i="12" s="1"/>
  <c r="A81" i="12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J80" i="12"/>
  <c r="E63" i="12"/>
  <c r="C62" i="12"/>
  <c r="E50" i="12"/>
  <c r="C49" i="12"/>
  <c r="G37" i="12"/>
  <c r="G40" i="12" s="1"/>
  <c r="C100" i="12" s="1"/>
  <c r="G33" i="12"/>
  <c r="E49" i="12" s="1"/>
  <c r="G26" i="12"/>
  <c r="G18" i="12"/>
  <c r="J14" i="12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J41" i="12" s="1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J62" i="12" s="1"/>
  <c r="J63" i="12" s="1"/>
  <c r="J64" i="12" s="1"/>
  <c r="J65" i="12" s="1"/>
  <c r="J66" i="12" s="1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J12" i="12"/>
  <c r="J13" i="12" s="1"/>
  <c r="E86" i="12" l="1"/>
  <c r="C87" i="12"/>
  <c r="G28" i="12"/>
  <c r="B187" i="12"/>
  <c r="B74" i="12"/>
  <c r="C48" i="12"/>
  <c r="C98" i="12"/>
  <c r="C61" i="12"/>
  <c r="C85" i="12"/>
  <c r="C63" i="12"/>
  <c r="C50" i="12"/>
  <c r="B112" i="12"/>
  <c r="E85" i="12" l="1"/>
  <c r="E48" i="12"/>
  <c r="C88" i="12"/>
  <c r="D85" i="12"/>
  <c r="C101" i="12"/>
  <c r="D98" i="12" s="1"/>
  <c r="C64" i="12"/>
  <c r="D62" i="12" s="1"/>
  <c r="G62" i="12" s="1"/>
  <c r="C51" i="12"/>
  <c r="D49" i="12" s="1"/>
  <c r="G49" i="12" s="1"/>
  <c r="D50" i="12" l="1"/>
  <c r="G50" i="12" s="1"/>
  <c r="D48" i="12"/>
  <c r="G48" i="12" s="1"/>
  <c r="G51" i="12" s="1"/>
  <c r="G146" i="12" s="1"/>
  <c r="D63" i="12"/>
  <c r="G63" i="12" s="1"/>
  <c r="G66" i="12" s="1"/>
  <c r="G156" i="12" s="1"/>
  <c r="D61" i="12"/>
  <c r="D86" i="12"/>
  <c r="G86" i="12" s="1"/>
  <c r="D87" i="12"/>
  <c r="G87" i="12" s="1"/>
  <c r="G85" i="12"/>
  <c r="D51" i="12"/>
  <c r="G98" i="12"/>
  <c r="G53" i="12"/>
  <c r="G123" i="12" s="1"/>
  <c r="D100" i="12"/>
  <c r="G100" i="12" s="1"/>
  <c r="G103" i="12" s="1"/>
  <c r="G231" i="12" s="1"/>
  <c r="D99" i="12"/>
  <c r="G99" i="12" s="1"/>
  <c r="G135" i="12" l="1"/>
  <c r="G129" i="12"/>
  <c r="G138" i="12" s="1"/>
  <c r="G90" i="12"/>
  <c r="G198" i="12" s="1"/>
  <c r="G237" i="12"/>
  <c r="G246" i="12" s="1"/>
  <c r="G243" i="12"/>
  <c r="G101" i="12"/>
  <c r="G254" i="12" s="1"/>
  <c r="G88" i="12"/>
  <c r="G221" i="12" s="1"/>
  <c r="G61" i="12"/>
  <c r="G64" i="12" s="1"/>
  <c r="G179" i="12" s="1"/>
  <c r="D64" i="12"/>
  <c r="D101" i="12"/>
  <c r="D88" i="12"/>
  <c r="G162" i="12"/>
  <c r="G171" i="12" s="1"/>
  <c r="G168" i="12"/>
  <c r="G210" i="12" l="1"/>
  <c r="G204" i="12"/>
  <c r="G213" i="12" s="1"/>
  <c r="G174" i="12"/>
  <c r="G177" i="12" s="1"/>
  <c r="G181" i="12" s="1"/>
  <c r="G249" i="12"/>
  <c r="G252" i="12" s="1"/>
  <c r="G256" i="12" s="1"/>
  <c r="E61" i="5" s="1"/>
  <c r="G141" i="12"/>
  <c r="G144" i="12" s="1"/>
  <c r="G148" i="12" s="1"/>
  <c r="E86" i="5" l="1"/>
  <c r="E32" i="5"/>
  <c r="E82" i="5"/>
  <c r="E71" i="5"/>
  <c r="E28" i="5"/>
  <c r="G216" i="12"/>
  <c r="G219" i="12" s="1"/>
  <c r="G223" i="12" s="1"/>
  <c r="E57" i="5" s="1"/>
  <c r="H189" i="3" l="1"/>
  <c r="H188" i="3"/>
  <c r="H176" i="3"/>
  <c r="H177" i="3"/>
  <c r="H175" i="3"/>
  <c r="H174" i="3"/>
  <c r="H169" i="3"/>
  <c r="H170" i="3"/>
  <c r="H168" i="3"/>
  <c r="H167" i="3"/>
  <c r="H150" i="3"/>
  <c r="H147" i="3"/>
  <c r="H146" i="3"/>
  <c r="H142" i="3"/>
  <c r="H136" i="3"/>
  <c r="H135" i="3"/>
  <c r="H132" i="3"/>
  <c r="H131" i="3"/>
  <c r="H130" i="3"/>
  <c r="H126" i="3"/>
  <c r="H125" i="3"/>
  <c r="H121" i="3"/>
  <c r="H120" i="3"/>
  <c r="H87" i="3"/>
  <c r="H83" i="3"/>
  <c r="H76" i="3"/>
  <c r="H72" i="3"/>
  <c r="H69" i="3"/>
  <c r="H62" i="3"/>
  <c r="H58" i="3"/>
  <c r="H56" i="3"/>
  <c r="H37" i="3"/>
  <c r="H38" i="3"/>
  <c r="H36" i="3"/>
  <c r="H35" i="3"/>
  <c r="H31" i="3"/>
  <c r="H27" i="3"/>
  <c r="H24" i="3"/>
  <c r="H22" i="3"/>
  <c r="H20" i="3"/>
  <c r="H18" i="3"/>
  <c r="H15" i="3"/>
  <c r="H13" i="3"/>
  <c r="H11" i="3"/>
  <c r="F189" i="3"/>
  <c r="F188" i="3"/>
  <c r="F176" i="3"/>
  <c r="F177" i="3"/>
  <c r="F175" i="3"/>
  <c r="F174" i="3"/>
  <c r="F169" i="3"/>
  <c r="F170" i="3"/>
  <c r="F168" i="3"/>
  <c r="F167" i="3"/>
  <c r="F150" i="3"/>
  <c r="F147" i="3"/>
  <c r="F146" i="3"/>
  <c r="F142" i="3"/>
  <c r="F136" i="3"/>
  <c r="F135" i="3"/>
  <c r="F131" i="3"/>
  <c r="F130" i="3"/>
  <c r="F126" i="3"/>
  <c r="F125" i="3"/>
  <c r="F121" i="3"/>
  <c r="F120" i="3"/>
  <c r="F76" i="3"/>
  <c r="F69" i="3"/>
  <c r="F56" i="3"/>
  <c r="F37" i="3"/>
  <c r="F38" i="3"/>
  <c r="F36" i="3"/>
  <c r="F35" i="3"/>
  <c r="F24" i="3"/>
  <c r="F22" i="3"/>
  <c r="F20" i="3"/>
  <c r="F18" i="3"/>
  <c r="F15" i="3"/>
  <c r="B159" i="3"/>
  <c r="B158" i="3"/>
  <c r="B105" i="3"/>
  <c r="B104" i="3"/>
  <c r="B49" i="3"/>
  <c r="B48" i="3"/>
  <c r="C17" i="13" l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I10" i="13"/>
  <c r="I11" i="13" s="1"/>
  <c r="I12" i="13" s="1"/>
  <c r="I13" i="13" s="1"/>
  <c r="I14" i="13" s="1"/>
  <c r="I15" i="13" s="1"/>
  <c r="I16" i="13" s="1"/>
  <c r="A10" i="13"/>
  <c r="A11" i="13" s="1"/>
  <c r="A12" i="13" s="1"/>
  <c r="A13" i="13" s="1"/>
  <c r="A14" i="13" s="1"/>
  <c r="A15" i="13" s="1"/>
  <c r="A16" i="13" s="1"/>
  <c r="A17" i="13" l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I17" i="13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B96" i="4"/>
  <c r="B152" i="4" s="1"/>
  <c r="B152" i="3"/>
  <c r="B96" i="3"/>
  <c r="G248" i="10"/>
  <c r="G245" i="10"/>
  <c r="G236" i="10"/>
  <c r="G246" i="10"/>
  <c r="G215" i="10"/>
  <c r="G212" i="10"/>
  <c r="G203" i="10"/>
  <c r="G213" i="10"/>
  <c r="J195" i="10"/>
  <c r="J196" i="10" s="1"/>
  <c r="J197" i="10" s="1"/>
  <c r="J198" i="10" s="1"/>
  <c r="J199" i="10" s="1"/>
  <c r="J200" i="10" s="1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J211" i="10" s="1"/>
  <c r="J212" i="10" s="1"/>
  <c r="J213" i="10" s="1"/>
  <c r="J214" i="10" s="1"/>
  <c r="J215" i="10" s="1"/>
  <c r="J216" i="10" s="1"/>
  <c r="J217" i="10" s="1"/>
  <c r="J218" i="10" s="1"/>
  <c r="J219" i="10" s="1"/>
  <c r="J220" i="10" s="1"/>
  <c r="J221" i="10" s="1"/>
  <c r="J222" i="10" s="1"/>
  <c r="J223" i="10" s="1"/>
  <c r="J224" i="10" s="1"/>
  <c r="J225" i="10" s="1"/>
  <c r="J226" i="10" s="1"/>
  <c r="J227" i="10" s="1"/>
  <c r="J228" i="10" s="1"/>
  <c r="J229" i="10" s="1"/>
  <c r="J230" i="10" s="1"/>
  <c r="J231" i="10" s="1"/>
  <c r="J232" i="10" s="1"/>
  <c r="J233" i="10" s="1"/>
  <c r="J234" i="10" s="1"/>
  <c r="J235" i="10" s="1"/>
  <c r="J236" i="10" s="1"/>
  <c r="J237" i="10" s="1"/>
  <c r="J238" i="10" s="1"/>
  <c r="J239" i="10" s="1"/>
  <c r="J240" i="10" s="1"/>
  <c r="J241" i="10" s="1"/>
  <c r="J242" i="10" s="1"/>
  <c r="J243" i="10" s="1"/>
  <c r="J244" i="10" s="1"/>
  <c r="J245" i="10" s="1"/>
  <c r="J246" i="10" s="1"/>
  <c r="J247" i="10" s="1"/>
  <c r="J248" i="10" s="1"/>
  <c r="J249" i="10" s="1"/>
  <c r="J250" i="10" s="1"/>
  <c r="J251" i="10" s="1"/>
  <c r="J252" i="10" s="1"/>
  <c r="J253" i="10" s="1"/>
  <c r="J254" i="10" s="1"/>
  <c r="J255" i="10" s="1"/>
  <c r="J256" i="10" s="1"/>
  <c r="J257" i="10" s="1"/>
  <c r="A195" i="10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G167" i="10"/>
  <c r="G134" i="10"/>
  <c r="J117" i="10"/>
  <c r="J118" i="10" s="1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A117" i="10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E98" i="10"/>
  <c r="C97" i="10"/>
  <c r="E85" i="10"/>
  <c r="C84" i="10"/>
  <c r="A79" i="10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J78" i="10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E61" i="10"/>
  <c r="C60" i="10"/>
  <c r="E48" i="10"/>
  <c r="C47" i="10"/>
  <c r="G35" i="10"/>
  <c r="G38" i="10" s="1"/>
  <c r="C61" i="10" s="1"/>
  <c r="G31" i="10"/>
  <c r="E47" i="10" s="1"/>
  <c r="G24" i="10"/>
  <c r="G16" i="10"/>
  <c r="C46" i="10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11" i="10"/>
  <c r="J10" i="10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G26" i="10" l="1"/>
  <c r="E83" i="10" s="1"/>
  <c r="E46" i="10"/>
  <c r="B188" i="10"/>
  <c r="B72" i="10"/>
  <c r="B110" i="10"/>
  <c r="C59" i="10"/>
  <c r="C83" i="10"/>
  <c r="E84" i="10"/>
  <c r="C85" i="10"/>
  <c r="C96" i="10"/>
  <c r="C98" i="10"/>
  <c r="C48" i="10"/>
  <c r="C49" i="10" s="1"/>
  <c r="D46" i="10" s="1"/>
  <c r="F11" i="3" l="1"/>
  <c r="G46" i="10"/>
  <c r="D48" i="10"/>
  <c r="G48" i="10" s="1"/>
  <c r="C99" i="10"/>
  <c r="D97" i="10" s="1"/>
  <c r="G97" i="10" s="1"/>
  <c r="C62" i="10"/>
  <c r="D47" i="10"/>
  <c r="G47" i="10" s="1"/>
  <c r="C86" i="10"/>
  <c r="D84" i="10" s="1"/>
  <c r="G84" i="10" s="1"/>
  <c r="D83" i="10"/>
  <c r="F13" i="3" l="1"/>
  <c r="F132" i="3"/>
  <c r="D85" i="10"/>
  <c r="G85" i="10" s="1"/>
  <c r="G88" i="10" s="1"/>
  <c r="G199" i="10" s="1"/>
  <c r="D86" i="10"/>
  <c r="G83" i="10"/>
  <c r="G49" i="10"/>
  <c r="G144" i="10" s="1"/>
  <c r="D61" i="10"/>
  <c r="G61" i="10" s="1"/>
  <c r="G64" i="10" s="1"/>
  <c r="G154" i="10" s="1"/>
  <c r="D60" i="10"/>
  <c r="G60" i="10" s="1"/>
  <c r="D98" i="10"/>
  <c r="G98" i="10" s="1"/>
  <c r="G101" i="10" s="1"/>
  <c r="G232" i="10" s="1"/>
  <c r="D59" i="10"/>
  <c r="G51" i="10"/>
  <c r="G121" i="10" s="1"/>
  <c r="D96" i="10"/>
  <c r="D49" i="10"/>
  <c r="G86" i="10" l="1"/>
  <c r="G222" i="10" s="1"/>
  <c r="G59" i="10"/>
  <c r="G62" i="10" s="1"/>
  <c r="G177" i="10" s="1"/>
  <c r="D62" i="10"/>
  <c r="G238" i="10"/>
  <c r="G247" i="10" s="1"/>
  <c r="G244" i="10"/>
  <c r="G211" i="10"/>
  <c r="G205" i="10"/>
  <c r="G214" i="10" s="1"/>
  <c r="D99" i="10"/>
  <c r="G96" i="10"/>
  <c r="G99" i="10" s="1"/>
  <c r="G255" i="10" s="1"/>
  <c r="G133" i="10"/>
  <c r="G166" i="10"/>
  <c r="G250" i="10" l="1"/>
  <c r="G253" i="10" s="1"/>
  <c r="G257" i="10" s="1"/>
  <c r="E62" i="4" s="1"/>
  <c r="F62" i="3" s="1"/>
  <c r="G217" i="10"/>
  <c r="G220" i="10" s="1"/>
  <c r="G224" i="10" s="1"/>
  <c r="E58" i="4" s="1"/>
  <c r="F58" i="3" s="1"/>
  <c r="E179" i="5" l="1"/>
  <c r="H184" i="3" s="1"/>
  <c r="E178" i="5"/>
  <c r="A162" i="5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H161" i="5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B155" i="5"/>
  <c r="E81" i="5"/>
  <c r="H82" i="3" s="1"/>
  <c r="A110" i="5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H109" i="5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B103" i="5"/>
  <c r="A56" i="5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H55" i="5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B49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H12" i="5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E112" i="5" l="1"/>
  <c r="H115" i="3" s="1"/>
  <c r="H183" i="3"/>
  <c r="E113" i="5"/>
  <c r="H116" i="3" s="1"/>
  <c r="E130" i="5"/>
  <c r="E83" i="5"/>
  <c r="E124" i="5"/>
  <c r="E145" i="5"/>
  <c r="E74" i="5" s="1"/>
  <c r="E85" i="5"/>
  <c r="E185" i="5"/>
  <c r="E138" i="5" s="1"/>
  <c r="E119" i="5"/>
  <c r="E173" i="5"/>
  <c r="E176" i="5"/>
  <c r="E17" i="5"/>
  <c r="E26" i="5" s="1"/>
  <c r="E166" i="5"/>
  <c r="E177" i="5"/>
  <c r="E140" i="5" l="1"/>
  <c r="H141" i="3"/>
  <c r="E110" i="5"/>
  <c r="H113" i="3" s="1"/>
  <c r="H181" i="3"/>
  <c r="E111" i="5"/>
  <c r="H114" i="3" s="1"/>
  <c r="H182" i="3"/>
  <c r="E87" i="5"/>
  <c r="E89" i="5" s="1"/>
  <c r="H86" i="3"/>
  <c r="E76" i="5"/>
  <c r="H75" i="3"/>
  <c r="E62" i="5"/>
  <c r="E63" i="5" s="1"/>
  <c r="E58" i="5"/>
  <c r="E70" i="5"/>
  <c r="E180" i="5"/>
  <c r="E114" i="5" l="1"/>
  <c r="E135" i="5" s="1"/>
  <c r="E72" i="5"/>
  <c r="E78" i="5" s="1"/>
  <c r="H71" i="3"/>
  <c r="H59" i="3"/>
  <c r="E59" i="5"/>
  <c r="E65" i="5" s="1"/>
  <c r="E30" i="5"/>
  <c r="H28" i="3"/>
  <c r="E91" i="5" l="1"/>
  <c r="E34" i="5"/>
  <c r="E41" i="5" s="1"/>
  <c r="E93" i="5" s="1"/>
  <c r="H32" i="3"/>
  <c r="E190" i="4" l="1"/>
  <c r="E141" i="4" s="1"/>
  <c r="F141" i="3" s="1"/>
  <c r="E184" i="4"/>
  <c r="E183" i="4"/>
  <c r="E182" i="4"/>
  <c r="A167" i="4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H166" i="4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B160" i="4"/>
  <c r="A113" i="4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H112" i="4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B106" i="4"/>
  <c r="E86" i="4"/>
  <c r="F86" i="3" s="1"/>
  <c r="E82" i="4"/>
  <c r="F82" i="3" s="1"/>
  <c r="A57" i="4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H56" i="4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B50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E116" i="4" l="1"/>
  <c r="F116" i="3" s="1"/>
  <c r="F184" i="3"/>
  <c r="E115" i="4"/>
  <c r="F115" i="3" s="1"/>
  <c r="F183" i="3"/>
  <c r="E114" i="4"/>
  <c r="F114" i="3" s="1"/>
  <c r="F182" i="3"/>
  <c r="E143" i="4"/>
  <c r="E133" i="4"/>
  <c r="E127" i="4"/>
  <c r="E178" i="4"/>
  <c r="E122" i="4"/>
  <c r="E148" i="4"/>
  <c r="E181" i="4"/>
  <c r="F181" i="3" s="1"/>
  <c r="E16" i="4"/>
  <c r="E25" i="4" s="1"/>
  <c r="E171" i="4"/>
  <c r="E59" i="4" l="1"/>
  <c r="E63" i="4"/>
  <c r="E75" i="4"/>
  <c r="E71" i="4"/>
  <c r="E185" i="4"/>
  <c r="E113" i="4"/>
  <c r="E117" i="4" l="1"/>
  <c r="E138" i="4" s="1"/>
  <c r="G157" i="10" s="1"/>
  <c r="F113" i="3"/>
  <c r="F71" i="3"/>
  <c r="E77" i="4"/>
  <c r="F75" i="3"/>
  <c r="F63" i="3"/>
  <c r="E64" i="4"/>
  <c r="F59" i="3"/>
  <c r="E60" i="4"/>
  <c r="G168" i="10" l="1"/>
  <c r="G160" i="10"/>
  <c r="G169" i="10" s="1"/>
  <c r="E66" i="4"/>
  <c r="E32" i="4"/>
  <c r="G124" i="10"/>
  <c r="E28" i="4"/>
  <c r="G172" i="10" l="1"/>
  <c r="G175" i="10" s="1"/>
  <c r="G179" i="10" s="1"/>
  <c r="G135" i="10"/>
  <c r="G127" i="10"/>
  <c r="G136" i="10" s="1"/>
  <c r="H190" i="3"/>
  <c r="F190" i="3"/>
  <c r="J189" i="3"/>
  <c r="J188" i="3"/>
  <c r="H178" i="3"/>
  <c r="F178" i="3"/>
  <c r="J177" i="3"/>
  <c r="J176" i="3"/>
  <c r="J175" i="3"/>
  <c r="J174" i="3"/>
  <c r="H171" i="3"/>
  <c r="F171" i="3"/>
  <c r="J170" i="3"/>
  <c r="J169" i="3"/>
  <c r="J168" i="3"/>
  <c r="L167" i="3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J167" i="3"/>
  <c r="A167" i="3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H163" i="3"/>
  <c r="F163" i="3"/>
  <c r="J150" i="3"/>
  <c r="H148" i="3"/>
  <c r="H77" i="3" s="1"/>
  <c r="F148" i="3"/>
  <c r="J147" i="3"/>
  <c r="J146" i="3"/>
  <c r="H143" i="3"/>
  <c r="H60" i="3" s="1"/>
  <c r="J142" i="3"/>
  <c r="F143" i="3"/>
  <c r="J136" i="3"/>
  <c r="J135" i="3"/>
  <c r="H133" i="3"/>
  <c r="F133" i="3"/>
  <c r="J132" i="3"/>
  <c r="J131" i="3"/>
  <c r="J130" i="3"/>
  <c r="H127" i="3"/>
  <c r="F127" i="3"/>
  <c r="J126" i="3"/>
  <c r="J125" i="3"/>
  <c r="H122" i="3"/>
  <c r="F122" i="3"/>
  <c r="J121" i="3"/>
  <c r="J120" i="3"/>
  <c r="L113" i="3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A113" i="3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H109" i="3"/>
  <c r="F109" i="3"/>
  <c r="H88" i="3"/>
  <c r="H84" i="3"/>
  <c r="J76" i="3"/>
  <c r="J69" i="3"/>
  <c r="J62" i="3"/>
  <c r="J58" i="3"/>
  <c r="L57" i="3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A57" i="3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J56" i="3"/>
  <c r="J38" i="3"/>
  <c r="J37" i="3"/>
  <c r="J36" i="3"/>
  <c r="J35" i="3"/>
  <c r="J24" i="3"/>
  <c r="J22" i="3"/>
  <c r="J20" i="3"/>
  <c r="J18" i="3"/>
  <c r="H16" i="3"/>
  <c r="H25" i="3" s="1"/>
  <c r="F16" i="3"/>
  <c r="F25" i="3" s="1"/>
  <c r="J15" i="3"/>
  <c r="J13" i="3"/>
  <c r="L11" i="3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J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E87" i="4" l="1"/>
  <c r="E31" i="4"/>
  <c r="G139" i="10"/>
  <c r="G142" i="10" s="1"/>
  <c r="G146" i="10" s="1"/>
  <c r="H63" i="3"/>
  <c r="H64" i="3" s="1"/>
  <c r="H66" i="3" s="1"/>
  <c r="J116" i="3"/>
  <c r="J86" i="3"/>
  <c r="J182" i="3"/>
  <c r="J184" i="3"/>
  <c r="J190" i="3"/>
  <c r="J133" i="3"/>
  <c r="J181" i="3"/>
  <c r="J183" i="3"/>
  <c r="H73" i="3"/>
  <c r="H79" i="3" s="1"/>
  <c r="H90" i="3"/>
  <c r="J115" i="3"/>
  <c r="J171" i="3"/>
  <c r="J122" i="3"/>
  <c r="J127" i="3"/>
  <c r="J141" i="3"/>
  <c r="J143" i="3" s="1"/>
  <c r="J148" i="3"/>
  <c r="H117" i="3"/>
  <c r="H138" i="3" s="1"/>
  <c r="H29" i="3" s="1"/>
  <c r="J82" i="3"/>
  <c r="J114" i="3"/>
  <c r="J16" i="3"/>
  <c r="J25" i="3" s="1"/>
  <c r="H185" i="3"/>
  <c r="H33" i="3"/>
  <c r="J59" i="3"/>
  <c r="F60" i="3"/>
  <c r="J63" i="3"/>
  <c r="F64" i="3"/>
  <c r="J178" i="3"/>
  <c r="F185" i="3"/>
  <c r="F31" i="3" l="1"/>
  <c r="J31" i="3" s="1"/>
  <c r="E33" i="4"/>
  <c r="F87" i="3"/>
  <c r="E88" i="4"/>
  <c r="E83" i="4"/>
  <c r="E27" i="4"/>
  <c r="E72" i="4"/>
  <c r="J64" i="3"/>
  <c r="H92" i="3"/>
  <c r="J185" i="3"/>
  <c r="H40" i="3"/>
  <c r="J75" i="3"/>
  <c r="F77" i="3"/>
  <c r="J77" i="3" s="1"/>
  <c r="F66" i="3"/>
  <c r="J60" i="3"/>
  <c r="F117" i="3"/>
  <c r="F138" i="3" s="1"/>
  <c r="J113" i="3"/>
  <c r="J117" i="3" s="1"/>
  <c r="J71" i="3"/>
  <c r="J87" i="3" l="1"/>
  <c r="F88" i="3"/>
  <c r="J88" i="3" s="1"/>
  <c r="F28" i="3"/>
  <c r="J138" i="3"/>
  <c r="F72" i="3"/>
  <c r="E73" i="4"/>
  <c r="E79" i="4" s="1"/>
  <c r="F27" i="3"/>
  <c r="J27" i="3" s="1"/>
  <c r="E29" i="4"/>
  <c r="E40" i="4" s="1"/>
  <c r="F83" i="3"/>
  <c r="E84" i="4"/>
  <c r="E90" i="4" s="1"/>
  <c r="H94" i="3"/>
  <c r="J66" i="3"/>
  <c r="F32" i="3"/>
  <c r="J72" i="3" l="1"/>
  <c r="F73" i="3"/>
  <c r="E92" i="4"/>
  <c r="E94" i="4" s="1"/>
  <c r="J83" i="3"/>
  <c r="F84" i="3"/>
  <c r="J32" i="3"/>
  <c r="F33" i="3"/>
  <c r="J33" i="3" s="1"/>
  <c r="J28" i="3"/>
  <c r="F29" i="3"/>
  <c r="J84" i="3" l="1"/>
  <c r="F90" i="3"/>
  <c r="J90" i="3" s="1"/>
  <c r="F79" i="3"/>
  <c r="J73" i="3"/>
  <c r="J29" i="3"/>
  <c r="F40" i="3"/>
  <c r="J79" i="3" l="1"/>
  <c r="F92" i="3"/>
  <c r="J92" i="3" s="1"/>
  <c r="J40" i="3"/>
  <c r="F94" i="3" l="1"/>
  <c r="J94" i="3" s="1"/>
  <c r="D16" i="13" s="1"/>
  <c r="G16" i="13" s="1"/>
  <c r="D17" i="13" l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10" i="1"/>
  <c r="F16" i="13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11" i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A10" i="1"/>
  <c r="D52" i="13" l="1"/>
  <c r="H16" i="13"/>
  <c r="F17" i="13" l="1"/>
  <c r="G17" i="13" s="1"/>
  <c r="H17" i="13" l="1"/>
  <c r="F18" i="13" l="1"/>
  <c r="G18" i="13" l="1"/>
  <c r="H18" i="13" l="1"/>
  <c r="F19" i="13" s="1"/>
  <c r="G19" i="13" l="1"/>
  <c r="H19" i="13" s="1"/>
  <c r="F20" i="13" l="1"/>
  <c r="G20" i="13" l="1"/>
  <c r="H20" i="13" s="1"/>
  <c r="F21" i="13" l="1"/>
  <c r="G21" i="13" l="1"/>
  <c r="H21" i="13" s="1"/>
  <c r="F22" i="13" l="1"/>
  <c r="G22" i="13" l="1"/>
  <c r="H22" i="13" s="1"/>
  <c r="F23" i="13" l="1"/>
  <c r="G23" i="13" l="1"/>
  <c r="H23" i="13" s="1"/>
  <c r="F24" i="13" l="1"/>
  <c r="G24" i="13" l="1"/>
  <c r="H24" i="13" s="1"/>
  <c r="F25" i="13" l="1"/>
  <c r="G25" i="13" l="1"/>
  <c r="H25" i="13" s="1"/>
  <c r="F26" i="13" l="1"/>
  <c r="G26" i="13" l="1"/>
  <c r="H26" i="13" s="1"/>
  <c r="F27" i="13" l="1"/>
  <c r="G27" i="13" l="1"/>
  <c r="H27" i="13" s="1"/>
  <c r="F28" i="13" l="1"/>
  <c r="G28" i="13" l="1"/>
  <c r="H28" i="13" s="1"/>
  <c r="F29" i="13" l="1"/>
  <c r="G29" i="13" l="1"/>
  <c r="H29" i="13" s="1"/>
  <c r="F30" i="13" l="1"/>
  <c r="G30" i="13" l="1"/>
  <c r="H30" i="13" s="1"/>
  <c r="F31" i="13" l="1"/>
  <c r="G31" i="13" l="1"/>
  <c r="H31" i="13" s="1"/>
  <c r="F32" i="13" l="1"/>
  <c r="G32" i="13" l="1"/>
  <c r="H32" i="13" s="1"/>
  <c r="F33" i="13" l="1"/>
  <c r="G33" i="13" l="1"/>
  <c r="H33" i="13" s="1"/>
  <c r="F34" i="13" l="1"/>
  <c r="G34" i="13" l="1"/>
  <c r="H34" i="13" s="1"/>
  <c r="F35" i="13" l="1"/>
  <c r="G35" i="13" l="1"/>
  <c r="H35" i="13" s="1"/>
  <c r="F36" i="13" l="1"/>
  <c r="G36" i="13" l="1"/>
  <c r="H36" i="13" s="1"/>
  <c r="F37" i="13" l="1"/>
  <c r="G37" i="13" l="1"/>
  <c r="H37" i="13" s="1"/>
  <c r="F38" i="13" l="1"/>
  <c r="G38" i="13" l="1"/>
  <c r="H38" i="13" s="1"/>
  <c r="F39" i="13" l="1"/>
  <c r="G39" i="13" l="1"/>
  <c r="H39" i="13" l="1"/>
  <c r="F40" i="13" l="1"/>
  <c r="G40" i="13" l="1"/>
  <c r="H40" i="13" s="1"/>
  <c r="F41" i="13" l="1"/>
  <c r="G41" i="13" s="1"/>
  <c r="H41" i="13" s="1"/>
  <c r="F42" i="13" l="1"/>
  <c r="G42" i="13" s="1"/>
  <c r="H42" i="13" s="1"/>
  <c r="F43" i="13" l="1"/>
  <c r="G43" i="13" s="1"/>
  <c r="H43" i="13" s="1"/>
  <c r="F44" i="13" l="1"/>
  <c r="G44" i="13" s="1"/>
  <c r="H44" i="13" s="1"/>
  <c r="F45" i="13" l="1"/>
  <c r="G45" i="13" s="1"/>
  <c r="H45" i="13" s="1"/>
  <c r="F46" i="13" l="1"/>
  <c r="G46" i="13" s="1"/>
  <c r="H46" i="13" s="1"/>
  <c r="F47" i="13" l="1"/>
  <c r="G47" i="13" s="1"/>
  <c r="H47" i="13" s="1"/>
  <c r="F48" i="13" l="1"/>
  <c r="G48" i="13" s="1"/>
  <c r="H48" i="13" l="1"/>
  <c r="F49" i="13" l="1"/>
  <c r="G49" i="13" s="1"/>
  <c r="H49" i="13" s="1"/>
  <c r="F50" i="13" l="1"/>
  <c r="G50" i="13" s="1"/>
  <c r="H50" i="13" s="1"/>
  <c r="F51" i="13" l="1"/>
  <c r="G51" i="13" s="1"/>
  <c r="H51" i="13" l="1"/>
  <c r="G52" i="13"/>
  <c r="D12" i="1" s="1"/>
  <c r="D14" i="1" s="1"/>
  <c r="D20" i="1" l="1"/>
  <c r="D16" i="1"/>
  <c r="D18" i="1" s="1"/>
  <c r="D22" i="1" l="1"/>
</calcChain>
</file>

<file path=xl/sharedStrings.xml><?xml version="1.0" encoding="utf-8"?>
<sst xmlns="http://schemas.openxmlformats.org/spreadsheetml/2006/main" count="3160" uniqueCount="966">
  <si>
    <t>San Diego Gas &amp; Electric Company</t>
  </si>
  <si>
    <r>
      <t xml:space="preserve">TO5 Cycle 5 Annual Informational Filing </t>
    </r>
    <r>
      <rPr>
        <b/>
        <vertAlign val="superscript"/>
        <sz val="14"/>
        <rFont val="Times New Roman"/>
        <family val="1"/>
      </rPr>
      <t>1</t>
    </r>
  </si>
  <si>
    <t>Derivation of Other BTRR Adjustment Applicable to TO5 Cycle 4</t>
  </si>
  <si>
    <t>($1,000)</t>
  </si>
  <si>
    <t>Line</t>
  </si>
  <si>
    <t>Description</t>
  </si>
  <si>
    <t>Amounts</t>
  </si>
  <si>
    <t>Reference</t>
  </si>
  <si>
    <t>No.</t>
  </si>
  <si>
    <t>BTRR Adjustment due to TO5 Cycle 4 Adjustments Calculation:</t>
  </si>
  <si>
    <t>Total BTRR Adjustment - Before Interest</t>
  </si>
  <si>
    <t>Page 2.2; Line 39</t>
  </si>
  <si>
    <t>Interest Expense</t>
  </si>
  <si>
    <t>Page 13; Line 44</t>
  </si>
  <si>
    <t>Total BTRR Adjustment Excluding FF&amp;U</t>
  </si>
  <si>
    <t>Sum Lines 2 and 4</t>
  </si>
  <si>
    <t>Transmission Related Municipal Franchise Fees Expenses</t>
  </si>
  <si>
    <t>Line 6 x 1.0275%</t>
  </si>
  <si>
    <t>Total BTRR Adjustment Including Franchise Fees Expense (WHOLESALE)</t>
  </si>
  <si>
    <t>Sum Lines 6 and 8</t>
  </si>
  <si>
    <t>Transmission Related Uncollectible Expense</t>
  </si>
  <si>
    <t>Line 6 x 0.165%</t>
  </si>
  <si>
    <t>Total BTRR Adjustment Including FF&amp;U (RETAIL)</t>
  </si>
  <si>
    <t>Sum Lines 10 and 12</t>
  </si>
  <si>
    <t>Section C.5. of the Protocols provides a mechanism for SDG&amp;E to correct errors that affected the TU TRR in a previous Informational Filing. In this TO5 Cycle 5</t>
  </si>
  <si>
    <t>Informational Filing, SDG&amp;E is correcting the TO5 Cycle 4 for approximately ($3.7M) for various 2020 adjustments.</t>
  </si>
  <si>
    <t xml:space="preserve"> </t>
  </si>
  <si>
    <t>TO5 Cycle 5 Annual Informational Filing</t>
  </si>
  <si>
    <t>Derivation of Other BTRR Adjustments Applicable to TO5 Cycle 4</t>
  </si>
  <si>
    <t>A</t>
  </si>
  <si>
    <t>B</t>
  </si>
  <si>
    <t>C = A - B</t>
  </si>
  <si>
    <t xml:space="preserve">Revised      TO5 C4 </t>
  </si>
  <si>
    <t>As Filed        TO5 C4          ER 22-527</t>
  </si>
  <si>
    <t>Difference</t>
  </si>
  <si>
    <t xml:space="preserve">Amounts  </t>
  </si>
  <si>
    <t xml:space="preserve">Amounts </t>
  </si>
  <si>
    <t>Incr (Decr)</t>
  </si>
  <si>
    <t>A. Revenues:</t>
  </si>
  <si>
    <t>Transmission Operation &amp; Maintenance Expense</t>
  </si>
  <si>
    <t>Page 3.1 and Page 4.1, Line 1</t>
  </si>
  <si>
    <t>Transmission Related A&amp;G Expense</t>
  </si>
  <si>
    <t>√</t>
  </si>
  <si>
    <t>Page 3.1 and Page 4.1, Line 3</t>
  </si>
  <si>
    <t>CPUC Intervenor Funding Expense - Transmission</t>
  </si>
  <si>
    <t>Page 3.1 and Page 4.1, Line 5</t>
  </si>
  <si>
    <t xml:space="preserve">     Total O&amp;M Expenses</t>
  </si>
  <si>
    <t>Sum Lines 1 thru 5</t>
  </si>
  <si>
    <t>Transmission, General, Common Plant Depn. Exp., and Electric Misc. Intangible Plant Amort. Exp.</t>
  </si>
  <si>
    <t>Page 3.1 and Page 4.1, Line 8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</si>
  <si>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</si>
  <si>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Page 3.1 and Page 4.1, Line 10</t>
  </si>
  <si>
    <t>Transmission Related Property Taxes Expense</t>
  </si>
  <si>
    <t>Page 3.1 and Page 4.1, Line 12</t>
  </si>
  <si>
    <t>Transmission Related Payroll Taxes Expense</t>
  </si>
  <si>
    <t>Page 3.1 and Page 4.1, Line 14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</si>
  <si>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</si>
  <si>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</si>
  <si>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</si>
  <si>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Page 3.1 and Page 4.1, Line 17</t>
  </si>
  <si>
    <t>Transmission Rate Base</t>
  </si>
  <si>
    <t>Page 3.1 and Page 4.1, Line 18</t>
  </si>
  <si>
    <t xml:space="preserve">     Return and Associated Income Taxes - Base ROE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</si>
  <si>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</si>
  <si>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</si>
  <si>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Page 3.1 and Page 4.1, Line 21</t>
  </si>
  <si>
    <t>Page 3.1 and Page 4.1, Line 22</t>
  </si>
  <si>
    <t xml:space="preserve">     Return and Associated Income Taxes - CAISO Participation ROE Adder</t>
  </si>
  <si>
    <t>Line 21 x Line 22</t>
  </si>
  <si>
    <t>Total of Federal Income Tax Deductions, Other Than Interest</t>
  </si>
  <si>
    <t>Page 3.1 and Page 4.1, Line 25</t>
  </si>
  <si>
    <t>Transmission Related Revenue Credits</t>
  </si>
  <si>
    <t>Page 3.1 and Page 4.1, Line 26</t>
  </si>
  <si>
    <t>Transmission Related Regulatory Debits/Credits</t>
  </si>
  <si>
    <t>Page 3.1 and Page 4.1, Line 27</t>
  </si>
  <si>
    <t>(Gains)/Losses from Sale of Plant Held for Future Use</t>
  </si>
  <si>
    <t>Page 3.1 and Page 4.1, Line 28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</si>
  <si>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</si>
  <si>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</si>
  <si>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 xml:space="preserve">Items in BOLD have changed due to unfunded reserves error, A&amp;G adjustments, transmission revenue credits error,  and removal of CIAC related ADIT per TO5 Cycle 4 Letter Order </t>
  </si>
  <si>
    <t>determination in ER22-527 as compared to the original TO5 Cycle 4 filing.</t>
  </si>
  <si>
    <t>Blank lines that show up in the Formula Rate Spreadsheet will not be populated with any numbers absent a Section 205 filing to approve the blank lines.</t>
  </si>
  <si>
    <r>
      <t xml:space="preserve">Amounts  </t>
    </r>
    <r>
      <rPr>
        <b/>
        <vertAlign val="superscript"/>
        <sz val="12"/>
        <rFont val="Times New Roman"/>
        <family val="1"/>
      </rPr>
      <t>5</t>
    </r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</si>
  <si>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</si>
  <si>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</si>
  <si>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t>Page 3.2 and Page 4.2, Line 1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</si>
  <si>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</si>
  <si>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Page 3.2 and Page 4.2, Line 3</t>
  </si>
  <si>
    <t>Total Incentive ROE Project Transmission Rate Base</t>
  </si>
  <si>
    <t>Page 3.2 and Page 4.2, Line 4</t>
  </si>
  <si>
    <t xml:space="preserve">     Incentive ROE Project Return and Associated Income Taxes - Base ROE</t>
  </si>
  <si>
    <t>Line 3 x Line 4</t>
  </si>
  <si>
    <t>Page 3.2 and Page 4.2, Line 7</t>
  </si>
  <si>
    <t>Page 3.2 and Page 4.2, Line 8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</si>
  <si>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</si>
  <si>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</si>
  <si>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</si>
  <si>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</si>
  <si>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</si>
  <si>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Page 3.2 and Page 4.2, Line 14</t>
  </si>
  <si>
    <t>Total Incentive Transmission Plant Abandoned Project Cost Rate Base</t>
  </si>
  <si>
    <t>Page 3.2 and Page 4.2, Line 16</t>
  </si>
  <si>
    <t>Page 3.2 and Page 4.2, Line 17</t>
  </si>
  <si>
    <t xml:space="preserve">     Incentive Trans. Plant Aband. Proj. Return &amp; Assoc. Inc. Taxes - Base ROE</t>
  </si>
  <si>
    <t>Line 16 x Line 17</t>
  </si>
  <si>
    <t>Page 3.2 and Page 4.2, Line 20</t>
  </si>
  <si>
    <t>Page 3.2 and Page 4.2, Line 21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</si>
  <si>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</si>
  <si>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</si>
  <si>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</si>
  <si>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</si>
  <si>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</si>
  <si>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</si>
  <si>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>Page 3.2 and Page 4.2, Line 27</t>
  </si>
  <si>
    <t>Page 3.2 and Page 4.2, Line 28</t>
  </si>
  <si>
    <t xml:space="preserve">     Incentive CWIP Return and Associated Income Taxes - Base ROE</t>
  </si>
  <si>
    <t>Line 27 x Line 28</t>
  </si>
  <si>
    <t>Page 3.2 and Page 4.2, Line 31</t>
  </si>
  <si>
    <t>Page 3.2 and Page 4.2, Line 32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</si>
  <si>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</si>
  <si>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</si>
  <si>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</si>
  <si>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</si>
  <si>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</si>
  <si>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</si>
  <si>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</si>
  <si>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</si>
  <si>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</si>
  <si>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</si>
  <si>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A. Transmission Rate Base</t>
  </si>
  <si>
    <t>Net Transmission Plant:</t>
  </si>
  <si>
    <t>Transmission Plant</t>
  </si>
  <si>
    <t>Page 3.3 and Page 4.3, Line 2</t>
  </si>
  <si>
    <t>Transmission Related Electric Miscellaneous Intangible Plant</t>
  </si>
  <si>
    <t>Page 3.3 and Page 4.3, Line 3</t>
  </si>
  <si>
    <t>Transmission Related General Plant</t>
  </si>
  <si>
    <t>Page 3.3 and Page 4.3, Line 4</t>
  </si>
  <si>
    <t>Transmission Related Common Plant</t>
  </si>
  <si>
    <t>Page 3.3 and Page 4.3, Line 5</t>
  </si>
  <si>
    <t xml:space="preserve">     Total Net Transmission Plant</t>
  </si>
  <si>
    <t>Sum Lines 2 thru 5</t>
  </si>
  <si>
    <t>Rate Base Additions:</t>
  </si>
  <si>
    <t>Plant Held for Future Use</t>
  </si>
  <si>
    <t>Page 3.3 and Page 4.3, Line 9</t>
  </si>
  <si>
    <t>Transmission Plant Abandoned Project Cost</t>
  </si>
  <si>
    <t>Page 3.3 and Page 4.3, Line 10</t>
  </si>
  <si>
    <t xml:space="preserve">     Total Rate Base Additions</t>
  </si>
  <si>
    <t>Line 9 + Line 10</t>
  </si>
  <si>
    <t>Rate Base Reductions:</t>
  </si>
  <si>
    <t>Transmission Related Accum. Def. Inc. Taxes</t>
  </si>
  <si>
    <t>Page 3.3 and Page 4.3, Line 14</t>
  </si>
  <si>
    <t>Transmission Plant Abandoned Accum. Def. Inc. Taxes</t>
  </si>
  <si>
    <t>Page 3.3 and Page 4.3, Line 15</t>
  </si>
  <si>
    <t xml:space="preserve">     Total Rate Base Reductions</t>
  </si>
  <si>
    <t>Line 14 + Line 15</t>
  </si>
  <si>
    <t>Working Capital:</t>
  </si>
  <si>
    <t xml:space="preserve">Transmission Related Material and Supplies </t>
  </si>
  <si>
    <t>Page 3.3 and Page 4.3, Line 19</t>
  </si>
  <si>
    <t>Transmission Related Prepayments</t>
  </si>
  <si>
    <t>Page 3.3 and Page 4.3, Line 20</t>
  </si>
  <si>
    <t>Transmission Related Cash Working Capital</t>
  </si>
  <si>
    <t>Page 3.3 and Page 4.3, Line 21</t>
  </si>
  <si>
    <t xml:space="preserve">   Total Working Capital</t>
  </si>
  <si>
    <t>Sum Lines 19 thru 21</t>
  </si>
  <si>
    <t>Other Regulatory Assets/Liabilities</t>
  </si>
  <si>
    <t>Page 3.3 and Page 4.3, Line 24</t>
  </si>
  <si>
    <t>Unfunded Reserves</t>
  </si>
  <si>
    <t>Page 3.3 and Page 4.3, Line 25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</si>
  <si>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</si>
  <si>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</si>
  <si>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</si>
  <si>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Net Incentive Transmission Plant</t>
  </si>
  <si>
    <t>Page 3.3 and Page 4.3, Line 30</t>
  </si>
  <si>
    <t xml:space="preserve">Incentive Transmission Plant Accum. Def. Income Taxes </t>
  </si>
  <si>
    <t>Page 3.3 and Page 4.3, Line 31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</si>
  <si>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</si>
  <si>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</si>
  <si>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1</t>
    </r>
  </si>
  <si>
    <t>Incentive Transmission Plant Abandoned Project Cost</t>
  </si>
  <si>
    <t>Page 3.3 and Page 4.3, Line 35</t>
  </si>
  <si>
    <t>Incentive Transmission Plant Abandoned Project Cost Accum. Def. Inc. Taxes</t>
  </si>
  <si>
    <t>Page 3.3 and Page 4.3, Line 36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</si>
  <si>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</si>
  <si>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</si>
  <si>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</si>
  <si>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3.3 and Page 4.3, Line 39</t>
  </si>
  <si>
    <t>A. Transmission Plant</t>
  </si>
  <si>
    <t>Gross Transmission Plant:</t>
  </si>
  <si>
    <t>Page 3.4 and Page 4.4, Line 2</t>
  </si>
  <si>
    <t>Page 3.4 and Page 4.4, Line 3</t>
  </si>
  <si>
    <t>Page 3.4 and Page 4.4, Line 4</t>
  </si>
  <si>
    <t>Page 3.4 and Page 4.4, Line 5</t>
  </si>
  <si>
    <t xml:space="preserve">     Total Gross Transmission Plant</t>
  </si>
  <si>
    <t>Transmission Related Depreciation Reserve:</t>
  </si>
  <si>
    <t xml:space="preserve">Transmission Plant Depreciation Reserve </t>
  </si>
  <si>
    <t>Page 3.4 and Page 4.4, Line 9</t>
  </si>
  <si>
    <t>Transmission Related Electric Misc. Intangible Plant Amortization Reserve</t>
  </si>
  <si>
    <t>Page 3.4 and Page 4.4, Line 10</t>
  </si>
  <si>
    <t>Transmission Related General Plant Depr Reserve</t>
  </si>
  <si>
    <t>Page 3.4 and Page 4.4, Line 11</t>
  </si>
  <si>
    <t>Transmission Related Common Plant Depr Reserve</t>
  </si>
  <si>
    <t>Page 3.4 and Page 4.4, Line 12</t>
  </si>
  <si>
    <t xml:space="preserve">     Total Transmission Related Depreciation Reserve</t>
  </si>
  <si>
    <t>Sum Lines 9 thru 12</t>
  </si>
  <si>
    <t>Page 3.4 and Page 4.4, Line 16</t>
  </si>
  <si>
    <t>Page 3.4 and Page 4.4, Line 17</t>
  </si>
  <si>
    <t>Page 3.4 and Page 4.4, Line 18</t>
  </si>
  <si>
    <t>Page 3.4 and Page 4.4, Line 19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</si>
  <si>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</si>
  <si>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</si>
  <si>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</si>
  <si>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Page 3.4 and Page 4.4, Line 23</t>
  </si>
  <si>
    <t>Incentive Transmission Plant Depreciation Reserve</t>
  </si>
  <si>
    <t>Page 3.4 and Page 4.4, Line 24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</si>
  <si>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</si>
  <si>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</si>
  <si>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</si>
  <si>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SAN DIEGO GAS &amp; ELECTRIC COMPANY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</si>
  <si>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</si>
  <si>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</si>
  <si>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For the Base Period &amp; True-Up Period Ending December 31, 2020</t>
  </si>
  <si>
    <t>Statement AH; Line 10</t>
  </si>
  <si>
    <t>Page 6;  Rev. Stmnt AH; Line 32</t>
  </si>
  <si>
    <t>Negative of Statement AH; Line 17</t>
  </si>
  <si>
    <t>Statement AJ; Line 17</t>
  </si>
  <si>
    <t>Statement AJ; Line 23</t>
  </si>
  <si>
    <t>Statement AK; Line 13</t>
  </si>
  <si>
    <t>Statement AK; Line 20</t>
  </si>
  <si>
    <t>Page 11; Rev. Stmnt AV; Page 3; Line 31</t>
  </si>
  <si>
    <t>Page 3; Line 27</t>
  </si>
  <si>
    <t>Statement AV; Page 3; Line 64</t>
  </si>
  <si>
    <t>Page 3; Line 27 - Line 10</t>
  </si>
  <si>
    <t>Statement AQ; Line 3</t>
  </si>
  <si>
    <t>Page 13; Rev. Stmnt AU; Line 13</t>
  </si>
  <si>
    <t>Statement Misc; Line 1</t>
  </si>
  <si>
    <t>Statement AU; Line 15</t>
  </si>
  <si>
    <t>Statement AJ; Line 19</t>
  </si>
  <si>
    <t>Statement AV; Page 4; Line 31</t>
  </si>
  <si>
    <t>Page 3; Line 32</t>
  </si>
  <si>
    <t>Statement AV; Page 4; Line 64</t>
  </si>
  <si>
    <t>Statement AJ; Line 21</t>
  </si>
  <si>
    <t>Page 3; Line 37</t>
  </si>
  <si>
    <t>Page 11; Rev.  Stmnt AV; Page 3; Line 31</t>
  </si>
  <si>
    <t>Shall be Zero</t>
  </si>
  <si>
    <t>Page 3; Line 39</t>
  </si>
  <si>
    <t>A. Transmission Rate Base:</t>
  </si>
  <si>
    <t>Page 4; Line 16</t>
  </si>
  <si>
    <t>Page 4; Line 17</t>
  </si>
  <si>
    <t>Page 4; Line 18</t>
  </si>
  <si>
    <t>Page 4; Line 19</t>
  </si>
  <si>
    <t>Transmission Plant Held for Future Use</t>
  </si>
  <si>
    <t>Statement AG; Line 1</t>
  </si>
  <si>
    <t>Statement Misc; Line 3</t>
  </si>
  <si>
    <t>Page 5; Rev. Stmnt AF; Line 7</t>
  </si>
  <si>
    <t>Statement AF; Line 11</t>
  </si>
  <si>
    <t xml:space="preserve">Transmission Related Materials and Supplies </t>
  </si>
  <si>
    <t>Statement AL; Line 5</t>
  </si>
  <si>
    <t>Statement AL; Line 9</t>
  </si>
  <si>
    <t>Page 7; Rev. Stmnt AL; Line 19</t>
  </si>
  <si>
    <t xml:space="preserve">     Total Working Capital</t>
  </si>
  <si>
    <t>Statement Misc; Line 5</t>
  </si>
  <si>
    <t>Page 10, Rev. Stmnt Misc; Line 7</t>
  </si>
  <si>
    <t>Page 4; Line 25</t>
  </si>
  <si>
    <t>Statement AF; Line 9</t>
  </si>
  <si>
    <t>Statement Misc; Line 9</t>
  </si>
  <si>
    <t>Statement AF; Line 13</t>
  </si>
  <si>
    <t>Statement AM; Line 1</t>
  </si>
  <si>
    <t>A. Transmission Plant:</t>
  </si>
  <si>
    <t>Statement AD; Line 11</t>
  </si>
  <si>
    <t>Transmission Related Electric Misc. Intangible Plant</t>
  </si>
  <si>
    <t>Statement AD; Line 27</t>
  </si>
  <si>
    <t>Statement AD; Line 29</t>
  </si>
  <si>
    <t>Statement AD; Line 31</t>
  </si>
  <si>
    <t>Statement AE; Line 1</t>
  </si>
  <si>
    <t>Statement AE; Line 11</t>
  </si>
  <si>
    <t>Statement AE; Line 13</t>
  </si>
  <si>
    <t>Statement AE; Line 15</t>
  </si>
  <si>
    <t>Line 2 Minus Line 9</t>
  </si>
  <si>
    <t>Line 3 Minus Line 10</t>
  </si>
  <si>
    <t>Line 4 Minus Line 11</t>
  </si>
  <si>
    <t>Line 5 Minus Line 12</t>
  </si>
  <si>
    <t>Statement AD; Line 13</t>
  </si>
  <si>
    <t>Statement AE; Line 19</t>
  </si>
  <si>
    <t>Source: TO5  Cycle 4; ER22-527</t>
  </si>
  <si>
    <t>Statement AH; Line 9</t>
  </si>
  <si>
    <t>Statement AH; Line 31</t>
  </si>
  <si>
    <t>Negative of Statement AH; Line 16</t>
  </si>
  <si>
    <t>Statement AV; Page 3; Line 31</t>
  </si>
  <si>
    <t>Statement AU; Line 13</t>
  </si>
  <si>
    <t>Statement AF; Line 7</t>
  </si>
  <si>
    <t>Statement AL; Line 19</t>
  </si>
  <si>
    <t>Statement Misc; Line 7</t>
  </si>
  <si>
    <t>Statement AF</t>
  </si>
  <si>
    <t>Deferred Credits</t>
  </si>
  <si>
    <t>Base Period &amp; True-Up Period 12 - Months Ending December 31, 2020</t>
  </si>
  <si>
    <t>FERC Form 1</t>
  </si>
  <si>
    <t>(a)</t>
  </si>
  <si>
    <t>(b)</t>
  </si>
  <si>
    <t>(c) = [(a)+(b)]/2</t>
  </si>
  <si>
    <t>Page; Line; Col.</t>
  </si>
  <si>
    <t>Average Balance</t>
  </si>
  <si>
    <t>FERC Account 190</t>
  </si>
  <si>
    <t>450.1; Sch. Pg. 234; 2; b and c</t>
  </si>
  <si>
    <t>AF-1 and AF-2; Line 7; Col. d</t>
  </si>
  <si>
    <t>FERC Account 282</t>
  </si>
  <si>
    <t>450.1; Sch. Pg. 274; 2; b and k</t>
  </si>
  <si>
    <t>Page 5.2 &amp; 5.3; Rev. AF-1 and AF-2; Line 14; Col. d</t>
  </si>
  <si>
    <t>FERC Account 283</t>
  </si>
  <si>
    <t>450.1; Sch. Pg. 276; 9; b and k</t>
  </si>
  <si>
    <t>AF-1 and AF-2; Line 22; Col. d</t>
  </si>
  <si>
    <r>
      <t xml:space="preserve">     Total Transmission Related ADIT</t>
    </r>
    <r>
      <rPr>
        <b/>
        <vertAlign val="superscript"/>
        <sz val="12"/>
        <rFont val="Times New Roman"/>
        <family val="1"/>
      </rPr>
      <t xml:space="preserve"> 1, 2</t>
    </r>
  </si>
  <si>
    <t>Incentive Transmission Plant ADIT</t>
  </si>
  <si>
    <t>AF-3; Line 1; Col. c</t>
  </si>
  <si>
    <t>Transmission Plant Abandoned ADIT</t>
  </si>
  <si>
    <t>AF-3; Line 3, Col. c</t>
  </si>
  <si>
    <t>Incentive Transmission Plant Abandoned Project Cost ADIT</t>
  </si>
  <si>
    <t>AF-3; Line 5; Col. c</t>
  </si>
  <si>
    <t>Items in BOLD have changed due to the removal of CIAC related ADIT per TO5 Cycle 4 Letter Order determination in ER22-527 as compared to the original TO5 Cycle 4 filing.</t>
  </si>
  <si>
    <t>The allocated general and common accumulated deferred income taxes are included in the total transmission related accumulated deferred income taxes. See FERC Form 1; Page 450.1; Sch. Pg. 274;</t>
  </si>
  <si>
    <t>Line 2; Col. b and k.</t>
  </si>
  <si>
    <t xml:space="preserve">Represents Transmission Related Net ADIT (Liab)/Asset and Net (Excess)/Deficient ADIT. </t>
  </si>
  <si>
    <t>450.1; Sch. Pg. 234; 8; b and c</t>
  </si>
  <si>
    <t>AF-1 and AF-2; Line 14; Col. d</t>
  </si>
  <si>
    <t>450.1; Sch. Pg. 276; 3; b and k</t>
  </si>
  <si>
    <r>
      <t xml:space="preserve">     Total Transmission Related ADIT</t>
    </r>
    <r>
      <rPr>
        <b/>
        <vertAlign val="superscript"/>
        <sz val="12"/>
        <rFont val="Times New Roman"/>
        <family val="1"/>
      </rPr>
      <t xml:space="preserve"> 1</t>
    </r>
  </si>
  <si>
    <t xml:space="preserve">STATEMENT AF </t>
  </si>
  <si>
    <t>ACCUMULATED DEFERRED INCOME TAXES - ELECTRIC TRANSMISSION</t>
  </si>
  <si>
    <t>Base Period 12 Months Ending December 31, 2019</t>
  </si>
  <si>
    <t>(c)</t>
  </si>
  <si>
    <t>(d) = [Sum (a) thru (c)]</t>
  </si>
  <si>
    <t xml:space="preserve">Remeasured </t>
  </si>
  <si>
    <t>Excess Reserve</t>
  </si>
  <si>
    <t>Amount</t>
  </si>
  <si>
    <t>Protected</t>
  </si>
  <si>
    <t>Unprotected</t>
  </si>
  <si>
    <t>Total</t>
  </si>
  <si>
    <t>Account 190</t>
  </si>
  <si>
    <t xml:space="preserve">   Compensation Related Items</t>
  </si>
  <si>
    <t>2020 Form 1; Page 450.1; Sch. Pg. 234; Line 8; Col. b</t>
  </si>
  <si>
    <t xml:space="preserve">   Post Retirement Benefits</t>
  </si>
  <si>
    <t xml:space="preserve">   Net Operating Loss</t>
  </si>
  <si>
    <t xml:space="preserve">     Total of Account 190</t>
  </si>
  <si>
    <t>Sum Lines 2 thru 6</t>
  </si>
  <si>
    <t>Account 282</t>
  </si>
  <si>
    <t xml:space="preserve">   Accumulated Depreciation Timing Differences</t>
  </si>
  <si>
    <t>SDG&amp;E Records</t>
  </si>
  <si>
    <t xml:space="preserve">     Total of Account 282</t>
  </si>
  <si>
    <t>Sum Lines 10 thru 13</t>
  </si>
  <si>
    <t>Account 283</t>
  </si>
  <si>
    <t xml:space="preserve">   Ad Valorem Taxes</t>
  </si>
  <si>
    <t>2020 Form 1; Page 450.1; Sch. Pg. 276; Line 3; Col. b</t>
  </si>
  <si>
    <t xml:space="preserve">     Total of Account 283</t>
  </si>
  <si>
    <t>Sum Lines 17 thru 21</t>
  </si>
  <si>
    <t>2020 Form 1; Page 450.1; Sch. Pg. 274; Line 2; Col. b</t>
  </si>
  <si>
    <t>Base Period 12 Months Ending December 31, 2020</t>
  </si>
  <si>
    <t>2020 Form 1; Page 450.1; Sch. Pg. 234; Line 8; Col. c</t>
  </si>
  <si>
    <t>2020 Form 1; Page 450.1; Sch. Pg. 276; Line 3; Col. k</t>
  </si>
  <si>
    <t>2020 Form 1; Page 450.1; Sch. Pg. 274; Line 2; Col. k</t>
  </si>
  <si>
    <t>Statement AH</t>
  </si>
  <si>
    <t>Operation and Maintenance Expenses</t>
  </si>
  <si>
    <t>Derivation of Transmission Operation and Maintenance Expense:</t>
  </si>
  <si>
    <t>Total Transmission O&amp;M Expense</t>
  </si>
  <si>
    <t>321; 112; b</t>
  </si>
  <si>
    <t>AH-1; Line 33; Col. a</t>
  </si>
  <si>
    <t>Adjustments to Per Book Transmission O&amp;M Expense: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</si>
  <si>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Scheduling, System Control &amp; Dispatch Services</t>
    </r>
  </si>
  <si>
    <t>Negative of AH-1; Line 40;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</si>
  <si>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Reliability, Planning &amp; Standards Development</t>
    </r>
  </si>
  <si>
    <t>Negative of AH-1; Line 41;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</si>
  <si>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Transmission of Electricity by Others</t>
    </r>
  </si>
  <si>
    <t>Negative of AH-1; Line 43;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</si>
  <si>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 xml:space="preserve">Miscellaneous Transmission Expense </t>
    </r>
  </si>
  <si>
    <t>Negative of AH-1; Line 50; Col. b</t>
  </si>
  <si>
    <t xml:space="preserve">   Other Transmission O&amp;M Exclusions </t>
  </si>
  <si>
    <t>Negative of AH-1; Sum Lines Line 39, 42 &amp; 51; Col. b</t>
  </si>
  <si>
    <t xml:space="preserve">     Total Adjusted Transmission O&amp;M Expenses </t>
  </si>
  <si>
    <t>Sum Lines 2 thru 8</t>
  </si>
  <si>
    <t>Derivation of Administrative and General Expense:</t>
  </si>
  <si>
    <t>Total Administrative &amp; General Expense</t>
  </si>
  <si>
    <t>323; 197; b</t>
  </si>
  <si>
    <t>AH-2; Line 17; Col. a</t>
  </si>
  <si>
    <t>Adjustments to Per Book A&amp;G Expense:</t>
  </si>
  <si>
    <t xml:space="preserve">   Abandoned Projects</t>
  </si>
  <si>
    <t>Negative of AH-2; Line 48; Col. a</t>
  </si>
  <si>
    <t xml:space="preserve">   CPUC energy efficiency programs</t>
  </si>
  <si>
    <t xml:space="preserve">Negative of AH-2; Sum Lines 21, 24, 28, 34, 37, 42, 51; Col. a </t>
  </si>
  <si>
    <r>
      <t xml:space="preserve">   CPUC Intervenor Funding Expense - Transmission </t>
    </r>
    <r>
      <rPr>
        <b/>
        <vertAlign val="superscript"/>
        <sz val="12"/>
        <rFont val="Times New Roman"/>
        <family val="1"/>
      </rPr>
      <t>1</t>
    </r>
  </si>
  <si>
    <t>Negative of AH-2; Line 43; Col. a</t>
  </si>
  <si>
    <t xml:space="preserve">   CPUC Intervenor Funding Expense - Distribution</t>
  </si>
  <si>
    <t>Negative of AH-2; Line 45; Col. a</t>
  </si>
  <si>
    <t xml:space="preserve">   CPUC reimbursement fees</t>
  </si>
  <si>
    <t>Negative of AH-2; Line 41; Col. a</t>
  </si>
  <si>
    <t xml:space="preserve">   Injuries &amp; Damages</t>
  </si>
  <si>
    <t>Not Applicable to 2020 Base Period</t>
  </si>
  <si>
    <t xml:space="preserve">   General Advertising Expenses </t>
  </si>
  <si>
    <t>Negative of AH-2; Line 47; Col. b</t>
  </si>
  <si>
    <t xml:space="preserve">   Franchise Requirements</t>
  </si>
  <si>
    <t>Negative of AH-2; Line 40; Col. b</t>
  </si>
  <si>
    <t xml:space="preserve">   Hazardous substances - Hazardous Substance Cleanup Cost Account</t>
  </si>
  <si>
    <t>Negative of AH-2; Line 52; Col. a</t>
  </si>
  <si>
    <t xml:space="preserve">   Litigation expenses - Litigation Cost Memorandum Account (LCMA)</t>
  </si>
  <si>
    <t xml:space="preserve">Negative of AH-2; Lines 43; Col. a   </t>
  </si>
  <si>
    <t xml:space="preserve">   Other A&amp;G Exclusions</t>
  </si>
  <si>
    <t>Negative of AH-2; Sum Lines 22,23,25,26,27,30,31,32,33,35,36,38,39,46,49,50; Col. a + Line 27; Col. b</t>
  </si>
  <si>
    <t xml:space="preserve">   Other Cost Adjustments</t>
  </si>
  <si>
    <t>Page 6.1; Rev. AH-2; Line 16; Col. d</t>
  </si>
  <si>
    <t xml:space="preserve">     Total Adjusted A&amp;G Expenses Including Property Insurance</t>
  </si>
  <si>
    <t>Sum Lines 12 thru 25</t>
  </si>
  <si>
    <t>Less: Property Insurance (Due to different allocation factor)</t>
  </si>
  <si>
    <t>Negative of AH-2; Line 5; Col. c</t>
  </si>
  <si>
    <t>Total Adjusted A&amp;G Expenses Excluding Property Insurance</t>
  </si>
  <si>
    <t>Line 26 + Line 27</t>
  </si>
  <si>
    <t>Transmission Wages and Salaries Allocation Factor</t>
  </si>
  <si>
    <t>Statement AI; Line 15</t>
  </si>
  <si>
    <t>Transmission Related Administrative &amp; General Expenses</t>
  </si>
  <si>
    <t>Line 28 x Line 29</t>
  </si>
  <si>
    <t>Property Insurance Allocated to Transmission, General, and Common Plant</t>
  </si>
  <si>
    <t>Negative of Line 27 x Line 51</t>
  </si>
  <si>
    <t xml:space="preserve">     Transmission Related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</si>
  <si>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</si>
  <si>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</si>
  <si>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</si>
  <si>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 xml:space="preserve">Transmission Related Common Plant </t>
  </si>
  <si>
    <t xml:space="preserve">     Total Transmission Related Investment in Plant</t>
  </si>
  <si>
    <t>Sum Lines 35 thru 38</t>
  </si>
  <si>
    <t>Total Transmission Plant &amp; Incentive Transmission Plant</t>
  </si>
  <si>
    <t>Line 35 Above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</si>
  <si>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</si>
  <si>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</si>
  <si>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</si>
  <si>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</si>
  <si>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</si>
  <si>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</si>
  <si>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</si>
  <si>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</si>
  <si>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</si>
  <si>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</si>
  <si>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</si>
  <si>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</si>
  <si>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t>Sum Lines 41 thru 48</t>
  </si>
  <si>
    <t>Transmission Property Insurance and Tax Allocation Factor</t>
  </si>
  <si>
    <t>Line 39 / Line 49</t>
  </si>
  <si>
    <t>Items in BOLD have changed due to A&amp;G adjustments as compared to the original TO5 Cycle 4 filing per ER22-527.</t>
  </si>
  <si>
    <t>The CPUC Intervenor Expense for Transmission shall be treated as an exclusion in A&amp;G but added back to the Retail BTRR on BK-1; Page 1; Line 5. This expense will be</t>
  </si>
  <si>
    <t>excluded in Wholesale BTRR on BK-2; Line 3.</t>
  </si>
  <si>
    <t>Administrative &amp; General Expenses</t>
  </si>
  <si>
    <t xml:space="preserve"> 12 Months Ending December 31, 2020</t>
  </si>
  <si>
    <t xml:space="preserve">(c) = (a) - (b) </t>
  </si>
  <si>
    <r>
      <t>(d)</t>
    </r>
    <r>
      <rPr>
        <b/>
        <vertAlign val="superscript"/>
        <sz val="12"/>
        <rFont val="Times New Roman"/>
        <family val="1"/>
      </rPr>
      <t xml:space="preserve"> </t>
    </r>
  </si>
  <si>
    <t>(e) = (c) + (d)</t>
  </si>
  <si>
    <t>FERC</t>
  </si>
  <si>
    <t>Excluded</t>
  </si>
  <si>
    <t xml:space="preserve">Add / (Deduct) </t>
  </si>
  <si>
    <t>Revised</t>
  </si>
  <si>
    <t>Acct</t>
  </si>
  <si>
    <t>Per Books</t>
  </si>
  <si>
    <t>Expenses</t>
  </si>
  <si>
    <t>Adjusted</t>
  </si>
  <si>
    <t>A&amp;G Cost Adj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</si>
  <si>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</si>
  <si>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</si>
  <si>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</si>
  <si>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</si>
  <si>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</si>
  <si>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</si>
  <si>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</si>
  <si>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</si>
  <si>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</si>
  <si>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</si>
  <si>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</si>
  <si>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</si>
  <si>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</si>
  <si>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</si>
  <si>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r>
      <t>Employee Pensions &amp; Benefits</t>
    </r>
    <r>
      <rPr>
        <b/>
        <vertAlign val="superscript"/>
        <sz val="12"/>
        <rFont val="Times New Roman"/>
        <family val="1"/>
      </rPr>
      <t xml:space="preserve"> 1</t>
    </r>
  </si>
  <si>
    <t>Form 1; Page 323; Line 187</t>
  </si>
  <si>
    <t xml:space="preserve">Franchise Requirements </t>
  </si>
  <si>
    <t>Form 1; Page 323; Line 188</t>
  </si>
  <si>
    <r>
      <t xml:space="preserve">Regulatory Commission Expenses </t>
    </r>
    <r>
      <rPr>
        <vertAlign val="superscript"/>
        <sz val="12"/>
        <rFont val="Times New Roman"/>
        <family val="1"/>
      </rPr>
      <t xml:space="preserve"> </t>
    </r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</si>
  <si>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</si>
  <si>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</si>
  <si>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</si>
  <si>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</si>
  <si>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</si>
  <si>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</si>
  <si>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</si>
  <si>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Rents</t>
  </si>
  <si>
    <t>Form 1; Page 323; Line 193</t>
  </si>
  <si>
    <t>Maintenance of General Plant</t>
  </si>
  <si>
    <t>Form 1; Page 323; Line 196</t>
  </si>
  <si>
    <t>Total Administrative &amp; General Expenses</t>
  </si>
  <si>
    <t>Excluded Expenses:</t>
  </si>
  <si>
    <t>CPUC energy efficiency programs</t>
  </si>
  <si>
    <t>CEMA Costs</t>
  </si>
  <si>
    <t>WMPMA Costs</t>
  </si>
  <si>
    <r>
      <t xml:space="preserve">Other Exclusion - 3P Adjustment </t>
    </r>
    <r>
      <rPr>
        <b/>
        <vertAlign val="superscript"/>
        <sz val="12"/>
        <rFont val="Times New Roman"/>
        <family val="1"/>
      </rPr>
      <t>2</t>
    </r>
  </si>
  <si>
    <r>
      <t xml:space="preserve">Other Exclusion - FERC Audit Adjustment (Finding #3) </t>
    </r>
    <r>
      <rPr>
        <b/>
        <vertAlign val="superscript"/>
        <sz val="12"/>
        <rFont val="Times New Roman"/>
        <family val="1"/>
      </rPr>
      <t>3</t>
    </r>
  </si>
  <si>
    <r>
      <t xml:space="preserve">Other Exclusion - FERC Audit Adjustment (Finding #8) </t>
    </r>
    <r>
      <rPr>
        <b/>
        <vertAlign val="superscript"/>
        <sz val="12"/>
        <rFont val="Times New Roman"/>
        <family val="1"/>
      </rPr>
      <t>3</t>
    </r>
  </si>
  <si>
    <t>Customer Information System</t>
  </si>
  <si>
    <t xml:space="preserve">CPUC reimbursement fees  </t>
  </si>
  <si>
    <t>Litigation expenses - Litigation Cost Memorandum Account (LCMA)</t>
  </si>
  <si>
    <t>CPUC Intervenor Funding Expense - Distribution</t>
  </si>
  <si>
    <r>
      <t xml:space="preserve">Other Exclusion - FERC Audit Adjustment (Finding #5) </t>
    </r>
    <r>
      <rPr>
        <b/>
        <vertAlign val="superscript"/>
        <sz val="12"/>
        <rFont val="Times New Roman"/>
        <family val="1"/>
      </rPr>
      <t>3</t>
    </r>
  </si>
  <si>
    <t>Abandoned Projects</t>
  </si>
  <si>
    <r>
      <t xml:space="preserve">Other Exclusion - FERC Audit Adjustment (Finding #7) </t>
    </r>
    <r>
      <rPr>
        <b/>
        <vertAlign val="superscript"/>
        <sz val="12"/>
        <rFont val="Times New Roman"/>
        <family val="1"/>
      </rPr>
      <t>3</t>
    </r>
  </si>
  <si>
    <r>
      <t xml:space="preserve">2019 Abandoned Projects Correction </t>
    </r>
    <r>
      <rPr>
        <b/>
        <vertAlign val="superscript"/>
        <sz val="12"/>
        <rFont val="Times New Roman"/>
        <family val="1"/>
      </rPr>
      <t>4</t>
    </r>
  </si>
  <si>
    <t xml:space="preserve">CPUC energy efficiency programs  </t>
  </si>
  <si>
    <t xml:space="preserve">Hazardous Substances-Hazardous Substance Cleanup Cost Account </t>
  </si>
  <si>
    <t>Total Excluded Expenses</t>
  </si>
  <si>
    <t>FERC Acct 926, Employee Pensions &amp; Benefits, does not include any PBOP costs for base period 2020.</t>
  </si>
  <si>
    <t>Represents reclassification of 2018 and 2019 3P (People, Process, Priorities) project costs from O&amp;M FERC Accounts 560, 566, 580, and 588 to A&amp;G FERC</t>
  </si>
  <si>
    <t>Account 923, in 2020. Entries are excluded here and reflected as an "Other BTRR Adjustment" in Cycle 4 (see separate Cost Adjustment workpapers).</t>
  </si>
  <si>
    <t>Adjusting journal entries related to prior year O&amp;M and A&amp;G costs (2016-2019) that resulted from the 2020 FERC Audit are excluded from TO5 Cycle 4.</t>
  </si>
  <si>
    <t>The impacts of the adjusting entries is reflected in the per book amount and were excluded from the adjusted 2020 total. The impact of FERC Audit</t>
  </si>
  <si>
    <t>adjustments and corresponding refunds will be accounted for in a separate refund analysis filed with FERC.</t>
  </si>
  <si>
    <t>Represents reclassification of 2019 abandoned project costs from A&amp;G FERC Account 930.2 to FERC Account 426.5. Entry is excluded here and reflected as</t>
  </si>
  <si>
    <t>an "Other BTRR Adjustment" in Cycle 4 (see separate Cost Adjustment workpapers).</t>
  </si>
  <si>
    <t>Removal of EPRI dues from TO5 Cycle 4 and going forward per response to Six Cities protest.</t>
  </si>
  <si>
    <t>Add back of credit balance included in FERC account 930.2 related to electric vehicles or clean transportation initiatives which is a balancing account.</t>
  </si>
  <si>
    <t>Statement AL</t>
  </si>
  <si>
    <t>Working Capital</t>
  </si>
  <si>
    <t>Working</t>
  </si>
  <si>
    <t>13-Months</t>
  </si>
  <si>
    <t>Cash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</si>
  <si>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1, 2</t>
    </r>
  </si>
  <si>
    <t>450.1; Sch. Pg. 227; 12; c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</si>
  <si>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</si>
  <si>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</si>
  <si>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</si>
  <si>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</si>
  <si>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</si>
  <si>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</si>
  <si>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</si>
  <si>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</si>
  <si>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</si>
  <si>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</si>
  <si>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</si>
  <si>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</si>
  <si>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</si>
  <si>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Page 6; Rev. Stmnt AH; Line 32</t>
  </si>
  <si>
    <t xml:space="preserve">   CPUC Intervenor Funding Expense - Transmission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</si>
  <si>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</si>
  <si>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</si>
  <si>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</si>
  <si>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</si>
  <si>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</si>
  <si>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</si>
  <si>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D. Adj. to Back Out CPUC Intervenor Funding Exp. Embedded in Retail Working Cash:</t>
  </si>
  <si>
    <t>Line 14 Above</t>
  </si>
  <si>
    <t>Line 17 Above</t>
  </si>
  <si>
    <t>Adj. to Transmission Related Cash Working Capital - Wholesale Customers</t>
  </si>
  <si>
    <t>Line 22 x Line 24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</si>
  <si>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ROE:</t>
    </r>
  </si>
  <si>
    <r>
      <t xml:space="preserve">     CPUC Intervenor Funding Expense Revenue Adj. - Base ROE </t>
    </r>
    <r>
      <rPr>
        <b/>
        <vertAlign val="superscript"/>
        <sz val="12"/>
        <rFont val="Times New Roman"/>
        <family val="1"/>
      </rPr>
      <t>3</t>
    </r>
  </si>
  <si>
    <t>Line 26 x Line 28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</si>
  <si>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Adder:</t>
    </r>
  </si>
  <si>
    <r>
      <t xml:space="preserve">     CPUC Intervenor Funding Expense Revenue Adj. - CAISO Participation ROE Adder </t>
    </r>
    <r>
      <rPr>
        <b/>
        <vertAlign val="superscript"/>
        <sz val="12"/>
        <rFont val="Times New Roman"/>
        <family val="1"/>
      </rPr>
      <t>3</t>
    </r>
  </si>
  <si>
    <t>Line 26 x Line 32</t>
  </si>
  <si>
    <t>The balances for Materials &amp; Supplies and Prepayments are derived based on a 13-month average balance.</t>
  </si>
  <si>
    <t>The 13-Month Avg. for Electric Materials &amp; Supplies included on FERC Form 1; Page 450.1; Sch. Pg. 227; Line 12; Col c is incorrect. During the preparation of the TO5 Cycle 4 filing an error</t>
  </si>
  <si>
    <t>was identified in the allocation used to prepare the footnote. The 13-Month Avg. included in TO5 Cycle 4 is the correct amount.</t>
  </si>
  <si>
    <t>Working Capital Adjustment to show that Wholesale customers do not pay for CPUC Intervenor Funding Expense.</t>
  </si>
  <si>
    <t>Statement AR</t>
  </si>
  <si>
    <t>Federal Tax Adjustments</t>
  </si>
  <si>
    <r>
      <t xml:space="preserve">Transmission Related Amortization of Investment Tax Credits </t>
    </r>
    <r>
      <rPr>
        <b/>
        <vertAlign val="superscript"/>
        <sz val="12"/>
        <rFont val="Times New Roman"/>
        <family val="1"/>
      </rPr>
      <t>1</t>
    </r>
  </si>
  <si>
    <t>450.1; Sch. Pg. 266; 8; f</t>
  </si>
  <si>
    <t>Transmission Related Amortization of (Excess)/Deficient Deferred Taxes</t>
  </si>
  <si>
    <t xml:space="preserve">   FERC Account 190</t>
  </si>
  <si>
    <t>AR-1; Line 7; Col. c</t>
  </si>
  <si>
    <t xml:space="preserve">   FERC Account 282</t>
  </si>
  <si>
    <t>Page 8.2; Rev. AR-1; Line 14; Col. c</t>
  </si>
  <si>
    <t xml:space="preserve">   FERC Account 283</t>
  </si>
  <si>
    <t>AR-1; Line 22; Col. c</t>
  </si>
  <si>
    <t>Total Transmission Related Amortization of (Excess)/Deficient Deferred Taxes</t>
  </si>
  <si>
    <t>Sum Lines 4 thru 6</t>
  </si>
  <si>
    <t xml:space="preserve">     Total Federal Tax Adjustments</t>
  </si>
  <si>
    <t>Line 1 + Line 7</t>
  </si>
  <si>
    <t>Input value from FERC Form 1 should be entered as a negative.</t>
  </si>
  <si>
    <t>Transmission Related Amortization of Excess Deferred Tax Liabilities</t>
  </si>
  <si>
    <t>AR-1; Line 14; Col. c</t>
  </si>
  <si>
    <t>Total Transmission Related Amortization of Excess Deferred Tax Liabilities</t>
  </si>
  <si>
    <t>STATEMENT AR</t>
  </si>
  <si>
    <t>AMORTIZATION OF TRANSMISSION RELATED EXCESS DEFERRED TAX LIABILITIES</t>
  </si>
  <si>
    <t>(c) = [(a) + (b)]</t>
  </si>
  <si>
    <r>
      <t xml:space="preserve">   Net Operating Loss </t>
    </r>
    <r>
      <rPr>
        <b/>
        <vertAlign val="superscript"/>
        <sz val="12"/>
        <rFont val="Times New Roman"/>
        <family val="1"/>
      </rPr>
      <t>1</t>
    </r>
  </si>
  <si>
    <t>The total year-end Account 190 electric balance reported on FERC Form 1; Page 450.1; Sch. Pg. 234; Line 2; Col c. is $1,981,586. The amortization of the Net Operating Loss of $1,528,518</t>
  </si>
  <si>
    <t>shown in line 4 excludes the portion of NOL attributable to Citizens in the amount of $78,773 which is recovered separately in the Appendix X Citizens Sunrise rate filing.</t>
  </si>
  <si>
    <t>Form 1; Page 450.1; Sch. Pg 274; Line 2; Col k</t>
  </si>
  <si>
    <t>FERC Order 864 Worksheet - Order 864-1</t>
  </si>
  <si>
    <t>(Excess)/Deficient Accumulated Deferred Income Taxes ("ADIT")</t>
  </si>
  <si>
    <t>Base Period &amp; True-Up Period Ending December 31, 2019</t>
  </si>
  <si>
    <t>Year: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</si>
  <si>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</si>
  <si>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</si>
  <si>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</si>
  <si>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</si>
  <si>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</si>
  <si>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</si>
  <si>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</si>
  <si>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</si>
  <si>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</si>
  <si>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</si>
  <si>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</si>
  <si>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Col. 12</t>
  </si>
  <si>
    <r>
      <rPr>
        <sz val="10"/>
        <color theme="1"/>
        <rFont val="Calibri"/>
        <family val="2"/>
      </rPr>
      <t>Ʃ</t>
    </r>
    <r>
      <rPr>
        <sz val="10"/>
        <color theme="1"/>
        <rFont val="Times New Roman"/>
        <family val="1"/>
      </rPr>
      <t xml:space="preserve"> Col. 3 - Col. 8</t>
    </r>
  </si>
  <si>
    <t>= Order 864-2 Col. 8</t>
  </si>
  <si>
    <t>= Col. 9 + Col. 10</t>
  </si>
  <si>
    <t>Line No.</t>
  </si>
  <si>
    <t>FERC Acct</t>
  </si>
  <si>
    <t>Beginning Deficient ADIT - Acct 182.3</t>
  </si>
  <si>
    <t>Beginning (Excess) ADIT - Acct 254</t>
  </si>
  <si>
    <t>Other Adjustments Acct 182.3</t>
  </si>
  <si>
    <t>Other Adjustments Acct 254</t>
  </si>
  <si>
    <t>ADIT Amortization Acct 410.1</t>
  </si>
  <si>
    <t>ADIT Amortization Acct 411.1</t>
  </si>
  <si>
    <t>Net (Excess)/ Deficient ADIT at Current Tax Rate</t>
  </si>
  <si>
    <t>Adjustment for New Tax Rate - Acct 182.3 / 254</t>
  </si>
  <si>
    <t>Ending Deficient ADIT - Acct 182.3</t>
  </si>
  <si>
    <t>Ending (Excess) ADIT - Acct 254</t>
  </si>
  <si>
    <t>Unprotected - Non-Property Related - (Note 1)</t>
  </si>
  <si>
    <t>Total Non-Property Related</t>
  </si>
  <si>
    <t>Sum Lines 2 thru 4</t>
  </si>
  <si>
    <t>Protected - Property Related - (Note 1)</t>
  </si>
  <si>
    <t>Sub-Total</t>
  </si>
  <si>
    <t>Sum Lines 9 thru 10</t>
  </si>
  <si>
    <t>Unprotected - Property Related - (Note 1)</t>
  </si>
  <si>
    <t xml:space="preserve">  AFUDC Debt</t>
  </si>
  <si>
    <t xml:space="preserve">  Repairs</t>
  </si>
  <si>
    <t xml:space="preserve">  Other</t>
  </si>
  <si>
    <t>Sum Lines 14 thru 16</t>
  </si>
  <si>
    <t>Cost of Removal - Book Accrual - (Note 1)</t>
  </si>
  <si>
    <t>Total Property Related</t>
  </si>
  <si>
    <t>Line 11 + Line 17 + Line 19</t>
  </si>
  <si>
    <t>Grand Total</t>
  </si>
  <si>
    <t>Line 6 + Line 21</t>
  </si>
  <si>
    <t>Notes:</t>
  </si>
  <si>
    <t>1) Amortized into rates under average rate assumption method (ARAM) over book life.</t>
  </si>
  <si>
    <t>FERC Order 864 Worksheet - Order 864-3</t>
  </si>
  <si>
    <t>Base Period &amp; True-Up Period Ending December 31, 2020</t>
  </si>
  <si>
    <t>= Order 864-4 Col. 8</t>
  </si>
  <si>
    <t xml:space="preserve">Miscellaneous Statement </t>
  </si>
  <si>
    <r>
      <t xml:space="preserve">Transmission Related Regulatory Debits/Credits </t>
    </r>
    <r>
      <rPr>
        <b/>
        <vertAlign val="superscript"/>
        <sz val="12"/>
        <rFont val="Times New Roman"/>
        <family val="1"/>
      </rPr>
      <t>1</t>
    </r>
  </si>
  <si>
    <r>
      <t xml:space="preserve">Transmission Plant Abandoned Project Cost </t>
    </r>
    <r>
      <rPr>
        <b/>
        <vertAlign val="superscript"/>
        <sz val="12"/>
        <rFont val="Times New Roman"/>
        <family val="1"/>
      </rPr>
      <t>1</t>
    </r>
  </si>
  <si>
    <r>
      <t xml:space="preserve">Other Regulatory Assets/Liabilities </t>
    </r>
    <r>
      <rPr>
        <b/>
        <vertAlign val="superscript"/>
        <sz val="12"/>
        <rFont val="Times New Roman"/>
        <family val="1"/>
      </rPr>
      <t>1</t>
    </r>
  </si>
  <si>
    <t>Page 10.2; Rev. Misc.-1; Line 9; Col. c</t>
  </si>
  <si>
    <r>
      <t xml:space="preserve">Incentive Transmission Plant Abandoned Project Cost </t>
    </r>
    <r>
      <rPr>
        <b/>
        <vertAlign val="superscript"/>
        <sz val="12"/>
        <rFont val="Times New Roman"/>
        <family val="1"/>
      </rPr>
      <t>1</t>
    </r>
  </si>
  <si>
    <t>Items in BOLD have changed due to unfunded reserves error adjustment as compared to the original TO5 Cycle 4 filing per ER22-527.</t>
  </si>
  <si>
    <t>None of the above items apply to SDG&amp;E's TO5 Cycle 1 filing. However, as one or more of these items apply, subject to FERC approval, the</t>
  </si>
  <si>
    <t>applicable data field will be filled.</t>
  </si>
  <si>
    <t>Misc.-1; Line 9; Col. c</t>
  </si>
  <si>
    <t>None of the above items apply to SDG&amp;E's TO5 Cycle 4 filing. However, as one or more of these items apply, subject to FERC approval, the</t>
  </si>
  <si>
    <t>MISCELLANEOUS STATEMENT</t>
  </si>
  <si>
    <t>UNFUNDED RESERVES</t>
  </si>
  <si>
    <t>Injuries and Damages</t>
  </si>
  <si>
    <t>Misc.-1.1; Line 4</t>
  </si>
  <si>
    <t>Workers' Compensation</t>
  </si>
  <si>
    <t>Misc.-1.1; Line 9</t>
  </si>
  <si>
    <t>Supplemental Executive Retirement Plan (SERP)</t>
  </si>
  <si>
    <t>Page 10.3; Rev. Misc.-1.1; Line 14</t>
  </si>
  <si>
    <t>Accrued Vacation</t>
  </si>
  <si>
    <t>Misc.-1.1; Line 19</t>
  </si>
  <si>
    <t xml:space="preserve">     Total Unfunded Reserves</t>
  </si>
  <si>
    <t>Sum Lines 1 thru 7</t>
  </si>
  <si>
    <t>Misc.-1.1; Line 14</t>
  </si>
  <si>
    <r>
      <t xml:space="preserve">(a) </t>
    </r>
    <r>
      <rPr>
        <b/>
        <vertAlign val="superscript"/>
        <sz val="12"/>
        <rFont val="Times New Roman"/>
        <family val="1"/>
      </rPr>
      <t>1</t>
    </r>
  </si>
  <si>
    <t xml:space="preserve">   Injuries and Damages - Acct. 228</t>
  </si>
  <si>
    <t xml:space="preserve">   Allocation Factor</t>
  </si>
  <si>
    <t>Col. (b); AD-10; Line 6 x AI; Line 15</t>
  </si>
  <si>
    <t xml:space="preserve">     Total Injuries and Damages</t>
  </si>
  <si>
    <t>Line 2 x Line 3</t>
  </si>
  <si>
    <t xml:space="preserve">   Workers' Compensation - Acct. 228</t>
  </si>
  <si>
    <t xml:space="preserve">     Total Workers' Compensation</t>
  </si>
  <si>
    <t xml:space="preserve">   SERP - Acct. 228 / Acct. 242</t>
  </si>
  <si>
    <t xml:space="preserve">     Total SERP</t>
  </si>
  <si>
    <t>Line 12 x Line 13</t>
  </si>
  <si>
    <t xml:space="preserve">   Accrued Vacation - Acct. 232</t>
  </si>
  <si>
    <t xml:space="preserve">     Total Accrued Vacation</t>
  </si>
  <si>
    <r>
      <rPr>
        <b/>
        <vertAlign val="superscript"/>
        <sz val="12"/>
        <rFont val="Times New Roman"/>
        <family val="1"/>
      </rPr>
      <t>1</t>
    </r>
  </si>
  <si>
    <t>The Prior Year's Allocation Factor shown on lines 3, 8, 13 and 18 is derived as follows based on recorded data:</t>
  </si>
  <si>
    <t>a</t>
  </si>
  <si>
    <t>Electric Ratio</t>
  </si>
  <si>
    <t>2019 FERC Form 1; Common Utility Plant and Expenses; Page 356.1</t>
  </si>
  <si>
    <t>b</t>
  </si>
  <si>
    <t>Statement AI; Line 15; TO5-Cycle 3</t>
  </si>
  <si>
    <t>c</t>
  </si>
  <si>
    <t>Line a x Line b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</si>
  <si>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</si>
  <si>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</si>
  <si>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</si>
  <si>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</si>
  <si>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</si>
  <si>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</si>
  <si>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</si>
  <si>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</si>
  <si>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</si>
  <si>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</si>
  <si>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</si>
  <si>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</si>
  <si>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</si>
  <si>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</si>
  <si>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</si>
  <si>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</si>
  <si>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</si>
  <si>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</si>
  <si>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</si>
  <si>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</si>
  <si>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</si>
  <si>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</si>
  <si>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</si>
  <si>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</si>
  <si>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</si>
  <si>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</si>
  <si>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</si>
  <si>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</si>
  <si>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</si>
  <si>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</si>
  <si>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</si>
  <si>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</si>
  <si>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</si>
  <si>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</si>
  <si>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</si>
  <si>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Line 21 / Line 20</t>
  </si>
  <si>
    <t>Common Equity Component:</t>
  </si>
  <si>
    <t>Proprietary Capital</t>
  </si>
  <si>
    <t>112; 16; c</t>
  </si>
  <si>
    <t>Less: Preferred Stock (Acct 204)</t>
  </si>
  <si>
    <t>Negative of Line 20 Above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</si>
  <si>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</si>
  <si>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</si>
  <si>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</si>
  <si>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</si>
  <si>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</si>
  <si>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Sum Lines 25 thru 28</t>
  </si>
  <si>
    <t>Base Return on Common Equity:</t>
  </si>
  <si>
    <t>SDG&amp;E Base Return on Equity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</si>
  <si>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</si>
  <si>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</si>
  <si>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</si>
  <si>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</si>
  <si>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</si>
  <si>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</si>
  <si>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</si>
  <si>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</si>
  <si>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</si>
  <si>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</si>
  <si>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</si>
  <si>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</si>
  <si>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</si>
  <si>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</si>
  <si>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</si>
  <si>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</si>
  <si>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</si>
  <si>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</si>
  <si>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</si>
  <si>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</si>
  <si>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Order No. 679, 116 FERC ¶ 61,057 at P 326</t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</si>
  <si>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</si>
  <si>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</si>
  <si>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</si>
  <si>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</si>
  <si>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</si>
  <si>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</si>
  <si>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</si>
  <si>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</si>
  <si>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</si>
  <si>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</si>
  <si>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</si>
  <si>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</si>
  <si>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</si>
  <si>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</si>
  <si>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</si>
  <si>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</si>
  <si>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</si>
  <si>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</si>
  <si>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</si>
  <si>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</si>
  <si>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</si>
  <si>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</si>
  <si>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</si>
  <si>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</si>
  <si>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>Page 8; Rev. Negative of Stmnt AR; Line 9</t>
  </si>
  <si>
    <t xml:space="preserve">     C = Equity AFUDC Component of Transmission Depreciation Expense</t>
  </si>
  <si>
    <t>AV-1A; Line 40</t>
  </si>
  <si>
    <t xml:space="preserve">     D = Transmission Rate Base</t>
  </si>
  <si>
    <t>Page 3; Rev. Stmnt BK-1; Line 27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</si>
  <si>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</si>
  <si>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</si>
  <si>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</si>
  <si>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</si>
  <si>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</si>
  <si>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</si>
  <si>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</si>
  <si>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</si>
  <si>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Equity AFUDC Component of Transmission Depreciation Expense</t>
  </si>
  <si>
    <t>Line 8 Above</t>
  </si>
  <si>
    <t xml:space="preserve">     C = Transmission Rate Base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</si>
  <si>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</si>
  <si>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</si>
  <si>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</si>
  <si>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</si>
  <si>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</si>
  <si>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</si>
  <si>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</si>
  <si>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</si>
  <si>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</si>
  <si>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</si>
  <si>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Line 12 + Line 24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</si>
  <si>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</si>
  <si>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</si>
  <si>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</si>
  <si>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27 + Line 29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</si>
  <si>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</si>
  <si>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</si>
  <si>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</si>
  <si>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39 Above</t>
  </si>
  <si>
    <t>Line 41 Above</t>
  </si>
  <si>
    <t>Line 42 Above</t>
  </si>
  <si>
    <t>Line 45 Above</t>
  </si>
  <si>
    <t>Line 45 + Line 57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</si>
  <si>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</si>
  <si>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</si>
  <si>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</si>
  <si>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>Line 60 + Line 62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</si>
  <si>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</si>
  <si>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</si>
  <si>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</si>
  <si>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 xml:space="preserve">     D =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</si>
  <si>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</si>
  <si>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</si>
  <si>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</si>
  <si>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</si>
  <si>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</si>
  <si>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Page 3; Line 22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</si>
  <si>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</si>
  <si>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</si>
  <si>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</si>
  <si>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</si>
  <si>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 xml:space="preserve">     D = Total Incentive ROE Project Transmission Rate Base</t>
  </si>
  <si>
    <t xml:space="preserve">     C = Total Incentive ROE Project Transmission Rate Base</t>
  </si>
  <si>
    <t>Page 3; Line 55</t>
  </si>
  <si>
    <t>Page 2; Line 22</t>
  </si>
  <si>
    <t>The Incentive Cost of Capital Rate calculation will be tracked and shown separately for each project. As a result, lines 1 through 64 will be repeated for each project.</t>
  </si>
  <si>
    <t>Negative of Statement AR; Line 9</t>
  </si>
  <si>
    <t>Statement BK-1; Page 3; Line 27</t>
  </si>
  <si>
    <t>Statement AU</t>
  </si>
  <si>
    <t>Revenue Credits</t>
  </si>
  <si>
    <r>
      <t xml:space="preserve">(451) Miscellaneous Service Revenues </t>
    </r>
    <r>
      <rPr>
        <b/>
        <vertAlign val="superscript"/>
        <sz val="12"/>
        <rFont val="Times New Roman"/>
        <family val="1"/>
      </rPr>
      <t>1</t>
    </r>
  </si>
  <si>
    <t>450.1; Sch. Pg. 300; 17; b</t>
  </si>
  <si>
    <t>(453) Sales of Water and Water Power</t>
  </si>
  <si>
    <t>300; 18; b</t>
  </si>
  <si>
    <t>(454) Rent from Electric Property</t>
  </si>
  <si>
    <t>450.1; Sch. Pg. 300; 19; b</t>
  </si>
  <si>
    <t>AU-1; Page 2; Line 4; Col. m</t>
  </si>
  <si>
    <t>(455) Interdepartmental Rents</t>
  </si>
  <si>
    <t>300; 20; b</t>
  </si>
  <si>
    <t>(456) Other Electric Revenues</t>
  </si>
  <si>
    <t>450.1; Sch. Pg. 300; 21; b</t>
  </si>
  <si>
    <t>Page 14; Rev. AU-1; Page 2; Line 18; Col. m</t>
  </si>
  <si>
    <t>Electric Transmission Revenues from Citizens</t>
  </si>
  <si>
    <t>AU-1; Page 2; Line 23; Col. m</t>
  </si>
  <si>
    <t xml:space="preserve">     Transmission Related Revenue Credits</t>
  </si>
  <si>
    <t>Sum Lines 1 thru 11</t>
  </si>
  <si>
    <t>(411.6 &amp; 411.7) Gain or Loss From Sale of Plant Held for Future Use</t>
  </si>
  <si>
    <t>FERC Accounts 411.6 and 411.7</t>
  </si>
  <si>
    <t>Adjustment to reflect the correct the 2020 entry in the transfer of transmission revenue requirements from distribution.</t>
  </si>
  <si>
    <t>Confirmed the amounts reported for Acct 451 on FERC Form 1; Page 450.1; Sch. Pg. 300; Line 17; Col. b are not Transmission-related with an exception for</t>
  </si>
  <si>
    <t>Franchise Fees. Part of the Franchise Fees reported are Transmission-related, however, they are excluded in Statement AU because they are collected as a part of the</t>
  </si>
  <si>
    <t>BTRR in the BK Cost Statements.</t>
  </si>
  <si>
    <t>AU-1; Page 2; Line 18; Col. m</t>
  </si>
  <si>
    <t>12 Months Ending December 31, 2020</t>
  </si>
  <si>
    <t>SAP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</si>
  <si>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</si>
  <si>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</si>
  <si>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</si>
  <si>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</si>
  <si>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</si>
  <si>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</si>
  <si>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</si>
  <si>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</si>
  <si>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</si>
  <si>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</si>
  <si>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Account #</t>
  </si>
  <si>
    <t>SAP Account Description</t>
  </si>
  <si>
    <t>Jan-20</t>
  </si>
  <si>
    <t>Feb-20</t>
  </si>
  <si>
    <t>Mar-20</t>
  </si>
  <si>
    <t>Apr-20</t>
  </si>
  <si>
    <t>May-20</t>
  </si>
  <si>
    <t>Jun-20</t>
  </si>
  <si>
    <t>Jul-20</t>
  </si>
  <si>
    <t>No</t>
  </si>
  <si>
    <t>Aug-20</t>
  </si>
  <si>
    <t>Sep-20</t>
  </si>
  <si>
    <t>Oct-20</t>
  </si>
  <si>
    <t>Nov-20</t>
  </si>
  <si>
    <t>Dec-20</t>
  </si>
  <si>
    <t>4371049</t>
  </si>
  <si>
    <t>4371050</t>
  </si>
  <si>
    <t>Rent - Electric Property</t>
  </si>
  <si>
    <r>
      <t xml:space="preserve">Total Rent from Electric Property </t>
    </r>
    <r>
      <rPr>
        <b/>
        <vertAlign val="superscript"/>
        <sz val="12"/>
        <rFont val="Times New Roman"/>
        <family val="1"/>
      </rPr>
      <t>1</t>
    </r>
  </si>
  <si>
    <t>4371016</t>
  </si>
  <si>
    <t>Generation Interconnection</t>
  </si>
  <si>
    <t>4371040</t>
  </si>
  <si>
    <t xml:space="preserve">Revenue Enhancement </t>
  </si>
  <si>
    <t>4371055</t>
  </si>
  <si>
    <t>Shared Asset Revenue</t>
  </si>
  <si>
    <t>4371058</t>
  </si>
  <si>
    <t>Elec Trans Joint Pole Activity</t>
  </si>
  <si>
    <t>4371061</t>
  </si>
  <si>
    <t>Excess Microwave Capacity - Elec Trans</t>
  </si>
  <si>
    <t>4371065</t>
  </si>
  <si>
    <t>Trans Revenue Trsfr to Gen</t>
  </si>
  <si>
    <t>4371067</t>
  </si>
  <si>
    <t>Trans Revenue Trsfr to Dist</t>
  </si>
  <si>
    <t>4371070</t>
  </si>
  <si>
    <t>Trans Revenue Trsfr from Dist</t>
  </si>
  <si>
    <t>4371076</t>
  </si>
  <si>
    <t>Environmental Lab - Elec Tran</t>
  </si>
  <si>
    <t>4371082</t>
  </si>
  <si>
    <t>Other Elec Rev-SDGE Gen</t>
  </si>
  <si>
    <t>4371806</t>
  </si>
  <si>
    <t>Elec-Trans Fees/Rev</t>
  </si>
  <si>
    <r>
      <t xml:space="preserve">Total Other Electric Revenues </t>
    </r>
    <r>
      <rPr>
        <b/>
        <vertAlign val="superscript"/>
        <sz val="12"/>
        <rFont val="Times New Roman"/>
        <family val="1"/>
      </rPr>
      <t>2</t>
    </r>
  </si>
  <si>
    <t>Various</t>
  </si>
  <si>
    <r>
      <t xml:space="preserve">Citizens Border-East Line </t>
    </r>
    <r>
      <rPr>
        <b/>
        <vertAlign val="superscript"/>
        <sz val="12"/>
        <rFont val="Times New Roman"/>
        <family val="1"/>
      </rPr>
      <t>3</t>
    </r>
  </si>
  <si>
    <r>
      <t xml:space="preserve">Citizens Sycamore-Penasquitos Line </t>
    </r>
    <r>
      <rPr>
        <b/>
        <vertAlign val="superscript"/>
        <sz val="12"/>
        <rFont val="Times New Roman"/>
        <family val="1"/>
      </rPr>
      <t>3</t>
    </r>
  </si>
  <si>
    <t>Total Miscellaneous Revenue</t>
  </si>
  <si>
    <t>The total Rent from Electric Property in FERC Form 1; Page 300; Line 19; Col. b includes both Distribution and Transmission rents. The Total Transmission-related Rents from Electric</t>
  </si>
  <si>
    <t>Property is reflected in Col. (m) of this schedule and ties to the footnotes on FERC Form 1; Page 450.1; Sch. Pg. 300; Line 19; Col. b. The FERC Form 1 footnote is off by $100 due a typing error.</t>
  </si>
  <si>
    <t>The total Other Electric Revenues in FERC Form 1; Page 300; Line 21; Col. b includes other revenues for both Distribution and Transmission. The Total Transmission-related piece of Other</t>
  </si>
  <si>
    <t>Revenues is reflected in Col. (m) of this schedule and ties to the footnotes on FERC Form 1; Page 450.1; Sch. Pg. 300; Line 21; Col. b.</t>
  </si>
  <si>
    <t>The Electric Transmission Revenue for Citizens in this statement is to provide ratepayers a credit for Citizens' share of Transmission-related Common and General Plant, Transmission-related</t>
  </si>
  <si>
    <t>Working Capital Revenue, and Franchise Fees.</t>
  </si>
  <si>
    <t>TO5 Cycle 5 Cost Adjustment</t>
  </si>
  <si>
    <t>Derivation of Interest Expense on Other BTRR Adjustment Applicable to TO5 Cycle 4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</si>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</sst>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_);\(#,##0.0\)"/>
    <numFmt numFmtId="167" formatCode="0.0000%"/>
    <numFmt numFmtId="168" formatCode="0.000000"/>
    <numFmt numFmtId="169" formatCode="0.000000000%"/>
    <numFmt numFmtId="170" formatCode="_(&quot;$&quot;* #,##0,_);_(&quot;$&quot;* \(#,##0,\);_(&quot;$&quot;* &quot;-&quot;??_);_(@_)"/>
    <numFmt numFmtId="171" formatCode="&quot;$&quot;#,##0,_);[Red]\(&quot;$&quot;#,##0,\)"/>
    <numFmt numFmtId="172" formatCode="[$-409]d\-mmm\-yy;@"/>
    <numFmt numFmtId="173" formatCode="_(* #,##0.0000_);_(* \(#,##0.0000\);_(* &quot;-&quot;??_);_(@_)"/>
    <numFmt numFmtId="174" formatCode="_(&quot;$&quot;* #,##0.0000000_);_(&quot;$&quot;* \(#,##0.0000000\);_(&quot;$&quot;* &quot;-&quot;??_);_(@_)"/>
    <numFmt numFmtId="175" formatCode="0_);\(0\)"/>
    <numFmt numFmtId="176" formatCode="[$-409]mmm\-yy;@"/>
    <numFmt numFmtId="177" formatCode="[$-409]mmmm\-yy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strike/>
      <sz val="12"/>
      <color rgb="FFFF0000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b/>
      <i/>
      <u/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3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rgb="FFFF000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sz val="10"/>
      <color theme="1"/>
      <name val="Times New Roman"/>
      <family val="2"/>
    </font>
    <font>
      <sz val="10"/>
      <color theme="1"/>
      <name val="Calibri"/>
      <family val="2"/>
    </font>
    <font>
      <b/>
      <i/>
      <u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</cellStyleXfs>
  <cellXfs count="877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4" applyFont="1"/>
    <xf numFmtId="0" fontId="6" fillId="0" borderId="0" xfId="0" applyFont="1"/>
    <xf numFmtId="164" fontId="6" fillId="0" borderId="0" xfId="2" applyNumberFormat="1" applyFont="1" applyBorder="1"/>
    <xf numFmtId="164" fontId="6" fillId="0" borderId="0" xfId="0" applyNumberFormat="1" applyFont="1"/>
    <xf numFmtId="0" fontId="3" fillId="0" borderId="0" xfId="0" quotePrefix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166" fontId="3" fillId="0" borderId="0" xfId="0" applyNumberFormat="1" applyFont="1" applyAlignment="1">
      <alignment horizontal="center" wrapText="1"/>
    </xf>
    <xf numFmtId="0" fontId="3" fillId="0" borderId="0" xfId="0" applyFont="1"/>
    <xf numFmtId="0" fontId="13" fillId="0" borderId="0" xfId="0" applyFont="1" applyAlignment="1">
      <alignment horizontal="center"/>
    </xf>
    <xf numFmtId="5" fontId="6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fill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15" fillId="0" borderId="0" xfId="0" applyFont="1"/>
    <xf numFmtId="164" fontId="6" fillId="0" borderId="0" xfId="2" applyNumberFormat="1" applyFont="1"/>
    <xf numFmtId="165" fontId="6" fillId="0" borderId="0" xfId="1" applyNumberFormat="1" applyFont="1"/>
    <xf numFmtId="165" fontId="3" fillId="0" borderId="0" xfId="0" applyNumberFormat="1" applyFont="1"/>
    <xf numFmtId="165" fontId="3" fillId="0" borderId="1" xfId="1" applyNumberFormat="1" applyFont="1" applyBorder="1"/>
    <xf numFmtId="165" fontId="3" fillId="0" borderId="1" xfId="0" applyNumberFormat="1" applyFont="1" applyBorder="1"/>
    <xf numFmtId="164" fontId="6" fillId="0" borderId="0" xfId="7" applyNumberFormat="1" applyFont="1" applyFill="1" applyAlignment="1" applyProtection="1">
      <alignment horizontal="right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165" fontId="6" fillId="0" borderId="1" xfId="1" applyNumberFormat="1" applyFont="1" applyBorder="1"/>
    <xf numFmtId="164" fontId="3" fillId="0" borderId="1" xfId="7" applyNumberFormat="1" applyFont="1" applyFill="1" applyBorder="1" applyAlignment="1" applyProtection="1">
      <alignment horizontal="right"/>
    </xf>
    <xf numFmtId="164" fontId="6" fillId="0" borderId="1" xfId="7" applyNumberFormat="1" applyFont="1" applyFill="1" applyBorder="1" applyAlignment="1" applyProtection="1">
      <alignment horizontal="right"/>
    </xf>
    <xf numFmtId="0" fontId="6" fillId="0" borderId="0" xfId="8" applyFont="1" applyAlignment="1">
      <alignment horizontal="left" vertical="center"/>
    </xf>
    <xf numFmtId="167" fontId="6" fillId="0" borderId="0" xfId="0" applyNumberFormat="1" applyFont="1" applyAlignment="1">
      <alignment horizontal="right"/>
    </xf>
    <xf numFmtId="164" fontId="3" fillId="0" borderId="0" xfId="7" applyNumberFormat="1" applyFont="1" applyFill="1" applyBorder="1" applyAlignment="1" applyProtection="1">
      <alignment horizontal="right"/>
    </xf>
    <xf numFmtId="164" fontId="6" fillId="0" borderId="0" xfId="7" applyNumberFormat="1" applyFont="1" applyFill="1" applyBorder="1" applyAlignment="1" applyProtection="1">
      <alignment horizontal="right"/>
    </xf>
    <xf numFmtId="167" fontId="6" fillId="0" borderId="0" xfId="3" applyNumberFormat="1" applyFont="1" applyFill="1" applyBorder="1" applyAlignment="1" applyProtection="1">
      <alignment horizontal="right"/>
    </xf>
    <xf numFmtId="0" fontId="6" fillId="0" borderId="0" xfId="8" quotePrefix="1" applyFont="1" applyAlignment="1">
      <alignment vertical="center"/>
    </xf>
    <xf numFmtId="164" fontId="3" fillId="0" borderId="2" xfId="7" quotePrefix="1" applyNumberFormat="1" applyFont="1" applyFill="1" applyBorder="1" applyAlignment="1">
      <alignment horizontal="right"/>
    </xf>
    <xf numFmtId="164" fontId="6" fillId="0" borderId="2" xfId="7" quotePrefix="1" applyNumberFormat="1" applyFont="1" applyFill="1" applyBorder="1" applyAlignment="1">
      <alignment horizontal="right"/>
    </xf>
    <xf numFmtId="164" fontId="3" fillId="0" borderId="0" xfId="7" quotePrefix="1" applyNumberFormat="1" applyFont="1" applyFill="1" applyBorder="1" applyAlignment="1">
      <alignment horizontal="right"/>
    </xf>
    <xf numFmtId="164" fontId="6" fillId="0" borderId="0" xfId="7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0" fillId="0" borderId="0" xfId="8" quotePrefix="1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167" fontId="6" fillId="0" borderId="0" xfId="9" applyNumberFormat="1" applyFont="1" applyFill="1" applyAlignment="1">
      <alignment horizontal="right" vertical="center"/>
    </xf>
    <xf numFmtId="164" fontId="6" fillId="0" borderId="1" xfId="2" applyNumberFormat="1" applyFont="1" applyFill="1" applyBorder="1" applyAlignment="1" applyProtection="1">
      <alignment horizontal="right" vertical="center"/>
    </xf>
    <xf numFmtId="164" fontId="6" fillId="0" borderId="1" xfId="7" quotePrefix="1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167" fontId="6" fillId="0" borderId="0" xfId="3" quotePrefix="1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 applyProtection="1">
      <alignment horizontal="right" vertical="center"/>
    </xf>
    <xf numFmtId="164" fontId="6" fillId="0" borderId="5" xfId="7" quotePrefix="1" applyNumberFormat="1" applyFont="1" applyFill="1" applyBorder="1" applyAlignment="1">
      <alignment horizontal="right"/>
    </xf>
    <xf numFmtId="164" fontId="6" fillId="0" borderId="0" xfId="10" applyNumberFormat="1" applyFont="1" applyFill="1" applyBorder="1" applyAlignment="1" applyProtection="1">
      <alignment horizontal="right" vertical="center"/>
    </xf>
    <xf numFmtId="0" fontId="14" fillId="0" borderId="0" xfId="8" applyFont="1" applyAlignment="1">
      <alignment vertical="center"/>
    </xf>
    <xf numFmtId="43" fontId="6" fillId="0" borderId="0" xfId="11" applyFont="1" applyFill="1" applyBorder="1" applyAlignment="1" applyProtection="1">
      <alignment horizontal="right" vertical="center"/>
    </xf>
    <xf numFmtId="167" fontId="6" fillId="0" borderId="1" xfId="9" applyNumberFormat="1" applyFont="1" applyFill="1" applyBorder="1" applyAlignment="1">
      <alignment horizontal="right" vertical="center"/>
    </xf>
    <xf numFmtId="0" fontId="10" fillId="0" borderId="0" xfId="0" applyFont="1"/>
    <xf numFmtId="44" fontId="6" fillId="0" borderId="0" xfId="2" quotePrefix="1" applyFont="1" applyFill="1" applyBorder="1" applyAlignment="1">
      <alignment horizontal="right"/>
    </xf>
    <xf numFmtId="167" fontId="6" fillId="0" borderId="1" xfId="3" quotePrefix="1" applyNumberFormat="1" applyFont="1" applyFill="1" applyBorder="1" applyAlignment="1">
      <alignment horizontal="right"/>
    </xf>
    <xf numFmtId="164" fontId="6" fillId="0" borderId="0" xfId="10" quotePrefix="1" applyNumberFormat="1" applyFont="1" applyFill="1" applyBorder="1" applyAlignment="1">
      <alignment horizontal="right" vertical="center"/>
    </xf>
    <xf numFmtId="164" fontId="6" fillId="0" borderId="0" xfId="2" quotePrefix="1" applyNumberFormat="1" applyFont="1" applyFill="1" applyBorder="1" applyAlignment="1">
      <alignment horizontal="right" vertical="center"/>
    </xf>
    <xf numFmtId="167" fontId="6" fillId="0" borderId="0" xfId="9" quotePrefix="1" applyNumberFormat="1" applyFont="1" applyFill="1" applyBorder="1" applyAlignment="1">
      <alignment horizontal="right" vertical="center"/>
    </xf>
    <xf numFmtId="164" fontId="6" fillId="0" borderId="4" xfId="2" quotePrefix="1" applyNumberFormat="1" applyFont="1" applyFill="1" applyBorder="1" applyAlignment="1">
      <alignment horizontal="right" vertical="center"/>
    </xf>
    <xf numFmtId="167" fontId="6" fillId="0" borderId="5" xfId="3" quotePrefix="1" applyNumberFormat="1" applyFont="1" applyFill="1" applyBorder="1" applyAlignment="1">
      <alignment horizontal="right"/>
    </xf>
    <xf numFmtId="164" fontId="6" fillId="0" borderId="2" xfId="10" quotePrefix="1" applyNumberFormat="1" applyFont="1" applyFill="1" applyBorder="1" applyAlignment="1">
      <alignment horizontal="right" vertical="center"/>
    </xf>
    <xf numFmtId="164" fontId="3" fillId="0" borderId="2" xfId="10" quotePrefix="1" applyNumberFormat="1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164" fontId="6" fillId="0" borderId="0" xfId="7" applyNumberFormat="1" applyFont="1" applyFill="1" applyBorder="1" applyAlignment="1" applyProtection="1">
      <alignment horizontal="right"/>
      <protection locked="0"/>
    </xf>
    <xf numFmtId="165" fontId="6" fillId="0" borderId="0" xfId="11" applyNumberFormat="1" applyFont="1" applyFill="1" applyBorder="1" applyAlignment="1" applyProtection="1">
      <alignment horizontal="right"/>
      <protection locked="0"/>
    </xf>
    <xf numFmtId="165" fontId="6" fillId="0" borderId="1" xfId="11" applyNumberFormat="1" applyFont="1" applyFill="1" applyBorder="1" applyAlignment="1" applyProtection="1">
      <alignment horizontal="right"/>
      <protection locked="0"/>
    </xf>
    <xf numFmtId="165" fontId="6" fillId="0" borderId="0" xfId="11" applyNumberFormat="1" applyFont="1" applyFill="1" applyAlignment="1" applyProtection="1">
      <alignment horizontal="center"/>
    </xf>
    <xf numFmtId="165" fontId="6" fillId="0" borderId="1" xfId="11" applyNumberFormat="1" applyFont="1" applyFill="1" applyBorder="1" applyAlignment="1" applyProtection="1">
      <alignment horizontal="center"/>
    </xf>
    <xf numFmtId="165" fontId="6" fillId="0" borderId="1" xfId="0" applyNumberFormat="1" applyFont="1" applyBorder="1"/>
    <xf numFmtId="164" fontId="6" fillId="0" borderId="0" xfId="2" applyNumberFormat="1" applyFont="1" applyFill="1" applyBorder="1" applyAlignment="1" applyProtection="1">
      <alignment horizontal="center"/>
    </xf>
    <xf numFmtId="43" fontId="6" fillId="0" borderId="1" xfId="1" applyFont="1" applyFill="1" applyBorder="1" applyAlignment="1" applyProtection="1">
      <alignment horizontal="right"/>
    </xf>
    <xf numFmtId="43" fontId="6" fillId="0" borderId="1" xfId="1" applyFont="1" applyBorder="1"/>
    <xf numFmtId="165" fontId="6" fillId="0" borderId="0" xfId="11" applyNumberFormat="1" applyFont="1" applyFill="1" applyAlignment="1" applyProtection="1">
      <alignment horizontal="right"/>
    </xf>
    <xf numFmtId="165" fontId="6" fillId="0" borderId="1" xfId="11" applyNumberFormat="1" applyFont="1" applyFill="1" applyBorder="1" applyAlignment="1" applyProtection="1">
      <alignment horizontal="right"/>
    </xf>
    <xf numFmtId="164" fontId="6" fillId="0" borderId="0" xfId="2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/>
    </xf>
    <xf numFmtId="164" fontId="6" fillId="0" borderId="1" xfId="2" applyNumberFormat="1" applyFont="1" applyFill="1" applyBorder="1" applyAlignment="1" applyProtection="1">
      <alignment horizontal="right"/>
    </xf>
    <xf numFmtId="165" fontId="6" fillId="0" borderId="0" xfId="11" applyNumberFormat="1" applyFont="1" applyFill="1" applyBorder="1" applyAlignment="1" applyProtection="1">
      <alignment horizontal="center"/>
    </xf>
    <xf numFmtId="164" fontId="3" fillId="0" borderId="2" xfId="7" applyNumberFormat="1" applyFont="1" applyFill="1" applyBorder="1" applyAlignment="1" applyProtection="1">
      <alignment horizontal="right"/>
    </xf>
    <xf numFmtId="164" fontId="6" fillId="0" borderId="2" xfId="7" applyNumberFormat="1" applyFont="1" applyFill="1" applyBorder="1" applyAlignment="1" applyProtection="1">
      <alignment horizontal="right"/>
    </xf>
    <xf numFmtId="43" fontId="15" fillId="0" borderId="0" xfId="1" applyFont="1" applyAlignment="1">
      <alignment horizontal="center"/>
    </xf>
    <xf numFmtId="43" fontId="3" fillId="0" borderId="1" xfId="1" applyFont="1" applyFill="1" applyBorder="1" applyAlignment="1" applyProtection="1">
      <alignment horizontal="right"/>
    </xf>
    <xf numFmtId="0" fontId="6" fillId="0" borderId="0" xfId="0" quotePrefix="1" applyFont="1" applyAlignment="1">
      <alignment horizontal="center"/>
    </xf>
    <xf numFmtId="10" fontId="11" fillId="0" borderId="0" xfId="12" applyNumberFormat="1" applyFont="1"/>
    <xf numFmtId="166" fontId="6" fillId="0" borderId="0" xfId="0" applyNumberFormat="1" applyFont="1" applyAlignment="1">
      <alignment horizontal="center"/>
    </xf>
    <xf numFmtId="0" fontId="18" fillId="0" borderId="0" xfId="0" applyFont="1"/>
    <xf numFmtId="6" fontId="6" fillId="0" borderId="0" xfId="0" applyNumberFormat="1" applyFont="1"/>
    <xf numFmtId="164" fontId="6" fillId="0" borderId="6" xfId="7" applyNumberFormat="1" applyFont="1" applyFill="1" applyBorder="1" applyAlignment="1" applyProtection="1">
      <alignment horizontal="right"/>
    </xf>
    <xf numFmtId="164" fontId="6" fillId="0" borderId="5" xfId="7" applyNumberFormat="1" applyFont="1" applyFill="1" applyBorder="1" applyAlignment="1" applyProtection="1">
      <alignment horizontal="right"/>
    </xf>
    <xf numFmtId="0" fontId="6" fillId="0" borderId="0" xfId="8" applyFont="1" applyAlignment="1">
      <alignment horizontal="center" vertical="center" wrapText="1"/>
    </xf>
    <xf numFmtId="0" fontId="18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11" fillId="0" borderId="0" xfId="0" applyFont="1" applyAlignment="1">
      <alignment horizontal="center"/>
    </xf>
    <xf numFmtId="0" fontId="7" fillId="0" borderId="0" xfId="13" applyFont="1" applyAlignment="1">
      <alignment horizontal="center"/>
    </xf>
    <xf numFmtId="0" fontId="11" fillId="0" borderId="0" xfId="13" applyFont="1"/>
    <xf numFmtId="0" fontId="2" fillId="0" borderId="0" xfId="0" applyFont="1" applyAlignment="1">
      <alignment horizontal="right"/>
    </xf>
    <xf numFmtId="0" fontId="3" fillId="0" borderId="0" xfId="8" quotePrefix="1" applyFont="1" applyAlignment="1">
      <alignment horizontal="center" vertical="center"/>
    </xf>
    <xf numFmtId="166" fontId="6" fillId="0" borderId="0" xfId="8" applyNumberFormat="1" applyFont="1" applyAlignment="1">
      <alignment horizontal="center" vertical="center"/>
    </xf>
    <xf numFmtId="5" fontId="6" fillId="0" borderId="1" xfId="8" applyNumberFormat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8" fillId="0" borderId="0" xfId="8" applyFont="1" applyAlignment="1">
      <alignment horizontal="center" vertical="center"/>
    </xf>
    <xf numFmtId="5" fontId="6" fillId="0" borderId="0" xfId="8" applyNumberFormat="1" applyFont="1" applyAlignment="1">
      <alignment horizontal="center" vertical="center"/>
    </xf>
    <xf numFmtId="3" fontId="6" fillId="0" borderId="0" xfId="8" applyNumberFormat="1" applyFont="1" applyAlignment="1">
      <alignment vertical="center"/>
    </xf>
    <xf numFmtId="0" fontId="8" fillId="0" borderId="0" xfId="8" applyFont="1" applyAlignment="1">
      <alignment horizontal="left" vertical="center"/>
    </xf>
    <xf numFmtId="165" fontId="6" fillId="0" borderId="0" xfId="11" applyNumberFormat="1" applyFont="1" applyFill="1" applyBorder="1" applyAlignment="1">
      <alignment horizontal="right" vertical="center"/>
    </xf>
    <xf numFmtId="165" fontId="6" fillId="0" borderId="0" xfId="11" applyNumberFormat="1" applyFont="1" applyFill="1" applyAlignment="1">
      <alignment horizontal="right" vertical="center"/>
    </xf>
    <xf numFmtId="0" fontId="20" fillId="0" borderId="0" xfId="8" applyFont="1" applyAlignment="1">
      <alignment vertical="center"/>
    </xf>
    <xf numFmtId="165" fontId="6" fillId="2" borderId="1" xfId="1" applyNumberFormat="1" applyFont="1" applyFill="1" applyBorder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165" fontId="6" fillId="0" borderId="0" xfId="11" applyNumberFormat="1" applyFont="1" applyFill="1" applyAlignment="1">
      <alignment vertical="center"/>
    </xf>
    <xf numFmtId="164" fontId="6" fillId="2" borderId="0" xfId="2" applyNumberFormat="1" applyFont="1" applyFill="1" applyAlignment="1">
      <alignment horizontal="right" vertical="center"/>
    </xf>
    <xf numFmtId="5" fontId="3" fillId="0" borderId="0" xfId="8" applyNumberFormat="1" applyFont="1" applyAlignment="1" applyProtection="1">
      <alignment horizontal="center" vertical="center"/>
      <protection locked="0"/>
    </xf>
    <xf numFmtId="165" fontId="6" fillId="0" borderId="0" xfId="11" applyNumberFormat="1" applyFont="1" applyFill="1" applyAlignment="1" applyProtection="1">
      <alignment horizontal="center" vertical="center"/>
    </xf>
    <xf numFmtId="165" fontId="6" fillId="2" borderId="0" xfId="1" applyNumberFormat="1" applyFont="1" applyFill="1" applyAlignment="1">
      <alignment vertical="center"/>
    </xf>
    <xf numFmtId="165" fontId="6" fillId="2" borderId="0" xfId="11" applyNumberFormat="1" applyFont="1" applyFill="1" applyAlignment="1">
      <alignment horizontal="right" vertical="center"/>
    </xf>
    <xf numFmtId="165" fontId="6" fillId="0" borderId="0" xfId="11" applyNumberFormat="1" applyFont="1" applyFill="1" applyBorder="1" applyAlignment="1" applyProtection="1">
      <alignment horizontal="right" vertical="center"/>
    </xf>
    <xf numFmtId="165" fontId="6" fillId="2" borderId="1" xfId="11" applyNumberFormat="1" applyFont="1" applyFill="1" applyBorder="1" applyAlignment="1" applyProtection="1">
      <alignment horizontal="right" vertical="center"/>
    </xf>
    <xf numFmtId="6" fontId="6" fillId="0" borderId="0" xfId="8" applyNumberFormat="1" applyFont="1" applyAlignment="1">
      <alignment horizontal="right" vertical="center"/>
    </xf>
    <xf numFmtId="167" fontId="6" fillId="2" borderId="0" xfId="9" applyNumberFormat="1" applyFont="1" applyFill="1" applyAlignment="1">
      <alignment horizontal="right" vertical="center"/>
    </xf>
    <xf numFmtId="164" fontId="3" fillId="2" borderId="1" xfId="2" applyNumberFormat="1" applyFont="1" applyFill="1" applyBorder="1" applyAlignment="1" applyProtection="1">
      <alignment horizontal="right" vertical="center"/>
    </xf>
    <xf numFmtId="164" fontId="3" fillId="0" borderId="4" xfId="10" applyNumberFormat="1" applyFont="1" applyFill="1" applyBorder="1" applyAlignment="1" applyProtection="1">
      <alignment horizontal="right" vertical="center"/>
    </xf>
    <xf numFmtId="164" fontId="6" fillId="0" borderId="0" xfId="10" applyNumberFormat="1" applyFont="1" applyFill="1" applyAlignment="1" applyProtection="1">
      <alignment horizontal="right" vertical="center"/>
    </xf>
    <xf numFmtId="164" fontId="6" fillId="2" borderId="0" xfId="10" applyNumberFormat="1" applyFont="1" applyFill="1" applyAlignment="1" applyProtection="1">
      <alignment horizontal="right" vertical="center"/>
    </xf>
    <xf numFmtId="165" fontId="6" fillId="2" borderId="0" xfId="11" applyNumberFormat="1" applyFont="1" applyFill="1" applyBorder="1" applyAlignment="1" applyProtection="1">
      <alignment horizontal="right" vertical="center"/>
    </xf>
    <xf numFmtId="165" fontId="6" fillId="2" borderId="0" xfId="1" applyNumberFormat="1" applyFont="1" applyFill="1" applyBorder="1" applyAlignment="1" applyProtection="1">
      <alignment horizontal="right" vertical="center"/>
    </xf>
    <xf numFmtId="165" fontId="6" fillId="2" borderId="1" xfId="1" applyNumberFormat="1" applyFont="1" applyFill="1" applyBorder="1" applyAlignment="1" applyProtection="1">
      <alignment horizontal="right" vertical="center"/>
    </xf>
    <xf numFmtId="164" fontId="8" fillId="0" borderId="0" xfId="10" quotePrefix="1" applyNumberFormat="1" applyFont="1" applyFill="1" applyBorder="1" applyAlignment="1">
      <alignment horizontal="right" vertical="center"/>
    </xf>
    <xf numFmtId="164" fontId="6" fillId="2" borderId="0" xfId="2" quotePrefix="1" applyNumberFormat="1" applyFont="1" applyFill="1" applyBorder="1" applyAlignment="1">
      <alignment horizontal="right" vertical="center"/>
    </xf>
    <xf numFmtId="0" fontId="10" fillId="0" borderId="0" xfId="8" applyFont="1" applyAlignment="1">
      <alignment vertical="center"/>
    </xf>
    <xf numFmtId="164" fontId="6" fillId="2" borderId="1" xfId="2" applyNumberFormat="1" applyFont="1" applyFill="1" applyBorder="1" applyAlignment="1" applyProtection="1">
      <alignment horizontal="right" vertical="center"/>
    </xf>
    <xf numFmtId="164" fontId="6" fillId="2" borderId="0" xfId="2" applyNumberFormat="1" applyFont="1" applyFill="1" applyBorder="1" applyAlignment="1" applyProtection="1">
      <alignment horizontal="right" vertical="center"/>
    </xf>
    <xf numFmtId="167" fontId="6" fillId="2" borderId="1" xfId="9" applyNumberFormat="1" applyFont="1" applyFill="1" applyBorder="1" applyAlignment="1">
      <alignment horizontal="right" vertical="center"/>
    </xf>
    <xf numFmtId="165" fontId="6" fillId="0" borderId="0" xfId="1" applyNumberFormat="1" applyFont="1" applyFill="1" applyAlignment="1">
      <alignment horizontal="right" vertical="center"/>
    </xf>
    <xf numFmtId="167" fontId="6" fillId="4" borderId="1" xfId="9" applyNumberFormat="1" applyFont="1" applyFill="1" applyBorder="1" applyAlignment="1">
      <alignment horizontal="right" vertical="center"/>
    </xf>
    <xf numFmtId="167" fontId="6" fillId="2" borderId="0" xfId="9" quotePrefix="1" applyNumberFormat="1" applyFont="1" applyFill="1" applyBorder="1" applyAlignment="1">
      <alignment horizontal="right" vertical="center"/>
    </xf>
    <xf numFmtId="164" fontId="3" fillId="0" borderId="0" xfId="10" quotePrefix="1" applyNumberFormat="1" applyFont="1" applyFill="1" applyBorder="1" applyAlignment="1">
      <alignment horizontal="right" vertical="center"/>
    </xf>
    <xf numFmtId="0" fontId="6" fillId="0" borderId="0" xfId="8" applyFont="1" applyAlignment="1" applyProtection="1">
      <alignment horizontal="center" vertical="center"/>
      <protection locked="0"/>
    </xf>
    <xf numFmtId="0" fontId="18" fillId="0" borderId="0" xfId="8" applyFont="1" applyAlignment="1">
      <alignment horizontal="left" vertical="center"/>
    </xf>
    <xf numFmtId="164" fontId="6" fillId="2" borderId="0" xfId="10" applyNumberFormat="1" applyFont="1" applyFill="1" applyBorder="1" applyAlignment="1" applyProtection="1">
      <alignment horizontal="right" vertical="center"/>
      <protection locked="0"/>
    </xf>
    <xf numFmtId="165" fontId="6" fillId="2" borderId="0" xfId="11" applyNumberFormat="1" applyFont="1" applyFill="1" applyBorder="1" applyAlignment="1" applyProtection="1">
      <alignment horizontal="right" vertical="center"/>
      <protection locked="0"/>
    </xf>
    <xf numFmtId="165" fontId="6" fillId="2" borderId="1" xfId="11" applyNumberFormat="1" applyFont="1" applyFill="1" applyBorder="1" applyAlignment="1" applyProtection="1">
      <alignment horizontal="right" vertical="center"/>
      <protection locked="0"/>
    </xf>
    <xf numFmtId="164" fontId="6" fillId="0" borderId="4" xfId="10" applyNumberFormat="1" applyFont="1" applyFill="1" applyBorder="1" applyAlignment="1" applyProtection="1">
      <alignment horizontal="right" vertical="center"/>
    </xf>
    <xf numFmtId="164" fontId="6" fillId="2" borderId="0" xfId="10" applyNumberFormat="1" applyFont="1" applyFill="1" applyBorder="1" applyAlignment="1" applyProtection="1">
      <alignment horizontal="center" vertical="center"/>
    </xf>
    <xf numFmtId="165" fontId="6" fillId="2" borderId="0" xfId="1" applyNumberFormat="1" applyFont="1" applyFill="1" applyBorder="1" applyAlignment="1" applyProtection="1">
      <alignment horizontal="center" vertical="center"/>
    </xf>
    <xf numFmtId="164" fontId="6" fillId="0" borderId="4" xfId="10" applyNumberFormat="1" applyFont="1" applyFill="1" applyBorder="1" applyAlignment="1" applyProtection="1">
      <alignment horizontal="center" vertical="center"/>
    </xf>
    <xf numFmtId="164" fontId="6" fillId="2" borderId="0" xfId="10" applyNumberFormat="1" applyFont="1" applyFill="1" applyBorder="1" applyAlignment="1" applyProtection="1">
      <alignment horizontal="right" vertical="center"/>
    </xf>
    <xf numFmtId="165" fontId="6" fillId="0" borderId="0" xfId="11" applyNumberFormat="1" applyFont="1" applyFill="1" applyAlignment="1" applyProtection="1">
      <alignment horizontal="right" vertical="center"/>
    </xf>
    <xf numFmtId="165" fontId="6" fillId="0" borderId="0" xfId="11" applyNumberFormat="1" applyFont="1" applyFill="1" applyBorder="1" applyAlignment="1" applyProtection="1">
      <alignment horizontal="center" vertical="center"/>
    </xf>
    <xf numFmtId="164" fontId="6" fillId="2" borderId="0" xfId="2" applyNumberFormat="1" applyFont="1" applyFill="1" applyBorder="1" applyAlignment="1" applyProtection="1">
      <alignment horizontal="center" vertical="center"/>
    </xf>
    <xf numFmtId="164" fontId="3" fillId="0" borderId="2" xfId="10" applyNumberFormat="1" applyFont="1" applyFill="1" applyBorder="1" applyAlignment="1" applyProtection="1">
      <alignment horizontal="right" vertical="center"/>
    </xf>
    <xf numFmtId="0" fontId="6" fillId="0" borderId="0" xfId="8" quotePrefix="1" applyFont="1" applyAlignment="1">
      <alignment horizontal="center" vertical="center"/>
    </xf>
    <xf numFmtId="6" fontId="8" fillId="0" borderId="0" xfId="8" applyNumberFormat="1" applyFont="1" applyAlignment="1">
      <alignment horizontal="left" vertical="center"/>
    </xf>
    <xf numFmtId="165" fontId="6" fillId="2" borderId="0" xfId="11" applyNumberFormat="1" applyFont="1" applyFill="1" applyAlignment="1" applyProtection="1">
      <alignment horizontal="right" vertical="center"/>
    </xf>
    <xf numFmtId="6" fontId="6" fillId="0" borderId="0" xfId="8" applyNumberFormat="1" applyFont="1" applyAlignment="1">
      <alignment vertical="center"/>
    </xf>
    <xf numFmtId="10" fontId="6" fillId="0" borderId="0" xfId="9" applyNumberFormat="1" applyFont="1" applyAlignment="1">
      <alignment vertical="center"/>
    </xf>
    <xf numFmtId="164" fontId="6" fillId="0" borderId="6" xfId="10" applyNumberFormat="1" applyFont="1" applyFill="1" applyBorder="1" applyAlignment="1" applyProtection="1">
      <alignment horizontal="right" vertical="center"/>
    </xf>
    <xf numFmtId="165" fontId="6" fillId="0" borderId="1" xfId="11" applyNumberFormat="1" applyFont="1" applyFill="1" applyBorder="1" applyAlignment="1" applyProtection="1">
      <alignment horizontal="right" vertical="center"/>
    </xf>
    <xf numFmtId="164" fontId="6" fillId="0" borderId="5" xfId="10" applyNumberFormat="1" applyFont="1" applyFill="1" applyBorder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right" vertical="center"/>
    </xf>
    <xf numFmtId="164" fontId="6" fillId="0" borderId="0" xfId="8" applyNumberFormat="1" applyFont="1" applyAlignment="1">
      <alignment vertical="center"/>
    </xf>
    <xf numFmtId="164" fontId="6" fillId="0" borderId="2" xfId="10" applyNumberFormat="1" applyFont="1" applyFill="1" applyBorder="1" applyAlignment="1" applyProtection="1">
      <alignment horizontal="right" vertical="center"/>
    </xf>
    <xf numFmtId="164" fontId="6" fillId="2" borderId="0" xfId="1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6" fillId="3" borderId="0" xfId="1" applyNumberFormat="1" applyFont="1" applyFill="1" applyBorder="1" applyAlignment="1" applyProtection="1">
      <alignment vertical="center"/>
      <protection locked="0"/>
    </xf>
    <xf numFmtId="164" fontId="3" fillId="0" borderId="0" xfId="2" applyNumberFormat="1" applyFont="1" applyBorder="1" applyAlignment="1">
      <alignment vertical="center"/>
    </xf>
    <xf numFmtId="165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3" borderId="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164" fontId="6" fillId="0" borderId="0" xfId="2" applyNumberFormat="1" applyFont="1" applyFill="1" applyAlignment="1">
      <alignment vertical="center"/>
    </xf>
    <xf numFmtId="5" fontId="6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14" applyFont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6" fillId="3" borderId="0" xfId="2" applyNumberFormat="1" applyFont="1" applyFill="1" applyAlignment="1" applyProtection="1">
      <alignment vertical="center"/>
      <protection locked="0"/>
    </xf>
    <xf numFmtId="0" fontId="21" fillId="0" borderId="0" xfId="0" applyFont="1" applyAlignment="1">
      <alignment horizontal="center" vertical="center" wrapText="1"/>
    </xf>
    <xf numFmtId="165" fontId="6" fillId="3" borderId="0" xfId="1" applyNumberFormat="1" applyFont="1" applyFill="1" applyAlignment="1" applyProtection="1">
      <alignment vertical="center"/>
      <protection locked="0"/>
    </xf>
    <xf numFmtId="164" fontId="6" fillId="0" borderId="4" xfId="2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164" fontId="6" fillId="0" borderId="6" xfId="2" applyNumberFormat="1" applyFont="1" applyBorder="1" applyAlignment="1" applyProtection="1">
      <alignment vertical="center"/>
      <protection locked="0"/>
    </xf>
    <xf numFmtId="164" fontId="6" fillId="0" borderId="0" xfId="2" applyNumberFormat="1" applyFont="1" applyBorder="1" applyAlignment="1" applyProtection="1">
      <alignment vertical="center"/>
      <protection locked="0"/>
    </xf>
    <xf numFmtId="10" fontId="6" fillId="0" borderId="2" xfId="3" applyNumberFormat="1" applyFont="1" applyBorder="1" applyAlignment="1">
      <alignment horizontal="right" vertical="center"/>
    </xf>
    <xf numFmtId="10" fontId="6" fillId="0" borderId="0" xfId="3" applyNumberFormat="1" applyFont="1" applyBorder="1" applyAlignment="1">
      <alignment horizontal="right" vertical="center"/>
    </xf>
    <xf numFmtId="164" fontId="6" fillId="3" borderId="1" xfId="2" applyNumberFormat="1" applyFont="1" applyFill="1" applyBorder="1" applyAlignment="1" applyProtection="1">
      <alignment vertical="center"/>
      <protection locked="0"/>
    </xf>
    <xf numFmtId="165" fontId="6" fillId="0" borderId="0" xfId="1" applyNumberFormat="1" applyFont="1" applyFill="1" applyAlignment="1" applyProtection="1">
      <alignment vertical="center"/>
      <protection locked="0"/>
    </xf>
    <xf numFmtId="164" fontId="6" fillId="0" borderId="5" xfId="2" applyNumberFormat="1" applyFont="1" applyBorder="1" applyAlignment="1" applyProtection="1">
      <alignment vertical="center"/>
    </xf>
    <xf numFmtId="164" fontId="6" fillId="0" borderId="0" xfId="2" applyNumberFormat="1" applyFont="1" applyBorder="1" applyAlignment="1" applyProtection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0" fontId="6" fillId="3" borderId="2" xfId="3" applyNumberFormat="1" applyFont="1" applyFill="1" applyBorder="1" applyAlignment="1">
      <alignment vertical="center"/>
    </xf>
    <xf numFmtId="10" fontId="6" fillId="0" borderId="0" xfId="3" applyNumberFormat="1" applyFont="1" applyFill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0" fontId="6" fillId="0" borderId="0" xfId="3" applyNumberFormat="1" applyFont="1" applyAlignment="1">
      <alignment horizontal="right" vertical="center"/>
    </xf>
    <xf numFmtId="165" fontId="6" fillId="0" borderId="0" xfId="1" applyNumberFormat="1" applyFont="1" applyFill="1" applyAlignment="1">
      <alignment vertical="center"/>
    </xf>
    <xf numFmtId="10" fontId="6" fillId="0" borderId="1" xfId="3" applyNumberFormat="1" applyFont="1" applyFill="1" applyBorder="1" applyAlignment="1">
      <alignment horizontal="right" vertical="center"/>
    </xf>
    <xf numFmtId="10" fontId="6" fillId="0" borderId="0" xfId="0" applyNumberFormat="1" applyFont="1" applyAlignment="1">
      <alignment vertical="center"/>
    </xf>
    <xf numFmtId="10" fontId="6" fillId="0" borderId="1" xfId="3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10" fontId="6" fillId="0" borderId="2" xfId="3" applyNumberFormat="1" applyFont="1" applyFill="1" applyBorder="1" applyAlignment="1">
      <alignment horizontal="right" vertical="center"/>
    </xf>
    <xf numFmtId="10" fontId="6" fillId="4" borderId="0" xfId="0" applyNumberFormat="1" applyFont="1" applyFill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5" fontId="6" fillId="0" borderId="0" xfId="0" applyNumberFormat="1" applyFont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10" fontId="6" fillId="0" borderId="3" xfId="3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5" fontId="6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168" fontId="6" fillId="0" borderId="0" xfId="0" applyNumberFormat="1" applyFont="1" applyAlignment="1">
      <alignment horizontal="center" vertical="center" wrapText="1"/>
    </xf>
    <xf numFmtId="10" fontId="6" fillId="2" borderId="0" xfId="3" applyNumberFormat="1" applyFont="1" applyFill="1" applyAlignment="1">
      <alignment horizontal="right" vertical="center"/>
    </xf>
    <xf numFmtId="164" fontId="6" fillId="2" borderId="0" xfId="2" applyNumberFormat="1" applyFont="1" applyFill="1" applyAlignment="1">
      <alignment horizontal="center" vertical="center"/>
    </xf>
    <xf numFmtId="164" fontId="6" fillId="3" borderId="0" xfId="2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2" borderId="0" xfId="2" applyNumberFormat="1" applyFont="1" applyFill="1" applyAlignment="1">
      <alignment horizontal="right" vertical="center"/>
    </xf>
    <xf numFmtId="10" fontId="6" fillId="0" borderId="0" xfId="3" applyNumberFormat="1" applyFont="1" applyAlignment="1">
      <alignment vertical="center"/>
    </xf>
    <xf numFmtId="0" fontId="6" fillId="3" borderId="1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67" fontId="6" fillId="0" borderId="0" xfId="3" applyNumberFormat="1" applyFont="1" applyAlignment="1">
      <alignment horizontal="right" vertical="center"/>
    </xf>
    <xf numFmtId="167" fontId="3" fillId="0" borderId="0" xfId="3" applyNumberFormat="1" applyFont="1" applyAlignment="1">
      <alignment vertical="center"/>
    </xf>
    <xf numFmtId="0" fontId="6" fillId="0" borderId="0" xfId="0" quotePrefix="1" applyFont="1" applyAlignment="1">
      <alignment vertical="center"/>
    </xf>
    <xf numFmtId="168" fontId="6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center" vertical="center"/>
    </xf>
    <xf numFmtId="164" fontId="3" fillId="0" borderId="0" xfId="2" applyNumberFormat="1" applyFont="1" applyFill="1" applyAlignment="1">
      <alignment horizontal="right" vertical="center"/>
    </xf>
    <xf numFmtId="167" fontId="6" fillId="0" borderId="0" xfId="3" applyNumberFormat="1" applyFont="1" applyFill="1" applyAlignment="1">
      <alignment horizontal="right" vertical="center"/>
    </xf>
    <xf numFmtId="9" fontId="6" fillId="0" borderId="0" xfId="3" applyFont="1" applyAlignment="1">
      <alignment horizontal="right" vertical="center"/>
    </xf>
    <xf numFmtId="167" fontId="6" fillId="0" borderId="1" xfId="3" applyNumberFormat="1" applyFont="1" applyBorder="1" applyAlignment="1">
      <alignment horizontal="right" vertical="center"/>
    </xf>
    <xf numFmtId="167" fontId="6" fillId="0" borderId="0" xfId="3" applyNumberFormat="1" applyFont="1" applyBorder="1" applyAlignment="1">
      <alignment horizontal="right" vertical="center"/>
    </xf>
    <xf numFmtId="167" fontId="6" fillId="2" borderId="1" xfId="3" applyNumberFormat="1" applyFont="1" applyFill="1" applyBorder="1" applyAlignment="1">
      <alignment horizontal="right" vertical="center"/>
    </xf>
    <xf numFmtId="167" fontId="6" fillId="0" borderId="2" xfId="3" applyNumberFormat="1" applyFont="1" applyBorder="1" applyAlignment="1">
      <alignment horizontal="right" vertical="center"/>
    </xf>
    <xf numFmtId="167" fontId="3" fillId="0" borderId="0" xfId="3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164" fontId="6" fillId="4" borderId="0" xfId="2" applyNumberFormat="1" applyFont="1" applyFill="1" applyAlignment="1">
      <alignment horizontal="right" vertical="center"/>
    </xf>
    <xf numFmtId="169" fontId="6" fillId="0" borderId="0" xfId="0" applyNumberFormat="1" applyFont="1" applyAlignment="1">
      <alignment vertical="center"/>
    </xf>
    <xf numFmtId="167" fontId="6" fillId="0" borderId="1" xfId="3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5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wrapText="1"/>
    </xf>
    <xf numFmtId="9" fontId="6" fillId="2" borderId="1" xfId="3" applyFont="1" applyFill="1" applyBorder="1" applyAlignment="1">
      <alignment horizontal="right" vertical="center"/>
    </xf>
    <xf numFmtId="10" fontId="6" fillId="2" borderId="1" xfId="3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 applyAlignment="1">
      <alignment horizontal="right" vertical="center"/>
    </xf>
    <xf numFmtId="167" fontId="6" fillId="0" borderId="2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6" fillId="0" borderId="0" xfId="8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1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5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0" fontId="6" fillId="3" borderId="0" xfId="3" applyNumberFormat="1" applyFont="1" applyFill="1" applyBorder="1"/>
    <xf numFmtId="165" fontId="5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center" vertical="center"/>
    </xf>
    <xf numFmtId="0" fontId="6" fillId="0" borderId="1" xfId="15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0" fontId="6" fillId="3" borderId="1" xfId="3" applyNumberFormat="1" applyFont="1" applyFill="1" applyBorder="1"/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1" fontId="6" fillId="0" borderId="0" xfId="15" applyNumberFormat="1" applyFont="1" applyAlignment="1">
      <alignment horizontal="center" vertical="center"/>
    </xf>
    <xf numFmtId="10" fontId="5" fillId="0" borderId="0" xfId="3" applyNumberFormat="1" applyFont="1" applyAlignment="1">
      <alignment vertical="center"/>
    </xf>
    <xf numFmtId="1" fontId="6" fillId="0" borderId="1" xfId="15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70" fontId="5" fillId="0" borderId="0" xfId="2" applyNumberFormat="1" applyFont="1" applyBorder="1" applyAlignment="1">
      <alignment vertical="center"/>
    </xf>
    <xf numFmtId="170" fontId="5" fillId="0" borderId="0" xfId="2" applyNumberFormat="1" applyFont="1" applyAlignment="1">
      <alignment vertical="center"/>
    </xf>
    <xf numFmtId="170" fontId="6" fillId="0" borderId="0" xfId="2" applyNumberFormat="1" applyFont="1" applyFill="1" applyAlignment="1">
      <alignment vertical="center"/>
    </xf>
    <xf numFmtId="171" fontId="5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10" fillId="0" borderId="0" xfId="17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7" applyNumberFormat="1" applyFont="1" applyFill="1" applyAlignment="1">
      <alignment horizontal="center" vertical="center"/>
    </xf>
    <xf numFmtId="164" fontId="6" fillId="0" borderId="0" xfId="2" applyNumberFormat="1" applyFont="1" applyFill="1" applyAlignment="1">
      <alignment horizontal="right" vertical="center"/>
    </xf>
    <xf numFmtId="5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164" fontId="6" fillId="3" borderId="2" xfId="10" applyNumberFormat="1" applyFont="1" applyFill="1" applyBorder="1" applyAlignment="1">
      <alignment vertical="center"/>
    </xf>
    <xf numFmtId="164" fontId="6" fillId="0" borderId="0" xfId="10" applyNumberFormat="1" applyFont="1" applyFill="1" applyBorder="1" applyAlignment="1">
      <alignment vertical="center"/>
    </xf>
    <xf numFmtId="164" fontId="3" fillId="3" borderId="2" xfId="10" applyNumberFormat="1" applyFont="1" applyFill="1" applyBorder="1" applyAlignment="1">
      <alignment vertical="center"/>
    </xf>
    <xf numFmtId="172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vertical="center"/>
    </xf>
    <xf numFmtId="172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0" fontId="6" fillId="0" borderId="0" xfId="3" applyNumberFormat="1" applyFont="1" applyFill="1" applyAlignment="1">
      <alignment vertical="center"/>
    </xf>
    <xf numFmtId="164" fontId="3" fillId="0" borderId="5" xfId="2" applyNumberFormat="1" applyFont="1" applyBorder="1" applyAlignment="1">
      <alignment vertical="center"/>
    </xf>
    <xf numFmtId="3" fontId="6" fillId="0" borderId="0" xfId="14" applyNumberFormat="1" applyFont="1" applyAlignment="1">
      <alignment horizontal="centerContinuous" vertical="center"/>
    </xf>
    <xf numFmtId="41" fontId="6" fillId="0" borderId="0" xfId="18" applyFont="1" applyAlignment="1">
      <alignment vertical="center"/>
    </xf>
    <xf numFmtId="10" fontId="6" fillId="0" borderId="5" xfId="0" applyNumberFormat="1" applyFont="1" applyBorder="1" applyAlignment="1">
      <alignment vertical="center"/>
    </xf>
    <xf numFmtId="164" fontId="6" fillId="2" borderId="0" xfId="1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165" fontId="3" fillId="0" borderId="1" xfId="1" applyNumberFormat="1" applyFont="1" applyFill="1" applyBorder="1" applyAlignment="1" applyProtection="1">
      <alignment horizontal="right"/>
    </xf>
    <xf numFmtId="164" fontId="3" fillId="0" borderId="1" xfId="2" applyNumberFormat="1" applyFont="1" applyFill="1" applyBorder="1" applyAlignment="1" applyProtection="1">
      <alignment horizontal="right"/>
    </xf>
    <xf numFmtId="164" fontId="3" fillId="0" borderId="0" xfId="2" applyNumberFormat="1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6" fillId="0" borderId="2" xfId="1" applyNumberFormat="1" applyFont="1" applyBorder="1" applyAlignment="1">
      <alignment vertical="center"/>
    </xf>
    <xf numFmtId="173" fontId="6" fillId="0" borderId="0" xfId="1" applyNumberFormat="1" applyFont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4" fontId="5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center" vertical="center"/>
    </xf>
    <xf numFmtId="164" fontId="6" fillId="0" borderId="0" xfId="2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vertical="center"/>
    </xf>
    <xf numFmtId="164" fontId="6" fillId="0" borderId="2" xfId="2" applyNumberFormat="1" applyFont="1" applyFill="1" applyBorder="1" applyAlignment="1">
      <alignment vertical="center"/>
    </xf>
    <xf numFmtId="37" fontId="6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3" xfId="0" applyNumberFormat="1" applyFont="1" applyBorder="1" applyAlignment="1">
      <alignment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vertical="center"/>
    </xf>
    <xf numFmtId="37" fontId="3" fillId="0" borderId="9" xfId="0" quotePrefix="1" applyNumberFormat="1" applyFont="1" applyBorder="1" applyAlignment="1">
      <alignment horizontal="center" vertical="center"/>
    </xf>
    <xf numFmtId="37" fontId="3" fillId="0" borderId="8" xfId="0" quotePrefix="1" applyNumberFormat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37" fontId="3" fillId="0" borderId="10" xfId="0" quotePrefix="1" applyNumberFormat="1" applyFont="1" applyBorder="1" applyAlignment="1">
      <alignment horizontal="center" vertical="center"/>
    </xf>
    <xf numFmtId="37" fontId="3" fillId="0" borderId="1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vertical="center"/>
    </xf>
    <xf numFmtId="37" fontId="3" fillId="0" borderId="12" xfId="19" applyNumberFormat="1" applyFont="1" applyBorder="1" applyAlignment="1">
      <alignment horizontal="center" vertical="center"/>
    </xf>
    <xf numFmtId="37" fontId="3" fillId="0" borderId="13" xfId="0" quotePrefix="1" applyNumberFormat="1" applyFont="1" applyBorder="1" applyAlignment="1">
      <alignment horizontal="center" vertical="center"/>
    </xf>
    <xf numFmtId="37" fontId="3" fillId="0" borderId="14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15" xfId="19" applyNumberFormat="1" applyFont="1" applyBorder="1" applyAlignment="1">
      <alignment horizontal="center" vertical="center"/>
    </xf>
    <xf numFmtId="37" fontId="3" fillId="0" borderId="16" xfId="0" applyNumberFormat="1" applyFont="1" applyBorder="1" applyAlignment="1">
      <alignment horizontal="center" vertical="center"/>
    </xf>
    <xf numFmtId="37" fontId="6" fillId="0" borderId="11" xfId="0" applyNumberFormat="1" applyFont="1" applyBorder="1" applyAlignment="1">
      <alignment horizontal="center" vertical="center"/>
    </xf>
    <xf numFmtId="37" fontId="25" fillId="0" borderId="0" xfId="0" applyNumberFormat="1" applyFont="1" applyAlignment="1">
      <alignment vertical="center"/>
    </xf>
    <xf numFmtId="37" fontId="7" fillId="0" borderId="12" xfId="19" applyNumberFormat="1" applyFont="1" applyBorder="1" applyAlignment="1">
      <alignment horizontal="left" vertical="center"/>
    </xf>
    <xf numFmtId="37" fontId="7" fillId="0" borderId="9" xfId="19" applyNumberFormat="1" applyFont="1" applyBorder="1" applyAlignment="1">
      <alignment horizontal="left" vertical="center"/>
    </xf>
    <xf numFmtId="37" fontId="6" fillId="0" borderId="12" xfId="19" applyNumberFormat="1" applyFont="1" applyBorder="1" applyAlignment="1">
      <alignment horizontal="center" vertical="center"/>
    </xf>
    <xf numFmtId="37" fontId="6" fillId="0" borderId="13" xfId="19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left" vertical="center"/>
    </xf>
    <xf numFmtId="164" fontId="6" fillId="0" borderId="12" xfId="2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43" fontId="6" fillId="0" borderId="0" xfId="1" applyFont="1" applyAlignment="1">
      <alignment vertical="center"/>
    </xf>
    <xf numFmtId="165" fontId="6" fillId="0" borderId="12" xfId="1" applyNumberFormat="1" applyFont="1" applyFill="1" applyBorder="1" applyAlignment="1">
      <alignment vertical="center"/>
    </xf>
    <xf numFmtId="39" fontId="6" fillId="0" borderId="0" xfId="0" applyNumberFormat="1" applyFont="1" applyAlignment="1">
      <alignment vertical="center"/>
    </xf>
    <xf numFmtId="43" fontId="6" fillId="0" borderId="0" xfId="1" applyFont="1" applyFill="1" applyAlignment="1">
      <alignment vertical="center"/>
    </xf>
    <xf numFmtId="165" fontId="6" fillId="0" borderId="12" xfId="1" applyNumberFormat="1" applyFont="1" applyFill="1" applyBorder="1" applyAlignment="1">
      <alignment horizontal="right" vertical="center"/>
    </xf>
    <xf numFmtId="43" fontId="6" fillId="0" borderId="0" xfId="1" applyFont="1" applyBorder="1" applyAlignment="1">
      <alignment vertical="center"/>
    </xf>
    <xf numFmtId="165" fontId="6" fillId="0" borderId="17" xfId="1" applyNumberFormat="1" applyFont="1" applyFill="1" applyBorder="1" applyAlignment="1">
      <alignment vertical="center"/>
    </xf>
    <xf numFmtId="37" fontId="6" fillId="0" borderId="12" xfId="0" applyNumberFormat="1" applyFont="1" applyBorder="1" applyAlignment="1">
      <alignment vertical="center"/>
    </xf>
    <xf numFmtId="37" fontId="6" fillId="0" borderId="13" xfId="0" applyNumberFormat="1" applyFont="1" applyBorder="1" applyAlignment="1">
      <alignment vertical="center"/>
    </xf>
    <xf numFmtId="164" fontId="3" fillId="0" borderId="18" xfId="2" applyNumberFormat="1" applyFont="1" applyBorder="1" applyAlignment="1">
      <alignment vertical="center"/>
    </xf>
    <xf numFmtId="164" fontId="3" fillId="0" borderId="18" xfId="2" applyNumberFormat="1" applyFont="1" applyFill="1" applyBorder="1" applyAlignment="1">
      <alignment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vertical="center"/>
    </xf>
    <xf numFmtId="37" fontId="6" fillId="0" borderId="15" xfId="1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37" fontId="6" fillId="0" borderId="16" xfId="0" applyNumberFormat="1" applyFont="1" applyBorder="1" applyAlignment="1">
      <alignment vertical="center"/>
    </xf>
    <xf numFmtId="37" fontId="6" fillId="0" borderId="20" xfId="0" applyNumberFormat="1" applyFont="1" applyBorder="1" applyAlignment="1">
      <alignment vertical="center"/>
    </xf>
    <xf numFmtId="37" fontId="6" fillId="0" borderId="8" xfId="0" applyNumberFormat="1" applyFont="1" applyBorder="1" applyAlignment="1">
      <alignment vertical="center"/>
    </xf>
    <xf numFmtId="37" fontId="6" fillId="0" borderId="8" xfId="1" applyNumberFormat="1" applyFont="1" applyBorder="1" applyAlignment="1">
      <alignment vertical="center"/>
    </xf>
    <xf numFmtId="37" fontId="6" fillId="0" borderId="8" xfId="1" applyNumberFormat="1" applyFont="1" applyFill="1" applyBorder="1" applyAlignment="1">
      <alignment vertical="center"/>
    </xf>
    <xf numFmtId="37" fontId="6" fillId="0" borderId="10" xfId="0" applyNumberFormat="1" applyFont="1" applyBorder="1" applyAlignment="1">
      <alignment vertical="center"/>
    </xf>
    <xf numFmtId="37" fontId="14" fillId="0" borderId="21" xfId="0" applyNumberFormat="1" applyFont="1" applyBorder="1" applyAlignment="1">
      <alignment horizontal="left" vertical="center"/>
    </xf>
    <xf numFmtId="37" fontId="6" fillId="0" borderId="21" xfId="14" applyNumberFormat="1" applyFont="1" applyBorder="1" applyAlignment="1">
      <alignment horizontal="center"/>
    </xf>
    <xf numFmtId="164" fontId="6" fillId="0" borderId="0" xfId="2" applyNumberFormat="1" applyFont="1" applyFill="1" applyBorder="1"/>
    <xf numFmtId="37" fontId="6" fillId="0" borderId="1" xfId="0" applyNumberFormat="1" applyFont="1" applyBorder="1" applyAlignment="1">
      <alignment horizontal="right"/>
    </xf>
    <xf numFmtId="165" fontId="6" fillId="0" borderId="0" xfId="1" applyNumberFormat="1" applyFont="1" applyFill="1" applyBorder="1"/>
    <xf numFmtId="165" fontId="6" fillId="0" borderId="1" xfId="1" applyNumberFormat="1" applyFont="1" applyFill="1" applyBorder="1"/>
    <xf numFmtId="37" fontId="7" fillId="0" borderId="13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/>
    <xf numFmtId="166" fontId="6" fillId="0" borderId="21" xfId="14" applyNumberFormat="1" applyFont="1" applyBorder="1" applyAlignment="1">
      <alignment horizontal="center" wrapText="1"/>
    </xf>
    <xf numFmtId="165" fontId="6" fillId="0" borderId="0" xfId="1" applyNumberFormat="1" applyFont="1" applyFill="1" applyBorder="1" applyAlignment="1">
      <alignment vertical="top"/>
    </xf>
    <xf numFmtId="37" fontId="6" fillId="0" borderId="1" xfId="0" applyNumberFormat="1" applyFont="1" applyBorder="1" applyAlignment="1">
      <alignment vertical="center"/>
    </xf>
    <xf numFmtId="37" fontId="6" fillId="0" borderId="21" xfId="14" applyNumberFormat="1" applyFont="1" applyBorder="1" applyAlignment="1">
      <alignment horizontal="center" wrapText="1"/>
    </xf>
    <xf numFmtId="165" fontId="6" fillId="0" borderId="1" xfId="1" applyNumberFormat="1" applyFont="1" applyFill="1" applyBorder="1" applyAlignment="1">
      <alignment vertical="top"/>
    </xf>
    <xf numFmtId="37" fontId="6" fillId="0" borderId="21" xfId="20" applyNumberFormat="1" applyFont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vertical="center"/>
    </xf>
    <xf numFmtId="37" fontId="6" fillId="0" borderId="21" xfId="0" applyNumberFormat="1" applyFont="1" applyBorder="1" applyAlignment="1">
      <alignment vertical="center"/>
    </xf>
    <xf numFmtId="164" fontId="3" fillId="0" borderId="2" xfId="2" applyNumberFormat="1" applyFont="1" applyFill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top"/>
    </xf>
    <xf numFmtId="37" fontId="6" fillId="0" borderId="21" xfId="0" applyNumberFormat="1" applyFont="1" applyBorder="1" applyAlignment="1">
      <alignment vertical="top"/>
    </xf>
    <xf numFmtId="37" fontId="6" fillId="0" borderId="22" xfId="0" applyNumberFormat="1" applyFont="1" applyBorder="1" applyAlignment="1">
      <alignment vertical="center"/>
    </xf>
    <xf numFmtId="37" fontId="6" fillId="0" borderId="3" xfId="0" applyNumberFormat="1" applyFont="1" applyBorder="1" applyAlignment="1">
      <alignment horizontal="left" vertical="center"/>
    </xf>
    <xf numFmtId="166" fontId="6" fillId="0" borderId="0" xfId="0" applyNumberFormat="1" applyFont="1" applyAlignment="1">
      <alignment vertical="center"/>
    </xf>
    <xf numFmtId="37" fontId="10" fillId="0" borderId="0" xfId="0" applyNumberFormat="1" applyFont="1" applyAlignment="1">
      <alignment horizontal="center" vertical="center"/>
    </xf>
    <xf numFmtId="37" fontId="3" fillId="0" borderId="0" xfId="16" applyNumberFormat="1" applyFont="1" applyAlignment="1" applyProtection="1">
      <alignment horizontal="center" vertical="center"/>
      <protection locked="0"/>
    </xf>
    <xf numFmtId="37" fontId="3" fillId="0" borderId="0" xfId="16" applyNumberFormat="1" applyFont="1" applyAlignment="1">
      <alignment vertical="center"/>
    </xf>
    <xf numFmtId="37" fontId="6" fillId="0" borderId="0" xfId="19" applyNumberFormat="1" applyFont="1" applyAlignment="1">
      <alignment horizontal="center" vertical="center"/>
    </xf>
    <xf numFmtId="164" fontId="6" fillId="0" borderId="0" xfId="2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165" fontId="6" fillId="0" borderId="26" xfId="1" applyNumberFormat="1" applyFont="1" applyFill="1" applyBorder="1" applyAlignment="1">
      <alignment vertical="center"/>
    </xf>
    <xf numFmtId="37" fontId="6" fillId="0" borderId="24" xfId="19" applyNumberFormat="1" applyFont="1" applyBorder="1" applyAlignment="1">
      <alignment horizontal="center" vertical="center"/>
    </xf>
    <xf numFmtId="165" fontId="6" fillId="0" borderId="24" xfId="1" applyNumberFormat="1" applyFont="1" applyFill="1" applyBorder="1" applyAlignment="1">
      <alignment vertical="center"/>
    </xf>
    <xf numFmtId="37" fontId="6" fillId="0" borderId="24" xfId="0" applyNumberFormat="1" applyFont="1" applyBorder="1" applyAlignment="1">
      <alignment vertical="center"/>
    </xf>
    <xf numFmtId="37" fontId="6" fillId="0" borderId="9" xfId="19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5" fontId="6" fillId="0" borderId="27" xfId="1" applyNumberFormat="1" applyFont="1" applyFill="1" applyBorder="1" applyAlignment="1">
      <alignment vertical="center"/>
    </xf>
    <xf numFmtId="164" fontId="3" fillId="0" borderId="28" xfId="2" applyNumberFormat="1" applyFont="1" applyFill="1" applyBorder="1" applyAlignment="1">
      <alignment vertical="center"/>
    </xf>
    <xf numFmtId="164" fontId="3" fillId="0" borderId="29" xfId="2" applyNumberFormat="1" applyFont="1" applyFill="1" applyBorder="1" applyAlignment="1">
      <alignment vertical="center"/>
    </xf>
    <xf numFmtId="165" fontId="27" fillId="0" borderId="24" xfId="1" applyNumberFormat="1" applyFont="1" applyFill="1" applyBorder="1" applyAlignment="1">
      <alignment vertical="center"/>
    </xf>
    <xf numFmtId="15" fontId="6" fillId="0" borderId="0" xfId="0" applyNumberFormat="1" applyFont="1" applyAlignment="1">
      <alignment horizontal="center" vertical="center"/>
    </xf>
    <xf numFmtId="164" fontId="6" fillId="3" borderId="0" xfId="2" applyNumberFormat="1" applyFont="1" applyFill="1" applyBorder="1" applyAlignment="1" applyProtection="1">
      <alignment vertical="center"/>
      <protection locked="0"/>
    </xf>
    <xf numFmtId="164" fontId="6" fillId="0" borderId="0" xfId="2" applyNumberFormat="1" applyFont="1" applyFill="1" applyAlignment="1" applyProtection="1">
      <alignment vertical="center"/>
      <protection locked="0"/>
    </xf>
    <xf numFmtId="165" fontId="6" fillId="3" borderId="1" xfId="1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165" fontId="6" fillId="0" borderId="0" xfId="1" applyNumberFormat="1" applyFont="1" applyBorder="1" applyAlignment="1" applyProtection="1">
      <alignment vertical="center"/>
      <protection locked="0"/>
    </xf>
    <xf numFmtId="5" fontId="8" fillId="0" borderId="0" xfId="0" applyNumberFormat="1" applyFont="1" applyAlignment="1">
      <alignment horizontal="left" vertical="center"/>
    </xf>
    <xf numFmtId="10" fontId="6" fillId="2" borderId="1" xfId="0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 applyProtection="1">
      <alignment vertical="center"/>
      <protection locked="0"/>
    </xf>
    <xf numFmtId="164" fontId="6" fillId="0" borderId="0" xfId="2" applyNumberFormat="1" applyFont="1" applyBorder="1" applyAlignment="1">
      <alignment horizontal="right" vertical="center"/>
    </xf>
    <xf numFmtId="5" fontId="6" fillId="0" borderId="0" xfId="0" applyNumberFormat="1" applyFont="1" applyAlignment="1">
      <alignment horizontal="right" vertical="center"/>
    </xf>
    <xf numFmtId="165" fontId="6" fillId="4" borderId="0" xfId="1" applyNumberFormat="1" applyFont="1" applyFill="1" applyAlignment="1">
      <alignment horizontal="right" vertical="center"/>
    </xf>
    <xf numFmtId="165" fontId="6" fillId="2" borderId="0" xfId="1" applyNumberFormat="1" applyFont="1" applyFill="1" applyAlignment="1">
      <alignment horizontal="right" vertical="center"/>
    </xf>
    <xf numFmtId="0" fontId="6" fillId="0" borderId="0" xfId="2" applyNumberFormat="1" applyFont="1" applyFill="1" applyAlignment="1">
      <alignment horizontal="center" vertical="center"/>
    </xf>
    <xf numFmtId="164" fontId="6" fillId="0" borderId="5" xfId="2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5" fontId="6" fillId="0" borderId="0" xfId="14" applyNumberFormat="1" applyFont="1" applyAlignment="1">
      <alignment horizontal="center" vertical="center"/>
    </xf>
    <xf numFmtId="165" fontId="6" fillId="2" borderId="1" xfId="1" applyNumberFormat="1" applyFont="1" applyFill="1" applyBorder="1" applyAlignment="1">
      <alignment vertical="center"/>
    </xf>
    <xf numFmtId="164" fontId="6" fillId="0" borderId="5" xfId="2" applyNumberFormat="1" applyFont="1" applyBorder="1" applyAlignment="1">
      <alignment vertical="center"/>
    </xf>
    <xf numFmtId="10" fontId="6" fillId="0" borderId="2" xfId="2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right" vertical="center"/>
      <protection locked="0"/>
    </xf>
    <xf numFmtId="165" fontId="3" fillId="3" borderId="1" xfId="1" applyNumberFormat="1" applyFont="1" applyFill="1" applyBorder="1" applyAlignment="1" applyProtection="1">
      <alignment vertical="center"/>
      <protection locked="0"/>
    </xf>
    <xf numFmtId="164" fontId="3" fillId="0" borderId="0" xfId="2" applyNumberFormat="1" applyFont="1" applyFill="1" applyBorder="1" applyAlignment="1" applyProtection="1">
      <alignment vertical="center"/>
      <protection locked="0"/>
    </xf>
    <xf numFmtId="164" fontId="3" fillId="0" borderId="4" xfId="2" applyNumberFormat="1" applyFont="1" applyBorder="1" applyAlignment="1">
      <alignment horizontal="right" vertical="center"/>
    </xf>
    <xf numFmtId="164" fontId="3" fillId="0" borderId="2" xfId="2" applyNumberFormat="1" applyFont="1" applyBorder="1" applyAlignment="1">
      <alignment horizontal="right" vertical="center"/>
    </xf>
    <xf numFmtId="165" fontId="3" fillId="2" borderId="0" xfId="11" applyNumberFormat="1" applyFont="1" applyFill="1" applyBorder="1" applyAlignment="1">
      <alignment horizontal="right" vertical="center"/>
    </xf>
    <xf numFmtId="164" fontId="3" fillId="0" borderId="0" xfId="10" applyNumberFormat="1" applyFont="1" applyFill="1" applyAlignment="1" applyProtection="1">
      <alignment horizontal="right" vertical="center"/>
    </xf>
    <xf numFmtId="165" fontId="3" fillId="0" borderId="0" xfId="1" applyNumberFormat="1" applyFont="1"/>
    <xf numFmtId="164" fontId="3" fillId="0" borderId="0" xfId="7" applyNumberFormat="1" applyFont="1" applyFill="1" applyAlignment="1" applyProtection="1">
      <alignment horizontal="right"/>
    </xf>
    <xf numFmtId="164" fontId="3" fillId="0" borderId="0" xfId="10" applyNumberFormat="1" applyFont="1" applyFill="1" applyBorder="1" applyAlignment="1" applyProtection="1">
      <alignment horizontal="right" vertical="center"/>
    </xf>
    <xf numFmtId="0" fontId="6" fillId="0" borderId="0" xfId="14" applyFont="1" applyAlignment="1">
      <alignment horizontal="center" vertical="center"/>
    </xf>
    <xf numFmtId="0" fontId="8" fillId="0" borderId="0" xfId="14" applyFont="1" applyAlignment="1">
      <alignment horizontal="center" vertical="center"/>
    </xf>
    <xf numFmtId="0" fontId="3" fillId="0" borderId="0" xfId="14" applyFont="1" applyAlignment="1">
      <alignment horizontal="center" vertical="center"/>
    </xf>
    <xf numFmtId="0" fontId="3" fillId="0" borderId="0" xfId="14" applyFont="1" applyAlignment="1">
      <alignment vertical="center"/>
    </xf>
    <xf numFmtId="15" fontId="6" fillId="0" borderId="1" xfId="14" applyNumberFormat="1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164" fontId="6" fillId="0" borderId="0" xfId="7" applyNumberFormat="1" applyFont="1" applyBorder="1" applyAlignment="1" applyProtection="1">
      <alignment vertical="center"/>
      <protection locked="0"/>
    </xf>
    <xf numFmtId="5" fontId="3" fillId="0" borderId="0" xfId="14" applyNumberFormat="1" applyFont="1" applyAlignment="1" applyProtection="1">
      <alignment horizontal="center" vertical="center"/>
      <protection locked="0"/>
    </xf>
    <xf numFmtId="164" fontId="6" fillId="3" borderId="0" xfId="7" applyNumberFormat="1" applyFont="1" applyFill="1" applyAlignment="1" applyProtection="1">
      <alignment vertical="center"/>
      <protection locked="0"/>
    </xf>
    <xf numFmtId="5" fontId="6" fillId="0" borderId="0" xfId="14" applyNumberFormat="1" applyFont="1" applyAlignment="1" applyProtection="1">
      <alignment vertical="center"/>
      <protection locked="0"/>
    </xf>
    <xf numFmtId="5" fontId="6" fillId="0" borderId="0" xfId="14" applyNumberFormat="1" applyFont="1" applyAlignment="1" applyProtection="1">
      <alignment horizontal="center" vertical="center"/>
      <protection locked="0"/>
    </xf>
    <xf numFmtId="10" fontId="6" fillId="0" borderId="0" xfId="14" applyNumberFormat="1" applyFont="1" applyAlignment="1" applyProtection="1">
      <alignment vertical="center"/>
      <protection locked="0"/>
    </xf>
    <xf numFmtId="10" fontId="6" fillId="0" borderId="0" xfId="14" applyNumberFormat="1" applyFont="1" applyAlignment="1" applyProtection="1">
      <alignment horizontal="center" vertical="center"/>
      <protection locked="0"/>
    </xf>
    <xf numFmtId="10" fontId="6" fillId="2" borderId="1" xfId="14" applyNumberFormat="1" applyFont="1" applyFill="1" applyBorder="1" applyAlignment="1" applyProtection="1">
      <alignment horizontal="right" vertical="center"/>
      <protection locked="0"/>
    </xf>
    <xf numFmtId="164" fontId="6" fillId="0" borderId="0" xfId="7" applyNumberFormat="1" applyFont="1" applyBorder="1" applyAlignment="1" applyProtection="1">
      <alignment horizontal="right" vertical="center"/>
      <protection locked="0"/>
    </xf>
    <xf numFmtId="164" fontId="6" fillId="0" borderId="2" xfId="7" applyNumberFormat="1" applyFont="1" applyBorder="1" applyAlignment="1" applyProtection="1">
      <alignment horizontal="right" vertical="center"/>
      <protection locked="0"/>
    </xf>
    <xf numFmtId="165" fontId="6" fillId="0" borderId="0" xfId="11" applyNumberFormat="1" applyFont="1" applyBorder="1" applyAlignment="1">
      <alignment vertical="center"/>
    </xf>
    <xf numFmtId="164" fontId="6" fillId="0" borderId="0" xfId="7" applyNumberFormat="1" applyFont="1" applyBorder="1" applyAlignment="1">
      <alignment vertical="center"/>
    </xf>
    <xf numFmtId="164" fontId="6" fillId="3" borderId="1" xfId="7" applyNumberFormat="1" applyFont="1" applyFill="1" applyBorder="1" applyAlignment="1" applyProtection="1">
      <alignment horizontal="center" vertical="center"/>
      <protection locked="0"/>
    </xf>
    <xf numFmtId="165" fontId="6" fillId="0" borderId="0" xfId="11" applyNumberFormat="1" applyFont="1" applyBorder="1" applyAlignment="1" applyProtection="1">
      <alignment vertical="center"/>
      <protection locked="0"/>
    </xf>
    <xf numFmtId="165" fontId="6" fillId="0" borderId="0" xfId="11" applyNumberFormat="1" applyFont="1" applyAlignment="1" applyProtection="1">
      <alignment vertical="center"/>
      <protection locked="0"/>
    </xf>
    <xf numFmtId="0" fontId="18" fillId="0" borderId="0" xfId="14" applyFont="1" applyAlignment="1">
      <alignment vertical="center"/>
    </xf>
    <xf numFmtId="164" fontId="6" fillId="2" borderId="0" xfId="7" applyNumberFormat="1" applyFont="1" applyFill="1" applyAlignment="1" applyProtection="1">
      <alignment vertical="center"/>
      <protection locked="0"/>
    </xf>
    <xf numFmtId="164" fontId="6" fillId="0" borderId="0" xfId="7" applyNumberFormat="1" applyFont="1" applyFill="1" applyBorder="1" applyAlignment="1" applyProtection="1">
      <alignment vertical="center"/>
      <protection locked="0"/>
    </xf>
    <xf numFmtId="165" fontId="6" fillId="0" borderId="0" xfId="11" applyNumberFormat="1" applyFont="1" applyFill="1" applyBorder="1" applyAlignment="1" applyProtection="1">
      <alignment vertical="center"/>
      <protection locked="0"/>
    </xf>
    <xf numFmtId="165" fontId="6" fillId="2" borderId="1" xfId="1" applyNumberFormat="1" applyFont="1" applyFill="1" applyBorder="1" applyAlignment="1" applyProtection="1">
      <alignment vertical="center"/>
      <protection locked="0"/>
    </xf>
    <xf numFmtId="10" fontId="6" fillId="3" borderId="1" xfId="12" applyNumberFormat="1" applyFont="1" applyFill="1" applyBorder="1" applyAlignment="1">
      <alignment vertical="center"/>
    </xf>
    <xf numFmtId="10" fontId="6" fillId="0" borderId="0" xfId="12" applyNumberFormat="1" applyFont="1" applyBorder="1" applyAlignment="1">
      <alignment vertical="center"/>
    </xf>
    <xf numFmtId="164" fontId="3" fillId="0" borderId="0" xfId="7" applyNumberFormat="1" applyFont="1" applyFill="1" applyAlignment="1" applyProtection="1">
      <alignment vertical="center"/>
      <protection locked="0"/>
    </xf>
    <xf numFmtId="10" fontId="6" fillId="0" borderId="1" xfId="12" applyNumberFormat="1" applyFont="1" applyFill="1" applyBorder="1" applyAlignment="1">
      <alignment vertical="center"/>
    </xf>
    <xf numFmtId="0" fontId="6" fillId="0" borderId="0" xfId="14" applyFont="1" applyAlignment="1">
      <alignment horizontal="left" vertical="center"/>
    </xf>
    <xf numFmtId="167" fontId="6" fillId="2" borderId="1" xfId="12" applyNumberFormat="1" applyFont="1" applyFill="1" applyBorder="1" applyAlignment="1">
      <alignment horizontal="right" vertical="center"/>
    </xf>
    <xf numFmtId="164" fontId="6" fillId="0" borderId="2" xfId="2" applyNumberFormat="1" applyFont="1" applyBorder="1" applyAlignment="1" applyProtection="1">
      <alignment horizontal="right" vertical="center"/>
      <protection locked="0"/>
    </xf>
    <xf numFmtId="164" fontId="6" fillId="0" borderId="0" xfId="2" applyNumberFormat="1" applyFont="1" applyBorder="1" applyAlignment="1" applyProtection="1">
      <alignment horizontal="right" vertical="center"/>
      <protection locked="0"/>
    </xf>
    <xf numFmtId="0" fontId="10" fillId="0" borderId="0" xfId="14" quotePrefix="1" applyFont="1" applyAlignment="1">
      <alignment horizontal="center" vertical="center"/>
    </xf>
    <xf numFmtId="165" fontId="3" fillId="2" borderId="0" xfId="11" applyNumberFormat="1" applyFont="1" applyFill="1" applyBorder="1" applyAlignment="1" applyProtection="1">
      <alignment horizontal="right" vertical="center"/>
      <protection locked="0"/>
    </xf>
    <xf numFmtId="164" fontId="3" fillId="0" borderId="0" xfId="7" applyNumberFormat="1" applyFont="1" applyAlignment="1">
      <alignment horizontal="right" vertical="center"/>
    </xf>
    <xf numFmtId="164" fontId="3" fillId="0" borderId="2" xfId="7" applyNumberFormat="1" applyFont="1" applyBorder="1" applyAlignment="1" applyProtection="1">
      <alignment horizontal="right" vertical="center"/>
      <protection locked="0"/>
    </xf>
    <xf numFmtId="165" fontId="3" fillId="2" borderId="1" xfId="11" applyNumberFormat="1" applyFont="1" applyFill="1" applyBorder="1" applyAlignment="1" applyProtection="1">
      <alignment horizontal="right" vertical="center"/>
      <protection locked="0"/>
    </xf>
    <xf numFmtId="165" fontId="3" fillId="0" borderId="1" xfId="11" applyNumberFormat="1" applyFont="1" applyFill="1" applyBorder="1" applyAlignment="1" applyProtection="1">
      <alignment horizontal="right"/>
    </xf>
    <xf numFmtId="166" fontId="6" fillId="0" borderId="11" xfId="0" applyNumberFormat="1" applyFont="1" applyBorder="1" applyAlignment="1">
      <alignment horizontal="center" vertical="center"/>
    </xf>
    <xf numFmtId="0" fontId="28" fillId="0" borderId="0" xfId="4" applyFont="1"/>
    <xf numFmtId="0" fontId="29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29" fillId="0" borderId="0" xfId="4" applyFont="1" applyAlignment="1">
      <alignment horizontal="centerContinuous"/>
    </xf>
    <xf numFmtId="0" fontId="14" fillId="0" borderId="0" xfId="4" quotePrefix="1" applyFont="1" applyAlignment="1">
      <alignment horizontal="center"/>
    </xf>
    <xf numFmtId="0" fontId="14" fillId="0" borderId="0" xfId="4" applyFont="1"/>
    <xf numFmtId="0" fontId="14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64" fontId="6" fillId="0" borderId="0" xfId="5" applyNumberFormat="1" applyFont="1"/>
    <xf numFmtId="165" fontId="6" fillId="0" borderId="1" xfId="6" applyNumberFormat="1" applyFont="1" applyBorder="1"/>
    <xf numFmtId="165" fontId="6" fillId="0" borderId="0" xfId="6" applyNumberFormat="1" applyFont="1"/>
    <xf numFmtId="165" fontId="6" fillId="0" borderId="0" xfId="6" applyNumberFormat="1" applyFont="1" applyBorder="1"/>
    <xf numFmtId="0" fontId="6" fillId="0" borderId="0" xfId="4" applyFont="1" applyAlignment="1">
      <alignment horizontal="left"/>
    </xf>
    <xf numFmtId="165" fontId="6" fillId="0" borderId="0" xfId="1" applyNumberFormat="1" applyFont="1" applyBorder="1"/>
    <xf numFmtId="0" fontId="3" fillId="0" borderId="0" xfId="4" applyFont="1"/>
    <xf numFmtId="164" fontId="6" fillId="0" borderId="0" xfId="4" applyNumberFormat="1" applyFont="1"/>
    <xf numFmtId="164" fontId="3" fillId="0" borderId="2" xfId="5" applyNumberFormat="1" applyFont="1" applyBorder="1"/>
    <xf numFmtId="0" fontId="31" fillId="0" borderId="0" xfId="4" applyFont="1" applyAlignment="1">
      <alignment horizontal="center"/>
    </xf>
    <xf numFmtId="166" fontId="3" fillId="0" borderId="11" xfId="0" applyNumberFormat="1" applyFont="1" applyBorder="1" applyAlignment="1">
      <alignment horizontal="center" vertical="center"/>
    </xf>
    <xf numFmtId="15" fontId="6" fillId="2" borderId="1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left" vertical="center"/>
    </xf>
    <xf numFmtId="164" fontId="6" fillId="3" borderId="0" xfId="0" applyNumberFormat="1" applyFont="1" applyFill="1" applyAlignment="1">
      <alignment vertical="center"/>
    </xf>
    <xf numFmtId="41" fontId="6" fillId="3" borderId="0" xfId="0" applyNumberFormat="1" applyFont="1" applyFill="1" applyAlignment="1">
      <alignment vertical="center"/>
    </xf>
    <xf numFmtId="41" fontId="6" fillId="0" borderId="0" xfId="0" applyNumberFormat="1" applyFont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5" fontId="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10" fillId="0" borderId="0" xfId="0" quotePrefix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165" fontId="6" fillId="3" borderId="0" xfId="0" applyNumberFormat="1" applyFont="1" applyFill="1" applyAlignment="1" applyProtection="1">
      <alignment vertical="center"/>
      <protection locked="0"/>
    </xf>
    <xf numFmtId="165" fontId="6" fillId="3" borderId="1" xfId="0" applyNumberFormat="1" applyFont="1" applyFill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34" fillId="0" borderId="0" xfId="0" quotePrefix="1" applyFont="1" applyAlignment="1">
      <alignment horizontal="center" vertical="center"/>
    </xf>
    <xf numFmtId="165" fontId="34" fillId="0" borderId="0" xfId="0" applyNumberFormat="1" applyFont="1"/>
    <xf numFmtId="0" fontId="36" fillId="0" borderId="0" xfId="0" applyFont="1" applyAlignment="1">
      <alignment horizontal="center"/>
    </xf>
    <xf numFmtId="165" fontId="37" fillId="0" borderId="0" xfId="0" applyNumberFormat="1" applyFont="1"/>
    <xf numFmtId="15" fontId="6" fillId="2" borderId="1" xfId="14" applyNumberFormat="1" applyFont="1" applyFill="1" applyBorder="1" applyAlignment="1">
      <alignment horizontal="center" vertical="center"/>
    </xf>
    <xf numFmtId="164" fontId="6" fillId="3" borderId="0" xfId="2" applyNumberFormat="1" applyFont="1" applyFill="1" applyAlignment="1">
      <alignment horizontal="left" vertical="center"/>
    </xf>
    <xf numFmtId="164" fontId="6" fillId="3" borderId="0" xfId="2" applyNumberFormat="1" applyFont="1" applyFill="1" applyAlignment="1">
      <alignment vertical="center"/>
    </xf>
    <xf numFmtId="165" fontId="6" fillId="3" borderId="1" xfId="2" applyNumberFormat="1" applyFont="1" applyFill="1" applyBorder="1" applyAlignment="1">
      <alignment vertical="center"/>
    </xf>
    <xf numFmtId="164" fontId="10" fillId="0" borderId="0" xfId="2" applyNumberFormat="1" applyFont="1" applyFill="1" applyAlignment="1">
      <alignment horizontal="center" vertical="center"/>
    </xf>
    <xf numFmtId="164" fontId="6" fillId="3" borderId="0" xfId="2" applyNumberFormat="1" applyFont="1" applyFill="1" applyBorder="1" applyAlignment="1">
      <alignment vertical="center"/>
    </xf>
    <xf numFmtId="164" fontId="6" fillId="0" borderId="2" xfId="2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4" fontId="6" fillId="0" borderId="0" xfId="2" applyNumberFormat="1" applyFont="1" applyFill="1" applyAlignment="1">
      <alignment vertical="center"/>
    </xf>
    <xf numFmtId="0" fontId="22" fillId="0" borderId="0" xfId="14" applyFont="1" applyAlignment="1">
      <alignment horizontal="center" vertical="center"/>
    </xf>
    <xf numFmtId="164" fontId="6" fillId="0" borderId="6" xfId="2" applyNumberFormat="1" applyFont="1" applyFill="1" applyBorder="1" applyAlignment="1">
      <alignment horizontal="center" vertical="center"/>
    </xf>
    <xf numFmtId="165" fontId="6" fillId="0" borderId="0" xfId="11" applyNumberFormat="1" applyFont="1" applyAlignment="1">
      <alignment vertical="center"/>
    </xf>
    <xf numFmtId="164" fontId="6" fillId="0" borderId="0" xfId="7" applyNumberFormat="1" applyFont="1" applyAlignment="1">
      <alignment horizontal="center" vertical="center"/>
    </xf>
    <xf numFmtId="164" fontId="6" fillId="0" borderId="2" xfId="7" applyNumberFormat="1" applyFont="1" applyBorder="1" applyAlignment="1">
      <alignment vertical="center"/>
    </xf>
    <xf numFmtId="0" fontId="10" fillId="0" borderId="0" xfId="14" applyFont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horizontal="centerContinuous"/>
    </xf>
    <xf numFmtId="0" fontId="40" fillId="0" borderId="0" xfId="0" applyFont="1" applyAlignment="1">
      <alignment horizontal="centerContinuous"/>
    </xf>
    <xf numFmtId="0" fontId="40" fillId="0" borderId="0" xfId="0" applyFont="1"/>
    <xf numFmtId="165" fontId="39" fillId="0" borderId="0" xfId="1" quotePrefix="1" applyNumberFormat="1" applyFont="1" applyAlignment="1">
      <alignment horizontal="centerContinuous"/>
    </xf>
    <xf numFmtId="165" fontId="39" fillId="0" borderId="0" xfId="1" quotePrefix="1" applyNumberFormat="1" applyFont="1"/>
    <xf numFmtId="165" fontId="39" fillId="0" borderId="0" xfId="1" applyNumberFormat="1" applyFont="1" applyAlignment="1">
      <alignment horizontal="centerContinuous"/>
    </xf>
    <xf numFmtId="165" fontId="41" fillId="0" borderId="0" xfId="1" applyNumberFormat="1" applyFont="1" applyAlignment="1">
      <alignment horizontal="centerContinuous"/>
    </xf>
    <xf numFmtId="165" fontId="32" fillId="0" borderId="0" xfId="1" applyNumberFormat="1" applyFont="1"/>
    <xf numFmtId="165" fontId="36" fillId="0" borderId="0" xfId="1" applyNumberFormat="1" applyFont="1"/>
    <xf numFmtId="165" fontId="36" fillId="0" borderId="0" xfId="1" quotePrefix="1" applyNumberFormat="1" applyFont="1"/>
    <xf numFmtId="0" fontId="36" fillId="0" borderId="0" xfId="0" applyFont="1"/>
    <xf numFmtId="165" fontId="36" fillId="0" borderId="0" xfId="1" quotePrefix="1" applyNumberFormat="1" applyFont="1" applyAlignment="1">
      <alignment horizontal="right"/>
    </xf>
    <xf numFmtId="175" fontId="36" fillId="3" borderId="0" xfId="1" quotePrefix="1" applyNumberFormat="1" applyFont="1" applyFill="1" applyAlignment="1">
      <alignment horizontal="center"/>
    </xf>
    <xf numFmtId="165" fontId="40" fillId="0" borderId="0" xfId="1" applyNumberFormat="1" applyFont="1"/>
    <xf numFmtId="165" fontId="1" fillId="0" borderId="0" xfId="1" applyNumberFormat="1"/>
    <xf numFmtId="165" fontId="0" fillId="0" borderId="0" xfId="1" applyNumberFormat="1" applyFont="1"/>
    <xf numFmtId="165" fontId="36" fillId="0" borderId="0" xfId="1" applyNumberFormat="1" applyFont="1" applyAlignment="1">
      <alignment horizontal="center"/>
    </xf>
    <xf numFmtId="165" fontId="42" fillId="0" borderId="0" xfId="1" quotePrefix="1" applyNumberFormat="1" applyFont="1" applyAlignment="1">
      <alignment horizontal="center"/>
    </xf>
    <xf numFmtId="165" fontId="40" fillId="0" borderId="0" xfId="1" applyNumberFormat="1" applyFont="1" applyAlignment="1">
      <alignment horizontal="center"/>
    </xf>
    <xf numFmtId="165" fontId="1" fillId="0" borderId="0" xfId="1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165" fontId="36" fillId="0" borderId="30" xfId="1" applyNumberFormat="1" applyFont="1" applyBorder="1" applyAlignment="1">
      <alignment horizontal="center" vertical="center"/>
    </xf>
    <xf numFmtId="165" fontId="43" fillId="0" borderId="30" xfId="1" quotePrefix="1" applyNumberFormat="1" applyFont="1" applyBorder="1" applyAlignment="1">
      <alignment horizontal="center" vertical="center"/>
    </xf>
    <xf numFmtId="165" fontId="36" fillId="0" borderId="30" xfId="1" quotePrefix="1" applyNumberFormat="1" applyFont="1" applyBorder="1" applyAlignment="1">
      <alignment horizontal="center" vertical="center"/>
    </xf>
    <xf numFmtId="165" fontId="36" fillId="0" borderId="3" xfId="1" applyNumberFormat="1" applyFont="1" applyBorder="1" applyAlignment="1">
      <alignment horizontal="center" wrapText="1"/>
    </xf>
    <xf numFmtId="165" fontId="36" fillId="0" borderId="3" xfId="1" applyNumberFormat="1" applyFont="1" applyBorder="1" applyAlignment="1">
      <alignment horizontal="center"/>
    </xf>
    <xf numFmtId="165" fontId="36" fillId="0" borderId="30" xfId="1" applyNumberFormat="1" applyFont="1" applyBorder="1" applyAlignment="1">
      <alignment horizontal="center" wrapText="1"/>
    </xf>
    <xf numFmtId="165" fontId="36" fillId="0" borderId="30" xfId="1" applyNumberFormat="1" applyFont="1" applyBorder="1" applyAlignment="1">
      <alignment horizontal="center" vertical="center" wrapText="1"/>
    </xf>
    <xf numFmtId="165" fontId="36" fillId="0" borderId="31" xfId="1" applyNumberFormat="1" applyFont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0" fontId="36" fillId="0" borderId="0" xfId="1" applyNumberFormat="1" applyFont="1" applyAlignment="1">
      <alignment horizontal="center"/>
    </xf>
    <xf numFmtId="0" fontId="45" fillId="0" borderId="0" xfId="1" applyNumberFormat="1" applyFont="1"/>
    <xf numFmtId="165" fontId="46" fillId="0" borderId="0" xfId="1" applyNumberFormat="1" applyFont="1"/>
    <xf numFmtId="165" fontId="36" fillId="0" borderId="0" xfId="1" applyNumberFormat="1" applyFont="1" applyFill="1"/>
    <xf numFmtId="165" fontId="36" fillId="3" borderId="0" xfId="1" applyNumberFormat="1" applyFont="1" applyFill="1"/>
    <xf numFmtId="0" fontId="36" fillId="0" borderId="0" xfId="1" applyNumberFormat="1" applyFont="1"/>
    <xf numFmtId="165" fontId="36" fillId="0" borderId="4" xfId="18" applyNumberFormat="1" applyFont="1" applyBorder="1"/>
    <xf numFmtId="165" fontId="39" fillId="0" borderId="0" xfId="1" applyNumberFormat="1" applyFont="1"/>
    <xf numFmtId="165" fontId="36" fillId="0" borderId="2" xfId="1" applyNumberFormat="1" applyFont="1" applyBorder="1"/>
    <xf numFmtId="41" fontId="36" fillId="0" borderId="0" xfId="18" applyFont="1"/>
    <xf numFmtId="165" fontId="45" fillId="0" borderId="0" xfId="1" applyNumberFormat="1" applyFont="1"/>
    <xf numFmtId="0" fontId="39" fillId="0" borderId="0" xfId="1" applyNumberFormat="1" applyFont="1"/>
    <xf numFmtId="165" fontId="36" fillId="0" borderId="6" xfId="1" applyNumberFormat="1" applyFont="1" applyBorder="1"/>
    <xf numFmtId="0" fontId="36" fillId="0" borderId="0" xfId="1" quotePrefix="1" applyNumberFormat="1" applyFont="1" applyAlignment="1">
      <alignment horizontal="center"/>
    </xf>
    <xf numFmtId="41" fontId="36" fillId="0" borderId="4" xfId="18" applyFont="1" applyBorder="1"/>
    <xf numFmtId="41" fontId="36" fillId="0" borderId="1" xfId="0" applyNumberFormat="1" applyFont="1" applyBorder="1"/>
    <xf numFmtId="41" fontId="36" fillId="3" borderId="1" xfId="0" applyNumberFormat="1" applyFont="1" applyFill="1" applyBorder="1"/>
    <xf numFmtId="0" fontId="36" fillId="0" borderId="4" xfId="0" applyFont="1" applyBorder="1"/>
    <xf numFmtId="165" fontId="36" fillId="0" borderId="32" xfId="18" applyNumberFormat="1" applyFont="1" applyBorder="1"/>
    <xf numFmtId="0" fontId="39" fillId="0" borderId="0" xfId="1" applyNumberFormat="1" applyFont="1" applyAlignment="1">
      <alignment horizontal="center"/>
    </xf>
    <xf numFmtId="165" fontId="35" fillId="0" borderId="0" xfId="1" applyNumberFormat="1" applyFont="1"/>
    <xf numFmtId="165" fontId="37" fillId="0" borderId="0" xfId="1" applyNumberFormat="1" applyFont="1"/>
    <xf numFmtId="165" fontId="47" fillId="0" borderId="0" xfId="1" applyNumberFormat="1" applyFont="1"/>
    <xf numFmtId="165" fontId="36" fillId="0" borderId="0" xfId="1" applyNumberFormat="1" applyFont="1" applyAlignment="1">
      <alignment horizontal="left" indent="1"/>
    </xf>
    <xf numFmtId="165" fontId="36" fillId="0" borderId="0" xfId="1" applyNumberFormat="1" applyFont="1" applyAlignment="1">
      <alignment horizontal="right"/>
    </xf>
    <xf numFmtId="175" fontId="36" fillId="0" borderId="0" xfId="1" applyNumberFormat="1" applyFont="1" applyAlignment="1">
      <alignment horizontal="right"/>
    </xf>
    <xf numFmtId="0" fontId="39" fillId="0" borderId="0" xfId="0" applyFont="1"/>
    <xf numFmtId="165" fontId="1" fillId="0" borderId="0" xfId="1" applyNumberFormat="1" applyAlignment="1">
      <alignment horizontal="center" vertical="center" wrapText="1"/>
    </xf>
    <xf numFmtId="41" fontId="36" fillId="0" borderId="4" xfId="18" applyFont="1" applyFill="1" applyBorder="1"/>
    <xf numFmtId="165" fontId="36" fillId="0" borderId="2" xfId="1" applyNumberFormat="1" applyFont="1" applyFill="1" applyBorder="1"/>
    <xf numFmtId="41" fontId="36" fillId="0" borderId="0" xfId="18" applyFont="1" applyFill="1"/>
    <xf numFmtId="165" fontId="36" fillId="0" borderId="6" xfId="1" applyNumberFormat="1" applyFont="1" applyFill="1" applyBorder="1"/>
    <xf numFmtId="165" fontId="36" fillId="0" borderId="1" xfId="1" applyNumberFormat="1" applyFont="1" applyBorder="1"/>
    <xf numFmtId="0" fontId="46" fillId="0" borderId="0" xfId="0" applyFont="1"/>
    <xf numFmtId="41" fontId="3" fillId="3" borderId="0" xfId="0" applyNumberFormat="1" applyFont="1" applyFill="1" applyAlignment="1">
      <alignment vertical="center"/>
    </xf>
    <xf numFmtId="41" fontId="3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13" fillId="0" borderId="0" xfId="0" applyFont="1"/>
    <xf numFmtId="164" fontId="3" fillId="0" borderId="0" xfId="0" applyNumberFormat="1" applyFont="1" applyAlignment="1">
      <alignment vertical="center"/>
    </xf>
    <xf numFmtId="165" fontId="3" fillId="3" borderId="0" xfId="0" applyNumberFormat="1" applyFont="1" applyFill="1" applyAlignment="1" applyProtection="1">
      <alignment vertical="center"/>
      <protection locked="0"/>
    </xf>
    <xf numFmtId="164" fontId="3" fillId="0" borderId="6" xfId="0" applyNumberFormat="1" applyFont="1" applyBorder="1" applyAlignment="1">
      <alignment horizontal="center" vertical="center"/>
    </xf>
    <xf numFmtId="164" fontId="3" fillId="2" borderId="0" xfId="10" applyNumberFormat="1" applyFont="1" applyFill="1" applyBorder="1" applyAlignment="1" applyProtection="1">
      <alignment horizontal="right" vertical="center"/>
    </xf>
    <xf numFmtId="164" fontId="3" fillId="2" borderId="0" xfId="2" applyNumberFormat="1" applyFont="1" applyFill="1" applyAlignment="1">
      <alignment horizontal="center" vertical="center"/>
    </xf>
    <xf numFmtId="167" fontId="3" fillId="0" borderId="0" xfId="3" applyNumberFormat="1" applyFont="1" applyAlignment="1">
      <alignment horizontal="right" vertical="center"/>
    </xf>
    <xf numFmtId="167" fontId="3" fillId="0" borderId="0" xfId="3" applyNumberFormat="1" applyFont="1" applyFill="1" applyAlignment="1">
      <alignment horizontal="right" vertical="center"/>
    </xf>
    <xf numFmtId="167" fontId="3" fillId="0" borderId="1" xfId="3" applyNumberFormat="1" applyFont="1" applyBorder="1" applyAlignment="1">
      <alignment horizontal="right" vertical="center"/>
    </xf>
    <xf numFmtId="167" fontId="3" fillId="0" borderId="2" xfId="3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/>
    </xf>
    <xf numFmtId="167" fontId="3" fillId="2" borderId="0" xfId="9" applyNumberFormat="1" applyFont="1" applyFill="1" applyAlignment="1">
      <alignment horizontal="right" vertical="center"/>
    </xf>
    <xf numFmtId="167" fontId="3" fillId="2" borderId="1" xfId="9" applyNumberFormat="1" applyFont="1" applyFill="1" applyBorder="1" applyAlignment="1">
      <alignment horizontal="right" vertical="center"/>
    </xf>
    <xf numFmtId="167" fontId="3" fillId="2" borderId="0" xfId="9" quotePrefix="1" applyNumberFormat="1" applyFont="1" applyFill="1" applyBorder="1" applyAlignment="1">
      <alignment horizontal="right" vertical="center"/>
    </xf>
    <xf numFmtId="167" fontId="3" fillId="0" borderId="0" xfId="3" applyNumberFormat="1" applyFont="1"/>
    <xf numFmtId="167" fontId="3" fillId="0" borderId="1" xfId="9" applyNumberFormat="1" applyFont="1" applyFill="1" applyBorder="1" applyAlignment="1">
      <alignment horizontal="right" vertical="center"/>
    </xf>
    <xf numFmtId="167" fontId="3" fillId="0" borderId="1" xfId="3" quotePrefix="1" applyNumberFormat="1" applyFont="1" applyFill="1" applyBorder="1" applyAlignment="1">
      <alignment horizontal="right"/>
    </xf>
    <xf numFmtId="167" fontId="3" fillId="0" borderId="0" xfId="9" quotePrefix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vertical="center"/>
    </xf>
    <xf numFmtId="164" fontId="3" fillId="0" borderId="0" xfId="2" applyNumberFormat="1" applyFont="1" applyBorder="1"/>
    <xf numFmtId="165" fontId="35" fillId="0" borderId="0" xfId="0" applyNumberFormat="1" applyFont="1"/>
    <xf numFmtId="165" fontId="39" fillId="0" borderId="0" xfId="0" quotePrefix="1" applyNumberFormat="1" applyFont="1" applyAlignment="1">
      <alignment horizontal="centerContinuous"/>
    </xf>
    <xf numFmtId="165" fontId="39" fillId="0" borderId="0" xfId="0" quotePrefix="1" applyNumberFormat="1" applyFont="1"/>
    <xf numFmtId="165" fontId="39" fillId="0" borderId="0" xfId="0" applyNumberFormat="1" applyFont="1" applyAlignment="1">
      <alignment horizontal="centerContinuous"/>
    </xf>
    <xf numFmtId="165" fontId="41" fillId="0" borderId="0" xfId="0" applyNumberFormat="1" applyFont="1" applyAlignment="1">
      <alignment horizontal="centerContinuous"/>
    </xf>
    <xf numFmtId="165" fontId="32" fillId="0" borderId="0" xfId="0" applyNumberFormat="1" applyFont="1"/>
    <xf numFmtId="165" fontId="36" fillId="0" borderId="0" xfId="0" applyNumberFormat="1" applyFont="1"/>
    <xf numFmtId="165" fontId="39" fillId="0" borderId="0" xfId="0" applyNumberFormat="1" applyFont="1"/>
    <xf numFmtId="165" fontId="36" fillId="0" borderId="0" xfId="0" quotePrefix="1" applyNumberFormat="1" applyFont="1" applyAlignment="1">
      <alignment horizontal="right"/>
    </xf>
    <xf numFmtId="175" fontId="36" fillId="3" borderId="0" xfId="0" quotePrefix="1" applyNumberFormat="1" applyFont="1" applyFill="1" applyAlignment="1">
      <alignment horizontal="center"/>
    </xf>
    <xf numFmtId="165" fontId="40" fillId="0" borderId="0" xfId="0" applyNumberFormat="1" applyFont="1"/>
    <xf numFmtId="165" fontId="0" fillId="0" borderId="0" xfId="0" applyNumberFormat="1"/>
    <xf numFmtId="165" fontId="36" fillId="0" borderId="0" xfId="0" applyNumberFormat="1" applyFont="1" applyAlignment="1">
      <alignment horizontal="center"/>
    </xf>
    <xf numFmtId="165" fontId="42" fillId="0" borderId="0" xfId="0" quotePrefix="1" applyNumberFormat="1" applyFont="1" applyAlignment="1">
      <alignment horizontal="center"/>
    </xf>
    <xf numFmtId="165" fontId="4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36" fillId="0" borderId="30" xfId="0" applyNumberFormat="1" applyFont="1" applyBorder="1" applyAlignment="1">
      <alignment horizontal="center" vertical="center"/>
    </xf>
    <xf numFmtId="165" fontId="43" fillId="0" borderId="30" xfId="0" quotePrefix="1" applyNumberFormat="1" applyFont="1" applyBorder="1" applyAlignment="1">
      <alignment horizontal="center" vertical="center"/>
    </xf>
    <xf numFmtId="165" fontId="36" fillId="0" borderId="30" xfId="0" quotePrefix="1" applyNumberFormat="1" applyFont="1" applyBorder="1" applyAlignment="1">
      <alignment horizontal="center" vertical="center"/>
    </xf>
    <xf numFmtId="165" fontId="36" fillId="0" borderId="3" xfId="0" applyNumberFormat="1" applyFont="1" applyBorder="1" applyAlignment="1">
      <alignment horizontal="center" wrapText="1"/>
    </xf>
    <xf numFmtId="165" fontId="36" fillId="0" borderId="3" xfId="0" applyNumberFormat="1" applyFont="1" applyBorder="1" applyAlignment="1">
      <alignment horizontal="center"/>
    </xf>
    <xf numFmtId="165" fontId="36" fillId="0" borderId="30" xfId="0" applyNumberFormat="1" applyFont="1" applyBorder="1" applyAlignment="1">
      <alignment horizontal="center" wrapText="1"/>
    </xf>
    <xf numFmtId="165" fontId="36" fillId="0" borderId="30" xfId="0" applyNumberFormat="1" applyFont="1" applyBorder="1" applyAlignment="1">
      <alignment horizontal="center" vertical="center" wrapText="1"/>
    </xf>
    <xf numFmtId="165" fontId="36" fillId="0" borderId="3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45" fillId="0" borderId="0" xfId="0" applyFont="1"/>
    <xf numFmtId="165" fontId="46" fillId="0" borderId="0" xfId="0" applyNumberFormat="1" applyFont="1"/>
    <xf numFmtId="165" fontId="36" fillId="3" borderId="0" xfId="0" applyNumberFormat="1" applyFont="1" applyFill="1"/>
    <xf numFmtId="41" fontId="36" fillId="0" borderId="4" xfId="0" applyNumberFormat="1" applyFont="1" applyBorder="1"/>
    <xf numFmtId="165" fontId="36" fillId="0" borderId="2" xfId="0" applyNumberFormat="1" applyFont="1" applyBorder="1"/>
    <xf numFmtId="41" fontId="36" fillId="0" borderId="0" xfId="0" applyNumberFormat="1" applyFont="1"/>
    <xf numFmtId="165" fontId="45" fillId="0" borderId="0" xfId="0" applyNumberFormat="1" applyFont="1"/>
    <xf numFmtId="41" fontId="48" fillId="0" borderId="0" xfId="0" applyNumberFormat="1" applyFont="1"/>
    <xf numFmtId="0" fontId="48" fillId="0" borderId="0" xfId="0" applyFont="1"/>
    <xf numFmtId="165" fontId="36" fillId="0" borderId="6" xfId="0" applyNumberFormat="1" applyFont="1" applyBorder="1"/>
    <xf numFmtId="41" fontId="49" fillId="0" borderId="0" xfId="0" applyNumberFormat="1" applyFont="1"/>
    <xf numFmtId="0" fontId="49" fillId="0" borderId="0" xfId="0" applyFont="1"/>
    <xf numFmtId="0" fontId="36" fillId="0" borderId="0" xfId="0" quotePrefix="1" applyFont="1" applyAlignment="1">
      <alignment horizontal="center"/>
    </xf>
    <xf numFmtId="165" fontId="36" fillId="0" borderId="1" xfId="0" applyNumberFormat="1" applyFont="1" applyBorder="1"/>
    <xf numFmtId="165" fontId="36" fillId="0" borderId="32" xfId="0" applyNumberFormat="1" applyFont="1" applyBorder="1"/>
    <xf numFmtId="165" fontId="1" fillId="0" borderId="0" xfId="0" applyNumberFormat="1" applyFont="1"/>
    <xf numFmtId="0" fontId="39" fillId="0" borderId="0" xfId="0" applyFont="1" applyAlignment="1">
      <alignment horizontal="center"/>
    </xf>
    <xf numFmtId="165" fontId="47" fillId="0" borderId="0" xfId="0" applyNumberFormat="1" applyFont="1"/>
    <xf numFmtId="165" fontId="36" fillId="0" borderId="0" xfId="0" applyNumberFormat="1" applyFont="1" applyAlignment="1">
      <alignment horizontal="left" indent="1"/>
    </xf>
    <xf numFmtId="165" fontId="36" fillId="0" borderId="0" xfId="0" applyNumberFormat="1" applyFont="1" applyAlignment="1">
      <alignment horizontal="right"/>
    </xf>
    <xf numFmtId="175" fontId="36" fillId="0" borderId="0" xfId="0" applyNumberFormat="1" applyFont="1" applyAlignment="1">
      <alignment horizontal="right"/>
    </xf>
    <xf numFmtId="165" fontId="36" fillId="0" borderId="0" xfId="0" quotePrefix="1" applyNumberFormat="1" applyFont="1" applyAlignment="1">
      <alignment horizontal="center" vertical="center"/>
    </xf>
    <xf numFmtId="165" fontId="36" fillId="0" borderId="3" xfId="0" applyNumberFormat="1" applyFont="1" applyBorder="1" applyAlignment="1">
      <alignment horizontal="center" vertical="center" wrapText="1"/>
    </xf>
    <xf numFmtId="165" fontId="39" fillId="0" borderId="6" xfId="0" applyNumberFormat="1" applyFont="1" applyBorder="1"/>
    <xf numFmtId="165" fontId="39" fillId="0" borderId="2" xfId="0" applyNumberFormat="1" applyFont="1" applyBorder="1"/>
    <xf numFmtId="165" fontId="39" fillId="3" borderId="0" xfId="0" applyNumberFormat="1" applyFont="1" applyFill="1"/>
    <xf numFmtId="175" fontId="36" fillId="0" borderId="0" xfId="0" quotePrefix="1" applyNumberFormat="1" applyFont="1" applyAlignment="1">
      <alignment horizontal="center"/>
    </xf>
    <xf numFmtId="165" fontId="39" fillId="0" borderId="0" xfId="1" applyNumberFormat="1" applyFont="1" applyFill="1"/>
    <xf numFmtId="165" fontId="39" fillId="3" borderId="0" xfId="1" applyNumberFormat="1" applyFont="1" applyFill="1"/>
    <xf numFmtId="165" fontId="39" fillId="0" borderId="6" xfId="1" applyNumberFormat="1" applyFont="1" applyBorder="1"/>
    <xf numFmtId="165" fontId="36" fillId="0" borderId="0" xfId="1" quotePrefix="1" applyNumberFormat="1" applyFont="1" applyBorder="1" applyAlignment="1">
      <alignment horizontal="center" vertical="center"/>
    </xf>
    <xf numFmtId="165" fontId="36" fillId="0" borderId="3" xfId="1" applyNumberFormat="1" applyFont="1" applyBorder="1" applyAlignment="1">
      <alignment horizontal="center" vertical="center" wrapText="1"/>
    </xf>
    <xf numFmtId="165" fontId="36" fillId="0" borderId="0" xfId="18" applyNumberFormat="1" applyFont="1" applyBorder="1"/>
    <xf numFmtId="165" fontId="36" fillId="0" borderId="0" xfId="1" applyNumberFormat="1" applyFont="1" applyBorder="1"/>
    <xf numFmtId="41" fontId="36" fillId="0" borderId="0" xfId="18" applyFont="1" applyBorder="1"/>
    <xf numFmtId="175" fontId="36" fillId="0" borderId="0" xfId="1" quotePrefix="1" applyNumberFormat="1" applyFont="1" applyFill="1" applyAlignment="1">
      <alignment horizontal="center"/>
    </xf>
    <xf numFmtId="165" fontId="39" fillId="0" borderId="2" xfId="1" applyNumberFormat="1" applyFont="1" applyBorder="1"/>
    <xf numFmtId="165" fontId="34" fillId="0" borderId="0" xfId="1" applyNumberFormat="1" applyFont="1"/>
    <xf numFmtId="37" fontId="3" fillId="0" borderId="0" xfId="19" applyNumberFormat="1" applyFont="1" applyAlignment="1">
      <alignment horizontal="center" vertical="center"/>
    </xf>
    <xf numFmtId="37" fontId="3" fillId="0" borderId="3" xfId="19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vertical="center"/>
    </xf>
    <xf numFmtId="37" fontId="6" fillId="0" borderId="0" xfId="0" applyNumberFormat="1" applyFont="1"/>
    <xf numFmtId="37" fontId="6" fillId="0" borderId="0" xfId="0" applyNumberFormat="1" applyFont="1" applyAlignment="1">
      <alignment horizontal="right"/>
    </xf>
    <xf numFmtId="37" fontId="6" fillId="0" borderId="0" xfId="0" applyNumberFormat="1" applyFont="1" applyAlignment="1">
      <alignment vertical="top"/>
    </xf>
    <xf numFmtId="37" fontId="3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wrapText="1"/>
    </xf>
    <xf numFmtId="37" fontId="6" fillId="0" borderId="0" xfId="0" applyNumberFormat="1" applyFont="1" applyAlignment="1">
      <alignment vertical="center" wrapText="1"/>
    </xf>
    <xf numFmtId="37" fontId="3" fillId="0" borderId="0" xfId="0" applyNumberFormat="1" applyFont="1" applyAlignment="1">
      <alignment horizontal="left" vertical="center"/>
    </xf>
    <xf numFmtId="37" fontId="7" fillId="0" borderId="0" xfId="0" applyNumberFormat="1" applyFont="1" applyAlignment="1">
      <alignment horizontal="right" vertical="center"/>
    </xf>
    <xf numFmtId="44" fontId="7" fillId="0" borderId="0" xfId="0" applyNumberFormat="1" applyFont="1" applyAlignment="1">
      <alignment horizontal="left" vertical="center"/>
    </xf>
    <xf numFmtId="44" fontId="3" fillId="0" borderId="0" xfId="0" applyNumberFormat="1" applyFont="1" applyAlignment="1">
      <alignment vertical="center"/>
    </xf>
    <xf numFmtId="0" fontId="15" fillId="0" borderId="21" xfId="0" applyFont="1" applyBorder="1" applyAlignment="1">
      <alignment horizontal="center"/>
    </xf>
    <xf numFmtId="164" fontId="6" fillId="0" borderId="0" xfId="7" applyNumberFormat="1" applyFont="1" applyAlignment="1">
      <alignment horizontal="right" vertical="center"/>
    </xf>
    <xf numFmtId="165" fontId="3" fillId="0" borderId="12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0" xfId="7" applyNumberFormat="1" applyFont="1" applyAlignment="1">
      <alignment horizontal="center" vertical="center"/>
    </xf>
    <xf numFmtId="165" fontId="6" fillId="3" borderId="0" xfId="11" applyNumberFormat="1" applyFont="1" applyFill="1" applyAlignment="1" applyProtection="1">
      <alignment vertical="center"/>
      <protection locked="0"/>
    </xf>
    <xf numFmtId="165" fontId="6" fillId="3" borderId="0" xfId="11" applyNumberFormat="1" applyFont="1" applyFill="1" applyBorder="1" applyAlignment="1" applyProtection="1">
      <alignment vertical="center"/>
      <protection locked="0"/>
    </xf>
    <xf numFmtId="165" fontId="6" fillId="3" borderId="1" xfId="11" applyNumberFormat="1" applyFont="1" applyFill="1" applyBorder="1" applyAlignment="1" applyProtection="1">
      <alignment vertical="center"/>
      <protection locked="0"/>
    </xf>
    <xf numFmtId="164" fontId="6" fillId="0" borderId="2" xfId="7" applyNumberFormat="1" applyFont="1" applyBorder="1" applyAlignment="1" applyProtection="1">
      <alignment vertical="center"/>
      <protection locked="0"/>
    </xf>
    <xf numFmtId="164" fontId="6" fillId="3" borderId="2" xfId="2" applyNumberFormat="1" applyFont="1" applyFill="1" applyBorder="1" applyAlignment="1" applyProtection="1">
      <alignment vertical="center"/>
      <protection locked="0"/>
    </xf>
    <xf numFmtId="0" fontId="6" fillId="0" borderId="0" xfId="21" applyFont="1" applyAlignment="1">
      <alignment vertical="center"/>
    </xf>
    <xf numFmtId="0" fontId="3" fillId="0" borderId="7" xfId="21" applyFont="1" applyBorder="1" applyAlignment="1">
      <alignment horizontal="center" vertical="center"/>
    </xf>
    <xf numFmtId="0" fontId="3" fillId="0" borderId="8" xfId="21" applyFont="1" applyBorder="1" applyAlignment="1">
      <alignment horizontal="center" vertical="center"/>
    </xf>
    <xf numFmtId="0" fontId="3" fillId="0" borderId="9" xfId="2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" fontId="3" fillId="0" borderId="10" xfId="0" applyNumberFormat="1" applyFont="1" applyBorder="1" applyAlignment="1">
      <alignment horizontal="center" vertical="center"/>
    </xf>
    <xf numFmtId="0" fontId="3" fillId="0" borderId="14" xfId="21" applyFont="1" applyBorder="1" applyAlignment="1">
      <alignment horizontal="center" vertical="center"/>
    </xf>
    <xf numFmtId="0" fontId="3" fillId="0" borderId="15" xfId="21" applyFont="1" applyBorder="1" applyAlignment="1">
      <alignment horizontal="center" vertical="center"/>
    </xf>
    <xf numFmtId="176" fontId="3" fillId="0" borderId="15" xfId="21" quotePrefix="1" applyNumberFormat="1" applyFont="1" applyBorder="1" applyAlignment="1">
      <alignment horizontal="center" vertical="center"/>
    </xf>
    <xf numFmtId="176" fontId="3" fillId="0" borderId="3" xfId="21" quotePrefix="1" applyNumberFormat="1" applyFont="1" applyBorder="1" applyAlignment="1">
      <alignment horizontal="center" vertical="center"/>
    </xf>
    <xf numFmtId="176" fontId="3" fillId="0" borderId="34" xfId="21" quotePrefix="1" applyNumberFormat="1" applyFont="1" applyBorder="1" applyAlignment="1">
      <alignment horizontal="center" vertical="center"/>
    </xf>
    <xf numFmtId="177" fontId="3" fillId="0" borderId="16" xfId="21" applyNumberFormat="1" applyFont="1" applyBorder="1" applyAlignment="1">
      <alignment horizontal="center" vertical="center" wrapText="1"/>
    </xf>
    <xf numFmtId="17" fontId="6" fillId="0" borderId="11" xfId="21" applyNumberFormat="1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9" xfId="21" applyFont="1" applyBorder="1" applyAlignment="1">
      <alignment vertical="center"/>
    </xf>
    <xf numFmtId="43" fontId="6" fillId="0" borderId="0" xfId="22" applyFont="1" applyBorder="1" applyAlignment="1">
      <alignment vertical="center"/>
    </xf>
    <xf numFmtId="43" fontId="6" fillId="0" borderId="12" xfId="22" applyFont="1" applyBorder="1" applyAlignment="1">
      <alignment vertical="center"/>
    </xf>
    <xf numFmtId="43" fontId="6" fillId="0" borderId="35" xfId="22" applyFont="1" applyBorder="1" applyAlignment="1">
      <alignment vertical="center"/>
    </xf>
    <xf numFmtId="43" fontId="6" fillId="0" borderId="13" xfId="22" applyFont="1" applyBorder="1" applyAlignment="1">
      <alignment vertical="center"/>
    </xf>
    <xf numFmtId="37" fontId="6" fillId="0" borderId="0" xfId="22" applyNumberFormat="1" applyFont="1" applyBorder="1" applyAlignment="1">
      <alignment horizontal="center" vertical="center"/>
    </xf>
    <xf numFmtId="0" fontId="6" fillId="0" borderId="11" xfId="22" applyNumberFormat="1" applyFont="1" applyFill="1" applyBorder="1" applyAlignment="1">
      <alignment horizontal="center" vertical="center"/>
    </xf>
    <xf numFmtId="49" fontId="6" fillId="0" borderId="0" xfId="22" applyNumberFormat="1" applyFont="1" applyBorder="1" applyAlignment="1">
      <alignment horizontal="center" vertical="center"/>
    </xf>
    <xf numFmtId="43" fontId="6" fillId="0" borderId="12" xfId="22" applyFont="1" applyFill="1" applyBorder="1" applyAlignment="1">
      <alignment horizontal="left" vertical="center"/>
    </xf>
    <xf numFmtId="164" fontId="6" fillId="0" borderId="36" xfId="2" applyNumberFormat="1" applyFont="1" applyBorder="1" applyAlignment="1">
      <alignment vertical="center"/>
    </xf>
    <xf numFmtId="164" fontId="6" fillId="0" borderId="35" xfId="2" applyNumberFormat="1" applyFont="1" applyBorder="1" applyAlignment="1">
      <alignment vertical="center"/>
    </xf>
    <xf numFmtId="43" fontId="6" fillId="0" borderId="0" xfId="22" applyFont="1" applyAlignment="1">
      <alignment vertical="center"/>
    </xf>
    <xf numFmtId="165" fontId="6" fillId="0" borderId="26" xfId="1" applyNumberFormat="1" applyFont="1" applyBorder="1" applyAlignment="1">
      <alignment vertical="center"/>
    </xf>
    <xf numFmtId="165" fontId="6" fillId="0" borderId="37" xfId="1" applyNumberFormat="1" applyFont="1" applyBorder="1" applyAlignment="1">
      <alignment vertical="center"/>
    </xf>
    <xf numFmtId="165" fontId="6" fillId="0" borderId="37" xfId="1" applyNumberFormat="1" applyFont="1" applyFill="1" applyBorder="1" applyAlignment="1">
      <alignment vertical="center"/>
    </xf>
    <xf numFmtId="43" fontId="6" fillId="0" borderId="11" xfId="22" applyFont="1" applyFill="1" applyBorder="1" applyAlignment="1">
      <alignment horizontal="center" vertical="center"/>
    </xf>
    <xf numFmtId="165" fontId="6" fillId="0" borderId="35" xfId="1" applyNumberFormat="1" applyFont="1" applyFill="1" applyBorder="1" applyAlignment="1">
      <alignment vertical="center"/>
    </xf>
    <xf numFmtId="165" fontId="6" fillId="0" borderId="13" xfId="1" applyNumberFormat="1" applyFont="1" applyFill="1" applyBorder="1" applyAlignment="1">
      <alignment vertical="center"/>
    </xf>
    <xf numFmtId="0" fontId="3" fillId="0" borderId="12" xfId="22" applyNumberFormat="1" applyFont="1" applyFill="1" applyBorder="1" applyAlignment="1">
      <alignment horizontal="left" vertical="center"/>
    </xf>
    <xf numFmtId="165" fontId="3" fillId="0" borderId="17" xfId="1" applyNumberFormat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vertical="center"/>
    </xf>
    <xf numFmtId="165" fontId="3" fillId="0" borderId="38" xfId="1" applyNumberFormat="1" applyFont="1" applyFill="1" applyBorder="1" applyAlignment="1">
      <alignment vertical="center"/>
    </xf>
    <xf numFmtId="43" fontId="6" fillId="0" borderId="14" xfId="22" applyFont="1" applyFill="1" applyBorder="1" applyAlignment="1">
      <alignment horizontal="center" vertical="center"/>
    </xf>
    <xf numFmtId="49" fontId="6" fillId="0" borderId="3" xfId="22" applyNumberFormat="1" applyFont="1" applyBorder="1" applyAlignment="1">
      <alignment horizontal="center" vertical="center"/>
    </xf>
    <xf numFmtId="43" fontId="6" fillId="0" borderId="15" xfId="22" applyFont="1" applyFill="1" applyBorder="1" applyAlignment="1">
      <alignment horizontal="left" vertical="center"/>
    </xf>
    <xf numFmtId="165" fontId="6" fillId="0" borderId="3" xfId="22" applyNumberFormat="1" applyFont="1" applyFill="1" applyBorder="1" applyAlignment="1">
      <alignment vertical="center"/>
    </xf>
    <xf numFmtId="165" fontId="6" fillId="0" borderId="15" xfId="22" applyNumberFormat="1" applyFont="1" applyFill="1" applyBorder="1" applyAlignment="1">
      <alignment vertical="center"/>
    </xf>
    <xf numFmtId="165" fontId="6" fillId="0" borderId="34" xfId="22" applyNumberFormat="1" applyFont="1" applyFill="1" applyBorder="1" applyAlignment="1">
      <alignment vertical="center"/>
    </xf>
    <xf numFmtId="165" fontId="6" fillId="0" borderId="15" xfId="1" applyNumberFormat="1" applyFont="1" applyFill="1" applyBorder="1" applyAlignment="1">
      <alignment vertical="center"/>
    </xf>
    <xf numFmtId="165" fontId="6" fillId="0" borderId="3" xfId="1" applyNumberFormat="1" applyFont="1" applyFill="1" applyBorder="1" applyAlignment="1">
      <alignment vertical="center"/>
    </xf>
    <xf numFmtId="165" fontId="6" fillId="0" borderId="16" xfId="1" applyNumberFormat="1" applyFont="1" applyFill="1" applyBorder="1" applyAlignment="1">
      <alignment vertical="center"/>
    </xf>
    <xf numFmtId="43" fontId="6" fillId="0" borderId="7" xfId="22" applyFont="1" applyFill="1" applyBorder="1" applyAlignment="1">
      <alignment horizontal="center" vertical="center"/>
    </xf>
    <xf numFmtId="165" fontId="6" fillId="0" borderId="39" xfId="1" applyNumberFormat="1" applyFont="1" applyBorder="1" applyAlignment="1">
      <alignment vertical="center"/>
    </xf>
    <xf numFmtId="165" fontId="6" fillId="0" borderId="33" xfId="1" applyNumberFormat="1" applyFont="1" applyBorder="1" applyAlignment="1">
      <alignment vertical="center"/>
    </xf>
    <xf numFmtId="165" fontId="6" fillId="0" borderId="9" xfId="1" applyNumberFormat="1" applyFont="1" applyBorder="1" applyAlignment="1">
      <alignment vertical="center"/>
    </xf>
    <xf numFmtId="165" fontId="6" fillId="0" borderId="36" xfId="1" applyNumberFormat="1" applyFont="1" applyFill="1" applyBorder="1" applyAlignment="1">
      <alignment vertical="center"/>
    </xf>
    <xf numFmtId="165" fontId="6" fillId="0" borderId="35" xfId="1" applyNumberFormat="1" applyFont="1" applyBorder="1" applyAlignment="1">
      <alignment vertical="center"/>
    </xf>
    <xf numFmtId="43" fontId="6" fillId="0" borderId="11" xfId="22" quotePrefix="1" applyFont="1" applyFill="1" applyBorder="1" applyAlignment="1">
      <alignment horizontal="center" vertical="center"/>
    </xf>
    <xf numFmtId="43" fontId="6" fillId="0" borderId="36" xfId="22" applyFont="1" applyFill="1" applyBorder="1" applyAlignment="1">
      <alignment horizontal="left" vertical="center"/>
    </xf>
    <xf numFmtId="165" fontId="6" fillId="0" borderId="36" xfId="1" applyNumberFormat="1" applyFont="1" applyFill="1" applyBorder="1" applyAlignment="1">
      <alignment vertical="center" wrapText="1"/>
    </xf>
    <xf numFmtId="49" fontId="6" fillId="0" borderId="12" xfId="22" applyNumberFormat="1" applyFont="1" applyBorder="1" applyAlignment="1">
      <alignment horizontal="center" vertical="center"/>
    </xf>
    <xf numFmtId="43" fontId="6" fillId="0" borderId="0" xfId="22" applyFont="1" applyFill="1" applyBorder="1" applyAlignment="1">
      <alignment horizontal="left" vertical="center"/>
    </xf>
    <xf numFmtId="43" fontId="6" fillId="0" borderId="0" xfId="22" applyFont="1" applyFill="1" applyBorder="1" applyAlignment="1">
      <alignment vertical="center"/>
    </xf>
    <xf numFmtId="165" fontId="6" fillId="0" borderId="0" xfId="22" applyNumberFormat="1" applyFont="1" applyFill="1" applyBorder="1" applyAlignment="1">
      <alignment vertical="center"/>
    </xf>
    <xf numFmtId="43" fontId="6" fillId="0" borderId="24" xfId="22" applyFont="1" applyFill="1" applyBorder="1" applyAlignment="1">
      <alignment horizontal="left" vertical="center"/>
    </xf>
    <xf numFmtId="165" fontId="3" fillId="0" borderId="36" xfId="1" applyNumberFormat="1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vertical="center"/>
    </xf>
    <xf numFmtId="43" fontId="6" fillId="0" borderId="14" xfId="22" quotePrefix="1" applyFont="1" applyFill="1" applyBorder="1" applyAlignment="1">
      <alignment horizontal="center" vertical="center"/>
    </xf>
    <xf numFmtId="49" fontId="6" fillId="0" borderId="15" xfId="22" applyNumberFormat="1" applyFont="1" applyBorder="1" applyAlignment="1">
      <alignment horizontal="center" vertical="center"/>
    </xf>
    <xf numFmtId="165" fontId="6" fillId="0" borderId="34" xfId="1" applyNumberFormat="1" applyFont="1" applyFill="1" applyBorder="1" applyAlignment="1">
      <alignment vertical="center"/>
    </xf>
    <xf numFmtId="165" fontId="6" fillId="0" borderId="34" xfId="1" applyNumberFormat="1" applyFont="1" applyBorder="1" applyAlignment="1">
      <alignment vertical="center"/>
    </xf>
    <xf numFmtId="0" fontId="6" fillId="0" borderId="36" xfId="22" applyNumberFormat="1" applyFont="1" applyFill="1" applyBorder="1" applyAlignment="1">
      <alignment horizontal="left" vertical="center"/>
    </xf>
    <xf numFmtId="165" fontId="6" fillId="0" borderId="39" xfId="1" applyNumberFormat="1" applyFont="1" applyFill="1" applyBorder="1" applyAlignment="1">
      <alignment vertical="center"/>
    </xf>
    <xf numFmtId="165" fontId="6" fillId="0" borderId="9" xfId="1" applyNumberFormat="1" applyFont="1" applyFill="1" applyBorder="1" applyAlignment="1">
      <alignment vertical="center"/>
    </xf>
    <xf numFmtId="43" fontId="6" fillId="0" borderId="21" xfId="22" quotePrefix="1" applyFont="1" applyFill="1" applyBorder="1" applyAlignment="1">
      <alignment horizontal="center" vertical="center"/>
    </xf>
    <xf numFmtId="43" fontId="6" fillId="0" borderId="21" xfId="22" applyFont="1" applyFill="1" applyBorder="1" applyAlignment="1">
      <alignment horizontal="center" vertical="center"/>
    </xf>
    <xf numFmtId="165" fontId="6" fillId="0" borderId="12" xfId="22" applyNumberFormat="1" applyFont="1" applyBorder="1" applyAlignment="1">
      <alignment vertical="center"/>
    </xf>
    <xf numFmtId="165" fontId="6" fillId="0" borderId="36" xfId="22" applyNumberFormat="1" applyFont="1" applyFill="1" applyBorder="1" applyAlignment="1">
      <alignment vertical="center"/>
    </xf>
    <xf numFmtId="165" fontId="6" fillId="0" borderId="35" xfId="22" applyNumberFormat="1" applyFont="1" applyFill="1" applyBorder="1" applyAlignment="1">
      <alignment vertical="center"/>
    </xf>
    <xf numFmtId="43" fontId="6" fillId="0" borderId="21" xfId="22" applyFont="1" applyBorder="1" applyAlignment="1">
      <alignment vertical="center"/>
    </xf>
    <xf numFmtId="43" fontId="6" fillId="0" borderId="12" xfId="22" applyFont="1" applyFill="1" applyBorder="1" applyAlignment="1">
      <alignment horizontal="center" vertical="center"/>
    </xf>
    <xf numFmtId="0" fontId="3" fillId="0" borderId="0" xfId="22" applyNumberFormat="1" applyFont="1" applyFill="1" applyBorder="1" applyAlignment="1">
      <alignment horizontal="left" vertical="center"/>
    </xf>
    <xf numFmtId="165" fontId="3" fillId="0" borderId="26" xfId="1" applyNumberFormat="1" applyFont="1" applyFill="1" applyBorder="1" applyAlignment="1">
      <alignment vertical="center"/>
    </xf>
    <xf numFmtId="165" fontId="3" fillId="0" borderId="37" xfId="1" applyNumberFormat="1" applyFont="1" applyFill="1" applyBorder="1" applyAlignment="1">
      <alignment vertical="center"/>
    </xf>
    <xf numFmtId="43" fontId="3" fillId="0" borderId="24" xfId="22" applyFont="1" applyBorder="1" applyAlignment="1">
      <alignment vertical="center"/>
    </xf>
    <xf numFmtId="165" fontId="3" fillId="0" borderId="24" xfId="1" applyNumberFormat="1" applyFont="1" applyFill="1" applyBorder="1" applyAlignment="1">
      <alignment vertical="center"/>
    </xf>
    <xf numFmtId="165" fontId="3" fillId="0" borderId="13" xfId="1" applyNumberFormat="1" applyFont="1" applyFill="1" applyBorder="1" applyAlignment="1">
      <alignment vertical="center"/>
    </xf>
    <xf numFmtId="43" fontId="6" fillId="0" borderId="24" xfId="22" applyFont="1" applyBorder="1" applyAlignment="1">
      <alignment vertical="center"/>
    </xf>
    <xf numFmtId="165" fontId="3" fillId="0" borderId="0" xfId="22" applyNumberFormat="1" applyFont="1" applyFill="1" applyBorder="1" applyAlignment="1">
      <alignment vertical="center"/>
    </xf>
    <xf numFmtId="165" fontId="3" fillId="0" borderId="12" xfId="22" applyNumberFormat="1" applyFont="1" applyFill="1" applyBorder="1" applyAlignment="1">
      <alignment vertical="center"/>
    </xf>
    <xf numFmtId="165" fontId="3" fillId="0" borderId="36" xfId="22" applyNumberFormat="1" applyFont="1" applyFill="1" applyBorder="1" applyAlignment="1">
      <alignment vertical="center"/>
    </xf>
    <xf numFmtId="165" fontId="3" fillId="0" borderId="35" xfId="22" applyNumberFormat="1" applyFont="1" applyFill="1" applyBorder="1" applyAlignment="1">
      <alignment vertical="center"/>
    </xf>
    <xf numFmtId="43" fontId="6" fillId="0" borderId="11" xfId="22" applyFont="1" applyBorder="1" applyAlignment="1">
      <alignment vertical="center"/>
    </xf>
    <xf numFmtId="43" fontId="6" fillId="0" borderId="0" xfId="22" applyFont="1" applyFill="1" applyBorder="1" applyAlignment="1">
      <alignment horizontal="center" vertical="center"/>
    </xf>
    <xf numFmtId="165" fontId="3" fillId="0" borderId="24" xfId="22" applyNumberFormat="1" applyFont="1" applyFill="1" applyBorder="1" applyAlignment="1">
      <alignment vertical="center"/>
    </xf>
    <xf numFmtId="165" fontId="3" fillId="0" borderId="13" xfId="22" applyNumberFormat="1" applyFont="1" applyFill="1" applyBorder="1" applyAlignment="1">
      <alignment vertical="center"/>
    </xf>
    <xf numFmtId="43" fontId="3" fillId="0" borderId="11" xfId="22" applyFont="1" applyFill="1" applyBorder="1" applyAlignment="1">
      <alignment horizontal="left" vertical="center"/>
    </xf>
    <xf numFmtId="43" fontId="3" fillId="0" borderId="0" xfId="22" applyFont="1" applyBorder="1" applyAlignment="1">
      <alignment vertical="center"/>
    </xf>
    <xf numFmtId="43" fontId="3" fillId="0" borderId="12" xfId="22" applyFont="1" applyBorder="1" applyAlignment="1">
      <alignment vertical="center"/>
    </xf>
    <xf numFmtId="164" fontId="3" fillId="0" borderId="40" xfId="2" applyNumberFormat="1" applyFont="1" applyFill="1" applyBorder="1" applyAlignment="1">
      <alignment vertical="center"/>
    </xf>
    <xf numFmtId="43" fontId="3" fillId="0" borderId="0" xfId="22" applyFont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165" fontId="6" fillId="0" borderId="42" xfId="0" applyNumberFormat="1" applyFont="1" applyBorder="1" applyAlignment="1">
      <alignment vertical="center"/>
    </xf>
    <xf numFmtId="165" fontId="3" fillId="0" borderId="35" xfId="1" applyNumberFormat="1" applyFont="1" applyBorder="1" applyAlignment="1">
      <alignment vertical="center"/>
    </xf>
    <xf numFmtId="43" fontId="3" fillId="0" borderId="11" xfId="22" quotePrefix="1" applyFont="1" applyFill="1" applyBorder="1" applyAlignment="1">
      <alignment horizontal="center" vertical="center"/>
    </xf>
    <xf numFmtId="49" fontId="3" fillId="0" borderId="12" xfId="22" applyNumberFormat="1" applyFont="1" applyBorder="1" applyAlignment="1">
      <alignment horizontal="center" vertical="center"/>
    </xf>
    <xf numFmtId="43" fontId="3" fillId="0" borderId="0" xfId="22" applyFont="1" applyFill="1" applyBorder="1" applyAlignment="1">
      <alignment horizontal="left" vertical="center"/>
    </xf>
    <xf numFmtId="165" fontId="3" fillId="3" borderId="0" xfId="11" applyNumberFormat="1" applyFont="1" applyFill="1" applyBorder="1" applyAlignment="1" applyProtection="1">
      <alignment vertical="center"/>
      <protection locked="0"/>
    </xf>
    <xf numFmtId="164" fontId="3" fillId="0" borderId="2" xfId="7" applyNumberFormat="1" applyFont="1" applyBorder="1" applyAlignment="1" applyProtection="1">
      <alignment vertical="center"/>
      <protection locked="0"/>
    </xf>
    <xf numFmtId="165" fontId="3" fillId="2" borderId="0" xfId="11" applyNumberFormat="1" applyFont="1" applyFill="1" applyBorder="1" applyAlignment="1" applyProtection="1">
      <alignment horizontal="right" vertical="center"/>
    </xf>
    <xf numFmtId="43" fontId="6" fillId="0" borderId="7" xfId="22" quotePrefix="1" applyFont="1" applyFill="1" applyBorder="1" applyAlignment="1">
      <alignment horizontal="center" vertical="center"/>
    </xf>
    <xf numFmtId="49" fontId="6" fillId="0" borderId="9" xfId="22" applyNumberFormat="1" applyFont="1" applyBorder="1" applyAlignment="1">
      <alignment horizontal="center" vertical="center"/>
    </xf>
    <xf numFmtId="0" fontId="6" fillId="0" borderId="39" xfId="22" applyNumberFormat="1" applyFont="1" applyFill="1" applyBorder="1" applyAlignment="1">
      <alignment horizontal="left"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1" fillId="0" borderId="0" xfId="0" applyFont="1" applyAlignment="1"/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0" fontId="3" fillId="3" borderId="0" xfId="8" applyFont="1" applyFill="1" applyAlignment="1">
      <alignment horizontal="center" vertical="center"/>
    </xf>
    <xf numFmtId="0" fontId="3" fillId="0" borderId="0" xfId="8" quotePrefix="1" applyFont="1" applyAlignment="1">
      <alignment horizontal="center" vertical="center"/>
    </xf>
    <xf numFmtId="0" fontId="3" fillId="2" borderId="0" xfId="8" applyFont="1" applyFill="1" applyAlignment="1">
      <alignment horizontal="center" vertical="center"/>
    </xf>
    <xf numFmtId="0" fontId="3" fillId="2" borderId="0" xfId="8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quotePrefix="1" applyNumberFormat="1" applyFont="1" applyAlignment="1">
      <alignment horizontal="center" vertical="center"/>
    </xf>
    <xf numFmtId="0" fontId="3" fillId="0" borderId="0" xfId="1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3" fillId="2" borderId="0" xfId="14" applyFont="1" applyFill="1" applyAlignment="1">
      <alignment horizontal="center" vertical="center"/>
    </xf>
    <xf numFmtId="0" fontId="3" fillId="0" borderId="0" xfId="14" quotePrefix="1" applyFont="1" applyAlignment="1">
      <alignment horizontal="center" vertical="center"/>
    </xf>
    <xf numFmtId="0" fontId="3" fillId="0" borderId="0" xfId="14" applyFont="1" applyAlignment="1">
      <alignment vertical="center"/>
    </xf>
    <xf numFmtId="0" fontId="34" fillId="0" borderId="0" xfId="0" quotePrefix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23">
    <cellStyle name="Comma" xfId="1" builtinId="3"/>
    <cellStyle name="Comma [0]" xfId="18" builtinId="6"/>
    <cellStyle name="Comma 2 10 2" xfId="22" xr:uid="{5CF29542-89F4-4002-968D-4D32420C06D7}"/>
    <cellStyle name="Comma 2 2" xfId="11" xr:uid="{C0237BB8-40B4-4B59-AF72-9FFB9DA9624B}"/>
    <cellStyle name="Comma 4" xfId="6" xr:uid="{0DC31A14-68B5-45BB-A650-F4DC28CA75D3}"/>
    <cellStyle name="Currency" xfId="2" builtinId="4"/>
    <cellStyle name="Currency 2" xfId="7" xr:uid="{8CB95AD6-2261-436F-81F4-94ED76F828B9}"/>
    <cellStyle name="Currency 2 2" xfId="10" xr:uid="{A303DA48-3501-499C-99CC-A3602FB2F3C6}"/>
    <cellStyle name="Currency 4" xfId="5" xr:uid="{F862C2DD-7B18-47F3-9283-CDCAF4958211}"/>
    <cellStyle name="Normal" xfId="0" builtinId="0"/>
    <cellStyle name="Normal 10 18" xfId="17" xr:uid="{A9FA1349-ED6D-4F22-A634-2B2CEC66C884}"/>
    <cellStyle name="Normal 2" xfId="14" xr:uid="{B4A4A3DD-9E61-4B15-B9C7-63A7C21C9B10}"/>
    <cellStyle name="Normal 2 2" xfId="15" xr:uid="{2C510AC6-CD68-4148-87C3-F3ED1A37EFE7}"/>
    <cellStyle name="Normal 2 2 2" xfId="20" xr:uid="{F9F903C0-969B-4A7E-BD84-7BB49968B36F}"/>
    <cellStyle name="Normal 3 2" xfId="16" xr:uid="{B4A2732A-C60E-4D36-BF44-BB701650DE8A}"/>
    <cellStyle name="Normal 4" xfId="4" xr:uid="{060B2BD5-E0CA-46AF-9FB6-E3563A1FD4C7}"/>
    <cellStyle name="Normal 8" xfId="13" xr:uid="{172A0AB0-CD8D-4F1F-BC38-1771F5B6652E}"/>
    <cellStyle name="Normal 9" xfId="8" xr:uid="{747CC4E2-0204-45D2-AA54-8012BD36D56E}"/>
    <cellStyle name="Normal_A&amp;gallc1999" xfId="19" xr:uid="{B382AB18-6DBB-49D6-8201-AFFA74A45D34}"/>
    <cellStyle name="Normal_A&amp;gallc1999 2" xfId="21" xr:uid="{2DECBF43-E1C2-441F-AAC7-A07E77499205}"/>
    <cellStyle name="Percent" xfId="3" builtinId="5"/>
    <cellStyle name="Percent 2" xfId="12" xr:uid="{5EAD10AD-812E-40F4-B0C0-39A491A1CCB4}"/>
    <cellStyle name="Percent 3" xfId="9" xr:uid="{D36666A6-7A60-463B-BDB0-5F87D2B8C3B4}"/>
  </cellStyles>
  <dxfs count="0"/>
  <tableStyles count="1" defaultTableStyle="TableStyleMedium2" defaultPivotStyle="PivotStyleLight16">
    <tableStyle name="Invisible" pivot="0" table="0" count="0" xr9:uid="{C57B8EA3-FC97-4F94-9CC9-976BF3F51B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127</xdr:row>
      <xdr:rowOff>9525</xdr:rowOff>
    </xdr:from>
    <xdr:to>
      <xdr:col>1</xdr:col>
      <xdr:colOff>3581077</xdr:colOff>
      <xdr:row>127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2E964D-0AA6-4433-80CD-B83918587780}"/>
            </a:ext>
          </a:extLst>
        </xdr:cNvPr>
        <xdr:cNvSpPr>
          <a:spLocks noChangeShapeType="1"/>
        </xdr:cNvSpPr>
      </xdr:nvSpPr>
      <xdr:spPr bwMode="auto">
        <a:xfrm>
          <a:off x="1898652" y="25822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139</xdr:row>
      <xdr:rowOff>-1</xdr:rowOff>
    </xdr:from>
    <xdr:to>
      <xdr:col>2</xdr:col>
      <xdr:colOff>312424</xdr:colOff>
      <xdr:row>139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2E5F981-52D0-4CEF-A249-096519B63C9D}"/>
            </a:ext>
          </a:extLst>
        </xdr:cNvPr>
        <xdr:cNvSpPr>
          <a:spLocks noChangeShapeType="1"/>
        </xdr:cNvSpPr>
      </xdr:nvSpPr>
      <xdr:spPr bwMode="auto">
        <a:xfrm>
          <a:off x="1755780" y="281606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205</xdr:row>
      <xdr:rowOff>9525</xdr:rowOff>
    </xdr:from>
    <xdr:to>
      <xdr:col>1</xdr:col>
      <xdr:colOff>3581077</xdr:colOff>
      <xdr:row>205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3B67397-79DD-4366-92C3-1027AD49296B}"/>
            </a:ext>
          </a:extLst>
        </xdr:cNvPr>
        <xdr:cNvSpPr>
          <a:spLocks noChangeShapeType="1"/>
        </xdr:cNvSpPr>
      </xdr:nvSpPr>
      <xdr:spPr bwMode="auto">
        <a:xfrm>
          <a:off x="1898652" y="41024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205</xdr:row>
      <xdr:rowOff>9525</xdr:rowOff>
    </xdr:from>
    <xdr:to>
      <xdr:col>1</xdr:col>
      <xdr:colOff>3581077</xdr:colOff>
      <xdr:row>205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64D696C-DCD0-48C8-A3D0-210A87C1956B}"/>
            </a:ext>
          </a:extLst>
        </xdr:cNvPr>
        <xdr:cNvSpPr>
          <a:spLocks noChangeShapeType="1"/>
        </xdr:cNvSpPr>
      </xdr:nvSpPr>
      <xdr:spPr bwMode="auto">
        <a:xfrm>
          <a:off x="1898652" y="41024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217</xdr:row>
      <xdr:rowOff>-1</xdr:rowOff>
    </xdr:from>
    <xdr:to>
      <xdr:col>2</xdr:col>
      <xdr:colOff>312424</xdr:colOff>
      <xdr:row>217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D94ABFC-4F2B-43FE-BADF-0AFEC7200B6F}"/>
            </a:ext>
          </a:extLst>
        </xdr:cNvPr>
        <xdr:cNvSpPr>
          <a:spLocks noChangeShapeType="1"/>
        </xdr:cNvSpPr>
      </xdr:nvSpPr>
      <xdr:spPr bwMode="auto">
        <a:xfrm>
          <a:off x="1755780" y="4335779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160</xdr:row>
      <xdr:rowOff>9525</xdr:rowOff>
    </xdr:from>
    <xdr:to>
      <xdr:col>1</xdr:col>
      <xdr:colOff>3581077</xdr:colOff>
      <xdr:row>160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A20D1931-8C13-43A5-8707-6185276FB9D9}"/>
            </a:ext>
          </a:extLst>
        </xdr:cNvPr>
        <xdr:cNvSpPr>
          <a:spLocks noChangeShapeType="1"/>
        </xdr:cNvSpPr>
      </xdr:nvSpPr>
      <xdr:spPr bwMode="auto">
        <a:xfrm>
          <a:off x="1898652" y="32346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172</xdr:row>
      <xdr:rowOff>-1</xdr:rowOff>
    </xdr:from>
    <xdr:to>
      <xdr:col>2</xdr:col>
      <xdr:colOff>312424</xdr:colOff>
      <xdr:row>172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6015DABA-A61B-43B1-9D2D-5E32D57987FE}"/>
            </a:ext>
          </a:extLst>
        </xdr:cNvPr>
        <xdr:cNvSpPr>
          <a:spLocks noChangeShapeType="1"/>
        </xdr:cNvSpPr>
      </xdr:nvSpPr>
      <xdr:spPr bwMode="auto">
        <a:xfrm>
          <a:off x="1755780" y="34685287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238</xdr:row>
      <xdr:rowOff>9525</xdr:rowOff>
    </xdr:from>
    <xdr:to>
      <xdr:col>1</xdr:col>
      <xdr:colOff>3581077</xdr:colOff>
      <xdr:row>238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6192824A-4978-40B9-A006-558E3E2B05ED}"/>
            </a:ext>
          </a:extLst>
        </xdr:cNvPr>
        <xdr:cNvSpPr>
          <a:spLocks noChangeShapeType="1"/>
        </xdr:cNvSpPr>
      </xdr:nvSpPr>
      <xdr:spPr bwMode="auto">
        <a:xfrm>
          <a:off x="1898652" y="47539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238</xdr:row>
      <xdr:rowOff>9525</xdr:rowOff>
    </xdr:from>
    <xdr:to>
      <xdr:col>1</xdr:col>
      <xdr:colOff>3581077</xdr:colOff>
      <xdr:row>238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15B9F938-EC2C-4B30-BB8A-97CA56909484}"/>
            </a:ext>
          </a:extLst>
        </xdr:cNvPr>
        <xdr:cNvSpPr>
          <a:spLocks noChangeShapeType="1"/>
        </xdr:cNvSpPr>
      </xdr:nvSpPr>
      <xdr:spPr bwMode="auto">
        <a:xfrm>
          <a:off x="1898652" y="47539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250</xdr:row>
      <xdr:rowOff>-1</xdr:rowOff>
    </xdr:from>
    <xdr:to>
      <xdr:col>2</xdr:col>
      <xdr:colOff>312424</xdr:colOff>
      <xdr:row>250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D4DA039B-4810-4A40-92FE-A56FC879234D}"/>
            </a:ext>
          </a:extLst>
        </xdr:cNvPr>
        <xdr:cNvSpPr>
          <a:spLocks noChangeShapeType="1"/>
        </xdr:cNvSpPr>
      </xdr:nvSpPr>
      <xdr:spPr bwMode="auto">
        <a:xfrm>
          <a:off x="1755780" y="4987289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238</xdr:row>
      <xdr:rowOff>9525</xdr:rowOff>
    </xdr:from>
    <xdr:to>
      <xdr:col>1</xdr:col>
      <xdr:colOff>3581077</xdr:colOff>
      <xdr:row>238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FA022B39-591E-467C-9A25-3E046ECDCD2D}"/>
            </a:ext>
          </a:extLst>
        </xdr:cNvPr>
        <xdr:cNvSpPr>
          <a:spLocks noChangeShapeType="1"/>
        </xdr:cNvSpPr>
      </xdr:nvSpPr>
      <xdr:spPr bwMode="auto">
        <a:xfrm>
          <a:off x="1898652" y="47539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249</xdr:row>
      <xdr:rowOff>202405</xdr:rowOff>
    </xdr:from>
    <xdr:to>
      <xdr:col>2</xdr:col>
      <xdr:colOff>312424</xdr:colOff>
      <xdr:row>250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68A26AA9-D932-4001-AA85-39F88F80DE33}"/>
            </a:ext>
          </a:extLst>
        </xdr:cNvPr>
        <xdr:cNvSpPr>
          <a:spLocks noChangeShapeType="1"/>
        </xdr:cNvSpPr>
      </xdr:nvSpPr>
      <xdr:spPr bwMode="auto">
        <a:xfrm>
          <a:off x="1755780" y="49875281"/>
          <a:ext cx="2885757" cy="55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D87DAA-527B-46CE-88C3-B8672C0F0A34}"/>
            </a:ext>
          </a:extLst>
        </xdr:cNvPr>
        <xdr:cNvSpPr>
          <a:spLocks noChangeShapeType="1"/>
        </xdr:cNvSpPr>
      </xdr:nvSpPr>
      <xdr:spPr bwMode="auto">
        <a:xfrm>
          <a:off x="1903414" y="262699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141</xdr:row>
      <xdr:rowOff>-1</xdr:rowOff>
    </xdr:from>
    <xdr:to>
      <xdr:col>2</xdr:col>
      <xdr:colOff>312424</xdr:colOff>
      <xdr:row>141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763E2A6-486E-4743-9F67-288BAB41B2E0}"/>
            </a:ext>
          </a:extLst>
        </xdr:cNvPr>
        <xdr:cNvSpPr>
          <a:spLocks noChangeShapeType="1"/>
        </xdr:cNvSpPr>
      </xdr:nvSpPr>
      <xdr:spPr bwMode="auto">
        <a:xfrm>
          <a:off x="1760542" y="2866072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204</xdr:row>
      <xdr:rowOff>9525</xdr:rowOff>
    </xdr:from>
    <xdr:to>
      <xdr:col>1</xdr:col>
      <xdr:colOff>3581077</xdr:colOff>
      <xdr:row>204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E5778EA-B6F2-4F32-89C5-A00204285474}"/>
            </a:ext>
          </a:extLst>
        </xdr:cNvPr>
        <xdr:cNvSpPr>
          <a:spLocks noChangeShapeType="1"/>
        </xdr:cNvSpPr>
      </xdr:nvSpPr>
      <xdr:spPr bwMode="auto">
        <a:xfrm>
          <a:off x="1903414" y="41395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204</xdr:row>
      <xdr:rowOff>9525</xdr:rowOff>
    </xdr:from>
    <xdr:to>
      <xdr:col>1</xdr:col>
      <xdr:colOff>3581077</xdr:colOff>
      <xdr:row>204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4E9A4FDF-3AEB-4F75-B21F-F118849F14B2}"/>
            </a:ext>
          </a:extLst>
        </xdr:cNvPr>
        <xdr:cNvSpPr>
          <a:spLocks noChangeShapeType="1"/>
        </xdr:cNvSpPr>
      </xdr:nvSpPr>
      <xdr:spPr bwMode="auto">
        <a:xfrm>
          <a:off x="1903414" y="41395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216</xdr:row>
      <xdr:rowOff>-1</xdr:rowOff>
    </xdr:from>
    <xdr:to>
      <xdr:col>2</xdr:col>
      <xdr:colOff>312424</xdr:colOff>
      <xdr:row>216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BE975C0E-64FE-40ED-9864-F21612CCE871}"/>
            </a:ext>
          </a:extLst>
        </xdr:cNvPr>
        <xdr:cNvSpPr>
          <a:spLocks noChangeShapeType="1"/>
        </xdr:cNvSpPr>
      </xdr:nvSpPr>
      <xdr:spPr bwMode="auto">
        <a:xfrm>
          <a:off x="1760542" y="4378642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162</xdr:row>
      <xdr:rowOff>9525</xdr:rowOff>
    </xdr:from>
    <xdr:to>
      <xdr:col>1</xdr:col>
      <xdr:colOff>3581077</xdr:colOff>
      <xdr:row>162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B5FE10D3-2977-4E78-9BAF-89338E78C004}"/>
            </a:ext>
          </a:extLst>
        </xdr:cNvPr>
        <xdr:cNvSpPr>
          <a:spLocks noChangeShapeType="1"/>
        </xdr:cNvSpPr>
      </xdr:nvSpPr>
      <xdr:spPr bwMode="auto">
        <a:xfrm>
          <a:off x="1903414" y="329374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174</xdr:row>
      <xdr:rowOff>-1</xdr:rowOff>
    </xdr:from>
    <xdr:to>
      <xdr:col>2</xdr:col>
      <xdr:colOff>312424</xdr:colOff>
      <xdr:row>174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1EDF164D-1BF4-4A5E-BC0C-85C8FA4CF78E}"/>
            </a:ext>
          </a:extLst>
        </xdr:cNvPr>
        <xdr:cNvSpPr>
          <a:spLocks noChangeShapeType="1"/>
        </xdr:cNvSpPr>
      </xdr:nvSpPr>
      <xdr:spPr bwMode="auto">
        <a:xfrm>
          <a:off x="1760542" y="3532822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C83BA71F-BF0A-447D-B2F6-A63329D562BA}"/>
            </a:ext>
          </a:extLst>
        </xdr:cNvPr>
        <xdr:cNvSpPr>
          <a:spLocks noChangeShapeType="1"/>
        </xdr:cNvSpPr>
      </xdr:nvSpPr>
      <xdr:spPr bwMode="auto">
        <a:xfrm>
          <a:off x="1903414" y="480631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2B20FB54-BE19-44A8-9C26-94D24703D824}"/>
            </a:ext>
          </a:extLst>
        </xdr:cNvPr>
        <xdr:cNvSpPr>
          <a:spLocks noChangeShapeType="1"/>
        </xdr:cNvSpPr>
      </xdr:nvSpPr>
      <xdr:spPr bwMode="auto">
        <a:xfrm>
          <a:off x="1903414" y="480631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249</xdr:row>
      <xdr:rowOff>-1</xdr:rowOff>
    </xdr:from>
    <xdr:to>
      <xdr:col>2</xdr:col>
      <xdr:colOff>312424</xdr:colOff>
      <xdr:row>249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328CF930-C357-4F99-86F4-6426154EAB0B}"/>
            </a:ext>
          </a:extLst>
        </xdr:cNvPr>
        <xdr:cNvSpPr>
          <a:spLocks noChangeShapeType="1"/>
        </xdr:cNvSpPr>
      </xdr:nvSpPr>
      <xdr:spPr bwMode="auto">
        <a:xfrm>
          <a:off x="1760542" y="5045392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6AE81995-EB4D-4263-A1EF-D963F37C50C7}"/>
            </a:ext>
          </a:extLst>
        </xdr:cNvPr>
        <xdr:cNvSpPr>
          <a:spLocks noChangeShapeType="1"/>
        </xdr:cNvSpPr>
      </xdr:nvSpPr>
      <xdr:spPr bwMode="auto">
        <a:xfrm>
          <a:off x="1903414" y="480631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248</xdr:row>
      <xdr:rowOff>202405</xdr:rowOff>
    </xdr:from>
    <xdr:to>
      <xdr:col>2</xdr:col>
      <xdr:colOff>312424</xdr:colOff>
      <xdr:row>249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EF091412-33C8-468C-B4FD-6664632FD491}"/>
            </a:ext>
          </a:extLst>
        </xdr:cNvPr>
        <xdr:cNvSpPr>
          <a:spLocks noChangeShapeType="1"/>
        </xdr:cNvSpPr>
      </xdr:nvSpPr>
      <xdr:spPr bwMode="auto">
        <a:xfrm>
          <a:off x="1760542" y="50456305"/>
          <a:ext cx="28857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7298-592F-47BF-AE4A-563433831F27}">
  <sheetPr codeName="Sheet1">
    <pageSetUpPr fitToPage="1"/>
  </sheetPr>
  <dimension ref="A2:H42"/>
  <sheetViews>
    <sheetView tabSelected="1" zoomScale="80" zoomScaleNormal="80" workbookViewId="0"/>
  </sheetViews>
  <sheetFormatPr defaultColWidth="9.109375" defaultRowHeight="14.4" x14ac:dyDescent="0.3"/>
  <cols>
    <col min="1" max="1" width="4.88671875" style="505" bestFit="1" customWidth="1"/>
    <col min="2" max="2" width="71.5546875" style="505" customWidth="1"/>
    <col min="3" max="3" width="1.5546875" style="505" customWidth="1"/>
    <col min="4" max="4" width="20.88671875" style="505" customWidth="1"/>
    <col min="5" max="5" width="1.5546875" style="505" customWidth="1"/>
    <col min="6" max="6" width="45.109375" style="505" customWidth="1"/>
    <col min="7" max="7" width="4.88671875" style="505" customWidth="1"/>
    <col min="8" max="16384" width="9.109375" style="505"/>
  </cols>
  <sheetData>
    <row r="2" spans="1:8" ht="17.399999999999999" x14ac:dyDescent="0.3">
      <c r="B2" s="506" t="s">
        <v>0</v>
      </c>
      <c r="C2" s="506"/>
      <c r="D2" s="507"/>
      <c r="E2" s="507"/>
      <c r="F2" s="507"/>
    </row>
    <row r="3" spans="1:8" ht="20.399999999999999" x14ac:dyDescent="0.3">
      <c r="B3" s="508" t="s">
        <v>1</v>
      </c>
      <c r="C3" s="506"/>
      <c r="D3" s="507"/>
      <c r="E3" s="507"/>
      <c r="F3" s="507"/>
    </row>
    <row r="4" spans="1:8" ht="17.399999999999999" x14ac:dyDescent="0.3">
      <c r="B4" s="508" t="s">
        <v>2</v>
      </c>
      <c r="C4" s="506"/>
      <c r="D4" s="506"/>
      <c r="E4" s="506"/>
      <c r="F4" s="506"/>
    </row>
    <row r="5" spans="1:8" ht="15.6" x14ac:dyDescent="0.3">
      <c r="B5" s="850" t="s">
        <v>3</v>
      </c>
      <c r="C5" s="850"/>
      <c r="D5" s="850"/>
      <c r="E5" s="850"/>
      <c r="F5" s="850"/>
      <c r="G5" s="1"/>
      <c r="H5" s="1"/>
    </row>
    <row r="6" spans="1:8" ht="15.6" x14ac:dyDescent="0.3">
      <c r="B6" s="4"/>
      <c r="C6" s="4"/>
      <c r="D6" s="509"/>
      <c r="E6" s="510"/>
      <c r="F6" s="4"/>
      <c r="G6" s="4"/>
    </row>
    <row r="7" spans="1:8" ht="15.6" x14ac:dyDescent="0.3">
      <c r="A7" s="2" t="s">
        <v>4</v>
      </c>
      <c r="B7" s="511" t="s">
        <v>5</v>
      </c>
      <c r="C7" s="511"/>
      <c r="D7" s="511" t="s">
        <v>6</v>
      </c>
      <c r="E7" s="512"/>
      <c r="F7" s="511" t="s">
        <v>7</v>
      </c>
      <c r="G7" s="2" t="s">
        <v>4</v>
      </c>
    </row>
    <row r="8" spans="1:8" ht="15.6" x14ac:dyDescent="0.3">
      <c r="A8" s="3" t="s">
        <v>8</v>
      </c>
      <c r="B8" s="4"/>
      <c r="C8" s="4"/>
      <c r="D8" s="513"/>
      <c r="E8" s="513"/>
      <c r="F8" s="513"/>
      <c r="G8" s="3" t="s">
        <v>8</v>
      </c>
    </row>
    <row r="9" spans="1:8" ht="15.6" x14ac:dyDescent="0.3">
      <c r="A9" s="2">
        <v>1</v>
      </c>
      <c r="B9" s="510" t="s">
        <v>9</v>
      </c>
      <c r="C9" s="510"/>
      <c r="D9" s="513"/>
      <c r="E9" s="513"/>
      <c r="F9" s="513"/>
      <c r="G9" s="2">
        <v>1</v>
      </c>
    </row>
    <row r="10" spans="1:8" ht="15.6" x14ac:dyDescent="0.3">
      <c r="A10" s="2">
        <f>A9+1</f>
        <v>2</v>
      </c>
      <c r="B10" s="4" t="s">
        <v>10</v>
      </c>
      <c r="C10" s="512"/>
      <c r="D10" s="514">
        <f>'Pg2 BK-1 Comparison'!J94</f>
        <v>-3349.4009603707818</v>
      </c>
      <c r="E10" s="514"/>
      <c r="F10" s="513" t="s">
        <v>11</v>
      </c>
      <c r="G10" s="2">
        <f>G9+1</f>
        <v>2</v>
      </c>
    </row>
    <row r="11" spans="1:8" ht="15.6" x14ac:dyDescent="0.3">
      <c r="A11" s="2">
        <f t="shared" ref="A11:A22" si="0">A10+1</f>
        <v>3</v>
      </c>
      <c r="B11" s="4"/>
      <c r="C11" s="513"/>
      <c r="D11" s="514"/>
      <c r="E11" s="514"/>
      <c r="F11" s="513"/>
      <c r="G11" s="2">
        <f t="shared" ref="G11:G22" si="1">G10+1</f>
        <v>3</v>
      </c>
    </row>
    <row r="12" spans="1:8" ht="15.6" x14ac:dyDescent="0.3">
      <c r="A12" s="2">
        <f t="shared" si="0"/>
        <v>4</v>
      </c>
      <c r="B12" s="4" t="s">
        <v>12</v>
      </c>
      <c r="C12" s="513"/>
      <c r="D12" s="515">
        <f>'Pg16 TO5 C4 Int Calc'!G52</f>
        <v>-312.95986450467245</v>
      </c>
      <c r="E12" s="516"/>
      <c r="F12" s="513" t="s">
        <v>13</v>
      </c>
      <c r="G12" s="2">
        <f t="shared" si="1"/>
        <v>4</v>
      </c>
    </row>
    <row r="13" spans="1:8" ht="15.6" x14ac:dyDescent="0.3">
      <c r="A13" s="2">
        <f t="shared" si="0"/>
        <v>5</v>
      </c>
      <c r="B13" s="4"/>
      <c r="C13" s="513"/>
      <c r="D13" s="517"/>
      <c r="E13" s="517"/>
      <c r="F13" s="513"/>
      <c r="G13" s="2">
        <f t="shared" si="1"/>
        <v>5</v>
      </c>
    </row>
    <row r="14" spans="1:8" ht="15.6" x14ac:dyDescent="0.3">
      <c r="A14" s="2">
        <f t="shared" si="0"/>
        <v>6</v>
      </c>
      <c r="B14" s="518" t="s">
        <v>14</v>
      </c>
      <c r="C14" s="512"/>
      <c r="D14" s="519">
        <f>D10+D12</f>
        <v>-3662.3608248754545</v>
      </c>
      <c r="E14" s="514"/>
      <c r="F14" s="513" t="s">
        <v>15</v>
      </c>
      <c r="G14" s="2">
        <f t="shared" si="1"/>
        <v>6</v>
      </c>
    </row>
    <row r="15" spans="1:8" ht="15.6" x14ac:dyDescent="0.3">
      <c r="A15" s="2">
        <f t="shared" si="0"/>
        <v>7</v>
      </c>
      <c r="B15" s="4"/>
      <c r="C15" s="513"/>
      <c r="D15" s="22"/>
      <c r="E15" s="4"/>
      <c r="F15" s="4"/>
      <c r="G15" s="2">
        <f t="shared" si="1"/>
        <v>7</v>
      </c>
    </row>
    <row r="16" spans="1:8" ht="15.6" x14ac:dyDescent="0.3">
      <c r="A16" s="2">
        <f t="shared" si="0"/>
        <v>8</v>
      </c>
      <c r="B16" s="4" t="s">
        <v>16</v>
      </c>
      <c r="C16" s="512"/>
      <c r="D16" s="29">
        <f>D14*0.010275</f>
        <v>-37.630757475595296</v>
      </c>
      <c r="E16" s="4"/>
      <c r="F16" s="2" t="s">
        <v>17</v>
      </c>
      <c r="G16" s="2">
        <f t="shared" si="1"/>
        <v>8</v>
      </c>
    </row>
    <row r="17" spans="1:7" ht="15.6" x14ac:dyDescent="0.3">
      <c r="A17" s="2">
        <f t="shared" si="0"/>
        <v>9</v>
      </c>
      <c r="B17" s="4"/>
      <c r="C17" s="513"/>
      <c r="D17" s="22"/>
      <c r="E17" s="4"/>
      <c r="G17" s="2">
        <f t="shared" si="1"/>
        <v>9</v>
      </c>
    </row>
    <row r="18" spans="1:7" ht="15.6" x14ac:dyDescent="0.3">
      <c r="A18" s="2">
        <f t="shared" si="0"/>
        <v>10</v>
      </c>
      <c r="B18" s="520" t="s">
        <v>18</v>
      </c>
      <c r="C18" s="513"/>
      <c r="D18" s="22">
        <f>SUM(D14:D16)</f>
        <v>-3699.9915823510496</v>
      </c>
      <c r="E18" s="4"/>
      <c r="F18" s="513" t="s">
        <v>19</v>
      </c>
      <c r="G18" s="2">
        <f t="shared" si="1"/>
        <v>10</v>
      </c>
    </row>
    <row r="19" spans="1:7" ht="15.6" x14ac:dyDescent="0.3">
      <c r="A19" s="2">
        <f t="shared" si="0"/>
        <v>11</v>
      </c>
      <c r="B19" s="4"/>
      <c r="C19" s="513"/>
      <c r="D19" s="22"/>
      <c r="E19" s="4"/>
      <c r="G19" s="2">
        <f t="shared" si="1"/>
        <v>11</v>
      </c>
    </row>
    <row r="20" spans="1:7" ht="15.6" x14ac:dyDescent="0.3">
      <c r="A20" s="2">
        <f t="shared" si="0"/>
        <v>12</v>
      </c>
      <c r="B20" s="4" t="s">
        <v>20</v>
      </c>
      <c r="C20" s="512"/>
      <c r="D20" s="29">
        <f>D14*0.00165</f>
        <v>-6.0428953610444998</v>
      </c>
      <c r="E20" s="4"/>
      <c r="F20" s="2" t="s">
        <v>21</v>
      </c>
      <c r="G20" s="2">
        <f t="shared" si="1"/>
        <v>12</v>
      </c>
    </row>
    <row r="21" spans="1:7" ht="15.6" x14ac:dyDescent="0.3">
      <c r="A21" s="2">
        <f t="shared" si="0"/>
        <v>13</v>
      </c>
      <c r="B21" s="4"/>
      <c r="C21" s="513"/>
      <c r="D21" s="521"/>
      <c r="E21" s="4"/>
      <c r="F21" s="2"/>
      <c r="G21" s="2">
        <f t="shared" si="1"/>
        <v>13</v>
      </c>
    </row>
    <row r="22" spans="1:7" ht="16.2" thickBot="1" x14ac:dyDescent="0.35">
      <c r="A22" s="2">
        <f t="shared" si="0"/>
        <v>14</v>
      </c>
      <c r="B22" s="520" t="s">
        <v>22</v>
      </c>
      <c r="C22" s="512"/>
      <c r="D22" s="522">
        <f>SUM(D18:D21)</f>
        <v>-3706.034477712094</v>
      </c>
      <c r="E22" s="4"/>
      <c r="F22" s="513" t="s">
        <v>23</v>
      </c>
      <c r="G22" s="2">
        <f t="shared" si="1"/>
        <v>14</v>
      </c>
    </row>
    <row r="23" spans="1:7" ht="16.2" thickTop="1" x14ac:dyDescent="0.3">
      <c r="B23" s="4"/>
      <c r="C23" s="4"/>
      <c r="D23" s="4"/>
      <c r="E23" s="4"/>
      <c r="F23" s="4"/>
      <c r="G23" s="4"/>
    </row>
    <row r="24" spans="1:7" ht="15.6" x14ac:dyDescent="0.3">
      <c r="B24" s="4"/>
      <c r="C24" s="4"/>
      <c r="D24" s="4"/>
      <c r="E24" s="4"/>
      <c r="F24" s="4"/>
      <c r="G24" s="4"/>
    </row>
    <row r="25" spans="1:7" ht="17.399999999999999" x14ac:dyDescent="0.3">
      <c r="A25" s="523">
        <v>1</v>
      </c>
      <c r="B25" s="4" t="s">
        <v>24</v>
      </c>
      <c r="C25" s="4"/>
      <c r="D25" s="4"/>
      <c r="E25" s="4"/>
      <c r="F25" s="4"/>
      <c r="G25" s="4"/>
    </row>
    <row r="26" spans="1:7" ht="15.6" x14ac:dyDescent="0.3">
      <c r="B26" s="4" t="s">
        <v>25</v>
      </c>
      <c r="C26" s="4"/>
      <c r="D26" s="4"/>
      <c r="E26" s="4"/>
      <c r="F26" s="4"/>
      <c r="G26" s="4"/>
    </row>
    <row r="27" spans="1:7" ht="15.6" x14ac:dyDescent="0.3">
      <c r="B27" s="4"/>
      <c r="C27" s="4"/>
      <c r="D27" s="4"/>
      <c r="E27" s="4"/>
      <c r="F27" s="4"/>
      <c r="G27" s="4"/>
    </row>
    <row r="28" spans="1:7" ht="15.6" x14ac:dyDescent="0.3">
      <c r="B28" s="4"/>
      <c r="C28" s="4"/>
      <c r="D28" s="4"/>
      <c r="E28" s="4"/>
      <c r="F28" s="4"/>
      <c r="G28" s="4"/>
    </row>
    <row r="29" spans="1:7" ht="15.6" x14ac:dyDescent="0.3">
      <c r="B29" s="4"/>
      <c r="C29" s="4"/>
      <c r="D29" s="4"/>
      <c r="E29" s="4"/>
      <c r="F29" s="4"/>
      <c r="G29" s="4"/>
    </row>
    <row r="30" spans="1:7" ht="17.399999999999999" x14ac:dyDescent="0.3">
      <c r="A30" s="523"/>
      <c r="B30" s="4"/>
      <c r="C30" s="4"/>
      <c r="D30" s="4"/>
      <c r="E30" s="4"/>
      <c r="F30" s="4"/>
      <c r="G30" s="4"/>
    </row>
    <row r="31" spans="1:7" ht="15.6" x14ac:dyDescent="0.3">
      <c r="B31" s="4"/>
      <c r="C31" s="4"/>
      <c r="D31" s="4"/>
      <c r="E31" s="4"/>
      <c r="F31" s="4"/>
      <c r="G31" s="4"/>
    </row>
    <row r="32" spans="1:7" ht="15.6" x14ac:dyDescent="0.3">
      <c r="B32" s="4"/>
      <c r="C32" s="4"/>
      <c r="D32" s="4"/>
      <c r="E32" s="4"/>
      <c r="F32" s="4"/>
      <c r="G32" s="4"/>
    </row>
    <row r="33" spans="2:7" ht="15.6" x14ac:dyDescent="0.3">
      <c r="B33" s="4"/>
      <c r="C33" s="4"/>
      <c r="D33" s="4"/>
      <c r="E33" s="4"/>
      <c r="F33" s="4"/>
      <c r="G33" s="4"/>
    </row>
    <row r="34" spans="2:7" ht="15.6" x14ac:dyDescent="0.3">
      <c r="B34" s="4"/>
      <c r="C34" s="4"/>
      <c r="D34" s="4"/>
      <c r="E34" s="4"/>
      <c r="F34" s="4"/>
      <c r="G34" s="4"/>
    </row>
    <row r="35" spans="2:7" ht="15.6" x14ac:dyDescent="0.3">
      <c r="B35" s="4"/>
      <c r="C35" s="4"/>
      <c r="D35" s="4"/>
      <c r="E35" s="4"/>
      <c r="F35" s="4"/>
      <c r="G35" s="4"/>
    </row>
    <row r="36" spans="2:7" ht="15.6" x14ac:dyDescent="0.3">
      <c r="B36" s="4"/>
      <c r="C36" s="4"/>
      <c r="D36" s="4"/>
      <c r="E36" s="4"/>
      <c r="F36" s="4"/>
      <c r="G36" s="4"/>
    </row>
    <row r="37" spans="2:7" ht="15.6" x14ac:dyDescent="0.3">
      <c r="B37" s="4"/>
      <c r="C37" s="4"/>
      <c r="D37" s="4"/>
      <c r="E37" s="4"/>
      <c r="F37" s="4"/>
      <c r="G37" s="4"/>
    </row>
    <row r="38" spans="2:7" ht="15.6" x14ac:dyDescent="0.3">
      <c r="B38" s="4"/>
      <c r="C38" s="4"/>
      <c r="D38" s="4"/>
      <c r="E38" s="4"/>
      <c r="F38" s="4"/>
      <c r="G38" s="4"/>
    </row>
    <row r="39" spans="2:7" ht="15.6" x14ac:dyDescent="0.3">
      <c r="B39" s="4"/>
      <c r="C39" s="4"/>
      <c r="D39" s="4"/>
      <c r="E39" s="4"/>
      <c r="F39" s="4"/>
      <c r="G39" s="4"/>
    </row>
    <row r="40" spans="2:7" ht="15.6" x14ac:dyDescent="0.3">
      <c r="B40" s="4"/>
      <c r="C40" s="4"/>
      <c r="D40" s="4"/>
      <c r="E40" s="4"/>
      <c r="F40" s="4"/>
      <c r="G40" s="4"/>
    </row>
    <row r="41" spans="2:7" ht="15.6" x14ac:dyDescent="0.3">
      <c r="B41" s="4"/>
      <c r="C41" s="4"/>
      <c r="D41" s="4"/>
      <c r="E41" s="4"/>
      <c r="F41" s="4"/>
      <c r="G41" s="4"/>
    </row>
    <row r="42" spans="2:7" ht="15.6" x14ac:dyDescent="0.3">
      <c r="B42" s="4"/>
      <c r="C42" s="4"/>
      <c r="D42" s="4"/>
      <c r="E42" s="4"/>
      <c r="F42" s="4"/>
      <c r="G42" s="4"/>
    </row>
  </sheetData>
  <mergeCells count="1">
    <mergeCell ref="B5:F5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&amp;C&amp;"Times New Roman,Regular"Page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82E5-AE79-461A-902C-C9094E393397}">
  <sheetPr>
    <pageSetUpPr fitToPage="1"/>
  </sheetPr>
  <dimension ref="A1:K35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48.109375" style="169" bestFit="1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16.88671875" style="169" customWidth="1"/>
    <col min="8" max="8" width="1.5546875" style="169" customWidth="1"/>
    <col min="9" max="9" width="23.44140625" style="169" bestFit="1" customWidth="1"/>
    <col min="10" max="10" width="62.5546875" style="169" customWidth="1"/>
    <col min="11" max="11" width="5.109375" style="168" customWidth="1"/>
    <col min="12" max="16384" width="8.88671875" style="169"/>
  </cols>
  <sheetData>
    <row r="1" spans="1:11" x14ac:dyDescent="0.3">
      <c r="A1" s="556" t="s">
        <v>283</v>
      </c>
    </row>
    <row r="3" spans="1:11" x14ac:dyDescent="0.3">
      <c r="B3" s="861" t="s">
        <v>217</v>
      </c>
      <c r="C3" s="861"/>
      <c r="D3" s="861"/>
      <c r="E3" s="861"/>
      <c r="F3" s="861"/>
      <c r="G3" s="861"/>
      <c r="H3" s="861"/>
      <c r="I3" s="861"/>
      <c r="J3" s="861"/>
    </row>
    <row r="4" spans="1:11" x14ac:dyDescent="0.3">
      <c r="B4" s="861" t="s">
        <v>325</v>
      </c>
      <c r="C4" s="861"/>
      <c r="D4" s="861"/>
      <c r="E4" s="861"/>
      <c r="F4" s="861"/>
      <c r="G4" s="861"/>
      <c r="H4" s="861"/>
      <c r="I4" s="861"/>
      <c r="J4" s="861"/>
    </row>
    <row r="5" spans="1:11" x14ac:dyDescent="0.3">
      <c r="B5" s="861" t="s">
        <v>326</v>
      </c>
      <c r="C5" s="861"/>
      <c r="D5" s="861"/>
      <c r="E5" s="861"/>
      <c r="F5" s="861"/>
      <c r="G5" s="861"/>
      <c r="H5" s="861"/>
      <c r="I5" s="861"/>
      <c r="J5" s="861"/>
    </row>
    <row r="6" spans="1:11" x14ac:dyDescent="0.3">
      <c r="B6" s="861" t="s">
        <v>354</v>
      </c>
      <c r="C6" s="861"/>
      <c r="D6" s="861"/>
      <c r="E6" s="861"/>
      <c r="F6" s="861"/>
      <c r="G6" s="861"/>
      <c r="H6" s="861"/>
      <c r="I6" s="861"/>
      <c r="J6" s="861"/>
    </row>
    <row r="7" spans="1:11" x14ac:dyDescent="0.3">
      <c r="B7" s="863" t="s">
        <v>3</v>
      </c>
      <c r="C7" s="863"/>
      <c r="D7" s="863"/>
      <c r="E7" s="863"/>
      <c r="F7" s="863"/>
      <c r="G7" s="863"/>
      <c r="H7" s="863"/>
      <c r="I7" s="863"/>
      <c r="J7" s="863"/>
    </row>
    <row r="9" spans="1:11" x14ac:dyDescent="0.3">
      <c r="B9" s="188"/>
      <c r="C9" s="305" t="s">
        <v>296</v>
      </c>
      <c r="D9" s="305"/>
      <c r="E9" s="305" t="s">
        <v>297</v>
      </c>
      <c r="F9" s="305"/>
      <c r="G9" s="305" t="s">
        <v>328</v>
      </c>
      <c r="H9" s="305"/>
      <c r="I9" s="305" t="s">
        <v>329</v>
      </c>
      <c r="J9" s="305"/>
    </row>
    <row r="10" spans="1:11" x14ac:dyDescent="0.3">
      <c r="A10" s="168" t="s">
        <v>4</v>
      </c>
      <c r="B10" s="188"/>
      <c r="C10" s="305" t="s">
        <v>330</v>
      </c>
      <c r="D10" s="305"/>
      <c r="E10" s="305" t="s">
        <v>331</v>
      </c>
      <c r="F10" s="305"/>
      <c r="G10" s="305" t="s">
        <v>331</v>
      </c>
      <c r="H10" s="305"/>
      <c r="I10" s="305"/>
      <c r="J10" s="305"/>
      <c r="K10" s="168" t="s">
        <v>4</v>
      </c>
    </row>
    <row r="11" spans="1:11" x14ac:dyDescent="0.3">
      <c r="A11" s="168" t="s">
        <v>8</v>
      </c>
      <c r="B11" s="190" t="s">
        <v>5</v>
      </c>
      <c r="C11" s="310" t="s">
        <v>332</v>
      </c>
      <c r="D11" s="310"/>
      <c r="E11" s="310" t="s">
        <v>333</v>
      </c>
      <c r="F11" s="310"/>
      <c r="G11" s="310" t="s">
        <v>334</v>
      </c>
      <c r="H11" s="310"/>
      <c r="I11" s="190" t="s">
        <v>335</v>
      </c>
      <c r="J11" s="190" t="s">
        <v>7</v>
      </c>
      <c r="K11" s="168" t="s">
        <v>8</v>
      </c>
    </row>
    <row r="12" spans="1:11" x14ac:dyDescent="0.3">
      <c r="B12" s="188"/>
      <c r="C12" s="317"/>
      <c r="D12" s="317"/>
      <c r="E12" s="317"/>
      <c r="F12" s="317"/>
      <c r="G12" s="317"/>
      <c r="H12" s="317"/>
      <c r="I12" s="180"/>
      <c r="J12" s="180"/>
    </row>
    <row r="13" spans="1:11" x14ac:dyDescent="0.3">
      <c r="A13" s="168">
        <v>1</v>
      </c>
      <c r="B13" s="175" t="s">
        <v>336</v>
      </c>
      <c r="C13" s="318"/>
      <c r="D13" s="318"/>
      <c r="E13" s="318"/>
      <c r="F13" s="318"/>
      <c r="G13" s="318"/>
      <c r="H13" s="318"/>
      <c r="I13" s="180"/>
      <c r="J13" s="180"/>
      <c r="K13" s="168">
        <f>A13</f>
        <v>1</v>
      </c>
    </row>
    <row r="14" spans="1:11" x14ac:dyDescent="0.3">
      <c r="A14" s="168">
        <f>A13+1</f>
        <v>2</v>
      </c>
      <c r="B14" s="175" t="s">
        <v>337</v>
      </c>
      <c r="C14" s="185">
        <v>1631.0041476828096</v>
      </c>
      <c r="D14" s="185"/>
      <c r="E14" s="185">
        <v>0</v>
      </c>
      <c r="F14" s="557"/>
      <c r="G14" s="185">
        <v>214.49058265600002</v>
      </c>
      <c r="H14" s="557"/>
      <c r="I14" s="314">
        <f>SUM(C14:G14)</f>
        <v>1845.4947303388096</v>
      </c>
      <c r="J14" s="280" t="s">
        <v>355</v>
      </c>
      <c r="K14" s="168">
        <f>K13+1</f>
        <v>2</v>
      </c>
    </row>
    <row r="15" spans="1:11" x14ac:dyDescent="0.3">
      <c r="A15" s="168">
        <f t="shared" ref="A15:A34" si="0">A14+1</f>
        <v>3</v>
      </c>
      <c r="B15" s="175" t="s">
        <v>339</v>
      </c>
      <c r="C15" s="215">
        <v>228.70718375781695</v>
      </c>
      <c r="D15" s="215"/>
      <c r="E15" s="215">
        <v>0</v>
      </c>
      <c r="F15" s="215"/>
      <c r="G15" s="215">
        <v>181.15539416209805</v>
      </c>
      <c r="H15" s="215"/>
      <c r="I15" s="179">
        <f>SUM(C15:G15)</f>
        <v>409.862577919915</v>
      </c>
      <c r="J15" s="280" t="s">
        <v>355</v>
      </c>
      <c r="K15" s="168">
        <f t="shared" ref="K15:K34" si="1">K14+1</f>
        <v>3</v>
      </c>
    </row>
    <row r="16" spans="1:11" x14ac:dyDescent="0.3">
      <c r="A16" s="168">
        <f t="shared" si="0"/>
        <v>4</v>
      </c>
      <c r="B16" s="175" t="s">
        <v>340</v>
      </c>
      <c r="C16" s="215">
        <v>57302.915114485193</v>
      </c>
      <c r="D16" s="215"/>
      <c r="E16" s="215">
        <v>106710.32358551471</v>
      </c>
      <c r="F16" s="215"/>
      <c r="G16" s="215">
        <v>0</v>
      </c>
      <c r="H16" s="215"/>
      <c r="I16" s="179">
        <f>SUM(C16:G16)</f>
        <v>164013.2386999999</v>
      </c>
      <c r="J16" s="280" t="s">
        <v>355</v>
      </c>
      <c r="K16" s="168">
        <f t="shared" si="1"/>
        <v>4</v>
      </c>
    </row>
    <row r="17" spans="1:11" x14ac:dyDescent="0.3">
      <c r="A17" s="168">
        <f t="shared" si="0"/>
        <v>5</v>
      </c>
      <c r="B17" s="175"/>
      <c r="C17" s="215">
        <v>0</v>
      </c>
      <c r="D17" s="179"/>
      <c r="E17" s="215">
        <v>0</v>
      </c>
      <c r="F17" s="179"/>
      <c r="G17" s="179">
        <v>0</v>
      </c>
      <c r="H17" s="179"/>
      <c r="I17" s="179">
        <f>SUM(C17:G17)</f>
        <v>0</v>
      </c>
      <c r="J17" s="179"/>
      <c r="K17" s="168">
        <f t="shared" si="1"/>
        <v>5</v>
      </c>
    </row>
    <row r="18" spans="1:11" x14ac:dyDescent="0.3">
      <c r="A18" s="168">
        <f t="shared" si="0"/>
        <v>6</v>
      </c>
      <c r="C18" s="179">
        <v>0</v>
      </c>
      <c r="D18" s="179"/>
      <c r="E18" s="179">
        <v>0</v>
      </c>
      <c r="F18" s="179"/>
      <c r="G18" s="179">
        <v>0</v>
      </c>
      <c r="H18" s="179"/>
      <c r="I18" s="179">
        <f>SUM(C18:G18)</f>
        <v>0</v>
      </c>
      <c r="J18" s="179"/>
      <c r="K18" s="168">
        <f t="shared" si="1"/>
        <v>6</v>
      </c>
    </row>
    <row r="19" spans="1:11" ht="16.2" thickBot="1" x14ac:dyDescent="0.35">
      <c r="A19" s="168">
        <f t="shared" si="0"/>
        <v>7</v>
      </c>
      <c r="B19" s="184" t="s">
        <v>341</v>
      </c>
      <c r="C19" s="320">
        <f>SUM(C14:C18)</f>
        <v>59162.626445925816</v>
      </c>
      <c r="D19" s="179"/>
      <c r="E19" s="320">
        <f>SUM(E14:E18)</f>
        <v>106710.32358551471</v>
      </c>
      <c r="F19" s="179"/>
      <c r="G19" s="320">
        <f>SUM(G14:G18)</f>
        <v>395.64597681809806</v>
      </c>
      <c r="H19" s="179"/>
      <c r="I19" s="320">
        <f>SUM(I14:I18)</f>
        <v>166268.59600825864</v>
      </c>
      <c r="J19" s="313" t="s">
        <v>342</v>
      </c>
      <c r="K19" s="168">
        <f t="shared" si="1"/>
        <v>7</v>
      </c>
    </row>
    <row r="20" spans="1:11" ht="16.2" thickTop="1" x14ac:dyDescent="0.3">
      <c r="A20" s="168">
        <f t="shared" si="0"/>
        <v>8</v>
      </c>
      <c r="C20" s="322"/>
      <c r="D20" s="322"/>
      <c r="E20" s="322"/>
      <c r="F20" s="322"/>
      <c r="G20" s="322"/>
      <c r="H20" s="322"/>
      <c r="I20" s="322"/>
      <c r="J20" s="322"/>
      <c r="K20" s="168">
        <f t="shared" si="1"/>
        <v>8</v>
      </c>
    </row>
    <row r="21" spans="1:11" x14ac:dyDescent="0.3">
      <c r="A21" s="168">
        <f t="shared" si="0"/>
        <v>9</v>
      </c>
      <c r="B21" s="175" t="s">
        <v>343</v>
      </c>
      <c r="C21" s="318"/>
      <c r="D21" s="318"/>
      <c r="E21" s="318"/>
      <c r="F21" s="318"/>
      <c r="G21" s="318"/>
      <c r="H21" s="318"/>
      <c r="I21" s="180"/>
      <c r="J21" s="180"/>
      <c r="K21" s="168">
        <f t="shared" si="1"/>
        <v>9</v>
      </c>
    </row>
    <row r="22" spans="1:11" x14ac:dyDescent="0.3">
      <c r="A22" s="168">
        <f t="shared" si="0"/>
        <v>10</v>
      </c>
      <c r="B22" s="539" t="s">
        <v>344</v>
      </c>
      <c r="C22" s="314">
        <v>-732250.0203609668</v>
      </c>
      <c r="D22" s="314"/>
      <c r="E22" s="314">
        <v>-370202.22499999998</v>
      </c>
      <c r="F22" s="314"/>
      <c r="G22" s="314">
        <v>-6419.03</v>
      </c>
      <c r="H22" s="314"/>
      <c r="I22" s="314">
        <f>SUM(C22:G22)</f>
        <v>-1108871.2753609668</v>
      </c>
      <c r="J22" s="280" t="s">
        <v>357</v>
      </c>
      <c r="K22" s="168">
        <f t="shared" si="1"/>
        <v>10</v>
      </c>
    </row>
    <row r="23" spans="1:11" x14ac:dyDescent="0.3">
      <c r="A23" s="168">
        <f t="shared" si="0"/>
        <v>11</v>
      </c>
      <c r="C23" s="179">
        <v>0</v>
      </c>
      <c r="D23" s="179"/>
      <c r="E23" s="179">
        <v>0</v>
      </c>
      <c r="F23" s="179"/>
      <c r="G23" s="179">
        <v>0</v>
      </c>
      <c r="H23" s="179"/>
      <c r="I23" s="179">
        <f>SUM(C23:G23)</f>
        <v>0</v>
      </c>
      <c r="J23" s="179"/>
      <c r="K23" s="168">
        <f t="shared" si="1"/>
        <v>11</v>
      </c>
    </row>
    <row r="24" spans="1:11" x14ac:dyDescent="0.3">
      <c r="A24" s="168">
        <f t="shared" si="0"/>
        <v>12</v>
      </c>
      <c r="C24" s="179">
        <v>0</v>
      </c>
      <c r="D24" s="179"/>
      <c r="E24" s="179">
        <v>0</v>
      </c>
      <c r="F24" s="179"/>
      <c r="G24" s="179">
        <v>0</v>
      </c>
      <c r="H24" s="179"/>
      <c r="I24" s="179">
        <f>SUM(C24:G24)</f>
        <v>0</v>
      </c>
      <c r="J24" s="179"/>
      <c r="K24" s="168">
        <f t="shared" si="1"/>
        <v>12</v>
      </c>
    </row>
    <row r="25" spans="1:11" x14ac:dyDescent="0.3">
      <c r="A25" s="168">
        <f t="shared" si="0"/>
        <v>13</v>
      </c>
      <c r="C25" s="179">
        <v>0</v>
      </c>
      <c r="D25" s="179"/>
      <c r="E25" s="179">
        <v>0</v>
      </c>
      <c r="F25" s="179"/>
      <c r="G25" s="179">
        <v>0</v>
      </c>
      <c r="H25" s="179"/>
      <c r="I25" s="179">
        <f>SUM(C25:G25)</f>
        <v>0</v>
      </c>
      <c r="J25" s="179"/>
      <c r="K25" s="168">
        <f t="shared" si="1"/>
        <v>13</v>
      </c>
    </row>
    <row r="26" spans="1:11" ht="16.2" thickBot="1" x14ac:dyDescent="0.35">
      <c r="A26" s="168">
        <f t="shared" si="0"/>
        <v>14</v>
      </c>
      <c r="B26" s="184" t="s">
        <v>346</v>
      </c>
      <c r="C26" s="320">
        <f>SUM(C22:C25)</f>
        <v>-732250.0203609668</v>
      </c>
      <c r="D26" s="179"/>
      <c r="E26" s="320">
        <f>SUM(E22:E25)</f>
        <v>-370202.22499999998</v>
      </c>
      <c r="F26" s="179"/>
      <c r="G26" s="320">
        <f>SUM(G22:G25)</f>
        <v>-6419.03</v>
      </c>
      <c r="H26" s="179"/>
      <c r="I26" s="320">
        <f>SUM(I22:I25)</f>
        <v>-1108871.2753609668</v>
      </c>
      <c r="J26" s="313" t="s">
        <v>347</v>
      </c>
      <c r="K26" s="168">
        <f t="shared" si="1"/>
        <v>14</v>
      </c>
    </row>
    <row r="27" spans="1:11" ht="16.2" thickTop="1" x14ac:dyDescent="0.3">
      <c r="A27" s="168">
        <f t="shared" si="0"/>
        <v>15</v>
      </c>
      <c r="K27" s="168">
        <f t="shared" si="1"/>
        <v>15</v>
      </c>
    </row>
    <row r="28" spans="1:11" x14ac:dyDescent="0.3">
      <c r="A28" s="168">
        <f t="shared" si="0"/>
        <v>16</v>
      </c>
      <c r="B28" s="175" t="s">
        <v>348</v>
      </c>
      <c r="C28" s="318"/>
      <c r="D28" s="318"/>
      <c r="E28" s="318"/>
      <c r="F28" s="318"/>
      <c r="G28" s="318"/>
      <c r="H28" s="318"/>
      <c r="I28" s="180"/>
      <c r="J28" s="168"/>
      <c r="K28" s="168">
        <f t="shared" si="1"/>
        <v>16</v>
      </c>
    </row>
    <row r="29" spans="1:11" x14ac:dyDescent="0.3">
      <c r="A29" s="168">
        <f t="shared" si="0"/>
        <v>17</v>
      </c>
      <c r="B29" s="175" t="s">
        <v>349</v>
      </c>
      <c r="C29" s="185">
        <v>-7906.4293200000075</v>
      </c>
      <c r="D29" s="185"/>
      <c r="E29" s="185">
        <v>0</v>
      </c>
      <c r="F29" s="557"/>
      <c r="G29" s="185">
        <v>0</v>
      </c>
      <c r="H29" s="314"/>
      <c r="I29" s="314">
        <f>SUM(C29:G29)</f>
        <v>-7906.4293200000075</v>
      </c>
      <c r="J29" s="280" t="s">
        <v>356</v>
      </c>
      <c r="K29" s="168">
        <f t="shared" si="1"/>
        <v>17</v>
      </c>
    </row>
    <row r="30" spans="1:11" x14ac:dyDescent="0.3">
      <c r="A30" s="168">
        <f t="shared" si="0"/>
        <v>18</v>
      </c>
      <c r="B30" s="175"/>
      <c r="C30" s="215">
        <v>0</v>
      </c>
      <c r="D30" s="179"/>
      <c r="E30" s="215">
        <v>0</v>
      </c>
      <c r="F30" s="179"/>
      <c r="G30" s="179">
        <v>0</v>
      </c>
      <c r="H30" s="179"/>
      <c r="I30" s="179">
        <f>SUM(C30:G30)</f>
        <v>0</v>
      </c>
      <c r="J30" s="168"/>
      <c r="K30" s="168">
        <f t="shared" si="1"/>
        <v>18</v>
      </c>
    </row>
    <row r="31" spans="1:11" x14ac:dyDescent="0.3">
      <c r="A31" s="168">
        <f t="shared" si="0"/>
        <v>19</v>
      </c>
      <c r="B31" s="175"/>
      <c r="C31" s="179">
        <v>0</v>
      </c>
      <c r="D31" s="179"/>
      <c r="E31" s="179">
        <v>0</v>
      </c>
      <c r="F31" s="179"/>
      <c r="G31" s="179">
        <v>0</v>
      </c>
      <c r="H31" s="179"/>
      <c r="I31" s="179">
        <f>SUM(C31:G31)</f>
        <v>0</v>
      </c>
      <c r="J31" s="179"/>
      <c r="K31" s="168">
        <f t="shared" si="1"/>
        <v>19</v>
      </c>
    </row>
    <row r="32" spans="1:11" x14ac:dyDescent="0.3">
      <c r="A32" s="168">
        <f t="shared" si="0"/>
        <v>20</v>
      </c>
      <c r="B32" s="175"/>
      <c r="C32" s="179">
        <v>0</v>
      </c>
      <c r="D32" s="179"/>
      <c r="E32" s="179">
        <v>0</v>
      </c>
      <c r="F32" s="179"/>
      <c r="G32" s="179">
        <v>0</v>
      </c>
      <c r="H32" s="179"/>
      <c r="I32" s="179">
        <f>SUM(C32:G32)</f>
        <v>0</v>
      </c>
      <c r="J32" s="179"/>
      <c r="K32" s="168">
        <f t="shared" si="1"/>
        <v>20</v>
      </c>
    </row>
    <row r="33" spans="1:11" x14ac:dyDescent="0.3">
      <c r="A33" s="168">
        <f t="shared" si="0"/>
        <v>21</v>
      </c>
      <c r="B33" s="175"/>
      <c r="C33" s="179">
        <v>0</v>
      </c>
      <c r="D33" s="179"/>
      <c r="E33" s="179">
        <v>0</v>
      </c>
      <c r="F33" s="179"/>
      <c r="G33" s="179">
        <v>0</v>
      </c>
      <c r="H33" s="179"/>
      <c r="I33" s="179">
        <f>SUM(C33:G33)</f>
        <v>0</v>
      </c>
      <c r="J33" s="179"/>
      <c r="K33" s="168">
        <f t="shared" si="1"/>
        <v>21</v>
      </c>
    </row>
    <row r="34" spans="1:11" ht="16.2" thickBot="1" x14ac:dyDescent="0.35">
      <c r="A34" s="168">
        <f t="shared" si="0"/>
        <v>22</v>
      </c>
      <c r="B34" s="184" t="s">
        <v>351</v>
      </c>
      <c r="C34" s="320">
        <f>SUM(C29:C33)</f>
        <v>-7906.4293200000075</v>
      </c>
      <c r="D34" s="179"/>
      <c r="E34" s="320">
        <f>SUM(E29:E33)</f>
        <v>0</v>
      </c>
      <c r="F34" s="179"/>
      <c r="G34" s="320">
        <f>SUM(G29:G33)</f>
        <v>0</v>
      </c>
      <c r="H34" s="179"/>
      <c r="I34" s="320">
        <f>SUM(I29:I33)</f>
        <v>-7906.4293200000075</v>
      </c>
      <c r="J34" s="313" t="s">
        <v>352</v>
      </c>
      <c r="K34" s="168">
        <f t="shared" si="1"/>
        <v>22</v>
      </c>
    </row>
    <row r="35" spans="1:11" ht="16.2" thickTop="1" x14ac:dyDescent="0.3"/>
  </sheetData>
  <mergeCells count="5">
    <mergeCell ref="B4:J4"/>
    <mergeCell ref="B5:J5"/>
    <mergeCell ref="B6:J6"/>
    <mergeCell ref="B7:J7"/>
    <mergeCell ref="B3:J3"/>
  </mergeCells>
  <printOptions horizontalCentered="1"/>
  <pageMargins left="0.25" right="0.25" top="0.5" bottom="0.5" header="0.35" footer="0.25"/>
  <pageSetup scale="67" orientation="landscape" r:id="rId1"/>
  <headerFooter scaleWithDoc="0" alignWithMargins="0">
    <oddHeader>&amp;C&amp;"Times New Roman,Bold"&amp;8AS FILED</oddHeader>
    <oddFooter>&amp;CPage 5.3A&amp;R&amp;F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0EAC-3BE1-4804-A718-C855C601C99F}">
  <sheetPr>
    <pageSetUpPr fitToPage="1"/>
  </sheetPr>
  <dimension ref="A1:J65"/>
  <sheetViews>
    <sheetView zoomScale="80" zoomScaleNormal="80" workbookViewId="0"/>
  </sheetViews>
  <sheetFormatPr defaultColWidth="8.88671875" defaultRowHeight="15.6" x14ac:dyDescent="0.3"/>
  <cols>
    <col min="1" max="1" width="5.109375" style="168" bestFit="1" customWidth="1"/>
    <col min="2" max="2" width="78.44140625" style="169" customWidth="1"/>
    <col min="3" max="3" width="21.1093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42.88671875" style="169" customWidth="1"/>
    <col min="8" max="8" width="5.109375" style="169" customWidth="1"/>
    <col min="9" max="9" width="8.88671875" style="169"/>
    <col min="10" max="10" width="20.44140625" style="169" bestFit="1" customWidth="1"/>
    <col min="11" max="16384" width="8.88671875" style="169"/>
  </cols>
  <sheetData>
    <row r="1" spans="1:8" x14ac:dyDescent="0.3">
      <c r="G1" s="168"/>
      <c r="H1" s="168"/>
    </row>
    <row r="2" spans="1:8" x14ac:dyDescent="0.3">
      <c r="B2" s="861" t="s">
        <v>217</v>
      </c>
      <c r="C2" s="861"/>
      <c r="D2" s="861"/>
      <c r="E2" s="861"/>
      <c r="F2" s="861"/>
      <c r="G2" s="861"/>
      <c r="H2" s="168"/>
    </row>
    <row r="3" spans="1:8" x14ac:dyDescent="0.3">
      <c r="B3" s="861" t="s">
        <v>358</v>
      </c>
      <c r="C3" s="861"/>
      <c r="D3" s="861"/>
      <c r="E3" s="861"/>
      <c r="F3" s="861"/>
      <c r="G3" s="861"/>
      <c r="H3" s="168"/>
    </row>
    <row r="4" spans="1:8" x14ac:dyDescent="0.3">
      <c r="B4" s="861" t="s">
        <v>359</v>
      </c>
      <c r="C4" s="861"/>
      <c r="D4" s="861"/>
      <c r="E4" s="861"/>
      <c r="F4" s="861"/>
      <c r="G4" s="861"/>
      <c r="H4" s="168"/>
    </row>
    <row r="5" spans="1:8" x14ac:dyDescent="0.3">
      <c r="B5" s="862" t="s">
        <v>294</v>
      </c>
      <c r="C5" s="862"/>
      <c r="D5" s="862"/>
      <c r="E5" s="862"/>
      <c r="F5" s="862"/>
      <c r="G5" s="862"/>
      <c r="H5" s="168"/>
    </row>
    <row r="6" spans="1:8" x14ac:dyDescent="0.3">
      <c r="B6" s="863" t="s">
        <v>3</v>
      </c>
      <c r="C6" s="864"/>
      <c r="D6" s="864"/>
      <c r="E6" s="864"/>
      <c r="F6" s="864"/>
      <c r="G6" s="864"/>
      <c r="H6" s="168"/>
    </row>
    <row r="7" spans="1:8" x14ac:dyDescent="0.3">
      <c r="B7" s="168"/>
      <c r="C7" s="168"/>
      <c r="D7" s="168"/>
      <c r="E7" s="170"/>
      <c r="F7" s="170"/>
      <c r="G7" s="168"/>
      <c r="H7" s="168"/>
    </row>
    <row r="8" spans="1:8" x14ac:dyDescent="0.3">
      <c r="A8" s="168" t="s">
        <v>4</v>
      </c>
      <c r="B8" s="171"/>
      <c r="C8" s="168" t="s">
        <v>295</v>
      </c>
      <c r="D8" s="171"/>
      <c r="E8" s="434"/>
      <c r="F8" s="434"/>
      <c r="G8" s="168"/>
      <c r="H8" s="168" t="s">
        <v>4</v>
      </c>
    </row>
    <row r="9" spans="1:8" x14ac:dyDescent="0.3">
      <c r="A9" s="168" t="s">
        <v>8</v>
      </c>
      <c r="C9" s="172" t="s">
        <v>299</v>
      </c>
      <c r="D9" s="171"/>
      <c r="E9" s="173" t="s">
        <v>6</v>
      </c>
      <c r="F9" s="434"/>
      <c r="G9" s="172" t="s">
        <v>7</v>
      </c>
      <c r="H9" s="168" t="s">
        <v>8</v>
      </c>
    </row>
    <row r="10" spans="1:8" x14ac:dyDescent="0.3">
      <c r="C10" s="171"/>
      <c r="D10" s="171"/>
      <c r="E10" s="434"/>
      <c r="F10" s="434"/>
      <c r="G10" s="168"/>
      <c r="H10" s="168"/>
    </row>
    <row r="11" spans="1:8" x14ac:dyDescent="0.3">
      <c r="A11" s="168">
        <v>1</v>
      </c>
      <c r="B11" s="174" t="s">
        <v>360</v>
      </c>
      <c r="G11" s="168"/>
      <c r="H11" s="168">
        <f>A11</f>
        <v>1</v>
      </c>
    </row>
    <row r="12" spans="1:8" x14ac:dyDescent="0.3">
      <c r="A12" s="168">
        <f>+A11+1</f>
        <v>2</v>
      </c>
      <c r="B12" s="169" t="s">
        <v>361</v>
      </c>
      <c r="C12" s="168" t="s">
        <v>362</v>
      </c>
      <c r="E12" s="435">
        <v>99751.976999999999</v>
      </c>
      <c r="G12" s="168" t="s">
        <v>363</v>
      </c>
      <c r="H12" s="168">
        <f t="shared" ref="H12:H48" si="0">+H11+1</f>
        <v>2</v>
      </c>
    </row>
    <row r="13" spans="1:8" x14ac:dyDescent="0.3">
      <c r="A13" s="168">
        <f t="shared" ref="A13:A61" si="1">+A12+1</f>
        <v>3</v>
      </c>
      <c r="B13" s="175" t="s">
        <v>364</v>
      </c>
      <c r="E13" s="436"/>
      <c r="G13" s="168"/>
      <c r="H13" s="168">
        <f t="shared" si="0"/>
        <v>3</v>
      </c>
    </row>
    <row r="14" spans="1:8" x14ac:dyDescent="0.3">
      <c r="A14" s="168">
        <f t="shared" si="1"/>
        <v>4</v>
      </c>
      <c r="B14" s="169" t="s">
        <v>365</v>
      </c>
      <c r="C14" s="176"/>
      <c r="E14" s="177">
        <v>-5200.3239999999996</v>
      </c>
      <c r="G14" s="168" t="s">
        <v>366</v>
      </c>
      <c r="H14" s="168">
        <f t="shared" si="0"/>
        <v>4</v>
      </c>
    </row>
    <row r="15" spans="1:8" x14ac:dyDescent="0.3">
      <c r="A15" s="168">
        <f t="shared" si="1"/>
        <v>5</v>
      </c>
      <c r="B15" s="169" t="s">
        <v>367</v>
      </c>
      <c r="E15" s="177">
        <v>-2469.29151</v>
      </c>
      <c r="G15" s="168" t="s">
        <v>368</v>
      </c>
      <c r="H15" s="168">
        <f t="shared" si="0"/>
        <v>5</v>
      </c>
    </row>
    <row r="16" spans="1:8" x14ac:dyDescent="0.3">
      <c r="A16" s="168">
        <f t="shared" si="1"/>
        <v>6</v>
      </c>
      <c r="B16" s="169" t="s">
        <v>369</v>
      </c>
      <c r="E16" s="177">
        <v>0</v>
      </c>
      <c r="G16" s="168" t="s">
        <v>370</v>
      </c>
      <c r="H16" s="168">
        <f t="shared" si="0"/>
        <v>6</v>
      </c>
    </row>
    <row r="17" spans="1:10" x14ac:dyDescent="0.3">
      <c r="A17" s="168">
        <f t="shared" si="1"/>
        <v>7</v>
      </c>
      <c r="B17" s="169" t="s">
        <v>371</v>
      </c>
      <c r="E17" s="177">
        <v>-325.87329000000057</v>
      </c>
      <c r="G17" s="168" t="s">
        <v>372</v>
      </c>
      <c r="H17" s="168">
        <f t="shared" si="0"/>
        <v>7</v>
      </c>
    </row>
    <row r="18" spans="1:10" ht="31.2" x14ac:dyDescent="0.3">
      <c r="A18" s="168">
        <f t="shared" si="1"/>
        <v>8</v>
      </c>
      <c r="B18" s="169" t="s">
        <v>373</v>
      </c>
      <c r="E18" s="437">
        <v>3779.0528193559999</v>
      </c>
      <c r="G18" s="180" t="s">
        <v>374</v>
      </c>
      <c r="H18" s="168">
        <f t="shared" si="0"/>
        <v>8</v>
      </c>
    </row>
    <row r="19" spans="1:10" x14ac:dyDescent="0.3">
      <c r="A19" s="168">
        <f t="shared" si="1"/>
        <v>9</v>
      </c>
      <c r="B19" s="169" t="s">
        <v>375</v>
      </c>
      <c r="E19" s="199">
        <f>SUM(E12:E18)</f>
        <v>95535.541019356009</v>
      </c>
      <c r="G19" s="114" t="s">
        <v>376</v>
      </c>
      <c r="H19" s="168">
        <f t="shared" si="0"/>
        <v>9</v>
      </c>
    </row>
    <row r="20" spans="1:10" x14ac:dyDescent="0.3">
      <c r="A20" s="168">
        <f t="shared" si="1"/>
        <v>10</v>
      </c>
      <c r="E20" s="179"/>
      <c r="H20" s="168">
        <f t="shared" si="0"/>
        <v>10</v>
      </c>
    </row>
    <row r="21" spans="1:10" x14ac:dyDescent="0.3">
      <c r="A21" s="168">
        <f t="shared" si="1"/>
        <v>11</v>
      </c>
      <c r="B21" s="438" t="s">
        <v>377</v>
      </c>
      <c r="E21" s="439"/>
      <c r="G21" s="168"/>
      <c r="H21" s="168">
        <f t="shared" si="0"/>
        <v>11</v>
      </c>
    </row>
    <row r="22" spans="1:10" x14ac:dyDescent="0.3">
      <c r="A22" s="168">
        <f t="shared" si="1"/>
        <v>12</v>
      </c>
      <c r="B22" s="175" t="s">
        <v>378</v>
      </c>
      <c r="C22" s="168" t="s">
        <v>379</v>
      </c>
      <c r="E22" s="435">
        <f>'Pg6.1 Rev AH-2'!D26</f>
        <v>594949.38299999991</v>
      </c>
      <c r="G22" s="168" t="s">
        <v>380</v>
      </c>
      <c r="H22" s="168">
        <f t="shared" si="0"/>
        <v>12</v>
      </c>
    </row>
    <row r="23" spans="1:10" x14ac:dyDescent="0.3">
      <c r="A23" s="168">
        <f t="shared" si="1"/>
        <v>13</v>
      </c>
      <c r="B23" s="175" t="s">
        <v>381</v>
      </c>
      <c r="E23" s="439" t="s">
        <v>26</v>
      </c>
      <c r="G23" s="168"/>
      <c r="H23" s="168">
        <f t="shared" si="0"/>
        <v>13</v>
      </c>
    </row>
    <row r="24" spans="1:10" x14ac:dyDescent="0.3">
      <c r="A24" s="168">
        <f t="shared" si="1"/>
        <v>14</v>
      </c>
      <c r="B24" s="175" t="s">
        <v>382</v>
      </c>
      <c r="E24" s="177">
        <f>-'Pg6.1 Rev AH-2'!D57</f>
        <v>-2360.71747</v>
      </c>
      <c r="G24" s="168" t="s">
        <v>383</v>
      </c>
      <c r="H24" s="168">
        <f t="shared" si="0"/>
        <v>14</v>
      </c>
    </row>
    <row r="25" spans="1:10" ht="31.2" x14ac:dyDescent="0.3">
      <c r="A25" s="168">
        <f t="shared" si="1"/>
        <v>15</v>
      </c>
      <c r="B25" s="175" t="s">
        <v>384</v>
      </c>
      <c r="E25" s="177">
        <f>-('Pg6.1 Rev AH-2'!D30+'Pg6.1 Rev AH-2'!D33+'Pg6.1 Rev AH-2'!D37+'Pg6.1 Rev AH-2'!D43+'Pg6.1 Rev AH-2'!D46+'Pg6.1 Rev AH-2'!D51+'Pg6.1 Rev AH-2'!D60)</f>
        <v>555.40800073999958</v>
      </c>
      <c r="G25" s="180" t="s">
        <v>385</v>
      </c>
      <c r="H25" s="168">
        <f t="shared" si="0"/>
        <v>15</v>
      </c>
      <c r="I25" s="440"/>
      <c r="J25" s="181"/>
    </row>
    <row r="26" spans="1:10" ht="18" x14ac:dyDescent="0.3">
      <c r="A26" s="168">
        <f t="shared" si="1"/>
        <v>16</v>
      </c>
      <c r="B26" s="175" t="s">
        <v>386</v>
      </c>
      <c r="E26" s="177">
        <f>-'Pg6.1 Rev AH-2'!D53</f>
        <v>0</v>
      </c>
      <c r="G26" s="168" t="s">
        <v>387</v>
      </c>
      <c r="H26" s="168">
        <f t="shared" si="0"/>
        <v>16</v>
      </c>
      <c r="I26" s="440"/>
      <c r="J26" s="182"/>
    </row>
    <row r="27" spans="1:10" x14ac:dyDescent="0.3">
      <c r="A27" s="168">
        <f t="shared" si="1"/>
        <v>17</v>
      </c>
      <c r="B27" s="175" t="s">
        <v>388</v>
      </c>
      <c r="E27" s="177">
        <f>-'Pg6.1 Rev AH-2'!D54</f>
        <v>-2085.1866</v>
      </c>
      <c r="G27" s="168" t="s">
        <v>389</v>
      </c>
      <c r="H27" s="168">
        <f t="shared" si="0"/>
        <v>17</v>
      </c>
    </row>
    <row r="28" spans="1:10" x14ac:dyDescent="0.3">
      <c r="A28" s="168">
        <f t="shared" si="1"/>
        <v>18</v>
      </c>
      <c r="B28" s="175" t="s">
        <v>390</v>
      </c>
      <c r="E28" s="177">
        <f>-'Pg6.1 Rev AH-2'!D50</f>
        <v>-13015.817289999999</v>
      </c>
      <c r="G28" s="168" t="s">
        <v>391</v>
      </c>
      <c r="H28" s="168">
        <f t="shared" si="0"/>
        <v>18</v>
      </c>
      <c r="J28" s="181"/>
    </row>
    <row r="29" spans="1:10" x14ac:dyDescent="0.3">
      <c r="A29" s="168">
        <f t="shared" si="1"/>
        <v>19</v>
      </c>
      <c r="B29" s="175" t="s">
        <v>392</v>
      </c>
      <c r="E29" s="177">
        <v>0</v>
      </c>
      <c r="G29" s="313" t="s">
        <v>393</v>
      </c>
      <c r="H29" s="168">
        <f t="shared" si="0"/>
        <v>19</v>
      </c>
      <c r="I29" s="440"/>
      <c r="J29" s="181"/>
    </row>
    <row r="30" spans="1:10" x14ac:dyDescent="0.3">
      <c r="A30" s="168">
        <f t="shared" si="1"/>
        <v>20</v>
      </c>
      <c r="B30" s="175" t="s">
        <v>394</v>
      </c>
      <c r="E30" s="177">
        <f>-'Pg6.1 Rev AH-2'!E56</f>
        <v>204.155</v>
      </c>
      <c r="G30" s="180" t="s">
        <v>395</v>
      </c>
      <c r="H30" s="168">
        <f t="shared" si="0"/>
        <v>20</v>
      </c>
      <c r="I30" s="440"/>
    </row>
    <row r="31" spans="1:10" x14ac:dyDescent="0.3">
      <c r="A31" s="168">
        <f t="shared" si="1"/>
        <v>21</v>
      </c>
      <c r="B31" s="175" t="s">
        <v>396</v>
      </c>
      <c r="E31" s="177">
        <f>-'Pg6.1 Rev AH-2'!E49</f>
        <v>-130506.76528000001</v>
      </c>
      <c r="G31" s="168" t="s">
        <v>397</v>
      </c>
      <c r="H31" s="168">
        <f t="shared" si="0"/>
        <v>21</v>
      </c>
    </row>
    <row r="32" spans="1:10" x14ac:dyDescent="0.3">
      <c r="A32" s="168">
        <f t="shared" si="1"/>
        <v>22</v>
      </c>
      <c r="B32" s="175" t="s">
        <v>398</v>
      </c>
      <c r="E32" s="177">
        <f>-'Pg6.1 Rev AH-2'!D61</f>
        <v>-12.147468914000001</v>
      </c>
      <c r="G32" s="180" t="s">
        <v>399</v>
      </c>
      <c r="H32" s="168">
        <f t="shared" si="0"/>
        <v>22</v>
      </c>
    </row>
    <row r="33" spans="1:10" x14ac:dyDescent="0.3">
      <c r="A33" s="168">
        <f t="shared" si="1"/>
        <v>23</v>
      </c>
      <c r="B33" s="175" t="s">
        <v>400</v>
      </c>
      <c r="E33" s="177">
        <f>-'Pg6.1 Rev AH-2'!D52</f>
        <v>-40.544630000000005</v>
      </c>
      <c r="G33" s="180" t="s">
        <v>401</v>
      </c>
      <c r="H33" s="168">
        <f t="shared" si="0"/>
        <v>23</v>
      </c>
      <c r="J33" s="181"/>
    </row>
    <row r="34" spans="1:10" ht="46.8" x14ac:dyDescent="0.3">
      <c r="A34" s="168">
        <f t="shared" si="1"/>
        <v>24</v>
      </c>
      <c r="B34" s="175" t="s">
        <v>402</v>
      </c>
      <c r="E34" s="177">
        <f>-('Pg6.1 Rev AH-2'!D31+'Pg6.1 Rev AH-2'!D32+'Pg6.1 Rev AH-2'!D34+'Pg6.1 Rev AH-2'!D35+'Pg6.1 Rev AH-2'!D38+'Pg6.1 Rev AH-2'!D39+'Pg6.1 Rev AH-2'!D40+'Pg6.1 Rev AH-2'!D41+'Pg6.1 Rev AH-2'!D42+'Pg6.1 Rev AH-2'!D44+'Pg6.1 Rev AH-2'!D45+'Pg6.1 Rev AH-2'!D47+'Pg6.1 Rev AH-2'!D48+'Pg6.1 Rev AH-2'!D55+'Pg6.1 Rev AH-2'!D58+'Pg6.1 Rev AH-2'!D59+'Pg6.1 Rev AH-2'!E36)</f>
        <v>-24673.96433250203</v>
      </c>
      <c r="G34" s="180" t="s">
        <v>403</v>
      </c>
      <c r="H34" s="168">
        <f t="shared" si="0"/>
        <v>24</v>
      </c>
    </row>
    <row r="35" spans="1:10" x14ac:dyDescent="0.3">
      <c r="A35" s="168">
        <f t="shared" si="1"/>
        <v>25</v>
      </c>
      <c r="B35" s="169" t="s">
        <v>404</v>
      </c>
      <c r="E35" s="455">
        <f>'Pg6.1 Rev AH-2'!H26</f>
        <v>-90.331999999999994</v>
      </c>
      <c r="F35" s="42" t="s">
        <v>42</v>
      </c>
      <c r="G35" s="168" t="s">
        <v>405</v>
      </c>
      <c r="H35" s="168">
        <f t="shared" si="0"/>
        <v>25</v>
      </c>
    </row>
    <row r="36" spans="1:10" x14ac:dyDescent="0.3">
      <c r="A36" s="168">
        <f t="shared" si="1"/>
        <v>26</v>
      </c>
      <c r="B36" s="175" t="s">
        <v>406</v>
      </c>
      <c r="E36" s="456">
        <f>SUM(E22:E35)</f>
        <v>422923.47092932381</v>
      </c>
      <c r="F36" s="42" t="s">
        <v>42</v>
      </c>
      <c r="G36" s="168" t="s">
        <v>407</v>
      </c>
      <c r="H36" s="168">
        <f t="shared" si="0"/>
        <v>26</v>
      </c>
      <c r="J36" s="182"/>
    </row>
    <row r="37" spans="1:10" x14ac:dyDescent="0.3">
      <c r="A37" s="168">
        <f t="shared" si="1"/>
        <v>27</v>
      </c>
      <c r="B37" s="175" t="s">
        <v>408</v>
      </c>
      <c r="E37" s="183">
        <f>-'Pg6.1 Rev AH-2'!F15</f>
        <v>-8310.402</v>
      </c>
      <c r="G37" s="168" t="s">
        <v>409</v>
      </c>
      <c r="H37" s="168">
        <f t="shared" si="0"/>
        <v>27</v>
      </c>
    </row>
    <row r="38" spans="1:10" x14ac:dyDescent="0.3">
      <c r="A38" s="168">
        <f t="shared" si="1"/>
        <v>28</v>
      </c>
      <c r="B38" s="175" t="s">
        <v>410</v>
      </c>
      <c r="E38" s="456">
        <f>SUM(E36:E37)</f>
        <v>414613.06892932381</v>
      </c>
      <c r="F38" s="42" t="s">
        <v>42</v>
      </c>
      <c r="G38" s="168" t="s">
        <v>411</v>
      </c>
      <c r="H38" s="168">
        <f t="shared" si="0"/>
        <v>28</v>
      </c>
    </row>
    <row r="39" spans="1:10" x14ac:dyDescent="0.3">
      <c r="A39" s="168">
        <f t="shared" si="1"/>
        <v>29</v>
      </c>
      <c r="B39" s="169" t="s">
        <v>412</v>
      </c>
      <c r="E39" s="441">
        <v>0.1880741793345351</v>
      </c>
      <c r="G39" s="114" t="s">
        <v>413</v>
      </c>
      <c r="H39" s="168">
        <f t="shared" si="0"/>
        <v>29</v>
      </c>
    </row>
    <row r="40" spans="1:10" x14ac:dyDescent="0.3">
      <c r="A40" s="168">
        <f t="shared" si="1"/>
        <v>30</v>
      </c>
      <c r="B40" s="175" t="s">
        <v>414</v>
      </c>
      <c r="E40" s="457">
        <f>E38*E39</f>
        <v>77978.012680255604</v>
      </c>
      <c r="F40" s="42" t="s">
        <v>42</v>
      </c>
      <c r="G40" s="168" t="s">
        <v>415</v>
      </c>
      <c r="H40" s="168">
        <f t="shared" si="0"/>
        <v>30</v>
      </c>
    </row>
    <row r="41" spans="1:10" x14ac:dyDescent="0.3">
      <c r="A41" s="168">
        <f t="shared" si="1"/>
        <v>31</v>
      </c>
      <c r="B41" s="169" t="s">
        <v>416</v>
      </c>
      <c r="E41" s="442">
        <f>E61*(-E37)</f>
        <v>3373.4447624918339</v>
      </c>
      <c r="G41" s="168" t="s">
        <v>417</v>
      </c>
      <c r="H41" s="168">
        <f t="shared" si="0"/>
        <v>31</v>
      </c>
    </row>
    <row r="42" spans="1:10" ht="16.2" thickBot="1" x14ac:dyDescent="0.35">
      <c r="A42" s="168">
        <f t="shared" si="1"/>
        <v>32</v>
      </c>
      <c r="B42" s="175" t="s">
        <v>418</v>
      </c>
      <c r="E42" s="458">
        <f>E41+E40</f>
        <v>81351.457442747444</v>
      </c>
      <c r="F42" s="42" t="s">
        <v>42</v>
      </c>
      <c r="G42" s="168" t="s">
        <v>176</v>
      </c>
      <c r="H42" s="168">
        <f t="shared" si="0"/>
        <v>32</v>
      </c>
      <c r="I42" s="175"/>
    </row>
    <row r="43" spans="1:10" ht="16.2" thickTop="1" x14ac:dyDescent="0.3">
      <c r="A43" s="168">
        <f t="shared" si="1"/>
        <v>33</v>
      </c>
      <c r="B43" s="184"/>
      <c r="E43" s="443"/>
      <c r="G43" s="168"/>
      <c r="H43" s="168">
        <f t="shared" si="0"/>
        <v>33</v>
      </c>
    </row>
    <row r="44" spans="1:10" x14ac:dyDescent="0.3">
      <c r="A44" s="168">
        <f t="shared" si="1"/>
        <v>34</v>
      </c>
      <c r="B44" s="438" t="s">
        <v>419</v>
      </c>
      <c r="E44" s="444"/>
      <c r="G44" s="168"/>
      <c r="H44" s="168">
        <f t="shared" si="0"/>
        <v>34</v>
      </c>
    </row>
    <row r="45" spans="1:10" x14ac:dyDescent="0.3">
      <c r="A45" s="168">
        <f t="shared" si="1"/>
        <v>35</v>
      </c>
      <c r="B45" s="175" t="s">
        <v>420</v>
      </c>
      <c r="E45" s="116">
        <v>6632410.4084030753</v>
      </c>
      <c r="G45" s="168" t="s">
        <v>421</v>
      </c>
      <c r="H45" s="168">
        <f t="shared" si="0"/>
        <v>35</v>
      </c>
    </row>
    <row r="46" spans="1:10" x14ac:dyDescent="0.3">
      <c r="A46" s="168">
        <f t="shared" si="1"/>
        <v>36</v>
      </c>
      <c r="B46" s="175" t="s">
        <v>133</v>
      </c>
      <c r="E46" s="445">
        <v>0</v>
      </c>
      <c r="G46" s="168" t="s">
        <v>243</v>
      </c>
      <c r="H46" s="168">
        <f t="shared" si="0"/>
        <v>36</v>
      </c>
    </row>
    <row r="47" spans="1:10" x14ac:dyDescent="0.3">
      <c r="A47" s="168">
        <f t="shared" si="1"/>
        <v>37</v>
      </c>
      <c r="B47" s="175" t="s">
        <v>135</v>
      </c>
      <c r="E47" s="446">
        <v>86594.311561361523</v>
      </c>
      <c r="G47" s="447" t="s">
        <v>271</v>
      </c>
      <c r="H47" s="168">
        <f t="shared" si="0"/>
        <v>37</v>
      </c>
    </row>
    <row r="48" spans="1:10" x14ac:dyDescent="0.3">
      <c r="A48" s="168">
        <f t="shared" si="1"/>
        <v>38</v>
      </c>
      <c r="B48" s="175" t="s">
        <v>422</v>
      </c>
      <c r="E48" s="131">
        <v>214262.5076566372</v>
      </c>
      <c r="G48" s="447" t="s">
        <v>272</v>
      </c>
      <c r="H48" s="168">
        <f t="shared" si="0"/>
        <v>38</v>
      </c>
    </row>
    <row r="49" spans="1:9" ht="16.2" thickBot="1" x14ac:dyDescent="0.35">
      <c r="A49" s="168">
        <f t="shared" si="1"/>
        <v>39</v>
      </c>
      <c r="B49" s="175" t="s">
        <v>423</v>
      </c>
      <c r="E49" s="448">
        <f>SUM(E45:E48)</f>
        <v>6933267.2276210748</v>
      </c>
      <c r="G49" s="168" t="s">
        <v>424</v>
      </c>
      <c r="H49" s="168">
        <f>+H48+1</f>
        <v>39</v>
      </c>
      <c r="I49" s="449"/>
    </row>
    <row r="50" spans="1:9" ht="16.2" thickTop="1" x14ac:dyDescent="0.3">
      <c r="A50" s="168">
        <f t="shared" si="1"/>
        <v>40</v>
      </c>
      <c r="B50" s="184"/>
      <c r="E50" s="179"/>
      <c r="G50" s="168"/>
      <c r="H50" s="168">
        <f>+H49+1</f>
        <v>40</v>
      </c>
    </row>
    <row r="51" spans="1:9" x14ac:dyDescent="0.3">
      <c r="A51" s="168">
        <f t="shared" si="1"/>
        <v>41</v>
      </c>
      <c r="B51" s="175" t="s">
        <v>425</v>
      </c>
      <c r="E51" s="185">
        <f>E45</f>
        <v>6632410.4084030753</v>
      </c>
      <c r="G51" s="450" t="s">
        <v>426</v>
      </c>
      <c r="H51" s="168">
        <f>+H50+1</f>
        <v>41</v>
      </c>
    </row>
    <row r="52" spans="1:9" x14ac:dyDescent="0.3">
      <c r="A52" s="168">
        <f t="shared" si="1"/>
        <v>42</v>
      </c>
      <c r="B52" s="175" t="s">
        <v>427</v>
      </c>
      <c r="E52" s="119">
        <v>557045.05025384598</v>
      </c>
      <c r="G52" s="447" t="s">
        <v>428</v>
      </c>
      <c r="H52" s="168">
        <f t="shared" ref="H52:H59" si="2">+H51+1</f>
        <v>42</v>
      </c>
    </row>
    <row r="53" spans="1:9" x14ac:dyDescent="0.3">
      <c r="A53" s="168">
        <f t="shared" si="1"/>
        <v>43</v>
      </c>
      <c r="B53" s="175" t="s">
        <v>429</v>
      </c>
      <c r="E53" s="445">
        <v>0</v>
      </c>
      <c r="G53" s="168" t="s">
        <v>243</v>
      </c>
      <c r="H53" s="168">
        <f t="shared" si="2"/>
        <v>43</v>
      </c>
    </row>
    <row r="54" spans="1:9" x14ac:dyDescent="0.3">
      <c r="A54" s="168">
        <f t="shared" si="1"/>
        <v>44</v>
      </c>
      <c r="B54" s="175" t="s">
        <v>430</v>
      </c>
      <c r="E54" s="119">
        <v>529465.61728230771</v>
      </c>
      <c r="G54" s="447" t="s">
        <v>431</v>
      </c>
      <c r="H54" s="168">
        <f t="shared" si="2"/>
        <v>44</v>
      </c>
    </row>
    <row r="55" spans="1:9" x14ac:dyDescent="0.3">
      <c r="A55" s="168">
        <f t="shared" si="1"/>
        <v>45</v>
      </c>
      <c r="B55" s="175" t="s">
        <v>432</v>
      </c>
      <c r="E55" s="119">
        <v>7761348.9741599998</v>
      </c>
      <c r="G55" s="447" t="s">
        <v>433</v>
      </c>
      <c r="H55" s="168">
        <f t="shared" si="2"/>
        <v>45</v>
      </c>
    </row>
    <row r="56" spans="1:9" x14ac:dyDescent="0.3">
      <c r="A56" s="168">
        <f t="shared" si="1"/>
        <v>46</v>
      </c>
      <c r="B56" s="175" t="s">
        <v>133</v>
      </c>
      <c r="E56" s="445">
        <v>0</v>
      </c>
      <c r="G56" s="168" t="s">
        <v>243</v>
      </c>
      <c r="H56" s="168">
        <f t="shared" si="2"/>
        <v>46</v>
      </c>
    </row>
    <row r="57" spans="1:9" x14ac:dyDescent="0.3">
      <c r="A57" s="168">
        <f t="shared" si="1"/>
        <v>47</v>
      </c>
      <c r="B57" s="175" t="s">
        <v>434</v>
      </c>
      <c r="E57" s="119">
        <v>460426.36935999995</v>
      </c>
      <c r="G57" s="447" t="s">
        <v>435</v>
      </c>
      <c r="H57" s="168">
        <f t="shared" si="2"/>
        <v>47</v>
      </c>
    </row>
    <row r="58" spans="1:9" x14ac:dyDescent="0.3">
      <c r="A58" s="168">
        <f t="shared" si="1"/>
        <v>48</v>
      </c>
      <c r="B58" s="175" t="s">
        <v>436</v>
      </c>
      <c r="E58" s="451">
        <v>1139244.6768331758</v>
      </c>
      <c r="G58" s="447" t="s">
        <v>437</v>
      </c>
      <c r="H58" s="168">
        <f t="shared" si="2"/>
        <v>48</v>
      </c>
    </row>
    <row r="59" spans="1:9" ht="16.2" thickBot="1" x14ac:dyDescent="0.35">
      <c r="A59" s="168">
        <f t="shared" si="1"/>
        <v>49</v>
      </c>
      <c r="B59" s="175" t="s">
        <v>438</v>
      </c>
      <c r="E59" s="452">
        <f>SUM(E51:E58)</f>
        <v>17079941.096292403</v>
      </c>
      <c r="G59" s="168" t="s">
        <v>439</v>
      </c>
      <c r="H59" s="168">
        <f t="shared" si="2"/>
        <v>49</v>
      </c>
      <c r="I59" s="449"/>
    </row>
    <row r="60" spans="1:9" ht="16.2" thickTop="1" x14ac:dyDescent="0.3">
      <c r="A60" s="168">
        <f t="shared" si="1"/>
        <v>50</v>
      </c>
      <c r="E60" s="186"/>
      <c r="G60" s="168"/>
      <c r="H60" s="168">
        <f>+H59+1</f>
        <v>50</v>
      </c>
    </row>
    <row r="61" spans="1:9" ht="16.2" thickBot="1" x14ac:dyDescent="0.35">
      <c r="A61" s="168">
        <f t="shared" si="1"/>
        <v>51</v>
      </c>
      <c r="B61" s="175" t="s">
        <v>440</v>
      </c>
      <c r="E61" s="453">
        <f>E49/E59</f>
        <v>0.40593039452144841</v>
      </c>
      <c r="G61" s="168" t="s">
        <v>441</v>
      </c>
      <c r="H61" s="168">
        <f>+H60+1</f>
        <v>51</v>
      </c>
      <c r="I61" s="449"/>
    </row>
    <row r="62" spans="1:9" ht="16.2" thickTop="1" x14ac:dyDescent="0.3">
      <c r="B62" s="175" t="s">
        <v>26</v>
      </c>
      <c r="E62" s="454"/>
      <c r="G62" s="168"/>
      <c r="H62" s="168"/>
    </row>
    <row r="63" spans="1:9" x14ac:dyDescent="0.3">
      <c r="A63" s="42" t="s">
        <v>42</v>
      </c>
      <c r="B63" s="12" t="s">
        <v>442</v>
      </c>
      <c r="E63" s="454"/>
      <c r="F63" s="454"/>
      <c r="G63" s="168"/>
      <c r="H63" s="168"/>
    </row>
    <row r="64" spans="1:9" ht="18" x14ac:dyDescent="0.3">
      <c r="A64" s="187">
        <v>1</v>
      </c>
      <c r="B64" s="175" t="s">
        <v>443</v>
      </c>
      <c r="H64" s="168"/>
    </row>
    <row r="65" spans="2:8" x14ac:dyDescent="0.3">
      <c r="B65" s="175" t="s">
        <v>444</v>
      </c>
      <c r="E65" s="186"/>
      <c r="F65" s="186"/>
      <c r="G65" s="168"/>
      <c r="H65" s="168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25" header="0.35" footer="0.25"/>
  <pageSetup scale="59" orientation="portrait" horizontalDpi="200" verticalDpi="200" r:id="rId1"/>
  <headerFooter scaleWithDoc="0" alignWithMargins="0">
    <oddHeader>&amp;C&amp;"Times New Roman,Bold"&amp;8REVISED</oddHeader>
    <oddFooter>&amp;CPage 6&amp;R&amp;F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EC32-E017-404A-A0C9-CF5231442E99}">
  <sheetPr>
    <pageSetUpPr fitToPage="1"/>
  </sheetPr>
  <dimension ref="A2:O96"/>
  <sheetViews>
    <sheetView zoomScale="80" zoomScaleNormal="80" workbookViewId="0"/>
  </sheetViews>
  <sheetFormatPr defaultColWidth="9.109375" defaultRowHeight="15.6" x14ac:dyDescent="0.3"/>
  <cols>
    <col min="1" max="1" width="5.109375" style="341" customWidth="1"/>
    <col min="2" max="2" width="8.5546875" style="343" customWidth="1"/>
    <col min="3" max="3" width="61.88671875" style="343" customWidth="1"/>
    <col min="4" max="5" width="16.88671875" style="343" customWidth="1"/>
    <col min="6" max="6" width="15.109375" style="343" customWidth="1"/>
    <col min="7" max="7" width="2.109375" style="343" bestFit="1" customWidth="1"/>
    <col min="8" max="8" width="15.44140625" style="343" bestFit="1" customWidth="1"/>
    <col min="9" max="9" width="2.88671875" style="343" bestFit="1" customWidth="1"/>
    <col min="10" max="10" width="14.88671875" style="343" customWidth="1"/>
    <col min="11" max="11" width="30.5546875" style="343" customWidth="1"/>
    <col min="12" max="12" width="4.88671875" style="341" bestFit="1" customWidth="1"/>
    <col min="13" max="13" width="4" style="343" customWidth="1"/>
    <col min="14" max="14" width="13.109375" style="343" bestFit="1" customWidth="1"/>
    <col min="15" max="15" width="9.109375" style="343"/>
    <col min="16" max="16" width="9.88671875" style="343" customWidth="1"/>
    <col min="17" max="17" width="10" style="343" customWidth="1"/>
    <col min="18" max="16384" width="9.109375" style="343"/>
  </cols>
  <sheetData>
    <row r="2" spans="1:15" x14ac:dyDescent="0.3">
      <c r="B2" s="865" t="s">
        <v>217</v>
      </c>
      <c r="C2" s="865"/>
      <c r="D2" s="865"/>
      <c r="E2" s="865"/>
      <c r="F2" s="865"/>
      <c r="G2" s="865"/>
      <c r="H2" s="865"/>
      <c r="I2" s="865"/>
      <c r="J2" s="865"/>
      <c r="K2" s="865"/>
      <c r="L2" s="342"/>
    </row>
    <row r="3" spans="1:15" x14ac:dyDescent="0.3">
      <c r="B3" s="865" t="s">
        <v>445</v>
      </c>
      <c r="C3" s="865"/>
      <c r="D3" s="865"/>
      <c r="E3" s="865"/>
      <c r="F3" s="865"/>
      <c r="G3" s="865"/>
      <c r="H3" s="865"/>
      <c r="I3" s="865"/>
      <c r="J3" s="865"/>
      <c r="K3" s="865"/>
      <c r="L3" s="342"/>
    </row>
    <row r="4" spans="1:15" x14ac:dyDescent="0.3">
      <c r="B4" s="865" t="s">
        <v>446</v>
      </c>
      <c r="C4" s="865"/>
      <c r="D4" s="865"/>
      <c r="E4" s="865"/>
      <c r="F4" s="865"/>
      <c r="G4" s="865"/>
      <c r="H4" s="865"/>
      <c r="I4" s="865"/>
      <c r="J4" s="865"/>
      <c r="K4" s="865"/>
      <c r="L4" s="342"/>
    </row>
    <row r="5" spans="1:15" x14ac:dyDescent="0.3">
      <c r="B5" s="866" t="s">
        <v>3</v>
      </c>
      <c r="C5" s="866"/>
      <c r="D5" s="866"/>
      <c r="E5" s="866"/>
      <c r="F5" s="866"/>
      <c r="G5" s="866"/>
      <c r="H5" s="866"/>
      <c r="I5" s="866"/>
      <c r="J5" s="866"/>
      <c r="K5" s="866"/>
      <c r="L5" s="342"/>
    </row>
    <row r="6" spans="1:15" ht="16.2" thickBot="1" x14ac:dyDescent="0.35">
      <c r="D6" s="344"/>
      <c r="E6" s="344"/>
      <c r="F6" s="344"/>
      <c r="G6" s="344"/>
      <c r="H6" s="344"/>
      <c r="I6" s="344"/>
      <c r="J6" s="344"/>
      <c r="K6" s="344"/>
      <c r="N6" s="169"/>
    </row>
    <row r="7" spans="1:15" ht="18" x14ac:dyDescent="0.3">
      <c r="A7" s="342"/>
      <c r="B7" s="345"/>
      <c r="C7" s="346"/>
      <c r="D7" s="347" t="s">
        <v>296</v>
      </c>
      <c r="E7" s="348" t="s">
        <v>297</v>
      </c>
      <c r="F7" s="349" t="s">
        <v>447</v>
      </c>
      <c r="G7" s="305"/>
      <c r="H7" s="8" t="s">
        <v>448</v>
      </c>
      <c r="I7" s="419"/>
      <c r="J7" s="419" t="s">
        <v>449</v>
      </c>
      <c r="K7" s="350"/>
      <c r="L7" s="342"/>
    </row>
    <row r="8" spans="1:15" x14ac:dyDescent="0.3">
      <c r="A8" s="341" t="s">
        <v>4</v>
      </c>
      <c r="B8" s="351" t="s">
        <v>450</v>
      </c>
      <c r="C8" s="352"/>
      <c r="D8" s="353" t="s">
        <v>335</v>
      </c>
      <c r="E8" s="342" t="s">
        <v>451</v>
      </c>
      <c r="F8" s="353" t="s">
        <v>335</v>
      </c>
      <c r="G8" s="715"/>
      <c r="H8" s="171" t="s">
        <v>452</v>
      </c>
      <c r="I8" s="420"/>
      <c r="J8" s="421" t="s">
        <v>453</v>
      </c>
      <c r="K8" s="354"/>
      <c r="L8" s="341" t="s">
        <v>4</v>
      </c>
    </row>
    <row r="9" spans="1:15" ht="16.2" thickBot="1" x14ac:dyDescent="0.35">
      <c r="A9" s="341" t="s">
        <v>8</v>
      </c>
      <c r="B9" s="355" t="s">
        <v>454</v>
      </c>
      <c r="C9" s="356" t="s">
        <v>5</v>
      </c>
      <c r="D9" s="357" t="s">
        <v>455</v>
      </c>
      <c r="E9" s="356" t="s">
        <v>456</v>
      </c>
      <c r="F9" s="357" t="s">
        <v>457</v>
      </c>
      <c r="G9" s="716"/>
      <c r="H9" s="418" t="s">
        <v>458</v>
      </c>
      <c r="I9" s="422"/>
      <c r="J9" s="423" t="s">
        <v>459</v>
      </c>
      <c r="K9" s="358" t="s">
        <v>7</v>
      </c>
      <c r="L9" s="341" t="s">
        <v>8</v>
      </c>
      <c r="M9" s="341"/>
    </row>
    <row r="10" spans="1:15" ht="16.2" x14ac:dyDescent="0.3">
      <c r="B10" s="359"/>
      <c r="C10" s="360" t="s">
        <v>460</v>
      </c>
      <c r="D10" s="361"/>
      <c r="E10" s="362"/>
      <c r="F10" s="363"/>
      <c r="G10" s="416"/>
      <c r="H10" s="416"/>
      <c r="I10" s="425"/>
      <c r="J10" s="428"/>
      <c r="K10" s="364"/>
    </row>
    <row r="11" spans="1:15" ht="19.8" x14ac:dyDescent="0.3">
      <c r="A11" s="341">
        <v>1</v>
      </c>
      <c r="B11" s="359">
        <v>920</v>
      </c>
      <c r="C11" s="365" t="s">
        <v>461</v>
      </c>
      <c r="D11" s="366">
        <v>46411.108999999997</v>
      </c>
      <c r="E11" s="366">
        <f>E32</f>
        <v>968.08356942399996</v>
      </c>
      <c r="F11" s="366">
        <f>D11-E11</f>
        <v>45443.025430575995</v>
      </c>
      <c r="G11" s="417"/>
      <c r="H11" s="417"/>
      <c r="I11" s="433"/>
      <c r="J11" s="366">
        <f>F11+H11</f>
        <v>45443.025430575995</v>
      </c>
      <c r="K11" s="367" t="s">
        <v>462</v>
      </c>
      <c r="L11" s="341">
        <f t="shared" ref="L11:L56" si="0">A11</f>
        <v>1</v>
      </c>
      <c r="M11" s="343" t="s">
        <v>26</v>
      </c>
      <c r="N11" s="368"/>
    </row>
    <row r="12" spans="1:15" ht="19.8" x14ac:dyDescent="0.3">
      <c r="A12" s="341">
        <f t="shared" ref="A12:A77" si="1">A11+1</f>
        <v>2</v>
      </c>
      <c r="B12" s="359">
        <v>921</v>
      </c>
      <c r="C12" s="365" t="s">
        <v>463</v>
      </c>
      <c r="D12" s="369">
        <v>28861</v>
      </c>
      <c r="E12" s="369">
        <f>E35</f>
        <v>9375.0137418520007</v>
      </c>
      <c r="F12" s="369">
        <f>D12-E12</f>
        <v>19485.986258147997</v>
      </c>
      <c r="G12" s="404"/>
      <c r="H12" s="404"/>
      <c r="I12" s="433"/>
      <c r="J12" s="369">
        <f>F12+H12</f>
        <v>19485.986258147997</v>
      </c>
      <c r="K12" s="367" t="s">
        <v>464</v>
      </c>
      <c r="L12" s="341">
        <f t="shared" si="0"/>
        <v>2</v>
      </c>
      <c r="N12" s="368"/>
      <c r="O12" s="370"/>
    </row>
    <row r="13" spans="1:15" x14ac:dyDescent="0.3">
      <c r="A13" s="341">
        <f t="shared" si="1"/>
        <v>3</v>
      </c>
      <c r="B13" s="359">
        <v>922</v>
      </c>
      <c r="C13" s="365" t="s">
        <v>465</v>
      </c>
      <c r="D13" s="369">
        <v>-18872.382000000001</v>
      </c>
      <c r="E13" s="369">
        <f>E36</f>
        <v>-125.07091</v>
      </c>
      <c r="F13" s="369">
        <f t="shared" ref="F13:F23" si="2">D13-E13</f>
        <v>-18747.311090000003</v>
      </c>
      <c r="G13" s="404"/>
      <c r="H13" s="404"/>
      <c r="I13" s="426"/>
      <c r="J13" s="369">
        <f t="shared" ref="J13:J23" si="3">F13+H13</f>
        <v>-18747.311090000003</v>
      </c>
      <c r="K13" s="367" t="s">
        <v>466</v>
      </c>
      <c r="L13" s="341">
        <f t="shared" si="0"/>
        <v>3</v>
      </c>
      <c r="N13" s="368"/>
    </row>
    <row r="14" spans="1:15" ht="19.8" x14ac:dyDescent="0.3">
      <c r="A14" s="341">
        <f t="shared" si="1"/>
        <v>4</v>
      </c>
      <c r="B14" s="359">
        <v>923</v>
      </c>
      <c r="C14" s="365" t="s">
        <v>467</v>
      </c>
      <c r="D14" s="369">
        <v>108535.25900000001</v>
      </c>
      <c r="E14" s="369">
        <f>E42</f>
        <v>12845.547155421998</v>
      </c>
      <c r="F14" s="369">
        <f t="shared" si="2"/>
        <v>95689.711844578007</v>
      </c>
      <c r="G14" s="404"/>
      <c r="H14" s="404"/>
      <c r="I14" s="433"/>
      <c r="J14" s="369">
        <f t="shared" si="3"/>
        <v>95689.711844578007</v>
      </c>
      <c r="K14" s="367" t="s">
        <v>468</v>
      </c>
      <c r="L14" s="341">
        <f t="shared" si="0"/>
        <v>4</v>
      </c>
      <c r="N14" s="368"/>
    </row>
    <row r="15" spans="1:15" x14ac:dyDescent="0.3">
      <c r="A15" s="341">
        <f t="shared" si="1"/>
        <v>5</v>
      </c>
      <c r="B15" s="359">
        <v>924</v>
      </c>
      <c r="C15" s="365" t="s">
        <v>469</v>
      </c>
      <c r="D15" s="369">
        <v>8310.402</v>
      </c>
      <c r="E15" s="369">
        <v>0</v>
      </c>
      <c r="F15" s="369">
        <f t="shared" si="2"/>
        <v>8310.402</v>
      </c>
      <c r="G15" s="404"/>
      <c r="H15" s="404"/>
      <c r="I15" s="426"/>
      <c r="J15" s="369">
        <f t="shared" si="3"/>
        <v>8310.402</v>
      </c>
      <c r="K15" s="367" t="s">
        <v>470</v>
      </c>
      <c r="L15" s="341">
        <f t="shared" si="0"/>
        <v>5</v>
      </c>
      <c r="N15" s="368"/>
    </row>
    <row r="16" spans="1:15" ht="19.8" x14ac:dyDescent="0.3">
      <c r="A16" s="341">
        <f t="shared" si="1"/>
        <v>6</v>
      </c>
      <c r="B16" s="351">
        <v>925</v>
      </c>
      <c r="C16" s="365" t="s">
        <v>471</v>
      </c>
      <c r="D16" s="369">
        <v>181130.33900000001</v>
      </c>
      <c r="E16" s="369">
        <f>E45</f>
        <v>1105.1051231060101</v>
      </c>
      <c r="F16" s="369">
        <f t="shared" si="2"/>
        <v>180025.233876894</v>
      </c>
      <c r="G16" s="42" t="s">
        <v>42</v>
      </c>
      <c r="H16" s="650">
        <v>-130.33199999999999</v>
      </c>
      <c r="I16" s="433">
        <v>5</v>
      </c>
      <c r="J16" s="730">
        <f>F16+H16</f>
        <v>179894.901876894</v>
      </c>
      <c r="K16" s="367" t="s">
        <v>472</v>
      </c>
      <c r="L16" s="341">
        <f t="shared" si="0"/>
        <v>6</v>
      </c>
      <c r="N16" s="368"/>
    </row>
    <row r="17" spans="1:14" ht="19.8" x14ac:dyDescent="0.3">
      <c r="A17" s="341">
        <f t="shared" si="1"/>
        <v>7</v>
      </c>
      <c r="B17" s="359">
        <v>926</v>
      </c>
      <c r="C17" s="365" t="s">
        <v>473</v>
      </c>
      <c r="D17" s="369">
        <v>62304.38</v>
      </c>
      <c r="E17" s="369">
        <f>+E48</f>
        <v>2589.589301958019</v>
      </c>
      <c r="F17" s="369">
        <f t="shared" si="2"/>
        <v>59714.790698041979</v>
      </c>
      <c r="G17" s="404"/>
      <c r="H17" s="404"/>
      <c r="I17" s="433"/>
      <c r="J17" s="369">
        <f t="shared" si="3"/>
        <v>59714.790698041979</v>
      </c>
      <c r="K17" s="367" t="s">
        <v>474</v>
      </c>
      <c r="L17" s="341">
        <f t="shared" si="0"/>
        <v>7</v>
      </c>
      <c r="N17" s="371"/>
    </row>
    <row r="18" spans="1:14" x14ac:dyDescent="0.3">
      <c r="A18" s="341">
        <f t="shared" si="1"/>
        <v>8</v>
      </c>
      <c r="B18" s="359">
        <v>927</v>
      </c>
      <c r="C18" s="365" t="s">
        <v>475</v>
      </c>
      <c r="D18" s="372">
        <v>130506.765</v>
      </c>
      <c r="E18" s="369">
        <f>E49</f>
        <v>130506.76528000001</v>
      </c>
      <c r="F18" s="369">
        <f t="shared" si="2"/>
        <v>-2.8000000747852027E-4</v>
      </c>
      <c r="G18" s="404"/>
      <c r="H18" s="404"/>
      <c r="I18" s="426"/>
      <c r="J18" s="369">
        <f t="shared" si="3"/>
        <v>-2.8000000747852027E-4</v>
      </c>
      <c r="K18" s="367" t="s">
        <v>476</v>
      </c>
      <c r="L18" s="341">
        <f t="shared" si="0"/>
        <v>8</v>
      </c>
      <c r="N18" s="371"/>
    </row>
    <row r="19" spans="1:14" ht="18.600000000000001" x14ac:dyDescent="0.3">
      <c r="A19" s="341">
        <f t="shared" si="1"/>
        <v>9</v>
      </c>
      <c r="B19" s="359">
        <v>928</v>
      </c>
      <c r="C19" s="365" t="s">
        <v>477</v>
      </c>
      <c r="D19" s="369">
        <v>27995.793000000001</v>
      </c>
      <c r="E19" s="369">
        <f>E55</f>
        <v>16572.369299999998</v>
      </c>
      <c r="F19" s="369">
        <f t="shared" si="2"/>
        <v>11423.423700000003</v>
      </c>
      <c r="G19" s="404"/>
      <c r="H19" s="404"/>
      <c r="I19" s="426"/>
      <c r="J19" s="369">
        <f t="shared" si="3"/>
        <v>11423.423700000003</v>
      </c>
      <c r="K19" s="367" t="s">
        <v>478</v>
      </c>
      <c r="L19" s="341">
        <f t="shared" si="0"/>
        <v>9</v>
      </c>
      <c r="N19" s="371"/>
    </row>
    <row r="20" spans="1:14" x14ac:dyDescent="0.3">
      <c r="A20" s="341">
        <f t="shared" si="1"/>
        <v>10</v>
      </c>
      <c r="B20" s="359">
        <v>929</v>
      </c>
      <c r="C20" s="365" t="s">
        <v>479</v>
      </c>
      <c r="D20" s="369">
        <v>-2772.7849999999999</v>
      </c>
      <c r="E20" s="369">
        <v>0</v>
      </c>
      <c r="F20" s="369">
        <f t="shared" si="2"/>
        <v>-2772.7849999999999</v>
      </c>
      <c r="G20" s="404"/>
      <c r="H20" s="404"/>
      <c r="I20" s="426"/>
      <c r="J20" s="369">
        <f t="shared" si="3"/>
        <v>-2772.7849999999999</v>
      </c>
      <c r="K20" s="367" t="s">
        <v>480</v>
      </c>
      <c r="L20" s="341">
        <f t="shared" si="0"/>
        <v>10</v>
      </c>
      <c r="N20" s="368"/>
    </row>
    <row r="21" spans="1:14" ht="19.8" x14ac:dyDescent="0.3">
      <c r="A21" s="341">
        <f t="shared" si="1"/>
        <v>11</v>
      </c>
      <c r="B21" s="504">
        <v>930.1</v>
      </c>
      <c r="C21" s="365" t="s">
        <v>481</v>
      </c>
      <c r="D21" s="369">
        <v>-204.155</v>
      </c>
      <c r="E21" s="369">
        <f>E56</f>
        <v>-204.155</v>
      </c>
      <c r="F21" s="369">
        <f t="shared" si="2"/>
        <v>0</v>
      </c>
      <c r="G21" s="404"/>
      <c r="H21" s="404"/>
      <c r="I21" s="433"/>
      <c r="J21" s="369">
        <f t="shared" si="3"/>
        <v>0</v>
      </c>
      <c r="K21" s="367" t="s">
        <v>482</v>
      </c>
      <c r="L21" s="341">
        <f t="shared" si="0"/>
        <v>11</v>
      </c>
      <c r="N21" s="368"/>
    </row>
    <row r="22" spans="1:14" ht="19.8" x14ac:dyDescent="0.3">
      <c r="A22" s="341">
        <f t="shared" si="1"/>
        <v>12</v>
      </c>
      <c r="B22" s="524">
        <v>930.2</v>
      </c>
      <c r="C22" s="365" t="s">
        <v>483</v>
      </c>
      <c r="D22" s="369">
        <v>2511.0549999999998</v>
      </c>
      <c r="E22" s="369">
        <f>E59</f>
        <v>217.57746999999995</v>
      </c>
      <c r="F22" s="369">
        <f t="shared" si="2"/>
        <v>2293.4775300000001</v>
      </c>
      <c r="G22" s="42" t="s">
        <v>42</v>
      </c>
      <c r="H22" s="650">
        <v>40</v>
      </c>
      <c r="I22" s="433">
        <v>6</v>
      </c>
      <c r="J22" s="730">
        <f t="shared" si="3"/>
        <v>2333.4775300000001</v>
      </c>
      <c r="K22" s="367" t="s">
        <v>484</v>
      </c>
      <c r="L22" s="341">
        <f t="shared" si="0"/>
        <v>12</v>
      </c>
      <c r="N22" s="373"/>
    </row>
    <row r="23" spans="1:14" x14ac:dyDescent="0.3">
      <c r="A23" s="341">
        <f t="shared" si="1"/>
        <v>13</v>
      </c>
      <c r="B23" s="359">
        <v>931</v>
      </c>
      <c r="C23" s="365" t="s">
        <v>485</v>
      </c>
      <c r="D23" s="369">
        <v>10939.305</v>
      </c>
      <c r="E23" s="369">
        <v>0</v>
      </c>
      <c r="F23" s="369">
        <f t="shared" si="2"/>
        <v>10939.305</v>
      </c>
      <c r="G23" s="404"/>
      <c r="H23" s="404"/>
      <c r="I23" s="426"/>
      <c r="J23" s="369">
        <f t="shared" si="3"/>
        <v>10939.305</v>
      </c>
      <c r="K23" s="367" t="s">
        <v>486</v>
      </c>
      <c r="L23" s="341">
        <f t="shared" si="0"/>
        <v>13</v>
      </c>
      <c r="N23" s="368"/>
    </row>
    <row r="24" spans="1:14" x14ac:dyDescent="0.3">
      <c r="A24" s="341">
        <f t="shared" si="1"/>
        <v>14</v>
      </c>
      <c r="B24" s="359">
        <v>935</v>
      </c>
      <c r="C24" s="365" t="s">
        <v>487</v>
      </c>
      <c r="D24" s="374">
        <v>9293.2980000000007</v>
      </c>
      <c r="E24" s="374">
        <f>E61</f>
        <v>-1915.2449610859994</v>
      </c>
      <c r="F24" s="374">
        <f>D24-E24</f>
        <v>11208.542961086001</v>
      </c>
      <c r="G24" s="424"/>
      <c r="H24" s="717"/>
      <c r="I24" s="430"/>
      <c r="J24" s="374">
        <f>F24+H24</f>
        <v>11208.542961086001</v>
      </c>
      <c r="K24" s="367" t="s">
        <v>488</v>
      </c>
      <c r="L24" s="341">
        <f t="shared" si="0"/>
        <v>14</v>
      </c>
      <c r="M24" s="343" t="s">
        <v>26</v>
      </c>
      <c r="N24" s="368"/>
    </row>
    <row r="25" spans="1:14" x14ac:dyDescent="0.3">
      <c r="A25" s="341">
        <f t="shared" si="1"/>
        <v>15</v>
      </c>
      <c r="B25" s="359"/>
      <c r="D25" s="375"/>
      <c r="E25" s="375"/>
      <c r="F25" s="375"/>
      <c r="I25" s="427"/>
      <c r="J25" s="375"/>
      <c r="K25" s="376"/>
      <c r="L25" s="341">
        <f t="shared" si="0"/>
        <v>15</v>
      </c>
    </row>
    <row r="26" spans="1:14" ht="16.2" thickBot="1" x14ac:dyDescent="0.35">
      <c r="A26" s="341">
        <f t="shared" si="1"/>
        <v>16</v>
      </c>
      <c r="B26" s="359"/>
      <c r="C26" s="352" t="s">
        <v>489</v>
      </c>
      <c r="D26" s="377">
        <f>SUM(D11:D24)</f>
        <v>594949.38299999991</v>
      </c>
      <c r="E26" s="378">
        <f>SUM(E11:E24)</f>
        <v>171935.58007067602</v>
      </c>
      <c r="F26" s="431">
        <f>SUM(F11:F24)</f>
        <v>423013.80292932398</v>
      </c>
      <c r="G26" s="431"/>
      <c r="H26" s="406">
        <f>SUM(H11:H24)</f>
        <v>-90.331999999999994</v>
      </c>
      <c r="I26" s="432"/>
      <c r="J26" s="378">
        <f>SUM(J11:J24)</f>
        <v>422923.47092932393</v>
      </c>
      <c r="K26" s="379" t="str">
        <f>"Sum Lines "&amp;A11&amp;" thru "&amp;A24</f>
        <v>Sum Lines 1 thru 14</v>
      </c>
      <c r="L26" s="341">
        <f t="shared" si="0"/>
        <v>16</v>
      </c>
    </row>
    <row r="27" spans="1:14" ht="16.8" thickTop="1" thickBot="1" x14ac:dyDescent="0.35">
      <c r="A27" s="341">
        <f t="shared" si="1"/>
        <v>17</v>
      </c>
      <c r="B27" s="380"/>
      <c r="C27" s="344"/>
      <c r="D27" s="381"/>
      <c r="E27" s="382"/>
      <c r="F27" s="382"/>
      <c r="G27" s="418"/>
      <c r="H27" s="418"/>
      <c r="I27" s="422"/>
      <c r="J27" s="429"/>
      <c r="K27" s="383"/>
      <c r="L27" s="341">
        <f t="shared" si="0"/>
        <v>17</v>
      </c>
    </row>
    <row r="28" spans="1:14" x14ac:dyDescent="0.3">
      <c r="A28" s="341">
        <f t="shared" si="1"/>
        <v>18</v>
      </c>
      <c r="B28" s="384"/>
      <c r="C28" s="385"/>
      <c r="D28" s="386"/>
      <c r="E28" s="387"/>
      <c r="F28" s="386"/>
      <c r="G28" s="386"/>
      <c r="H28" s="386"/>
      <c r="I28" s="386"/>
      <c r="J28" s="386"/>
      <c r="K28" s="388"/>
      <c r="L28" s="341">
        <f t="shared" si="0"/>
        <v>18</v>
      </c>
    </row>
    <row r="29" spans="1:14" x14ac:dyDescent="0.3">
      <c r="A29" s="341">
        <f t="shared" si="1"/>
        <v>19</v>
      </c>
      <c r="B29" s="389" t="s">
        <v>490</v>
      </c>
      <c r="C29" s="341"/>
      <c r="D29" s="341"/>
      <c r="E29" s="341"/>
      <c r="F29" s="341"/>
      <c r="G29" s="341"/>
      <c r="H29" s="341"/>
      <c r="I29" s="341"/>
      <c r="J29" s="341"/>
      <c r="K29" s="376"/>
      <c r="L29" s="341">
        <f t="shared" si="0"/>
        <v>19</v>
      </c>
    </row>
    <row r="30" spans="1:14" x14ac:dyDescent="0.3">
      <c r="A30" s="341">
        <f t="shared" si="1"/>
        <v>20</v>
      </c>
      <c r="B30" s="390">
        <v>920</v>
      </c>
      <c r="C30" s="718" t="s">
        <v>491</v>
      </c>
      <c r="D30" s="391">
        <v>37.830849999999998</v>
      </c>
      <c r="F30" s="341"/>
      <c r="G30" s="341"/>
      <c r="H30" s="341"/>
      <c r="I30" s="341"/>
      <c r="J30" s="341"/>
      <c r="K30" s="376"/>
      <c r="L30" s="341">
        <f t="shared" si="0"/>
        <v>20</v>
      </c>
    </row>
    <row r="31" spans="1:14" x14ac:dyDescent="0.3">
      <c r="A31" s="341">
        <f t="shared" si="1"/>
        <v>21</v>
      </c>
      <c r="B31" s="390"/>
      <c r="C31" s="718" t="s">
        <v>492</v>
      </c>
      <c r="D31" s="719">
        <v>873.61009352399992</v>
      </c>
      <c r="E31" s="391"/>
      <c r="F31" s="341"/>
      <c r="G31" s="341"/>
      <c r="H31" s="341"/>
      <c r="I31" s="341"/>
      <c r="J31" s="341"/>
      <c r="K31" s="376"/>
      <c r="L31" s="341">
        <f t="shared" si="0"/>
        <v>21</v>
      </c>
    </row>
    <row r="32" spans="1:14" x14ac:dyDescent="0.3">
      <c r="A32" s="341">
        <f t="shared" si="1"/>
        <v>22</v>
      </c>
      <c r="B32" s="390"/>
      <c r="C32" s="718" t="s">
        <v>493</v>
      </c>
      <c r="D32" s="392">
        <v>56.642625899999999</v>
      </c>
      <c r="E32" s="391">
        <f>SUM(D30:D32)</f>
        <v>968.08356942399996</v>
      </c>
      <c r="F32" s="341"/>
      <c r="G32" s="341"/>
      <c r="H32" s="341"/>
      <c r="I32" s="341"/>
      <c r="J32" s="341"/>
      <c r="K32" s="376"/>
      <c r="L32" s="341">
        <f t="shared" si="0"/>
        <v>22</v>
      </c>
    </row>
    <row r="33" spans="1:12" x14ac:dyDescent="0.3">
      <c r="A33" s="341">
        <f t="shared" si="1"/>
        <v>23</v>
      </c>
      <c r="B33" s="390">
        <v>921</v>
      </c>
      <c r="C33" s="718" t="s">
        <v>491</v>
      </c>
      <c r="D33" s="343">
        <v>-9.620999999999999E-2</v>
      </c>
      <c r="K33" s="376"/>
      <c r="L33" s="341">
        <f t="shared" si="0"/>
        <v>23</v>
      </c>
    </row>
    <row r="34" spans="1:12" x14ac:dyDescent="0.3">
      <c r="A34" s="341">
        <f t="shared" si="1"/>
        <v>24</v>
      </c>
      <c r="B34" s="390"/>
      <c r="C34" s="718" t="s">
        <v>492</v>
      </c>
      <c r="D34" s="719">
        <v>8254.9592088600002</v>
      </c>
      <c r="K34" s="376"/>
      <c r="L34" s="341">
        <f t="shared" si="0"/>
        <v>24</v>
      </c>
    </row>
    <row r="35" spans="1:12" x14ac:dyDescent="0.3">
      <c r="A35" s="341">
        <f t="shared" si="1"/>
        <v>25</v>
      </c>
      <c r="B35" s="390"/>
      <c r="C35" s="718" t="s">
        <v>493</v>
      </c>
      <c r="D35" s="392">
        <v>1120.1507429919998</v>
      </c>
      <c r="E35" s="343">
        <f>SUM(D33:D35)</f>
        <v>9375.0137418520007</v>
      </c>
      <c r="K35" s="376"/>
      <c r="L35" s="341">
        <f t="shared" si="0"/>
        <v>25</v>
      </c>
    </row>
    <row r="36" spans="1:12" x14ac:dyDescent="0.3">
      <c r="A36" s="341">
        <f t="shared" si="1"/>
        <v>26</v>
      </c>
      <c r="B36" s="390">
        <v>922</v>
      </c>
      <c r="C36" s="718" t="s">
        <v>493</v>
      </c>
      <c r="D36" s="719"/>
      <c r="E36" s="343">
        <v>-125.07091</v>
      </c>
      <c r="K36" s="376"/>
      <c r="L36" s="341">
        <f t="shared" si="0"/>
        <v>26</v>
      </c>
    </row>
    <row r="37" spans="1:12" x14ac:dyDescent="0.3">
      <c r="A37" s="341">
        <f t="shared" si="1"/>
        <v>27</v>
      </c>
      <c r="B37" s="390">
        <v>923</v>
      </c>
      <c r="C37" s="718" t="s">
        <v>491</v>
      </c>
      <c r="D37" s="393">
        <v>-17.988400000000002</v>
      </c>
      <c r="E37" s="393"/>
      <c r="K37" s="376"/>
      <c r="L37" s="341">
        <f t="shared" si="0"/>
        <v>27</v>
      </c>
    </row>
    <row r="38" spans="1:12" x14ac:dyDescent="0.3">
      <c r="A38" s="341">
        <f t="shared" si="1"/>
        <v>28</v>
      </c>
      <c r="B38" s="390"/>
      <c r="C38" s="718" t="s">
        <v>492</v>
      </c>
      <c r="D38" s="393">
        <v>2086.0140693979997</v>
      </c>
      <c r="E38" s="393"/>
      <c r="K38" s="376"/>
      <c r="L38" s="341">
        <f t="shared" si="0"/>
        <v>28</v>
      </c>
    </row>
    <row r="39" spans="1:12" x14ac:dyDescent="0.3">
      <c r="A39" s="341">
        <f t="shared" si="1"/>
        <v>29</v>
      </c>
      <c r="B39" s="390"/>
      <c r="C39" s="718" t="s">
        <v>493</v>
      </c>
      <c r="D39" s="393">
        <v>80.426986024000001</v>
      </c>
      <c r="K39" s="376"/>
      <c r="L39" s="341">
        <f t="shared" si="0"/>
        <v>29</v>
      </c>
    </row>
    <row r="40" spans="1:12" ht="18" x14ac:dyDescent="0.3">
      <c r="A40" s="341">
        <f t="shared" si="1"/>
        <v>30</v>
      </c>
      <c r="B40" s="390"/>
      <c r="C40" s="718" t="s">
        <v>494</v>
      </c>
      <c r="D40" s="393">
        <v>3185.4904999999999</v>
      </c>
      <c r="E40" s="393"/>
      <c r="K40" s="376"/>
      <c r="L40" s="341">
        <f t="shared" si="0"/>
        <v>30</v>
      </c>
    </row>
    <row r="41" spans="1:12" ht="18" x14ac:dyDescent="0.3">
      <c r="A41" s="341">
        <f t="shared" si="1"/>
        <v>31</v>
      </c>
      <c r="B41" s="390"/>
      <c r="C41" s="718" t="s">
        <v>495</v>
      </c>
      <c r="D41" s="393">
        <v>6031</v>
      </c>
      <c r="E41" s="393"/>
      <c r="K41" s="376"/>
      <c r="L41" s="341">
        <f t="shared" si="0"/>
        <v>31</v>
      </c>
    </row>
    <row r="42" spans="1:12" ht="18" x14ac:dyDescent="0.3">
      <c r="A42" s="341">
        <f t="shared" si="1"/>
        <v>32</v>
      </c>
      <c r="B42" s="390"/>
      <c r="C42" s="718" t="s">
        <v>496</v>
      </c>
      <c r="D42" s="394">
        <v>1480.604</v>
      </c>
      <c r="E42" s="393">
        <f>SUM(D37:D42)</f>
        <v>12845.547155421998</v>
      </c>
      <c r="K42" s="376"/>
      <c r="L42" s="341">
        <f t="shared" si="0"/>
        <v>32</v>
      </c>
    </row>
    <row r="43" spans="1:12" x14ac:dyDescent="0.3">
      <c r="A43" s="341">
        <f t="shared" si="1"/>
        <v>33</v>
      </c>
      <c r="B43" s="390">
        <v>925</v>
      </c>
      <c r="C43" s="718" t="s">
        <v>491</v>
      </c>
      <c r="D43" s="393">
        <v>277.64044235400002</v>
      </c>
      <c r="K43" s="376"/>
      <c r="L43" s="341">
        <f t="shared" si="0"/>
        <v>33</v>
      </c>
    </row>
    <row r="44" spans="1:12" x14ac:dyDescent="0.3">
      <c r="A44" s="341">
        <f t="shared" si="1"/>
        <v>34</v>
      </c>
      <c r="B44" s="390"/>
      <c r="C44" s="718" t="s">
        <v>493</v>
      </c>
      <c r="D44" s="393">
        <v>746.9557907520101</v>
      </c>
      <c r="K44" s="376"/>
      <c r="L44" s="341">
        <f t="shared" si="0"/>
        <v>34</v>
      </c>
    </row>
    <row r="45" spans="1:12" x14ac:dyDescent="0.3">
      <c r="A45" s="341">
        <f t="shared" si="1"/>
        <v>35</v>
      </c>
      <c r="B45" s="390"/>
      <c r="C45" s="720" t="s">
        <v>497</v>
      </c>
      <c r="D45" s="394">
        <v>80.508890000000008</v>
      </c>
      <c r="E45" s="343">
        <f>SUM(D43:D45)</f>
        <v>1105.1051231060101</v>
      </c>
      <c r="K45" s="376"/>
      <c r="L45" s="341">
        <f t="shared" si="0"/>
        <v>35</v>
      </c>
    </row>
    <row r="46" spans="1:12" x14ac:dyDescent="0.3">
      <c r="A46" s="341">
        <f t="shared" si="1"/>
        <v>36</v>
      </c>
      <c r="B46" s="390">
        <v>926</v>
      </c>
      <c r="C46" s="720" t="s">
        <v>491</v>
      </c>
      <c r="D46" s="393">
        <v>646.29282690599985</v>
      </c>
      <c r="K46" s="376"/>
      <c r="L46" s="341">
        <f t="shared" si="0"/>
        <v>36</v>
      </c>
    </row>
    <row r="47" spans="1:12" x14ac:dyDescent="0.3">
      <c r="A47" s="341">
        <f t="shared" si="1"/>
        <v>37</v>
      </c>
      <c r="B47" s="390"/>
      <c r="C47" s="720" t="s">
        <v>497</v>
      </c>
      <c r="D47" s="393">
        <v>190.64548000000002</v>
      </c>
      <c r="E47" s="393"/>
      <c r="K47" s="376"/>
      <c r="L47" s="341">
        <f t="shared" si="0"/>
        <v>37</v>
      </c>
    </row>
    <row r="48" spans="1:12" x14ac:dyDescent="0.3">
      <c r="A48" s="341">
        <f t="shared" si="1"/>
        <v>38</v>
      </c>
      <c r="B48" s="390"/>
      <c r="C48" s="718" t="s">
        <v>493</v>
      </c>
      <c r="D48" s="394">
        <v>1752.650995052019</v>
      </c>
      <c r="E48" s="343">
        <f>SUM(D46:D48)</f>
        <v>2589.589301958019</v>
      </c>
      <c r="K48" s="376"/>
      <c r="L48" s="341">
        <f t="shared" si="0"/>
        <v>38</v>
      </c>
    </row>
    <row r="49" spans="1:12" x14ac:dyDescent="0.3">
      <c r="A49" s="341">
        <f t="shared" si="1"/>
        <v>39</v>
      </c>
      <c r="B49" s="390">
        <v>927</v>
      </c>
      <c r="C49" s="720" t="s">
        <v>475</v>
      </c>
      <c r="D49" s="718"/>
      <c r="E49" s="393">
        <v>130506.76528000001</v>
      </c>
      <c r="K49" s="376"/>
      <c r="L49" s="341">
        <f t="shared" si="0"/>
        <v>39</v>
      </c>
    </row>
    <row r="50" spans="1:12" x14ac:dyDescent="0.3">
      <c r="A50" s="341">
        <f t="shared" si="1"/>
        <v>40</v>
      </c>
      <c r="B50" s="390">
        <v>928</v>
      </c>
      <c r="C50" s="718" t="s">
        <v>498</v>
      </c>
      <c r="D50" s="393">
        <v>13015.817289999999</v>
      </c>
      <c r="E50" s="393"/>
      <c r="K50" s="376"/>
      <c r="L50" s="341">
        <f t="shared" si="0"/>
        <v>40</v>
      </c>
    </row>
    <row r="51" spans="1:12" x14ac:dyDescent="0.3">
      <c r="A51" s="341">
        <f t="shared" si="1"/>
        <v>41</v>
      </c>
      <c r="B51" s="390"/>
      <c r="C51" s="720" t="s">
        <v>491</v>
      </c>
      <c r="D51" s="393">
        <v>428.3049200000001</v>
      </c>
      <c r="E51" s="393"/>
      <c r="F51" s="721"/>
      <c r="G51" s="721"/>
      <c r="H51" s="721"/>
      <c r="I51" s="721"/>
      <c r="J51" s="721"/>
      <c r="K51" s="395"/>
      <c r="L51" s="341">
        <f t="shared" si="0"/>
        <v>41</v>
      </c>
    </row>
    <row r="52" spans="1:12" x14ac:dyDescent="0.3">
      <c r="A52" s="341">
        <f t="shared" si="1"/>
        <v>42</v>
      </c>
      <c r="B52" s="390"/>
      <c r="C52" s="720" t="s">
        <v>499</v>
      </c>
      <c r="D52" s="396">
        <v>40.544630000000005</v>
      </c>
      <c r="E52" s="393"/>
      <c r="F52" s="721"/>
      <c r="G52" s="721"/>
      <c r="H52" s="721"/>
      <c r="I52" s="721"/>
      <c r="J52" s="721"/>
      <c r="K52" s="395"/>
      <c r="L52" s="341">
        <f t="shared" si="0"/>
        <v>42</v>
      </c>
    </row>
    <row r="53" spans="1:12" x14ac:dyDescent="0.3">
      <c r="A53" s="341">
        <f t="shared" si="1"/>
        <v>43</v>
      </c>
      <c r="B53" s="390"/>
      <c r="C53" s="718" t="s">
        <v>44</v>
      </c>
      <c r="D53" s="393">
        <v>0</v>
      </c>
      <c r="E53" s="393"/>
      <c r="K53" s="376"/>
      <c r="L53" s="341">
        <f t="shared" si="0"/>
        <v>43</v>
      </c>
    </row>
    <row r="54" spans="1:12" x14ac:dyDescent="0.3">
      <c r="A54" s="341">
        <f t="shared" si="1"/>
        <v>44</v>
      </c>
      <c r="B54" s="390"/>
      <c r="C54" s="718" t="s">
        <v>500</v>
      </c>
      <c r="D54" s="393">
        <v>2085.1866</v>
      </c>
      <c r="K54" s="376"/>
      <c r="L54" s="341">
        <f t="shared" si="0"/>
        <v>44</v>
      </c>
    </row>
    <row r="55" spans="1:12" ht="18" x14ac:dyDescent="0.3">
      <c r="A55" s="341">
        <f t="shared" si="1"/>
        <v>45</v>
      </c>
      <c r="B55" s="390"/>
      <c r="C55" s="718" t="s">
        <v>501</v>
      </c>
      <c r="D55" s="394">
        <v>1002.51586</v>
      </c>
      <c r="E55" s="393">
        <f>SUM(D50:D55)</f>
        <v>16572.369299999998</v>
      </c>
      <c r="K55" s="376"/>
      <c r="L55" s="341">
        <f t="shared" si="0"/>
        <v>45</v>
      </c>
    </row>
    <row r="56" spans="1:12" x14ac:dyDescent="0.3">
      <c r="A56" s="341">
        <f t="shared" si="1"/>
        <v>46</v>
      </c>
      <c r="B56" s="397">
        <v>930.1</v>
      </c>
      <c r="C56" s="718" t="s">
        <v>481</v>
      </c>
      <c r="D56" s="718"/>
      <c r="E56" s="393">
        <v>-204.155</v>
      </c>
      <c r="K56" s="376"/>
      <c r="L56" s="341">
        <f t="shared" si="0"/>
        <v>46</v>
      </c>
    </row>
    <row r="57" spans="1:12" x14ac:dyDescent="0.3">
      <c r="A57" s="341">
        <f t="shared" si="1"/>
        <v>47</v>
      </c>
      <c r="B57" s="397">
        <v>930.2</v>
      </c>
      <c r="C57" s="720" t="s">
        <v>502</v>
      </c>
      <c r="D57" s="343">
        <f>1342.91598+1017.80149</f>
        <v>2360.71747</v>
      </c>
      <c r="E57" s="398"/>
      <c r="K57" s="376"/>
      <c r="L57" s="341">
        <f>A57</f>
        <v>47</v>
      </c>
    </row>
    <row r="58" spans="1:12" ht="18" x14ac:dyDescent="0.3">
      <c r="A58" s="341">
        <f t="shared" si="1"/>
        <v>48</v>
      </c>
      <c r="B58" s="397"/>
      <c r="C58" s="720" t="s">
        <v>503</v>
      </c>
      <c r="D58" s="343">
        <v>-690.76700000000005</v>
      </c>
      <c r="E58" s="398"/>
      <c r="K58" s="376"/>
      <c r="L58" s="341">
        <f>A58</f>
        <v>48</v>
      </c>
    </row>
    <row r="59" spans="1:12" ht="18" x14ac:dyDescent="0.3">
      <c r="A59" s="341">
        <f t="shared" si="1"/>
        <v>49</v>
      </c>
      <c r="B59" s="397"/>
      <c r="C59" s="720" t="s">
        <v>504</v>
      </c>
      <c r="D59" s="399">
        <v>-1452.373</v>
      </c>
      <c r="E59" s="398">
        <f>SUM(D57:D59)</f>
        <v>217.57746999999995</v>
      </c>
      <c r="K59" s="376"/>
      <c r="L59" s="341">
        <f t="shared" ref="L59:L61" si="4">A59</f>
        <v>49</v>
      </c>
    </row>
    <row r="60" spans="1:12" x14ac:dyDescent="0.3">
      <c r="A60" s="341">
        <f t="shared" si="1"/>
        <v>50</v>
      </c>
      <c r="B60" s="400">
        <v>935</v>
      </c>
      <c r="C60" s="720" t="s">
        <v>505</v>
      </c>
      <c r="D60" s="343">
        <v>-1927.3924299999994</v>
      </c>
      <c r="E60" s="398"/>
      <c r="K60" s="376"/>
      <c r="L60" s="341">
        <f t="shared" si="4"/>
        <v>50</v>
      </c>
    </row>
    <row r="61" spans="1:12" x14ac:dyDescent="0.3">
      <c r="A61" s="341">
        <f t="shared" si="1"/>
        <v>51</v>
      </c>
      <c r="B61" s="390"/>
      <c r="C61" s="722" t="s">
        <v>506</v>
      </c>
      <c r="D61" s="401">
        <v>12.147468914000001</v>
      </c>
      <c r="E61" s="401">
        <f>SUM(D60:D61)</f>
        <v>-1915.2449610859994</v>
      </c>
      <c r="K61" s="376"/>
      <c r="L61" s="341">
        <f t="shared" si="4"/>
        <v>51</v>
      </c>
    </row>
    <row r="62" spans="1:12" x14ac:dyDescent="0.3">
      <c r="A62" s="341">
        <f t="shared" si="1"/>
        <v>52</v>
      </c>
      <c r="B62" s="402"/>
      <c r="C62" s="723"/>
      <c r="D62" s="403"/>
      <c r="E62" s="404"/>
      <c r="K62" s="376"/>
      <c r="L62" s="341">
        <f>A62</f>
        <v>52</v>
      </c>
    </row>
    <row r="63" spans="1:12" ht="16.2" thickBot="1" x14ac:dyDescent="0.35">
      <c r="A63" s="341">
        <f t="shared" si="1"/>
        <v>53</v>
      </c>
      <c r="B63" s="405"/>
      <c r="C63" s="724" t="s">
        <v>507</v>
      </c>
      <c r="D63" s="725"/>
      <c r="E63" s="406">
        <f>SUM(E30:E61)</f>
        <v>171935.58007067602</v>
      </c>
      <c r="F63" s="726"/>
      <c r="G63" s="726"/>
      <c r="H63" s="726"/>
      <c r="I63" s="726"/>
      <c r="J63" s="726"/>
      <c r="K63" s="376"/>
      <c r="L63" s="341">
        <f>A63</f>
        <v>53</v>
      </c>
    </row>
    <row r="64" spans="1:12" ht="16.2" thickTop="1" x14ac:dyDescent="0.3">
      <c r="A64" s="341">
        <f t="shared" si="1"/>
        <v>54</v>
      </c>
      <c r="B64" s="405"/>
      <c r="C64" s="724"/>
      <c r="E64" s="178"/>
      <c r="F64" s="727"/>
      <c r="G64" s="727"/>
      <c r="H64" s="727"/>
      <c r="I64" s="727"/>
      <c r="J64" s="727"/>
      <c r="K64" s="376"/>
      <c r="L64" s="341">
        <f>A64</f>
        <v>54</v>
      </c>
    </row>
    <row r="65" spans="1:12" x14ac:dyDescent="0.3">
      <c r="A65" s="341">
        <f t="shared" si="1"/>
        <v>55</v>
      </c>
      <c r="B65" s="728" t="s">
        <v>42</v>
      </c>
      <c r="C65" s="12" t="s">
        <v>442</v>
      </c>
      <c r="E65" s="178"/>
      <c r="F65" s="727"/>
      <c r="G65" s="727"/>
      <c r="H65" s="727"/>
      <c r="I65" s="727"/>
      <c r="J65" s="727"/>
      <c r="K65" s="376"/>
      <c r="L65" s="341">
        <f t="shared" ref="L65:L67" si="5">A65</f>
        <v>55</v>
      </c>
    </row>
    <row r="66" spans="1:12" ht="18" x14ac:dyDescent="0.3">
      <c r="A66" s="341">
        <f t="shared" si="1"/>
        <v>56</v>
      </c>
      <c r="B66" s="407">
        <v>1</v>
      </c>
      <c r="C66" s="169" t="s">
        <v>508</v>
      </c>
      <c r="E66" s="223"/>
      <c r="F66" s="188"/>
      <c r="G66" s="188"/>
      <c r="H66" s="188"/>
      <c r="I66" s="188"/>
      <c r="J66" s="188"/>
      <c r="K66" s="376"/>
      <c r="L66" s="341">
        <f t="shared" si="5"/>
        <v>56</v>
      </c>
    </row>
    <row r="67" spans="1:12" ht="18" x14ac:dyDescent="0.3">
      <c r="A67" s="341">
        <f t="shared" si="1"/>
        <v>57</v>
      </c>
      <c r="B67" s="408">
        <v>2</v>
      </c>
      <c r="C67" s="169" t="s">
        <v>509</v>
      </c>
      <c r="E67" s="223"/>
      <c r="F67" s="188"/>
      <c r="G67" s="188"/>
      <c r="H67" s="188"/>
      <c r="I67" s="188"/>
      <c r="J67" s="188"/>
      <c r="K67" s="376"/>
      <c r="L67" s="341">
        <f t="shared" si="5"/>
        <v>57</v>
      </c>
    </row>
    <row r="68" spans="1:12" x14ac:dyDescent="0.3">
      <c r="A68" s="341">
        <f t="shared" si="1"/>
        <v>58</v>
      </c>
      <c r="B68" s="409"/>
      <c r="C68" s="169" t="s">
        <v>510</v>
      </c>
      <c r="E68" s="223"/>
      <c r="F68" s="188"/>
      <c r="G68" s="188"/>
      <c r="H68" s="188"/>
      <c r="I68" s="188"/>
      <c r="J68" s="188"/>
      <c r="K68" s="376"/>
      <c r="L68" s="341">
        <f t="shared" ref="L68:L77" si="6">A68</f>
        <v>58</v>
      </c>
    </row>
    <row r="69" spans="1:12" ht="18" x14ac:dyDescent="0.3">
      <c r="A69" s="341">
        <f t="shared" si="1"/>
        <v>59</v>
      </c>
      <c r="B69" s="408">
        <v>3</v>
      </c>
      <c r="C69" s="169" t="s">
        <v>511</v>
      </c>
      <c r="E69" s="223"/>
      <c r="F69" s="188"/>
      <c r="G69" s="188"/>
      <c r="H69" s="188"/>
      <c r="I69" s="188"/>
      <c r="J69" s="188"/>
      <c r="K69" s="376"/>
      <c r="L69" s="341">
        <f t="shared" si="6"/>
        <v>59</v>
      </c>
    </row>
    <row r="70" spans="1:12" ht="18" x14ac:dyDescent="0.3">
      <c r="A70" s="341">
        <f t="shared" si="1"/>
        <v>60</v>
      </c>
      <c r="B70" s="408"/>
      <c r="C70" s="169" t="s">
        <v>512</v>
      </c>
      <c r="E70" s="223"/>
      <c r="F70" s="188"/>
      <c r="G70" s="188"/>
      <c r="H70" s="188"/>
      <c r="I70" s="188"/>
      <c r="J70" s="188"/>
      <c r="K70" s="376"/>
      <c r="L70" s="341">
        <f t="shared" si="6"/>
        <v>60</v>
      </c>
    </row>
    <row r="71" spans="1:12" ht="18" x14ac:dyDescent="0.3">
      <c r="A71" s="341">
        <f t="shared" si="1"/>
        <v>61</v>
      </c>
      <c r="B71" s="408"/>
      <c r="C71" s="169" t="s">
        <v>513</v>
      </c>
      <c r="E71" s="223"/>
      <c r="F71" s="188"/>
      <c r="G71" s="188"/>
      <c r="H71" s="188"/>
      <c r="I71" s="188"/>
      <c r="J71" s="188"/>
      <c r="K71" s="376"/>
      <c r="L71" s="341">
        <f t="shared" si="6"/>
        <v>61</v>
      </c>
    </row>
    <row r="72" spans="1:12" ht="18" x14ac:dyDescent="0.3">
      <c r="A72" s="341">
        <f t="shared" si="1"/>
        <v>62</v>
      </c>
      <c r="B72" s="408">
        <v>4</v>
      </c>
      <c r="C72" s="5" t="s">
        <v>514</v>
      </c>
      <c r="E72" s="223"/>
      <c r="F72" s="188"/>
      <c r="G72" s="188"/>
      <c r="H72" s="188"/>
      <c r="I72" s="188"/>
      <c r="J72" s="188"/>
      <c r="K72" s="376"/>
      <c r="L72" s="341">
        <f t="shared" si="6"/>
        <v>62</v>
      </c>
    </row>
    <row r="73" spans="1:12" ht="18" x14ac:dyDescent="0.3">
      <c r="A73" s="341">
        <f t="shared" si="1"/>
        <v>63</v>
      </c>
      <c r="B73" s="408"/>
      <c r="C73" s="169" t="s">
        <v>515</v>
      </c>
      <c r="E73" s="223"/>
      <c r="F73" s="188"/>
      <c r="G73" s="188"/>
      <c r="H73" s="188"/>
      <c r="I73" s="188"/>
      <c r="J73" s="188"/>
      <c r="K73" s="376"/>
      <c r="L73" s="341">
        <f t="shared" si="6"/>
        <v>63</v>
      </c>
    </row>
    <row r="74" spans="1:12" ht="18" x14ac:dyDescent="0.3">
      <c r="A74" s="341">
        <f t="shared" si="1"/>
        <v>64</v>
      </c>
      <c r="B74" s="408">
        <v>5</v>
      </c>
      <c r="C74" s="169" t="s">
        <v>516</v>
      </c>
      <c r="E74" s="223"/>
      <c r="F74" s="188"/>
      <c r="G74" s="188"/>
      <c r="H74" s="188"/>
      <c r="I74" s="188"/>
      <c r="J74" s="188"/>
      <c r="K74" s="376"/>
      <c r="L74" s="341">
        <f t="shared" si="6"/>
        <v>64</v>
      </c>
    </row>
    <row r="75" spans="1:12" ht="18" x14ac:dyDescent="0.3">
      <c r="A75" s="341">
        <f t="shared" si="1"/>
        <v>65</v>
      </c>
      <c r="B75" s="408">
        <v>6</v>
      </c>
      <c r="C75" s="169" t="s">
        <v>517</v>
      </c>
      <c r="E75" s="223"/>
      <c r="F75" s="188"/>
      <c r="G75" s="188"/>
      <c r="H75" s="188"/>
      <c r="I75" s="188"/>
      <c r="J75" s="188"/>
      <c r="K75" s="376"/>
      <c r="L75" s="341">
        <f t="shared" si="6"/>
        <v>65</v>
      </c>
    </row>
    <row r="76" spans="1:12" ht="18" x14ac:dyDescent="0.3">
      <c r="A76" s="341">
        <f t="shared" si="1"/>
        <v>66</v>
      </c>
      <c r="B76" s="408"/>
      <c r="E76" s="223"/>
      <c r="F76" s="188"/>
      <c r="G76" s="188"/>
      <c r="H76" s="188"/>
      <c r="I76" s="188"/>
      <c r="J76" s="188"/>
      <c r="K76" s="376"/>
      <c r="L76" s="341">
        <f t="shared" si="6"/>
        <v>66</v>
      </c>
    </row>
    <row r="77" spans="1:12" ht="16.2" thickBot="1" x14ac:dyDescent="0.35">
      <c r="A77" s="341">
        <f t="shared" si="1"/>
        <v>67</v>
      </c>
      <c r="B77" s="410"/>
      <c r="C77" s="411"/>
      <c r="D77" s="344"/>
      <c r="E77" s="344"/>
      <c r="F77" s="344"/>
      <c r="G77" s="344"/>
      <c r="H77" s="344"/>
      <c r="I77" s="344"/>
      <c r="J77" s="344"/>
      <c r="K77" s="383"/>
      <c r="L77" s="341">
        <f t="shared" si="6"/>
        <v>67</v>
      </c>
    </row>
    <row r="78" spans="1:12" x14ac:dyDescent="0.3">
      <c r="A78" s="342"/>
      <c r="C78" s="365"/>
      <c r="D78" s="412"/>
      <c r="E78" s="412"/>
    </row>
    <row r="79" spans="1:12" ht="18" x14ac:dyDescent="0.3">
      <c r="A79" s="413"/>
      <c r="C79" s="365"/>
    </row>
    <row r="80" spans="1:12" ht="18" x14ac:dyDescent="0.3">
      <c r="A80" s="413"/>
      <c r="C80" s="365"/>
    </row>
    <row r="81" spans="1:3" ht="18" x14ac:dyDescent="0.3">
      <c r="A81" s="413"/>
      <c r="C81" s="365"/>
    </row>
    <row r="82" spans="1:3" ht="18" x14ac:dyDescent="0.3">
      <c r="A82" s="413"/>
      <c r="C82" s="365"/>
    </row>
    <row r="83" spans="1:3" ht="18" x14ac:dyDescent="0.3">
      <c r="A83" s="413"/>
      <c r="C83" s="365"/>
    </row>
    <row r="84" spans="1:3" ht="18" x14ac:dyDescent="0.3">
      <c r="A84" s="413"/>
      <c r="C84" s="365"/>
    </row>
    <row r="85" spans="1:3" x14ac:dyDescent="0.3">
      <c r="A85" s="342"/>
      <c r="C85" s="365"/>
    </row>
    <row r="86" spans="1:3" ht="18" x14ac:dyDescent="0.3">
      <c r="A86" s="413"/>
      <c r="C86" s="365"/>
    </row>
    <row r="87" spans="1:3" x14ac:dyDescent="0.3">
      <c r="A87" s="342"/>
      <c r="C87" s="365"/>
    </row>
    <row r="88" spans="1:3" ht="18" x14ac:dyDescent="0.3">
      <c r="A88" s="413"/>
      <c r="C88" s="365"/>
    </row>
    <row r="89" spans="1:3" x14ac:dyDescent="0.3">
      <c r="A89" s="342"/>
      <c r="C89" s="365"/>
    </row>
    <row r="90" spans="1:3" ht="18" x14ac:dyDescent="0.3">
      <c r="A90" s="413"/>
      <c r="C90" s="365"/>
    </row>
    <row r="91" spans="1:3" ht="18" x14ac:dyDescent="0.3">
      <c r="A91" s="413"/>
      <c r="B91" s="365"/>
    </row>
    <row r="92" spans="1:3" ht="18" x14ac:dyDescent="0.3">
      <c r="A92" s="413"/>
      <c r="B92" s="365"/>
    </row>
    <row r="93" spans="1:3" x14ac:dyDescent="0.3">
      <c r="B93" s="365"/>
    </row>
    <row r="94" spans="1:3" ht="18" x14ac:dyDescent="0.3">
      <c r="A94" s="413"/>
      <c r="B94" s="365"/>
    </row>
    <row r="95" spans="1:3" x14ac:dyDescent="0.3">
      <c r="A95" s="414"/>
      <c r="B95" s="415"/>
    </row>
    <row r="96" spans="1:3" x14ac:dyDescent="0.3">
      <c r="B96" s="365"/>
    </row>
  </sheetData>
  <mergeCells count="4">
    <mergeCell ref="B2:K2"/>
    <mergeCell ref="B3:K3"/>
    <mergeCell ref="B4:K4"/>
    <mergeCell ref="B5:K5"/>
  </mergeCells>
  <printOptions horizontalCentered="1"/>
  <pageMargins left="0.25" right="0.25" top="0.5" bottom="0.5" header="0.35" footer="0.25"/>
  <pageSetup scale="52" orientation="portrait" horizontalDpi="200" verticalDpi="200" r:id="rId1"/>
  <headerFooter scaleWithDoc="0" alignWithMargins="0">
    <oddHeader>&amp;C&amp;"Times New Roman,Bold"&amp;8REVISED</oddHeader>
    <oddFooter>&amp;CPage 6.1&amp;R&amp;F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4DE8-B96A-41F9-B179-AEB7BBE8D588}">
  <sheetPr>
    <pageSetUpPr fitToPage="1"/>
  </sheetPr>
  <dimension ref="A1:J50"/>
  <sheetViews>
    <sheetView zoomScale="80" zoomScaleNormal="80" workbookViewId="0"/>
  </sheetViews>
  <sheetFormatPr defaultColWidth="8.88671875" defaultRowHeight="15.6" x14ac:dyDescent="0.3"/>
  <cols>
    <col min="1" max="1" width="5.109375" style="464" bestFit="1" customWidth="1"/>
    <col min="2" max="2" width="79.44140625" style="192" customWidth="1"/>
    <col min="3" max="3" width="24" style="465" customWidth="1"/>
    <col min="4" max="4" width="1.5546875" style="192" customWidth="1"/>
    <col min="5" max="5" width="16.88671875" style="192" customWidth="1"/>
    <col min="6" max="6" width="1.5546875" style="192" customWidth="1"/>
    <col min="7" max="7" width="16.88671875" style="192" customWidth="1"/>
    <col min="8" max="8" width="1.5546875" style="192" customWidth="1"/>
    <col min="9" max="9" width="39.109375" style="192" bestFit="1" customWidth="1"/>
    <col min="10" max="10" width="5.109375" style="192" customWidth="1"/>
    <col min="11" max="16384" width="8.88671875" style="192"/>
  </cols>
  <sheetData>
    <row r="1" spans="1:10" x14ac:dyDescent="0.3">
      <c r="H1" s="464"/>
      <c r="I1" s="464"/>
      <c r="J1" s="464"/>
    </row>
    <row r="2" spans="1:10" x14ac:dyDescent="0.3">
      <c r="B2" s="867" t="s">
        <v>217</v>
      </c>
      <c r="C2" s="868"/>
      <c r="D2" s="868"/>
      <c r="E2" s="868"/>
      <c r="F2" s="868"/>
      <c r="G2" s="868"/>
      <c r="H2" s="868"/>
      <c r="I2" s="868"/>
      <c r="J2" s="466"/>
    </row>
    <row r="3" spans="1:10" x14ac:dyDescent="0.3">
      <c r="B3" s="867" t="s">
        <v>518</v>
      </c>
      <c r="C3" s="868"/>
      <c r="D3" s="868"/>
      <c r="E3" s="868"/>
      <c r="F3" s="868"/>
      <c r="G3" s="868"/>
      <c r="H3" s="868"/>
      <c r="I3" s="868"/>
      <c r="J3" s="466"/>
    </row>
    <row r="4" spans="1:10" x14ac:dyDescent="0.3">
      <c r="B4" s="867" t="s">
        <v>519</v>
      </c>
      <c r="C4" s="868"/>
      <c r="D4" s="868"/>
      <c r="E4" s="868"/>
      <c r="F4" s="868"/>
      <c r="G4" s="868"/>
      <c r="H4" s="868"/>
      <c r="I4" s="868"/>
      <c r="J4" s="466"/>
    </row>
    <row r="5" spans="1:10" x14ac:dyDescent="0.3">
      <c r="B5" s="869" t="s">
        <v>294</v>
      </c>
      <c r="C5" s="869"/>
      <c r="D5" s="869"/>
      <c r="E5" s="869"/>
      <c r="F5" s="869"/>
      <c r="G5" s="869"/>
      <c r="H5" s="869"/>
      <c r="I5" s="869"/>
      <c r="J5" s="466"/>
    </row>
    <row r="6" spans="1:10" x14ac:dyDescent="0.3">
      <c r="B6" s="870" t="s">
        <v>3</v>
      </c>
      <c r="C6" s="870"/>
      <c r="D6" s="870"/>
      <c r="E6" s="870"/>
      <c r="F6" s="870"/>
      <c r="G6" s="870"/>
      <c r="H6" s="870"/>
      <c r="I6" s="870"/>
      <c r="J6" s="467"/>
    </row>
    <row r="7" spans="1:10" x14ac:dyDescent="0.3">
      <c r="B7" s="464"/>
      <c r="D7" s="464"/>
      <c r="E7" s="464"/>
      <c r="F7" s="464"/>
      <c r="G7" s="464"/>
      <c r="H7" s="466"/>
      <c r="I7" s="466"/>
      <c r="J7" s="466"/>
    </row>
    <row r="8" spans="1:10" x14ac:dyDescent="0.3">
      <c r="A8" s="464" t="s">
        <v>4</v>
      </c>
      <c r="B8" s="466"/>
      <c r="C8" s="168" t="s">
        <v>295</v>
      </c>
      <c r="D8" s="464"/>
      <c r="E8" s="464" t="s">
        <v>520</v>
      </c>
      <c r="F8" s="464"/>
      <c r="G8" s="464" t="s">
        <v>521</v>
      </c>
      <c r="H8" s="466"/>
      <c r="I8" s="466"/>
      <c r="J8" s="464" t="s">
        <v>4</v>
      </c>
    </row>
    <row r="9" spans="1:10" x14ac:dyDescent="0.3">
      <c r="A9" s="464" t="s">
        <v>8</v>
      </c>
      <c r="B9" s="466"/>
      <c r="C9" s="172" t="s">
        <v>299</v>
      </c>
      <c r="D9" s="466"/>
      <c r="E9" s="468" t="s">
        <v>522</v>
      </c>
      <c r="F9" s="466"/>
      <c r="G9" s="468" t="s">
        <v>300</v>
      </c>
      <c r="H9" s="466"/>
      <c r="I9" s="469" t="s">
        <v>7</v>
      </c>
      <c r="J9" s="464" t="s">
        <v>8</v>
      </c>
    </row>
    <row r="10" spans="1:10" x14ac:dyDescent="0.3">
      <c r="B10" s="464"/>
      <c r="D10" s="464"/>
      <c r="E10" s="464"/>
      <c r="F10" s="464"/>
      <c r="G10" s="464"/>
      <c r="H10" s="464"/>
      <c r="I10" s="464"/>
      <c r="J10" s="464"/>
    </row>
    <row r="11" spans="1:10" ht="18" x14ac:dyDescent="0.3">
      <c r="A11" s="464">
        <v>1</v>
      </c>
      <c r="B11" s="192" t="s">
        <v>523</v>
      </c>
      <c r="C11" s="464" t="s">
        <v>524</v>
      </c>
      <c r="E11" s="470"/>
      <c r="F11" s="471"/>
      <c r="G11" s="472">
        <v>128758.20369230768</v>
      </c>
      <c r="H11" s="471"/>
      <c r="I11" s="450" t="s">
        <v>525</v>
      </c>
      <c r="J11" s="464">
        <f>A11</f>
        <v>1</v>
      </c>
    </row>
    <row r="12" spans="1:10" x14ac:dyDescent="0.3">
      <c r="A12" s="464">
        <f>+A11+1</f>
        <v>2</v>
      </c>
      <c r="C12" s="464"/>
      <c r="E12" s="473"/>
      <c r="F12" s="474"/>
      <c r="G12" s="474"/>
      <c r="H12" s="474"/>
      <c r="I12" s="450"/>
      <c r="J12" s="464">
        <f>+J11+1</f>
        <v>2</v>
      </c>
    </row>
    <row r="13" spans="1:10" x14ac:dyDescent="0.3">
      <c r="A13" s="464">
        <f t="shared" ref="A13:A44" si="0">+A12+1</f>
        <v>3</v>
      </c>
      <c r="B13" s="192" t="s">
        <v>526</v>
      </c>
      <c r="C13" s="464"/>
      <c r="E13" s="475"/>
      <c r="F13" s="476"/>
      <c r="G13" s="477">
        <v>0.40360702730459591</v>
      </c>
      <c r="H13" s="471"/>
      <c r="I13" s="450" t="s">
        <v>527</v>
      </c>
      <c r="J13" s="464">
        <f t="shared" ref="J13:J44" si="1">+J12+1</f>
        <v>3</v>
      </c>
    </row>
    <row r="14" spans="1:10" x14ac:dyDescent="0.3">
      <c r="A14" s="464">
        <f t="shared" si="0"/>
        <v>4</v>
      </c>
      <c r="C14" s="464"/>
      <c r="E14" s="473"/>
      <c r="F14" s="474"/>
      <c r="G14" s="473"/>
      <c r="H14" s="474"/>
      <c r="I14" s="450"/>
      <c r="J14" s="464">
        <f t="shared" si="1"/>
        <v>4</v>
      </c>
    </row>
    <row r="15" spans="1:10" ht="16.2" thickBot="1" x14ac:dyDescent="0.35">
      <c r="A15" s="464">
        <f t="shared" si="0"/>
        <v>5</v>
      </c>
      <c r="B15" s="192" t="s">
        <v>528</v>
      </c>
      <c r="C15" s="464"/>
      <c r="E15" s="478"/>
      <c r="F15" s="474"/>
      <c r="G15" s="479">
        <f>G11*G13</f>
        <v>51967.715833331946</v>
      </c>
      <c r="H15" s="471"/>
      <c r="I15" s="450" t="s">
        <v>529</v>
      </c>
      <c r="J15" s="464">
        <f t="shared" si="1"/>
        <v>5</v>
      </c>
    </row>
    <row r="16" spans="1:10" ht="16.2" thickTop="1" x14ac:dyDescent="0.3">
      <c r="A16" s="464">
        <f t="shared" si="0"/>
        <v>6</v>
      </c>
      <c r="C16" s="464"/>
      <c r="E16" s="480"/>
      <c r="F16" s="464"/>
      <c r="G16" s="464"/>
      <c r="H16" s="464"/>
      <c r="I16" s="450"/>
      <c r="J16" s="464">
        <f t="shared" si="1"/>
        <v>6</v>
      </c>
    </row>
    <row r="17" spans="1:10" ht="18" x14ac:dyDescent="0.3">
      <c r="A17" s="464">
        <f t="shared" si="0"/>
        <v>7</v>
      </c>
      <c r="B17" s="192" t="s">
        <v>530</v>
      </c>
      <c r="C17" s="464" t="s">
        <v>531</v>
      </c>
      <c r="D17" s="481"/>
      <c r="E17" s="470"/>
      <c r="F17" s="474"/>
      <c r="G17" s="482">
        <v>93697.406000000017</v>
      </c>
      <c r="H17" s="471"/>
      <c r="I17" s="450" t="s">
        <v>532</v>
      </c>
      <c r="J17" s="464">
        <f t="shared" si="1"/>
        <v>7</v>
      </c>
    </row>
    <row r="18" spans="1:10" x14ac:dyDescent="0.3">
      <c r="A18" s="464">
        <f t="shared" si="0"/>
        <v>8</v>
      </c>
      <c r="C18" s="464"/>
      <c r="E18" s="483"/>
      <c r="F18" s="474"/>
      <c r="G18" s="474"/>
      <c r="H18" s="474"/>
      <c r="I18" s="450"/>
      <c r="J18" s="464">
        <f t="shared" si="1"/>
        <v>8</v>
      </c>
    </row>
    <row r="19" spans="1:10" ht="16.2" thickBot="1" x14ac:dyDescent="0.35">
      <c r="A19" s="464">
        <f t="shared" si="0"/>
        <v>9</v>
      </c>
      <c r="B19" s="192" t="s">
        <v>533</v>
      </c>
      <c r="E19" s="470"/>
      <c r="F19" s="474"/>
      <c r="G19" s="479">
        <f>G13*G17</f>
        <v>37816.931501811814</v>
      </c>
      <c r="H19" s="471"/>
      <c r="I19" s="450" t="s">
        <v>534</v>
      </c>
      <c r="J19" s="464">
        <f t="shared" si="1"/>
        <v>9</v>
      </c>
    </row>
    <row r="20" spans="1:10" ht="16.2" thickTop="1" x14ac:dyDescent="0.3">
      <c r="A20" s="464">
        <f t="shared" si="0"/>
        <v>10</v>
      </c>
      <c r="E20" s="484"/>
      <c r="F20" s="474"/>
      <c r="G20" s="474"/>
      <c r="H20" s="474"/>
      <c r="I20" s="450"/>
      <c r="J20" s="464">
        <f t="shared" si="1"/>
        <v>10</v>
      </c>
    </row>
    <row r="21" spans="1:10" x14ac:dyDescent="0.3">
      <c r="A21" s="464">
        <f t="shared" si="0"/>
        <v>11</v>
      </c>
      <c r="B21" s="485" t="s">
        <v>535</v>
      </c>
      <c r="E21" s="484"/>
      <c r="F21" s="474"/>
      <c r="G21" s="474"/>
      <c r="H21" s="474"/>
      <c r="I21" s="450"/>
      <c r="J21" s="464">
        <f t="shared" si="1"/>
        <v>11</v>
      </c>
    </row>
    <row r="22" spans="1:10" x14ac:dyDescent="0.3">
      <c r="A22" s="464">
        <f t="shared" si="0"/>
        <v>12</v>
      </c>
      <c r="B22" s="192" t="s">
        <v>536</v>
      </c>
      <c r="E22" s="486">
        <f>'Pg6 Rev Stmt AH'!E19</f>
        <v>95535.541019356009</v>
      </c>
      <c r="F22" s="474"/>
      <c r="G22" s="487"/>
      <c r="H22" s="474"/>
      <c r="I22" s="450" t="s">
        <v>284</v>
      </c>
      <c r="J22" s="464">
        <f t="shared" si="1"/>
        <v>12</v>
      </c>
    </row>
    <row r="23" spans="1:10" x14ac:dyDescent="0.3">
      <c r="A23" s="464">
        <f t="shared" si="0"/>
        <v>13</v>
      </c>
      <c r="B23" s="192" t="s">
        <v>537</v>
      </c>
      <c r="E23" s="499">
        <f>'Pg6 Rev Stmt AH'!E42</f>
        <v>81351.457442747444</v>
      </c>
      <c r="F23" s="42" t="s">
        <v>42</v>
      </c>
      <c r="G23" s="488"/>
      <c r="H23" s="474"/>
      <c r="I23" s="450" t="s">
        <v>538</v>
      </c>
      <c r="J23" s="464">
        <f t="shared" si="1"/>
        <v>13</v>
      </c>
    </row>
    <row r="24" spans="1:10" x14ac:dyDescent="0.3">
      <c r="A24" s="464">
        <f t="shared" si="0"/>
        <v>14</v>
      </c>
      <c r="B24" s="192" t="s">
        <v>539</v>
      </c>
      <c r="E24" s="489">
        <v>0</v>
      </c>
      <c r="F24" s="474"/>
      <c r="G24" s="488"/>
      <c r="H24" s="474"/>
      <c r="I24" s="450" t="s">
        <v>286</v>
      </c>
      <c r="J24" s="464">
        <f t="shared" si="1"/>
        <v>14</v>
      </c>
    </row>
    <row r="25" spans="1:10" x14ac:dyDescent="0.3">
      <c r="A25" s="464">
        <f t="shared" si="0"/>
        <v>15</v>
      </c>
      <c r="B25" s="192" t="s">
        <v>540</v>
      </c>
      <c r="E25" s="500">
        <f>SUM(E22:E24)</f>
        <v>176886.99846210345</v>
      </c>
      <c r="F25" s="42" t="s">
        <v>42</v>
      </c>
      <c r="G25" s="481"/>
      <c r="H25" s="450"/>
      <c r="I25" s="450" t="s">
        <v>541</v>
      </c>
      <c r="J25" s="464">
        <f t="shared" si="1"/>
        <v>15</v>
      </c>
    </row>
    <row r="26" spans="1:10" x14ac:dyDescent="0.3">
      <c r="A26" s="464">
        <f t="shared" si="0"/>
        <v>16</v>
      </c>
      <c r="F26" s="464"/>
      <c r="H26" s="464"/>
      <c r="I26" s="450"/>
      <c r="J26" s="464">
        <f t="shared" si="1"/>
        <v>16</v>
      </c>
    </row>
    <row r="27" spans="1:10" x14ac:dyDescent="0.3">
      <c r="A27" s="464">
        <f t="shared" si="0"/>
        <v>17</v>
      </c>
      <c r="B27" s="192" t="s">
        <v>542</v>
      </c>
      <c r="E27" s="490">
        <f>1/8</f>
        <v>0.125</v>
      </c>
      <c r="F27" s="464"/>
      <c r="G27" s="491"/>
      <c r="H27" s="464"/>
      <c r="I27" s="450" t="s">
        <v>543</v>
      </c>
      <c r="J27" s="464">
        <f t="shared" si="1"/>
        <v>17</v>
      </c>
    </row>
    <row r="28" spans="1:10" x14ac:dyDescent="0.3">
      <c r="A28" s="464">
        <f t="shared" si="0"/>
        <v>18</v>
      </c>
      <c r="E28" s="473" t="s">
        <v>26</v>
      </c>
      <c r="F28" s="474"/>
      <c r="G28" s="473"/>
      <c r="H28" s="474"/>
      <c r="I28" s="450"/>
      <c r="J28" s="464">
        <f t="shared" si="1"/>
        <v>18</v>
      </c>
    </row>
    <row r="29" spans="1:10" ht="16.2" thickBot="1" x14ac:dyDescent="0.35">
      <c r="A29" s="464">
        <f t="shared" si="0"/>
        <v>19</v>
      </c>
      <c r="B29" s="192" t="s">
        <v>544</v>
      </c>
      <c r="E29" s="501">
        <f>E25*E27</f>
        <v>22110.874807762932</v>
      </c>
      <c r="F29" s="42" t="s">
        <v>42</v>
      </c>
      <c r="G29" s="478"/>
      <c r="H29" s="474"/>
      <c r="I29" s="464" t="s">
        <v>545</v>
      </c>
      <c r="J29" s="464">
        <f t="shared" si="1"/>
        <v>19</v>
      </c>
    </row>
    <row r="30" spans="1:10" ht="16.2" thickTop="1" x14ac:dyDescent="0.3">
      <c r="A30" s="464">
        <f t="shared" si="0"/>
        <v>20</v>
      </c>
      <c r="E30" s="478"/>
      <c r="F30" s="471"/>
      <c r="G30" s="478"/>
      <c r="H30" s="474"/>
      <c r="I30" s="464"/>
      <c r="J30" s="464">
        <f t="shared" si="1"/>
        <v>20</v>
      </c>
    </row>
    <row r="31" spans="1:10" x14ac:dyDescent="0.3">
      <c r="A31" s="464">
        <f t="shared" si="0"/>
        <v>21</v>
      </c>
      <c r="B31" s="485" t="s">
        <v>546</v>
      </c>
      <c r="E31" s="484"/>
      <c r="F31" s="474"/>
      <c r="G31" s="474"/>
      <c r="H31" s="474"/>
      <c r="I31" s="450"/>
      <c r="J31" s="464">
        <f t="shared" si="1"/>
        <v>21</v>
      </c>
    </row>
    <row r="32" spans="1:10" x14ac:dyDescent="0.3">
      <c r="A32" s="464">
        <f t="shared" si="0"/>
        <v>22</v>
      </c>
      <c r="B32" s="192" t="s">
        <v>539</v>
      </c>
      <c r="E32" s="436">
        <f>E24</f>
        <v>0</v>
      </c>
      <c r="F32" s="474"/>
      <c r="G32" s="487"/>
      <c r="H32" s="474"/>
      <c r="I32" s="450" t="s">
        <v>547</v>
      </c>
      <c r="J32" s="464">
        <f t="shared" si="1"/>
        <v>22</v>
      </c>
    </row>
    <row r="33" spans="1:10" x14ac:dyDescent="0.3">
      <c r="A33" s="464">
        <f t="shared" si="0"/>
        <v>23</v>
      </c>
      <c r="E33" s="492"/>
      <c r="F33" s="474"/>
      <c r="G33" s="487"/>
      <c r="H33" s="474"/>
      <c r="I33" s="450"/>
      <c r="J33" s="464">
        <f t="shared" si="1"/>
        <v>23</v>
      </c>
    </row>
    <row r="34" spans="1:10" x14ac:dyDescent="0.3">
      <c r="A34" s="464">
        <f t="shared" si="0"/>
        <v>24</v>
      </c>
      <c r="B34" s="192" t="s">
        <v>542</v>
      </c>
      <c r="E34" s="493">
        <f>E27</f>
        <v>0.125</v>
      </c>
      <c r="F34" s="464"/>
      <c r="G34" s="491"/>
      <c r="H34" s="464"/>
      <c r="I34" s="450" t="s">
        <v>548</v>
      </c>
      <c r="J34" s="464">
        <f t="shared" si="1"/>
        <v>24</v>
      </c>
    </row>
    <row r="35" spans="1:10" x14ac:dyDescent="0.3">
      <c r="A35" s="464">
        <f t="shared" si="0"/>
        <v>25</v>
      </c>
      <c r="E35" s="491"/>
      <c r="F35" s="464"/>
      <c r="G35" s="491"/>
      <c r="H35" s="464"/>
      <c r="I35" s="450"/>
      <c r="J35" s="464">
        <f t="shared" si="1"/>
        <v>25</v>
      </c>
    </row>
    <row r="36" spans="1:10" x14ac:dyDescent="0.3">
      <c r="A36" s="464">
        <f t="shared" si="0"/>
        <v>26</v>
      </c>
      <c r="B36" s="192" t="s">
        <v>549</v>
      </c>
      <c r="E36" s="193">
        <f>E32*E34</f>
        <v>0</v>
      </c>
      <c r="F36" s="464"/>
      <c r="G36" s="491"/>
      <c r="H36" s="464"/>
      <c r="I36" s="464" t="s">
        <v>550</v>
      </c>
      <c r="J36" s="464">
        <f t="shared" si="1"/>
        <v>26</v>
      </c>
    </row>
    <row r="37" spans="1:10" x14ac:dyDescent="0.3">
      <c r="A37" s="464">
        <f t="shared" si="0"/>
        <v>27</v>
      </c>
      <c r="J37" s="464">
        <f t="shared" si="1"/>
        <v>27</v>
      </c>
    </row>
    <row r="38" spans="1:10" ht="18" x14ac:dyDescent="0.3">
      <c r="A38" s="464">
        <f t="shared" si="0"/>
        <v>28</v>
      </c>
      <c r="B38" s="494" t="s">
        <v>551</v>
      </c>
      <c r="C38" s="464"/>
      <c r="E38" s="495">
        <v>9.6007908353307039E-2</v>
      </c>
      <c r="F38" s="467"/>
      <c r="I38" s="464" t="s">
        <v>287</v>
      </c>
      <c r="J38" s="464">
        <f t="shared" si="1"/>
        <v>28</v>
      </c>
    </row>
    <row r="39" spans="1:10" x14ac:dyDescent="0.3">
      <c r="A39" s="464">
        <f t="shared" si="0"/>
        <v>29</v>
      </c>
      <c r="C39" s="464"/>
      <c r="J39" s="464">
        <f t="shared" si="1"/>
        <v>29</v>
      </c>
    </row>
    <row r="40" spans="1:10" ht="18.600000000000001" thickBot="1" x14ac:dyDescent="0.35">
      <c r="A40" s="464">
        <f t="shared" si="0"/>
        <v>30</v>
      </c>
      <c r="B40" s="192" t="s">
        <v>552</v>
      </c>
      <c r="C40" s="464"/>
      <c r="E40" s="496">
        <f>E36*E38</f>
        <v>0</v>
      </c>
      <c r="I40" s="464" t="s">
        <v>553</v>
      </c>
      <c r="J40" s="464">
        <f t="shared" si="1"/>
        <v>30</v>
      </c>
    </row>
    <row r="41" spans="1:10" ht="16.2" thickTop="1" x14ac:dyDescent="0.3">
      <c r="A41" s="464">
        <f t="shared" si="0"/>
        <v>31</v>
      </c>
      <c r="C41" s="464"/>
      <c r="E41" s="497"/>
      <c r="I41" s="464"/>
      <c r="J41" s="464">
        <f t="shared" si="1"/>
        <v>31</v>
      </c>
    </row>
    <row r="42" spans="1:10" ht="18" x14ac:dyDescent="0.3">
      <c r="A42" s="464">
        <f t="shared" si="0"/>
        <v>32</v>
      </c>
      <c r="B42" s="494" t="s">
        <v>554</v>
      </c>
      <c r="C42" s="464"/>
      <c r="E42" s="495">
        <v>3.8994570343371454E-3</v>
      </c>
      <c r="I42" s="464" t="s">
        <v>230</v>
      </c>
      <c r="J42" s="464">
        <f t="shared" si="1"/>
        <v>32</v>
      </c>
    </row>
    <row r="43" spans="1:10" x14ac:dyDescent="0.3">
      <c r="A43" s="464">
        <f t="shared" si="0"/>
        <v>33</v>
      </c>
      <c r="C43" s="464"/>
      <c r="E43" s="497"/>
      <c r="I43" s="464"/>
      <c r="J43" s="464">
        <f t="shared" si="1"/>
        <v>33</v>
      </c>
    </row>
    <row r="44" spans="1:10" ht="18.600000000000001" thickBot="1" x14ac:dyDescent="0.35">
      <c r="A44" s="464">
        <f t="shared" si="0"/>
        <v>34</v>
      </c>
      <c r="B44" s="192" t="s">
        <v>555</v>
      </c>
      <c r="C44" s="464"/>
      <c r="E44" s="496">
        <f>E36*E42</f>
        <v>0</v>
      </c>
      <c r="I44" s="464" t="s">
        <v>556</v>
      </c>
      <c r="J44" s="464">
        <f t="shared" si="1"/>
        <v>34</v>
      </c>
    </row>
    <row r="45" spans="1:10" ht="16.2" thickTop="1" x14ac:dyDescent="0.3">
      <c r="C45" s="464"/>
      <c r="E45" s="497"/>
      <c r="I45" s="464"/>
      <c r="J45" s="464"/>
    </row>
    <row r="46" spans="1:10" x14ac:dyDescent="0.3">
      <c r="A46" s="42" t="s">
        <v>42</v>
      </c>
      <c r="B46" s="12" t="str">
        <f>'Pg6 Rev Stmt AH'!B63</f>
        <v>Items in BOLD have changed due to A&amp;G adjustments as compared to the original TO5 Cycle 4 filing per ER22-527.</v>
      </c>
      <c r="C46" s="464"/>
    </row>
    <row r="47" spans="1:10" ht="18" x14ac:dyDescent="0.3">
      <c r="A47" s="498">
        <v>1</v>
      </c>
      <c r="B47" s="192" t="s">
        <v>557</v>
      </c>
      <c r="C47" s="464"/>
    </row>
    <row r="48" spans="1:10" ht="18" x14ac:dyDescent="0.3">
      <c r="A48" s="498">
        <v>2</v>
      </c>
      <c r="B48" s="192" t="s">
        <v>558</v>
      </c>
      <c r="C48" s="464"/>
    </row>
    <row r="49" spans="1:2" x14ac:dyDescent="0.3">
      <c r="A49" s="466"/>
      <c r="B49" s="192" t="s">
        <v>559</v>
      </c>
    </row>
    <row r="50" spans="1:2" ht="18" x14ac:dyDescent="0.3">
      <c r="A50" s="563">
        <v>3</v>
      </c>
      <c r="B50" s="192" t="s">
        <v>560</v>
      </c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3" orientation="portrait" horizontalDpi="200" verticalDpi="200" r:id="rId1"/>
  <headerFooter scaleWithDoc="0" alignWithMargins="0">
    <oddHeader>&amp;C&amp;"Times New Roman,Bold"&amp;8REVISED</oddHeader>
    <oddFooter>&amp;CPage 7&amp;R&amp;F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2D9E-F26C-49FE-AA6F-0E27D3D6A8C1}">
  <sheetPr>
    <pageSetUpPr fitToPage="1"/>
  </sheetPr>
  <dimension ref="A1:J51"/>
  <sheetViews>
    <sheetView zoomScale="80" zoomScaleNormal="80" workbookViewId="0"/>
  </sheetViews>
  <sheetFormatPr defaultColWidth="8.88671875" defaultRowHeight="15.6" x14ac:dyDescent="0.3"/>
  <cols>
    <col min="1" max="1" width="5.109375" style="464" bestFit="1" customWidth="1"/>
    <col min="2" max="2" width="79.44140625" style="192" customWidth="1"/>
    <col min="3" max="3" width="24" style="465" customWidth="1"/>
    <col min="4" max="4" width="1.5546875" style="192" customWidth="1"/>
    <col min="5" max="5" width="16.88671875" style="192" customWidth="1"/>
    <col min="6" max="6" width="1.5546875" style="192" customWidth="1"/>
    <col min="7" max="7" width="16.88671875" style="192" customWidth="1"/>
    <col min="8" max="8" width="1.5546875" style="192" customWidth="1"/>
    <col min="9" max="9" width="39.109375" style="192" bestFit="1" customWidth="1"/>
    <col min="10" max="10" width="5.109375" style="192" customWidth="1"/>
    <col min="11" max="16384" width="8.88671875" style="192"/>
  </cols>
  <sheetData>
    <row r="1" spans="1:10" x14ac:dyDescent="0.3">
      <c r="A1" s="556" t="s">
        <v>283</v>
      </c>
    </row>
    <row r="2" spans="1:10" x14ac:dyDescent="0.3">
      <c r="H2" s="464"/>
      <c r="I2" s="464"/>
      <c r="J2" s="464"/>
    </row>
    <row r="3" spans="1:10" x14ac:dyDescent="0.3">
      <c r="B3" s="867" t="s">
        <v>217</v>
      </c>
      <c r="C3" s="868"/>
      <c r="D3" s="868"/>
      <c r="E3" s="868"/>
      <c r="F3" s="868"/>
      <c r="G3" s="868"/>
      <c r="H3" s="868"/>
      <c r="I3" s="868"/>
      <c r="J3" s="466"/>
    </row>
    <row r="4" spans="1:10" x14ac:dyDescent="0.3">
      <c r="B4" s="867" t="s">
        <v>518</v>
      </c>
      <c r="C4" s="868"/>
      <c r="D4" s="868"/>
      <c r="E4" s="868"/>
      <c r="F4" s="868"/>
      <c r="G4" s="868"/>
      <c r="H4" s="868"/>
      <c r="I4" s="868"/>
      <c r="J4" s="466"/>
    </row>
    <row r="5" spans="1:10" x14ac:dyDescent="0.3">
      <c r="B5" s="867" t="s">
        <v>519</v>
      </c>
      <c r="C5" s="868"/>
      <c r="D5" s="868"/>
      <c r="E5" s="868"/>
      <c r="F5" s="868"/>
      <c r="G5" s="868"/>
      <c r="H5" s="868"/>
      <c r="I5" s="868"/>
      <c r="J5" s="466"/>
    </row>
    <row r="6" spans="1:10" x14ac:dyDescent="0.3">
      <c r="B6" s="869" t="s">
        <v>294</v>
      </c>
      <c r="C6" s="869"/>
      <c r="D6" s="869"/>
      <c r="E6" s="869"/>
      <c r="F6" s="869"/>
      <c r="G6" s="869"/>
      <c r="H6" s="869"/>
      <c r="I6" s="869"/>
      <c r="J6" s="466"/>
    </row>
    <row r="7" spans="1:10" x14ac:dyDescent="0.3">
      <c r="B7" s="870" t="s">
        <v>3</v>
      </c>
      <c r="C7" s="870"/>
      <c r="D7" s="870"/>
      <c r="E7" s="870"/>
      <c r="F7" s="870"/>
      <c r="G7" s="870"/>
      <c r="H7" s="870"/>
      <c r="I7" s="870"/>
      <c r="J7" s="467"/>
    </row>
    <row r="8" spans="1:10" x14ac:dyDescent="0.3">
      <c r="B8" s="464"/>
      <c r="D8" s="464"/>
      <c r="E8" s="464"/>
      <c r="F8" s="464"/>
      <c r="G8" s="464"/>
      <c r="H8" s="466"/>
      <c r="I8" s="466"/>
      <c r="J8" s="466"/>
    </row>
    <row r="9" spans="1:10" x14ac:dyDescent="0.3">
      <c r="A9" s="464" t="s">
        <v>4</v>
      </c>
      <c r="B9" s="466"/>
      <c r="C9" s="168" t="s">
        <v>295</v>
      </c>
      <c r="D9" s="464"/>
      <c r="E9" s="464" t="s">
        <v>520</v>
      </c>
      <c r="F9" s="464"/>
      <c r="G9" s="464" t="s">
        <v>521</v>
      </c>
      <c r="H9" s="466"/>
      <c r="I9" s="466"/>
      <c r="J9" s="464" t="s">
        <v>4</v>
      </c>
    </row>
    <row r="10" spans="1:10" x14ac:dyDescent="0.3">
      <c r="A10" s="464" t="s">
        <v>8</v>
      </c>
      <c r="B10" s="466"/>
      <c r="C10" s="172" t="s">
        <v>299</v>
      </c>
      <c r="D10" s="466"/>
      <c r="E10" s="468" t="s">
        <v>522</v>
      </c>
      <c r="F10" s="466"/>
      <c r="G10" s="468" t="s">
        <v>300</v>
      </c>
      <c r="H10" s="466"/>
      <c r="I10" s="469" t="s">
        <v>7</v>
      </c>
      <c r="J10" s="464" t="s">
        <v>8</v>
      </c>
    </row>
    <row r="11" spans="1:10" x14ac:dyDescent="0.3">
      <c r="B11" s="464"/>
      <c r="D11" s="464"/>
      <c r="E11" s="464"/>
      <c r="F11" s="464"/>
      <c r="G11" s="464"/>
      <c r="H11" s="464"/>
      <c r="I11" s="464"/>
      <c r="J11" s="464"/>
    </row>
    <row r="12" spans="1:10" ht="18" x14ac:dyDescent="0.3">
      <c r="A12" s="464">
        <v>1</v>
      </c>
      <c r="B12" s="192" t="s">
        <v>523</v>
      </c>
      <c r="C12" s="464" t="s">
        <v>524</v>
      </c>
      <c r="E12" s="470"/>
      <c r="F12" s="471"/>
      <c r="G12" s="472">
        <v>128758.20369230768</v>
      </c>
      <c r="H12" s="471"/>
      <c r="I12" s="450" t="s">
        <v>525</v>
      </c>
      <c r="J12" s="464">
        <f>A12</f>
        <v>1</v>
      </c>
    </row>
    <row r="13" spans="1:10" x14ac:dyDescent="0.3">
      <c r="A13" s="464">
        <f>+A12+1</f>
        <v>2</v>
      </c>
      <c r="C13" s="464"/>
      <c r="E13" s="473"/>
      <c r="F13" s="474"/>
      <c r="G13" s="474"/>
      <c r="H13" s="474"/>
      <c r="I13" s="450"/>
      <c r="J13" s="464">
        <f>+J12+1</f>
        <v>2</v>
      </c>
    </row>
    <row r="14" spans="1:10" x14ac:dyDescent="0.3">
      <c r="A14" s="464">
        <f t="shared" ref="A14:A45" si="0">+A13+1</f>
        <v>3</v>
      </c>
      <c r="B14" s="192" t="s">
        <v>526</v>
      </c>
      <c r="C14" s="464"/>
      <c r="E14" s="475"/>
      <c r="F14" s="476"/>
      <c r="G14" s="477">
        <v>0.40360702730459591</v>
      </c>
      <c r="H14" s="471"/>
      <c r="I14" s="450" t="s">
        <v>527</v>
      </c>
      <c r="J14" s="464">
        <f t="shared" ref="J14:J45" si="1">+J13+1</f>
        <v>3</v>
      </c>
    </row>
    <row r="15" spans="1:10" x14ac:dyDescent="0.3">
      <c r="A15" s="464">
        <f t="shared" si="0"/>
        <v>4</v>
      </c>
      <c r="C15" s="464"/>
      <c r="E15" s="473"/>
      <c r="F15" s="474"/>
      <c r="G15" s="473"/>
      <c r="H15" s="474"/>
      <c r="I15" s="450"/>
      <c r="J15" s="464">
        <f t="shared" si="1"/>
        <v>4</v>
      </c>
    </row>
    <row r="16" spans="1:10" ht="16.2" thickBot="1" x14ac:dyDescent="0.35">
      <c r="A16" s="464">
        <f t="shared" si="0"/>
        <v>5</v>
      </c>
      <c r="B16" s="192" t="s">
        <v>528</v>
      </c>
      <c r="C16" s="464"/>
      <c r="E16" s="478"/>
      <c r="F16" s="474"/>
      <c r="G16" s="479">
        <f>G12*G14</f>
        <v>51967.715833331946</v>
      </c>
      <c r="H16" s="471"/>
      <c r="I16" s="450" t="s">
        <v>529</v>
      </c>
      <c r="J16" s="464">
        <f t="shared" si="1"/>
        <v>5</v>
      </c>
    </row>
    <row r="17" spans="1:10" ht="16.2" thickTop="1" x14ac:dyDescent="0.3">
      <c r="A17" s="464">
        <f t="shared" si="0"/>
        <v>6</v>
      </c>
      <c r="C17" s="464"/>
      <c r="E17" s="480"/>
      <c r="F17" s="464"/>
      <c r="G17" s="464"/>
      <c r="H17" s="464"/>
      <c r="I17" s="450"/>
      <c r="J17" s="464">
        <f t="shared" si="1"/>
        <v>6</v>
      </c>
    </row>
    <row r="18" spans="1:10" ht="18" x14ac:dyDescent="0.3">
      <c r="A18" s="464">
        <f t="shared" si="0"/>
        <v>7</v>
      </c>
      <c r="B18" s="192" t="s">
        <v>530</v>
      </c>
      <c r="C18" s="464" t="s">
        <v>531</v>
      </c>
      <c r="D18" s="481"/>
      <c r="E18" s="470"/>
      <c r="F18" s="474"/>
      <c r="G18" s="482">
        <v>93697.406000000017</v>
      </c>
      <c r="H18" s="471"/>
      <c r="I18" s="450" t="s">
        <v>532</v>
      </c>
      <c r="J18" s="464">
        <f t="shared" si="1"/>
        <v>7</v>
      </c>
    </row>
    <row r="19" spans="1:10" x14ac:dyDescent="0.3">
      <c r="A19" s="464">
        <f t="shared" si="0"/>
        <v>8</v>
      </c>
      <c r="C19" s="464"/>
      <c r="E19" s="483"/>
      <c r="F19" s="474"/>
      <c r="G19" s="474"/>
      <c r="H19" s="474"/>
      <c r="I19" s="450"/>
      <c r="J19" s="464">
        <f t="shared" si="1"/>
        <v>8</v>
      </c>
    </row>
    <row r="20" spans="1:10" ht="16.2" thickBot="1" x14ac:dyDescent="0.35">
      <c r="A20" s="464">
        <f t="shared" si="0"/>
        <v>9</v>
      </c>
      <c r="B20" s="192" t="s">
        <v>533</v>
      </c>
      <c r="E20" s="470"/>
      <c r="F20" s="474"/>
      <c r="G20" s="479">
        <f>G14*G18</f>
        <v>37816.931501811814</v>
      </c>
      <c r="H20" s="471"/>
      <c r="I20" s="450" t="s">
        <v>534</v>
      </c>
      <c r="J20" s="464">
        <f t="shared" si="1"/>
        <v>9</v>
      </c>
    </row>
    <row r="21" spans="1:10" ht="16.2" thickTop="1" x14ac:dyDescent="0.3">
      <c r="A21" s="464">
        <f t="shared" si="0"/>
        <v>10</v>
      </c>
      <c r="E21" s="484"/>
      <c r="F21" s="474"/>
      <c r="G21" s="474"/>
      <c r="H21" s="474"/>
      <c r="I21" s="450"/>
      <c r="J21" s="464">
        <f t="shared" si="1"/>
        <v>10</v>
      </c>
    </row>
    <row r="22" spans="1:10" x14ac:dyDescent="0.3">
      <c r="A22" s="464">
        <f t="shared" si="0"/>
        <v>11</v>
      </c>
      <c r="B22" s="485" t="s">
        <v>535</v>
      </c>
      <c r="E22" s="484"/>
      <c r="F22" s="474"/>
      <c r="G22" s="474"/>
      <c r="H22" s="474"/>
      <c r="I22" s="450"/>
      <c r="J22" s="464">
        <f t="shared" si="1"/>
        <v>11</v>
      </c>
    </row>
    <row r="23" spans="1:10" x14ac:dyDescent="0.3">
      <c r="A23" s="464">
        <f t="shared" si="0"/>
        <v>12</v>
      </c>
      <c r="B23" s="192" t="s">
        <v>536</v>
      </c>
      <c r="E23" s="486">
        <f>'Pg6 Rev Stmt AH'!E19</f>
        <v>95535.541019356009</v>
      </c>
      <c r="F23" s="474"/>
      <c r="G23" s="487"/>
      <c r="H23" s="474"/>
      <c r="I23" s="450" t="s">
        <v>284</v>
      </c>
      <c r="J23" s="464">
        <f t="shared" si="1"/>
        <v>12</v>
      </c>
    </row>
    <row r="24" spans="1:10" x14ac:dyDescent="0.3">
      <c r="A24" s="464">
        <f t="shared" si="0"/>
        <v>13</v>
      </c>
      <c r="B24" s="192" t="s">
        <v>537</v>
      </c>
      <c r="E24" s="145">
        <v>81368.446559515098</v>
      </c>
      <c r="F24" s="42"/>
      <c r="G24" s="488"/>
      <c r="H24" s="474"/>
      <c r="I24" s="450" t="s">
        <v>285</v>
      </c>
      <c r="J24" s="464">
        <f t="shared" si="1"/>
        <v>13</v>
      </c>
    </row>
    <row r="25" spans="1:10" x14ac:dyDescent="0.3">
      <c r="A25" s="464">
        <f t="shared" si="0"/>
        <v>14</v>
      </c>
      <c r="B25" s="192" t="s">
        <v>539</v>
      </c>
      <c r="E25" s="489">
        <v>0</v>
      </c>
      <c r="F25" s="474"/>
      <c r="G25" s="488"/>
      <c r="H25" s="474"/>
      <c r="I25" s="450" t="s">
        <v>286</v>
      </c>
      <c r="J25" s="464">
        <f t="shared" si="1"/>
        <v>14</v>
      </c>
    </row>
    <row r="26" spans="1:10" x14ac:dyDescent="0.3">
      <c r="A26" s="464">
        <f t="shared" si="0"/>
        <v>15</v>
      </c>
      <c r="B26" s="192" t="s">
        <v>540</v>
      </c>
      <c r="E26" s="729">
        <f>SUM(E23:E25)</f>
        <v>176903.98757887111</v>
      </c>
      <c r="F26" s="42"/>
      <c r="G26" s="481"/>
      <c r="H26" s="450"/>
      <c r="I26" s="450" t="s">
        <v>541</v>
      </c>
      <c r="J26" s="464">
        <f t="shared" si="1"/>
        <v>15</v>
      </c>
    </row>
    <row r="27" spans="1:10" x14ac:dyDescent="0.3">
      <c r="A27" s="464">
        <f t="shared" si="0"/>
        <v>16</v>
      </c>
      <c r="F27" s="464"/>
      <c r="H27" s="464"/>
      <c r="I27" s="450"/>
      <c r="J27" s="464">
        <f t="shared" si="1"/>
        <v>16</v>
      </c>
    </row>
    <row r="28" spans="1:10" x14ac:dyDescent="0.3">
      <c r="A28" s="464">
        <f t="shared" si="0"/>
        <v>17</v>
      </c>
      <c r="B28" s="192" t="s">
        <v>542</v>
      </c>
      <c r="E28" s="490">
        <f>1/8</f>
        <v>0.125</v>
      </c>
      <c r="F28" s="464"/>
      <c r="G28" s="491"/>
      <c r="H28" s="464"/>
      <c r="I28" s="450" t="s">
        <v>543</v>
      </c>
      <c r="J28" s="464">
        <f t="shared" si="1"/>
        <v>17</v>
      </c>
    </row>
    <row r="29" spans="1:10" x14ac:dyDescent="0.3">
      <c r="A29" s="464">
        <f t="shared" si="0"/>
        <v>18</v>
      </c>
      <c r="E29" s="473" t="s">
        <v>26</v>
      </c>
      <c r="F29" s="474"/>
      <c r="G29" s="473"/>
      <c r="H29" s="474"/>
      <c r="I29" s="450"/>
      <c r="J29" s="464">
        <f t="shared" si="1"/>
        <v>18</v>
      </c>
    </row>
    <row r="30" spans="1:10" ht="16.2" thickBot="1" x14ac:dyDescent="0.35">
      <c r="A30" s="464">
        <f t="shared" si="0"/>
        <v>19</v>
      </c>
      <c r="B30" s="192" t="s">
        <v>544</v>
      </c>
      <c r="E30" s="479">
        <f>E26*E28</f>
        <v>22112.998447358888</v>
      </c>
      <c r="F30" s="42"/>
      <c r="G30" s="478"/>
      <c r="H30" s="474"/>
      <c r="I30" s="464" t="s">
        <v>545</v>
      </c>
      <c r="J30" s="464">
        <f t="shared" si="1"/>
        <v>19</v>
      </c>
    </row>
    <row r="31" spans="1:10" ht="16.2" thickTop="1" x14ac:dyDescent="0.3">
      <c r="A31" s="464">
        <f t="shared" si="0"/>
        <v>20</v>
      </c>
      <c r="E31" s="478"/>
      <c r="F31" s="471"/>
      <c r="G31" s="478"/>
      <c r="H31" s="474"/>
      <c r="I31" s="464"/>
      <c r="J31" s="464">
        <f t="shared" si="1"/>
        <v>20</v>
      </c>
    </row>
    <row r="32" spans="1:10" x14ac:dyDescent="0.3">
      <c r="A32" s="464">
        <f t="shared" si="0"/>
        <v>21</v>
      </c>
      <c r="B32" s="485" t="s">
        <v>546</v>
      </c>
      <c r="E32" s="484"/>
      <c r="F32" s="474"/>
      <c r="G32" s="474"/>
      <c r="H32" s="474"/>
      <c r="I32" s="450"/>
      <c r="J32" s="464">
        <f t="shared" si="1"/>
        <v>21</v>
      </c>
    </row>
    <row r="33" spans="1:10" x14ac:dyDescent="0.3">
      <c r="A33" s="464">
        <f t="shared" si="0"/>
        <v>22</v>
      </c>
      <c r="B33" s="192" t="s">
        <v>539</v>
      </c>
      <c r="E33" s="436">
        <f>E25</f>
        <v>0</v>
      </c>
      <c r="F33" s="474"/>
      <c r="G33" s="487"/>
      <c r="H33" s="474"/>
      <c r="I33" s="450" t="s">
        <v>547</v>
      </c>
      <c r="J33" s="464">
        <f t="shared" si="1"/>
        <v>22</v>
      </c>
    </row>
    <row r="34" spans="1:10" x14ac:dyDescent="0.3">
      <c r="A34" s="464">
        <f t="shared" si="0"/>
        <v>23</v>
      </c>
      <c r="E34" s="492"/>
      <c r="F34" s="474"/>
      <c r="G34" s="487"/>
      <c r="H34" s="474"/>
      <c r="I34" s="450"/>
      <c r="J34" s="464">
        <f t="shared" si="1"/>
        <v>23</v>
      </c>
    </row>
    <row r="35" spans="1:10" x14ac:dyDescent="0.3">
      <c r="A35" s="464">
        <f t="shared" si="0"/>
        <v>24</v>
      </c>
      <c r="B35" s="192" t="s">
        <v>542</v>
      </c>
      <c r="E35" s="493">
        <f>E28</f>
        <v>0.125</v>
      </c>
      <c r="F35" s="464"/>
      <c r="G35" s="491"/>
      <c r="H35" s="464"/>
      <c r="I35" s="450" t="s">
        <v>548</v>
      </c>
      <c r="J35" s="464">
        <f t="shared" si="1"/>
        <v>24</v>
      </c>
    </row>
    <row r="36" spans="1:10" x14ac:dyDescent="0.3">
      <c r="A36" s="464">
        <f t="shared" si="0"/>
        <v>25</v>
      </c>
      <c r="E36" s="491"/>
      <c r="F36" s="464"/>
      <c r="G36" s="491"/>
      <c r="H36" s="464"/>
      <c r="I36" s="450"/>
      <c r="J36" s="464">
        <f t="shared" si="1"/>
        <v>25</v>
      </c>
    </row>
    <row r="37" spans="1:10" x14ac:dyDescent="0.3">
      <c r="A37" s="464">
        <f t="shared" si="0"/>
        <v>26</v>
      </c>
      <c r="B37" s="192" t="s">
        <v>549</v>
      </c>
      <c r="E37" s="193">
        <f>E33*E35</f>
        <v>0</v>
      </c>
      <c r="F37" s="464"/>
      <c r="G37" s="491"/>
      <c r="H37" s="464"/>
      <c r="I37" s="464" t="s">
        <v>550</v>
      </c>
      <c r="J37" s="464">
        <f t="shared" si="1"/>
        <v>26</v>
      </c>
    </row>
    <row r="38" spans="1:10" x14ac:dyDescent="0.3">
      <c r="A38" s="464">
        <f t="shared" si="0"/>
        <v>27</v>
      </c>
      <c r="J38" s="464">
        <f t="shared" si="1"/>
        <v>27</v>
      </c>
    </row>
    <row r="39" spans="1:10" ht="18" x14ac:dyDescent="0.3">
      <c r="A39" s="464">
        <f t="shared" si="0"/>
        <v>28</v>
      </c>
      <c r="B39" s="494" t="s">
        <v>551</v>
      </c>
      <c r="C39" s="464"/>
      <c r="E39" s="495">
        <v>9.6007908353307039E-2</v>
      </c>
      <c r="F39" s="467"/>
      <c r="I39" s="464" t="s">
        <v>287</v>
      </c>
      <c r="J39" s="464">
        <f t="shared" si="1"/>
        <v>28</v>
      </c>
    </row>
    <row r="40" spans="1:10" x14ac:dyDescent="0.3">
      <c r="A40" s="464">
        <f t="shared" si="0"/>
        <v>29</v>
      </c>
      <c r="C40" s="464"/>
      <c r="J40" s="464">
        <f t="shared" si="1"/>
        <v>29</v>
      </c>
    </row>
    <row r="41" spans="1:10" ht="18.600000000000001" thickBot="1" x14ac:dyDescent="0.35">
      <c r="A41" s="464">
        <f t="shared" si="0"/>
        <v>30</v>
      </c>
      <c r="B41" s="192" t="s">
        <v>552</v>
      </c>
      <c r="C41" s="464"/>
      <c r="E41" s="496">
        <f>E37*E39</f>
        <v>0</v>
      </c>
      <c r="I41" s="464" t="s">
        <v>553</v>
      </c>
      <c r="J41" s="464">
        <f t="shared" si="1"/>
        <v>30</v>
      </c>
    </row>
    <row r="42" spans="1:10" ht="16.2" thickTop="1" x14ac:dyDescent="0.3">
      <c r="A42" s="464">
        <f t="shared" si="0"/>
        <v>31</v>
      </c>
      <c r="C42" s="464"/>
      <c r="E42" s="497"/>
      <c r="I42" s="464"/>
      <c r="J42" s="464">
        <f t="shared" si="1"/>
        <v>31</v>
      </c>
    </row>
    <row r="43" spans="1:10" ht="18" x14ac:dyDescent="0.3">
      <c r="A43" s="464">
        <f t="shared" si="0"/>
        <v>32</v>
      </c>
      <c r="B43" s="494" t="s">
        <v>554</v>
      </c>
      <c r="C43" s="464"/>
      <c r="E43" s="495">
        <v>3.8994570343371454E-3</v>
      </c>
      <c r="I43" s="464" t="s">
        <v>230</v>
      </c>
      <c r="J43" s="464">
        <f t="shared" si="1"/>
        <v>32</v>
      </c>
    </row>
    <row r="44" spans="1:10" x14ac:dyDescent="0.3">
      <c r="A44" s="464">
        <f t="shared" si="0"/>
        <v>33</v>
      </c>
      <c r="C44" s="464"/>
      <c r="E44" s="497"/>
      <c r="I44" s="464"/>
      <c r="J44" s="464">
        <f t="shared" si="1"/>
        <v>33</v>
      </c>
    </row>
    <row r="45" spans="1:10" ht="18.600000000000001" thickBot="1" x14ac:dyDescent="0.35">
      <c r="A45" s="464">
        <f t="shared" si="0"/>
        <v>34</v>
      </c>
      <c r="B45" s="192" t="s">
        <v>555</v>
      </c>
      <c r="C45" s="464"/>
      <c r="E45" s="496">
        <f>E37*E43</f>
        <v>0</v>
      </c>
      <c r="I45" s="464" t="s">
        <v>556</v>
      </c>
      <c r="J45" s="464">
        <f t="shared" si="1"/>
        <v>34</v>
      </c>
    </row>
    <row r="46" spans="1:10" ht="16.2" thickTop="1" x14ac:dyDescent="0.3">
      <c r="C46" s="464"/>
      <c r="E46" s="497"/>
      <c r="I46" s="464"/>
      <c r="J46" s="464"/>
    </row>
    <row r="47" spans="1:10" x14ac:dyDescent="0.3">
      <c r="C47" s="464"/>
      <c r="E47" s="497"/>
      <c r="I47" s="464"/>
      <c r="J47" s="464"/>
    </row>
    <row r="48" spans="1:10" ht="18" x14ac:dyDescent="0.3">
      <c r="A48" s="498">
        <v>1</v>
      </c>
      <c r="B48" s="192" t="s">
        <v>557</v>
      </c>
      <c r="C48" s="464"/>
    </row>
    <row r="49" spans="1:3" ht="18" x14ac:dyDescent="0.3">
      <c r="A49" s="498">
        <v>2</v>
      </c>
      <c r="B49" s="192" t="s">
        <v>558</v>
      </c>
      <c r="C49" s="464"/>
    </row>
    <row r="50" spans="1:3" x14ac:dyDescent="0.3">
      <c r="A50" s="466"/>
      <c r="B50" s="192" t="s">
        <v>559</v>
      </c>
    </row>
    <row r="51" spans="1:3" ht="18" x14ac:dyDescent="0.3">
      <c r="A51" s="563">
        <v>3</v>
      </c>
      <c r="B51" s="192" t="s">
        <v>560</v>
      </c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Roman,Bold"&amp;8AS FILED</oddHeader>
    <oddFooter>&amp;CPage 7.1&amp;R&amp;F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EAEB2-658F-4003-ABC1-ED5A30B63988}">
  <sheetPr>
    <pageSetUpPr fitToPage="1"/>
  </sheetPr>
  <dimension ref="A1:H26"/>
  <sheetViews>
    <sheetView zoomScale="80" zoomScaleNormal="80" workbookViewId="0"/>
  </sheetViews>
  <sheetFormatPr defaultColWidth="8.88671875" defaultRowHeight="15.6" x14ac:dyDescent="0.3"/>
  <cols>
    <col min="1" max="1" width="5.109375" style="168" bestFit="1" customWidth="1"/>
    <col min="2" max="2" width="74.109375" style="169" customWidth="1"/>
    <col min="3" max="3" width="24" style="169" customWidth="1"/>
    <col min="4" max="4" width="1.5546875" style="169" customWidth="1"/>
    <col min="5" max="5" width="18.109375" style="169" customWidth="1"/>
    <col min="6" max="6" width="1.5546875" style="169" customWidth="1"/>
    <col min="7" max="7" width="39.109375" style="169" customWidth="1"/>
    <col min="8" max="8" width="5.109375" style="169" customWidth="1"/>
    <col min="9" max="9" width="8.88671875" style="169"/>
    <col min="10" max="10" width="20.44140625" style="169" bestFit="1" customWidth="1"/>
    <col min="11" max="16384" width="8.88671875" style="169"/>
  </cols>
  <sheetData>
    <row r="1" spans="1:8" x14ac:dyDescent="0.3">
      <c r="E1" s="186"/>
      <c r="F1" s="186"/>
      <c r="G1" s="168"/>
      <c r="H1" s="168"/>
    </row>
    <row r="2" spans="1:8" x14ac:dyDescent="0.3">
      <c r="B2" s="861" t="s">
        <v>217</v>
      </c>
      <c r="C2" s="861"/>
      <c r="D2" s="861"/>
      <c r="E2" s="861"/>
      <c r="F2" s="861"/>
      <c r="G2" s="861"/>
      <c r="H2" s="168"/>
    </row>
    <row r="3" spans="1:8" x14ac:dyDescent="0.3">
      <c r="B3" s="861" t="s">
        <v>561</v>
      </c>
      <c r="C3" s="861"/>
      <c r="D3" s="861"/>
      <c r="E3" s="861"/>
      <c r="F3" s="861"/>
      <c r="G3" s="861"/>
      <c r="H3" s="168"/>
    </row>
    <row r="4" spans="1:8" x14ac:dyDescent="0.3">
      <c r="B4" s="861" t="s">
        <v>562</v>
      </c>
      <c r="C4" s="861"/>
      <c r="D4" s="861"/>
      <c r="E4" s="861"/>
      <c r="F4" s="861"/>
      <c r="G4" s="861"/>
      <c r="H4" s="168"/>
    </row>
    <row r="5" spans="1:8" x14ac:dyDescent="0.3">
      <c r="B5" s="862" t="s">
        <v>294</v>
      </c>
      <c r="C5" s="862"/>
      <c r="D5" s="862"/>
      <c r="E5" s="862"/>
      <c r="F5" s="862"/>
      <c r="G5" s="862"/>
      <c r="H5" s="168"/>
    </row>
    <row r="6" spans="1:8" x14ac:dyDescent="0.3">
      <c r="B6" s="863" t="s">
        <v>3</v>
      </c>
      <c r="C6" s="864"/>
      <c r="D6" s="864"/>
      <c r="E6" s="864"/>
      <c r="F6" s="864"/>
      <c r="G6" s="864"/>
      <c r="H6" s="168"/>
    </row>
    <row r="7" spans="1:8" x14ac:dyDescent="0.3">
      <c r="B7" s="168"/>
      <c r="C7" s="168"/>
      <c r="D7" s="168"/>
      <c r="E7" s="168"/>
      <c r="F7" s="168"/>
      <c r="G7" s="168"/>
      <c r="H7" s="168"/>
    </row>
    <row r="8" spans="1:8" x14ac:dyDescent="0.3">
      <c r="A8" s="168" t="s">
        <v>4</v>
      </c>
      <c r="C8" s="168" t="s">
        <v>295</v>
      </c>
      <c r="E8" s="168"/>
      <c r="F8" s="168"/>
      <c r="G8" s="168"/>
      <c r="H8" s="168" t="s">
        <v>4</v>
      </c>
    </row>
    <row r="9" spans="1:8" x14ac:dyDescent="0.3">
      <c r="A9" s="168" t="s">
        <v>8</v>
      </c>
      <c r="B9" s="169" t="s">
        <v>26</v>
      </c>
      <c r="C9" s="172" t="s">
        <v>299</v>
      </c>
      <c r="E9" s="172" t="s">
        <v>6</v>
      </c>
      <c r="F9" s="540"/>
      <c r="G9" s="172" t="s">
        <v>7</v>
      </c>
      <c r="H9" s="168" t="s">
        <v>8</v>
      </c>
    </row>
    <row r="10" spans="1:8" x14ac:dyDescent="0.3">
      <c r="E10" s="186"/>
      <c r="F10" s="186"/>
      <c r="G10" s="168"/>
      <c r="H10" s="168"/>
    </row>
    <row r="11" spans="1:8" ht="18" x14ac:dyDescent="0.3">
      <c r="A11" s="168">
        <f>+A10+1</f>
        <v>1</v>
      </c>
      <c r="B11" s="169" t="s">
        <v>563</v>
      </c>
      <c r="C11" s="168" t="s">
        <v>564</v>
      </c>
      <c r="E11" s="527">
        <v>-264.76299999999998</v>
      </c>
      <c r="F11" s="540"/>
      <c r="G11" s="540"/>
      <c r="H11" s="168">
        <f>A11</f>
        <v>1</v>
      </c>
    </row>
    <row r="12" spans="1:8" x14ac:dyDescent="0.3">
      <c r="A12" s="168">
        <f>+A11+1</f>
        <v>2</v>
      </c>
      <c r="E12" s="186"/>
      <c r="F12" s="186"/>
      <c r="G12" s="540"/>
      <c r="H12" s="168">
        <f>+H11+1</f>
        <v>2</v>
      </c>
    </row>
    <row r="13" spans="1:8" x14ac:dyDescent="0.3">
      <c r="A13" s="168">
        <f>+A12+1</f>
        <v>3</v>
      </c>
      <c r="B13" s="169" t="s">
        <v>565</v>
      </c>
      <c r="E13" s="186"/>
      <c r="F13" s="540"/>
      <c r="G13" s="540"/>
      <c r="H13" s="168">
        <f>+H12+1</f>
        <v>3</v>
      </c>
    </row>
    <row r="14" spans="1:8" x14ac:dyDescent="0.3">
      <c r="A14" s="168">
        <f t="shared" ref="A14:A19" si="0">+A13+1</f>
        <v>4</v>
      </c>
      <c r="B14" s="175" t="s">
        <v>566</v>
      </c>
      <c r="C14" s="168"/>
      <c r="E14" s="541">
        <f>'Pg8.2 Rev AR-1'!G18</f>
        <v>1902.8127044285418</v>
      </c>
      <c r="F14" s="540"/>
      <c r="G14" s="168" t="s">
        <v>567</v>
      </c>
      <c r="H14" s="168">
        <f t="shared" ref="H14:H19" si="1">+H13+1</f>
        <v>4</v>
      </c>
    </row>
    <row r="15" spans="1:8" x14ac:dyDescent="0.3">
      <c r="A15" s="168">
        <f t="shared" si="0"/>
        <v>5</v>
      </c>
      <c r="B15" s="175" t="s">
        <v>568</v>
      </c>
      <c r="C15" s="168"/>
      <c r="E15" s="634">
        <f>'Pg8.2 Rev AR-1'!G25</f>
        <v>-4937.5161635034883</v>
      </c>
      <c r="F15" s="42" t="s">
        <v>42</v>
      </c>
      <c r="G15" s="168" t="s">
        <v>569</v>
      </c>
      <c r="H15" s="168">
        <f t="shared" si="1"/>
        <v>5</v>
      </c>
    </row>
    <row r="16" spans="1:8" x14ac:dyDescent="0.3">
      <c r="A16" s="168">
        <f t="shared" si="0"/>
        <v>6</v>
      </c>
      <c r="B16" s="175" t="s">
        <v>570</v>
      </c>
      <c r="C16" s="168"/>
      <c r="E16" s="542">
        <f>'Pg8.2 Rev AR-1'!G33</f>
        <v>0</v>
      </c>
      <c r="F16" s="540"/>
      <c r="G16" s="168" t="s">
        <v>571</v>
      </c>
      <c r="H16" s="168">
        <f t="shared" si="1"/>
        <v>6</v>
      </c>
    </row>
    <row r="17" spans="1:8" x14ac:dyDescent="0.3">
      <c r="A17" s="168">
        <f t="shared" si="0"/>
        <v>7</v>
      </c>
      <c r="B17" s="175" t="s">
        <v>572</v>
      </c>
      <c r="C17" s="168"/>
      <c r="E17" s="635">
        <f>SUM(E14:E16)</f>
        <v>-3034.7034590749463</v>
      </c>
      <c r="F17" s="42" t="s">
        <v>42</v>
      </c>
      <c r="G17" s="168" t="s">
        <v>573</v>
      </c>
      <c r="H17" s="168">
        <f t="shared" si="1"/>
        <v>7</v>
      </c>
    </row>
    <row r="18" spans="1:8" x14ac:dyDescent="0.3">
      <c r="A18" s="168">
        <f t="shared" si="0"/>
        <v>8</v>
      </c>
      <c r="E18" s="181"/>
      <c r="F18" s="181"/>
      <c r="G18" s="538"/>
      <c r="H18" s="168">
        <f t="shared" si="1"/>
        <v>8</v>
      </c>
    </row>
    <row r="19" spans="1:8" ht="16.2" thickBot="1" x14ac:dyDescent="0.35">
      <c r="A19" s="168">
        <f t="shared" si="0"/>
        <v>9</v>
      </c>
      <c r="B19" s="169" t="s">
        <v>574</v>
      </c>
      <c r="E19" s="631">
        <f>E11+E17</f>
        <v>-3299.4664590749462</v>
      </c>
      <c r="F19" s="42" t="s">
        <v>42</v>
      </c>
      <c r="G19" s="168" t="s">
        <v>575</v>
      </c>
      <c r="H19" s="168">
        <f t="shared" si="1"/>
        <v>9</v>
      </c>
    </row>
    <row r="20" spans="1:8" ht="16.2" thickTop="1" x14ac:dyDescent="0.3">
      <c r="E20" s="633"/>
      <c r="F20" s="42"/>
      <c r="G20" s="168"/>
      <c r="H20" s="168"/>
    </row>
    <row r="21" spans="1:8" x14ac:dyDescent="0.3">
      <c r="E21" s="182"/>
      <c r="F21" s="182"/>
      <c r="G21" s="168"/>
      <c r="H21" s="168"/>
    </row>
    <row r="22" spans="1:8" x14ac:dyDescent="0.3">
      <c r="A22" s="42" t="s">
        <v>42</v>
      </c>
      <c r="B22" s="12" t="str">
        <f>'Pg5 Rev Stmt AF'!B26</f>
        <v>Items in BOLD have changed due to the removal of CIAC related ADIT per TO5 Cycle 4 Letter Order determination in ER22-527 as compared to the original TO5 Cycle 4 filing.</v>
      </c>
      <c r="H22" s="168"/>
    </row>
    <row r="23" spans="1:8" ht="18" x14ac:dyDescent="0.3">
      <c r="A23" s="536">
        <v>1</v>
      </c>
      <c r="B23" s="169" t="s">
        <v>576</v>
      </c>
      <c r="H23" s="168"/>
    </row>
    <row r="24" spans="1:8" ht="18" x14ac:dyDescent="0.3">
      <c r="A24" s="187"/>
      <c r="B24" s="175"/>
      <c r="H24" s="168"/>
    </row>
    <row r="25" spans="1:8" x14ac:dyDescent="0.3">
      <c r="B25" s="175"/>
      <c r="H25" s="168"/>
    </row>
    <row r="26" spans="1:8" ht="16.2" x14ac:dyDescent="0.3">
      <c r="B26" s="543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45" footer="0.25"/>
  <pageSetup scale="60" orientation="portrait" r:id="rId1"/>
  <headerFooter scaleWithDoc="0" alignWithMargins="0">
    <oddHeader>&amp;C&amp;"Times New Roman,Bold"&amp;8REVISED</oddHeader>
    <oddFooter>&amp;C&amp;12Page 8&amp;R&amp;F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4F2E2-17F1-492F-8804-97235C4ACCDF}">
  <sheetPr>
    <pageSetUpPr fitToPage="1"/>
  </sheetPr>
  <dimension ref="A1:H25"/>
  <sheetViews>
    <sheetView zoomScale="80" zoomScaleNormal="80" workbookViewId="0"/>
  </sheetViews>
  <sheetFormatPr defaultColWidth="8.88671875" defaultRowHeight="15.6" x14ac:dyDescent="0.3"/>
  <cols>
    <col min="1" max="1" width="5.109375" style="464" bestFit="1" customWidth="1"/>
    <col min="2" max="2" width="68.88671875" style="192" customWidth="1"/>
    <col min="3" max="3" width="24" style="192" customWidth="1"/>
    <col min="4" max="4" width="1.5546875" style="192" customWidth="1"/>
    <col min="5" max="5" width="16.88671875" style="192" customWidth="1"/>
    <col min="6" max="6" width="1.5546875" style="192" customWidth="1"/>
    <col min="7" max="7" width="34.5546875" style="192" customWidth="1"/>
    <col min="8" max="8" width="5.109375" style="192" customWidth="1"/>
    <col min="9" max="9" width="8.88671875" style="192"/>
    <col min="10" max="10" width="20.44140625" style="192" bestFit="1" customWidth="1"/>
    <col min="11" max="16384" width="8.88671875" style="192"/>
  </cols>
  <sheetData>
    <row r="1" spans="1:8" x14ac:dyDescent="0.3">
      <c r="A1" s="556" t="s">
        <v>283</v>
      </c>
    </row>
    <row r="2" spans="1:8" x14ac:dyDescent="0.3">
      <c r="E2" s="473"/>
      <c r="F2" s="473"/>
      <c r="G2" s="464"/>
      <c r="H2" s="464"/>
    </row>
    <row r="3" spans="1:8" x14ac:dyDescent="0.3">
      <c r="B3" s="867" t="s">
        <v>217</v>
      </c>
      <c r="C3" s="867"/>
      <c r="D3" s="867"/>
      <c r="E3" s="867"/>
      <c r="F3" s="867"/>
      <c r="G3" s="867"/>
      <c r="H3" s="464"/>
    </row>
    <row r="4" spans="1:8" x14ac:dyDescent="0.3">
      <c r="B4" s="867" t="s">
        <v>561</v>
      </c>
      <c r="C4" s="867"/>
      <c r="D4" s="867"/>
      <c r="E4" s="867"/>
      <c r="F4" s="867"/>
      <c r="G4" s="867"/>
      <c r="H4" s="464"/>
    </row>
    <row r="5" spans="1:8" x14ac:dyDescent="0.3">
      <c r="B5" s="867" t="s">
        <v>562</v>
      </c>
      <c r="C5" s="867"/>
      <c r="D5" s="867"/>
      <c r="E5" s="867"/>
      <c r="F5" s="867"/>
      <c r="G5" s="867"/>
      <c r="H5" s="464"/>
    </row>
    <row r="6" spans="1:8" x14ac:dyDescent="0.3">
      <c r="B6" s="869" t="s">
        <v>294</v>
      </c>
      <c r="C6" s="869"/>
      <c r="D6" s="869"/>
      <c r="E6" s="869"/>
      <c r="F6" s="869"/>
      <c r="G6" s="869"/>
      <c r="H6" s="464"/>
    </row>
    <row r="7" spans="1:8" x14ac:dyDescent="0.3">
      <c r="B7" s="870" t="s">
        <v>3</v>
      </c>
      <c r="C7" s="871"/>
      <c r="D7" s="871"/>
      <c r="E7" s="871"/>
      <c r="F7" s="871"/>
      <c r="G7" s="871"/>
      <c r="H7" s="464"/>
    </row>
    <row r="8" spans="1:8" x14ac:dyDescent="0.3">
      <c r="B8" s="464"/>
      <c r="C8" s="464"/>
      <c r="D8" s="464"/>
      <c r="E8" s="464"/>
      <c r="F8" s="464"/>
      <c r="G8" s="464"/>
      <c r="H8" s="464"/>
    </row>
    <row r="9" spans="1:8" x14ac:dyDescent="0.3">
      <c r="A9" s="464" t="s">
        <v>4</v>
      </c>
      <c r="C9" s="168" t="s">
        <v>295</v>
      </c>
      <c r="E9" s="464"/>
      <c r="F9" s="464"/>
      <c r="G9" s="464"/>
      <c r="H9" s="464" t="s">
        <v>4</v>
      </c>
    </row>
    <row r="10" spans="1:8" x14ac:dyDescent="0.3">
      <c r="A10" s="464" t="s">
        <v>8</v>
      </c>
      <c r="B10" s="192" t="s">
        <v>26</v>
      </c>
      <c r="C10" s="172" t="s">
        <v>299</v>
      </c>
      <c r="E10" s="469" t="s">
        <v>6</v>
      </c>
      <c r="F10" s="558"/>
      <c r="G10" s="469" t="s">
        <v>7</v>
      </c>
      <c r="H10" s="464" t="s">
        <v>8</v>
      </c>
    </row>
    <row r="11" spans="1:8" x14ac:dyDescent="0.3">
      <c r="E11" s="473"/>
      <c r="F11" s="473"/>
      <c r="G11" s="464"/>
      <c r="H11" s="464"/>
    </row>
    <row r="12" spans="1:8" ht="18" x14ac:dyDescent="0.3">
      <c r="A12" s="464">
        <f>+A11+1</f>
        <v>1</v>
      </c>
      <c r="B12" s="192" t="s">
        <v>563</v>
      </c>
      <c r="C12" s="168" t="s">
        <v>564</v>
      </c>
      <c r="E12" s="550">
        <v>-264.76299999999998</v>
      </c>
      <c r="F12" s="558"/>
      <c r="G12" s="558"/>
      <c r="H12" s="464">
        <f>A12</f>
        <v>1</v>
      </c>
    </row>
    <row r="13" spans="1:8" x14ac:dyDescent="0.3">
      <c r="A13" s="464">
        <f>+A12+1</f>
        <v>2</v>
      </c>
      <c r="E13" s="473"/>
      <c r="F13" s="473"/>
      <c r="G13" s="558"/>
      <c r="H13" s="464">
        <f>+H12+1</f>
        <v>2</v>
      </c>
    </row>
    <row r="14" spans="1:8" x14ac:dyDescent="0.3">
      <c r="A14" s="464">
        <f>+A13+1</f>
        <v>3</v>
      </c>
      <c r="B14" s="192" t="s">
        <v>577</v>
      </c>
      <c r="E14" s="473"/>
      <c r="F14" s="558"/>
      <c r="G14" s="558"/>
      <c r="H14" s="464">
        <f>+H13+1</f>
        <v>3</v>
      </c>
    </row>
    <row r="15" spans="1:8" x14ac:dyDescent="0.3">
      <c r="A15" s="464">
        <f t="shared" ref="A15:A20" si="0">+A14+1</f>
        <v>4</v>
      </c>
      <c r="B15" s="494" t="s">
        <v>566</v>
      </c>
      <c r="C15" s="168"/>
      <c r="E15" s="177">
        <f>'Pg8.2A As Filed AR-1'!G19</f>
        <v>1902.8127044285418</v>
      </c>
      <c r="F15" s="558"/>
      <c r="G15" s="464" t="s">
        <v>567</v>
      </c>
      <c r="H15" s="464">
        <f t="shared" ref="H15:H20" si="1">+H14+1</f>
        <v>4</v>
      </c>
    </row>
    <row r="16" spans="1:8" x14ac:dyDescent="0.3">
      <c r="A16" s="464">
        <f t="shared" si="0"/>
        <v>5</v>
      </c>
      <c r="B16" s="494" t="s">
        <v>568</v>
      </c>
      <c r="C16" s="168"/>
      <c r="E16" s="177">
        <f>'Pg8.2A As Filed AR-1'!G26</f>
        <v>-4309.561163503482</v>
      </c>
      <c r="F16" s="558"/>
      <c r="G16" s="464" t="s">
        <v>578</v>
      </c>
      <c r="H16" s="464">
        <f t="shared" si="1"/>
        <v>5</v>
      </c>
    </row>
    <row r="17" spans="1:8" x14ac:dyDescent="0.3">
      <c r="A17" s="464">
        <f t="shared" si="0"/>
        <v>6</v>
      </c>
      <c r="B17" s="494" t="s">
        <v>570</v>
      </c>
      <c r="C17" s="168"/>
      <c r="E17" s="183">
        <f>'Pg8.2A As Filed AR-1'!G34</f>
        <v>0</v>
      </c>
      <c r="F17" s="558"/>
      <c r="G17" s="464" t="s">
        <v>571</v>
      </c>
      <c r="H17" s="464">
        <f t="shared" si="1"/>
        <v>6</v>
      </c>
    </row>
    <row r="18" spans="1:8" x14ac:dyDescent="0.3">
      <c r="A18" s="464">
        <f t="shared" si="0"/>
        <v>7</v>
      </c>
      <c r="B18" s="494" t="s">
        <v>579</v>
      </c>
      <c r="C18" s="168"/>
      <c r="E18" s="559">
        <f>SUM(E15:E17)</f>
        <v>-2406.74845907494</v>
      </c>
      <c r="F18" s="558"/>
      <c r="G18" s="464" t="s">
        <v>573</v>
      </c>
      <c r="H18" s="464">
        <f t="shared" si="1"/>
        <v>7</v>
      </c>
    </row>
    <row r="19" spans="1:8" x14ac:dyDescent="0.3">
      <c r="A19" s="464">
        <f t="shared" si="0"/>
        <v>8</v>
      </c>
      <c r="E19" s="560"/>
      <c r="F19" s="560"/>
      <c r="G19" s="561"/>
      <c r="H19" s="464">
        <f t="shared" si="1"/>
        <v>8</v>
      </c>
    </row>
    <row r="20" spans="1:8" ht="16.2" thickBot="1" x14ac:dyDescent="0.35">
      <c r="A20" s="464">
        <f t="shared" si="0"/>
        <v>9</v>
      </c>
      <c r="B20" s="192" t="s">
        <v>574</v>
      </c>
      <c r="E20" s="562">
        <f>E12+E18</f>
        <v>-2671.5114590749399</v>
      </c>
      <c r="F20" s="481"/>
      <c r="G20" s="464" t="s">
        <v>575</v>
      </c>
      <c r="H20" s="464">
        <f t="shared" si="1"/>
        <v>9</v>
      </c>
    </row>
    <row r="21" spans="1:8" ht="16.2" thickTop="1" x14ac:dyDescent="0.3">
      <c r="E21" s="481"/>
      <c r="F21" s="481"/>
      <c r="G21" s="464"/>
      <c r="H21" s="464"/>
    </row>
    <row r="22" spans="1:8" x14ac:dyDescent="0.3">
      <c r="H22" s="464"/>
    </row>
    <row r="23" spans="1:8" ht="18" x14ac:dyDescent="0.3">
      <c r="A23" s="498">
        <v>1</v>
      </c>
      <c r="B23" s="192" t="s">
        <v>576</v>
      </c>
      <c r="H23" s="464"/>
    </row>
    <row r="24" spans="1:8" ht="18" x14ac:dyDescent="0.3">
      <c r="A24" s="563"/>
      <c r="B24" s="494"/>
      <c r="H24" s="464"/>
    </row>
    <row r="25" spans="1:8" x14ac:dyDescent="0.3">
      <c r="B25" s="494"/>
      <c r="H25" s="464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45" footer="0.25"/>
  <pageSetup scale="64" orientation="portrait" r:id="rId1"/>
  <headerFooter scaleWithDoc="0" alignWithMargins="0">
    <oddHeader>&amp;C&amp;"Times New Roman,Bold"&amp;8AS FILED</oddHeader>
    <oddFooter>&amp;CPage 8.1&amp;R&amp;F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CFDB-D4F9-4A96-825E-05526330FBF7}">
  <sheetPr>
    <pageSetUpPr fitToPage="1"/>
  </sheetPr>
  <dimension ref="A2:J41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50.88671875" style="169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23.44140625" style="169" bestFit="1" customWidth="1"/>
    <col min="8" max="8" width="2.109375" style="169" bestFit="1" customWidth="1"/>
    <col min="9" max="9" width="62.5546875" style="169" customWidth="1"/>
    <col min="10" max="10" width="5.109375" style="168" customWidth="1"/>
    <col min="11" max="16384" width="8.88671875" style="169"/>
  </cols>
  <sheetData>
    <row r="2" spans="1:10" x14ac:dyDescent="0.3">
      <c r="B2" s="861" t="s">
        <v>217</v>
      </c>
      <c r="C2" s="861"/>
      <c r="D2" s="861"/>
      <c r="E2" s="861"/>
      <c r="F2" s="861"/>
      <c r="G2" s="861"/>
      <c r="H2" s="861"/>
      <c r="I2" s="861"/>
    </row>
    <row r="3" spans="1:10" x14ac:dyDescent="0.3">
      <c r="B3" s="861" t="s">
        <v>580</v>
      </c>
      <c r="C3" s="861"/>
      <c r="D3" s="861"/>
      <c r="E3" s="861"/>
      <c r="F3" s="861"/>
      <c r="G3" s="861"/>
      <c r="H3" s="861"/>
      <c r="I3" s="861"/>
    </row>
    <row r="4" spans="1:10" x14ac:dyDescent="0.3">
      <c r="B4" s="861" t="s">
        <v>581</v>
      </c>
      <c r="C4" s="861"/>
      <c r="D4" s="861"/>
      <c r="E4" s="861"/>
      <c r="F4" s="861"/>
      <c r="G4" s="861"/>
      <c r="H4" s="861"/>
      <c r="I4" s="861"/>
    </row>
    <row r="5" spans="1:10" x14ac:dyDescent="0.3">
      <c r="B5" s="861" t="s">
        <v>354</v>
      </c>
      <c r="C5" s="861"/>
      <c r="D5" s="861"/>
      <c r="E5" s="861"/>
      <c r="F5" s="861"/>
      <c r="G5" s="861"/>
      <c r="H5" s="861"/>
      <c r="I5" s="861"/>
    </row>
    <row r="6" spans="1:10" x14ac:dyDescent="0.3">
      <c r="B6" s="863" t="s">
        <v>3</v>
      </c>
      <c r="C6" s="863"/>
      <c r="D6" s="863"/>
      <c r="E6" s="863"/>
      <c r="F6" s="863"/>
      <c r="G6" s="863"/>
      <c r="H6" s="863"/>
      <c r="I6" s="863"/>
    </row>
    <row r="8" spans="1:10" x14ac:dyDescent="0.3">
      <c r="B8" s="188"/>
      <c r="C8" s="305" t="s">
        <v>296</v>
      </c>
      <c r="D8" s="305"/>
      <c r="E8" s="305" t="s">
        <v>297</v>
      </c>
      <c r="F8" s="305"/>
      <c r="G8" s="305" t="s">
        <v>582</v>
      </c>
      <c r="H8" s="305"/>
      <c r="I8" s="305"/>
    </row>
    <row r="9" spans="1:10" x14ac:dyDescent="0.3">
      <c r="A9" s="168" t="s">
        <v>4</v>
      </c>
      <c r="B9" s="188"/>
      <c r="C9" s="305" t="s">
        <v>331</v>
      </c>
      <c r="D9" s="305"/>
      <c r="E9" s="305" t="s">
        <v>331</v>
      </c>
      <c r="F9" s="305"/>
      <c r="G9" s="305"/>
      <c r="H9" s="305"/>
      <c r="I9" s="305"/>
      <c r="J9" s="168" t="s">
        <v>4</v>
      </c>
    </row>
    <row r="10" spans="1:10" x14ac:dyDescent="0.3">
      <c r="A10" s="168" t="s">
        <v>8</v>
      </c>
      <c r="B10" s="190" t="s">
        <v>5</v>
      </c>
      <c r="C10" s="310" t="s">
        <v>333</v>
      </c>
      <c r="D10" s="310"/>
      <c r="E10" s="310" t="s">
        <v>334</v>
      </c>
      <c r="F10" s="310"/>
      <c r="G10" s="190" t="s">
        <v>335</v>
      </c>
      <c r="H10" s="190"/>
      <c r="I10" s="190" t="s">
        <v>7</v>
      </c>
      <c r="J10" s="168" t="s">
        <v>8</v>
      </c>
    </row>
    <row r="11" spans="1:10" x14ac:dyDescent="0.3">
      <c r="B11" s="188"/>
      <c r="C11" s="317"/>
      <c r="D11" s="317"/>
      <c r="E11" s="317"/>
      <c r="F11" s="317"/>
      <c r="G11" s="180"/>
      <c r="H11" s="180"/>
      <c r="I11" s="180"/>
    </row>
    <row r="12" spans="1:10" x14ac:dyDescent="0.3">
      <c r="A12" s="168">
        <v>1</v>
      </c>
      <c r="B12" s="175" t="s">
        <v>336</v>
      </c>
      <c r="C12" s="318"/>
      <c r="D12" s="318"/>
      <c r="E12" s="318"/>
      <c r="F12" s="318"/>
      <c r="G12" s="180"/>
      <c r="H12" s="180"/>
      <c r="I12" s="180"/>
      <c r="J12" s="168">
        <f>A12</f>
        <v>1</v>
      </c>
    </row>
    <row r="13" spans="1:10" x14ac:dyDescent="0.3">
      <c r="A13" s="168">
        <f>A12+1</f>
        <v>2</v>
      </c>
      <c r="B13" s="175" t="s">
        <v>337</v>
      </c>
      <c r="C13" s="185">
        <v>0</v>
      </c>
      <c r="D13" s="185"/>
      <c r="E13" s="185">
        <v>0</v>
      </c>
      <c r="F13" s="557"/>
      <c r="G13" s="314">
        <f>SUM(C13:E13)</f>
        <v>0</v>
      </c>
      <c r="H13" s="314"/>
      <c r="I13" s="2" t="s">
        <v>345</v>
      </c>
      <c r="J13" s="168">
        <f>J12+1</f>
        <v>2</v>
      </c>
    </row>
    <row r="14" spans="1:10" x14ac:dyDescent="0.3">
      <c r="A14" s="168">
        <f t="shared" ref="A14:A33" si="0">A13+1</f>
        <v>3</v>
      </c>
      <c r="B14" s="175" t="s">
        <v>339</v>
      </c>
      <c r="C14" s="215">
        <v>0</v>
      </c>
      <c r="D14" s="215"/>
      <c r="E14" s="215">
        <v>374.29460583790154</v>
      </c>
      <c r="F14" s="215"/>
      <c r="G14" s="179">
        <f>SUM(C14:E14)</f>
        <v>374.29460583790154</v>
      </c>
      <c r="H14" s="179"/>
      <c r="I14" s="2" t="s">
        <v>345</v>
      </c>
      <c r="J14" s="168">
        <f t="shared" ref="J14:J33" si="1">J13+1</f>
        <v>3</v>
      </c>
    </row>
    <row r="15" spans="1:10" ht="18" x14ac:dyDescent="0.3">
      <c r="A15" s="168">
        <f t="shared" si="0"/>
        <v>4</v>
      </c>
      <c r="B15" s="175" t="s">
        <v>583</v>
      </c>
      <c r="C15" s="215">
        <v>1528.5180985906402</v>
      </c>
      <c r="D15" s="215"/>
      <c r="E15" s="215">
        <v>0</v>
      </c>
      <c r="F15" s="215"/>
      <c r="G15" s="179">
        <f>SUM(C15:E15)</f>
        <v>1528.5180985906402</v>
      </c>
      <c r="H15" s="179"/>
      <c r="I15" s="2" t="s">
        <v>345</v>
      </c>
      <c r="J15" s="168">
        <f t="shared" si="1"/>
        <v>4</v>
      </c>
    </row>
    <row r="16" spans="1:10" x14ac:dyDescent="0.3">
      <c r="A16" s="168">
        <f t="shared" si="0"/>
        <v>5</v>
      </c>
      <c r="B16" s="175"/>
      <c r="C16" s="215">
        <v>0</v>
      </c>
      <c r="D16" s="215"/>
      <c r="E16" s="215">
        <v>0</v>
      </c>
      <c r="F16" s="179"/>
      <c r="G16" s="179">
        <f>SUM(C16:E16)</f>
        <v>0</v>
      </c>
      <c r="H16" s="179"/>
      <c r="I16" s="179"/>
      <c r="J16" s="168">
        <f t="shared" si="1"/>
        <v>5</v>
      </c>
    </row>
    <row r="17" spans="1:10" x14ac:dyDescent="0.3">
      <c r="A17" s="168">
        <f t="shared" si="0"/>
        <v>6</v>
      </c>
      <c r="C17" s="179">
        <v>0</v>
      </c>
      <c r="D17" s="179"/>
      <c r="E17" s="179">
        <v>0</v>
      </c>
      <c r="F17" s="179"/>
      <c r="G17" s="179">
        <f>SUM(C17:E17)</f>
        <v>0</v>
      </c>
      <c r="H17" s="179"/>
      <c r="I17" s="179"/>
      <c r="J17" s="168">
        <f t="shared" si="1"/>
        <v>6</v>
      </c>
    </row>
    <row r="18" spans="1:10" ht="16.2" thickBot="1" x14ac:dyDescent="0.35">
      <c r="A18" s="168">
        <f t="shared" si="0"/>
        <v>7</v>
      </c>
      <c r="B18" s="184" t="s">
        <v>341</v>
      </c>
      <c r="C18" s="452">
        <f>SUM(C13:C17)</f>
        <v>1528.5180985906402</v>
      </c>
      <c r="D18" s="193"/>
      <c r="E18" s="452">
        <f>SUM(E13:E17)</f>
        <v>374.29460583790154</v>
      </c>
      <c r="F18" s="179"/>
      <c r="G18" s="452">
        <f>SUM(G13:G17)</f>
        <v>1902.8127044285418</v>
      </c>
      <c r="H18" s="178"/>
      <c r="I18" s="313" t="s">
        <v>342</v>
      </c>
      <c r="J18" s="168">
        <f t="shared" si="1"/>
        <v>7</v>
      </c>
    </row>
    <row r="19" spans="1:10" ht="16.2" thickTop="1" x14ac:dyDescent="0.3">
      <c r="A19" s="168">
        <f t="shared" si="0"/>
        <v>8</v>
      </c>
      <c r="C19" s="322"/>
      <c r="D19" s="322"/>
      <c r="E19" s="322"/>
      <c r="F19" s="322"/>
      <c r="G19" s="322"/>
      <c r="H19" s="322"/>
      <c r="I19" s="322"/>
      <c r="J19" s="168">
        <f t="shared" si="1"/>
        <v>8</v>
      </c>
    </row>
    <row r="20" spans="1:10" x14ac:dyDescent="0.3">
      <c r="A20" s="168">
        <f t="shared" si="0"/>
        <v>9</v>
      </c>
      <c r="B20" s="175" t="s">
        <v>343</v>
      </c>
      <c r="C20" s="318"/>
      <c r="D20" s="318"/>
      <c r="E20" s="318"/>
      <c r="F20" s="318"/>
      <c r="G20" s="180"/>
      <c r="H20" s="180"/>
      <c r="I20" s="180"/>
      <c r="J20" s="168">
        <f t="shared" si="1"/>
        <v>9</v>
      </c>
    </row>
    <row r="21" spans="1:10" x14ac:dyDescent="0.3">
      <c r="A21" s="168">
        <f t="shared" si="0"/>
        <v>10</v>
      </c>
      <c r="B21" s="539" t="s">
        <v>344</v>
      </c>
      <c r="C21" s="329">
        <v>-3306.5344712430701</v>
      </c>
      <c r="D21" s="42" t="s">
        <v>42</v>
      </c>
      <c r="E21" s="329">
        <v>-1630.9816922604182</v>
      </c>
      <c r="F21" s="42" t="s">
        <v>42</v>
      </c>
      <c r="G21" s="329">
        <f>SUM(C21:E21)</f>
        <v>-4937.5161635034883</v>
      </c>
      <c r="H21" s="42" t="s">
        <v>42</v>
      </c>
      <c r="I21" s="2" t="s">
        <v>345</v>
      </c>
      <c r="J21" s="168">
        <f t="shared" si="1"/>
        <v>10</v>
      </c>
    </row>
    <row r="22" spans="1:10" x14ac:dyDescent="0.3">
      <c r="A22" s="168">
        <f t="shared" si="0"/>
        <v>11</v>
      </c>
      <c r="C22" s="179">
        <v>0</v>
      </c>
      <c r="D22" s="179"/>
      <c r="E22" s="179">
        <v>0</v>
      </c>
      <c r="F22" s="179"/>
      <c r="G22" s="179">
        <f>SUM(C22:E22)</f>
        <v>0</v>
      </c>
      <c r="H22" s="179"/>
      <c r="I22" s="179"/>
      <c r="J22" s="168">
        <f t="shared" si="1"/>
        <v>11</v>
      </c>
    </row>
    <row r="23" spans="1:10" x14ac:dyDescent="0.3">
      <c r="A23" s="168">
        <f t="shared" si="0"/>
        <v>12</v>
      </c>
      <c r="C23" s="179">
        <v>0</v>
      </c>
      <c r="D23" s="179"/>
      <c r="E23" s="179">
        <v>0</v>
      </c>
      <c r="F23" s="179"/>
      <c r="G23" s="179">
        <f>SUM(C23:E23)</f>
        <v>0</v>
      </c>
      <c r="H23" s="179"/>
      <c r="I23" s="179"/>
      <c r="J23" s="168">
        <f t="shared" si="1"/>
        <v>12</v>
      </c>
    </row>
    <row r="24" spans="1:10" x14ac:dyDescent="0.3">
      <c r="A24" s="168">
        <f t="shared" si="0"/>
        <v>13</v>
      </c>
      <c r="C24" s="179">
        <v>0</v>
      </c>
      <c r="D24" s="179"/>
      <c r="E24" s="179">
        <v>0</v>
      </c>
      <c r="F24" s="179"/>
      <c r="G24" s="179">
        <f>SUM(C24:E24)</f>
        <v>0</v>
      </c>
      <c r="H24" s="179"/>
      <c r="I24" s="179"/>
      <c r="J24" s="168">
        <f t="shared" si="1"/>
        <v>13</v>
      </c>
    </row>
    <row r="25" spans="1:10" ht="16.2" thickBot="1" x14ac:dyDescent="0.35">
      <c r="A25" s="168">
        <f t="shared" si="0"/>
        <v>14</v>
      </c>
      <c r="B25" s="184" t="s">
        <v>346</v>
      </c>
      <c r="C25" s="320">
        <f>SUM(C21:C24)</f>
        <v>-3306.5344712430701</v>
      </c>
      <c r="D25" s="42" t="s">
        <v>42</v>
      </c>
      <c r="E25" s="320">
        <f>SUM(E21:E24)</f>
        <v>-1630.9816922604182</v>
      </c>
      <c r="F25" s="42" t="s">
        <v>42</v>
      </c>
      <c r="G25" s="320">
        <f>SUM(G21:G24)</f>
        <v>-4937.5161635034883</v>
      </c>
      <c r="H25" s="42" t="s">
        <v>42</v>
      </c>
      <c r="I25" s="313" t="s">
        <v>347</v>
      </c>
      <c r="J25" s="168">
        <f t="shared" si="1"/>
        <v>14</v>
      </c>
    </row>
    <row r="26" spans="1:10" ht="16.2" thickTop="1" x14ac:dyDescent="0.3">
      <c r="A26" s="168">
        <f t="shared" si="0"/>
        <v>15</v>
      </c>
      <c r="J26" s="168">
        <f t="shared" si="1"/>
        <v>15</v>
      </c>
    </row>
    <row r="27" spans="1:10" x14ac:dyDescent="0.3">
      <c r="A27" s="168">
        <f t="shared" si="0"/>
        <v>16</v>
      </c>
      <c r="B27" s="175" t="s">
        <v>348</v>
      </c>
      <c r="C27" s="318"/>
      <c r="D27" s="318"/>
      <c r="E27" s="318"/>
      <c r="F27" s="318"/>
      <c r="G27" s="180"/>
      <c r="H27" s="180"/>
      <c r="I27" s="168"/>
      <c r="J27" s="168">
        <f t="shared" si="1"/>
        <v>16</v>
      </c>
    </row>
    <row r="28" spans="1:10" x14ac:dyDescent="0.3">
      <c r="A28" s="168">
        <f t="shared" si="0"/>
        <v>17</v>
      </c>
      <c r="B28" s="175" t="s">
        <v>349</v>
      </c>
      <c r="C28" s="185">
        <v>0</v>
      </c>
      <c r="D28" s="185"/>
      <c r="E28" s="185">
        <v>0</v>
      </c>
      <c r="F28" s="557"/>
      <c r="G28" s="314">
        <f>SUM(C28:E28)</f>
        <v>0</v>
      </c>
      <c r="H28" s="314"/>
      <c r="I28" s="2" t="s">
        <v>345</v>
      </c>
      <c r="J28" s="168">
        <f t="shared" si="1"/>
        <v>17</v>
      </c>
    </row>
    <row r="29" spans="1:10" x14ac:dyDescent="0.3">
      <c r="A29" s="168">
        <f t="shared" si="0"/>
        <v>18</v>
      </c>
      <c r="B29" s="175"/>
      <c r="C29" s="215">
        <v>0</v>
      </c>
      <c r="D29" s="215"/>
      <c r="E29" s="215">
        <v>0</v>
      </c>
      <c r="F29" s="179"/>
      <c r="G29" s="179">
        <f>SUM(C29:E29)</f>
        <v>0</v>
      </c>
      <c r="H29" s="179"/>
      <c r="I29" s="168"/>
      <c r="J29" s="168">
        <f t="shared" si="1"/>
        <v>18</v>
      </c>
    </row>
    <row r="30" spans="1:10" x14ac:dyDescent="0.3">
      <c r="A30" s="168">
        <f t="shared" si="0"/>
        <v>19</v>
      </c>
      <c r="B30" s="175"/>
      <c r="C30" s="179">
        <v>0</v>
      </c>
      <c r="D30" s="179"/>
      <c r="E30" s="179">
        <v>0</v>
      </c>
      <c r="F30" s="179"/>
      <c r="G30" s="179">
        <f>SUM(C30:E30)</f>
        <v>0</v>
      </c>
      <c r="H30" s="179"/>
      <c r="I30" s="179"/>
      <c r="J30" s="168">
        <f t="shared" si="1"/>
        <v>19</v>
      </c>
    </row>
    <row r="31" spans="1:10" x14ac:dyDescent="0.3">
      <c r="A31" s="168">
        <f t="shared" si="0"/>
        <v>20</v>
      </c>
      <c r="B31" s="175"/>
      <c r="C31" s="179">
        <v>0</v>
      </c>
      <c r="D31" s="179"/>
      <c r="E31" s="179">
        <v>0</v>
      </c>
      <c r="F31" s="179"/>
      <c r="G31" s="179">
        <f>SUM(C31:E31)</f>
        <v>0</v>
      </c>
      <c r="H31" s="179"/>
      <c r="I31" s="179"/>
      <c r="J31" s="168">
        <f t="shared" si="1"/>
        <v>20</v>
      </c>
    </row>
    <row r="32" spans="1:10" x14ac:dyDescent="0.3">
      <c r="A32" s="168">
        <f t="shared" si="0"/>
        <v>21</v>
      </c>
      <c r="B32" s="175"/>
      <c r="C32" s="179">
        <v>0</v>
      </c>
      <c r="D32" s="179"/>
      <c r="E32" s="179">
        <v>0</v>
      </c>
      <c r="F32" s="179"/>
      <c r="G32" s="179">
        <f>SUM(C32:E32)</f>
        <v>0</v>
      </c>
      <c r="H32" s="179"/>
      <c r="I32" s="179"/>
      <c r="J32" s="168">
        <f t="shared" si="1"/>
        <v>21</v>
      </c>
    </row>
    <row r="33" spans="1:10" ht="16.2" thickBot="1" x14ac:dyDescent="0.35">
      <c r="A33" s="168">
        <f t="shared" si="0"/>
        <v>22</v>
      </c>
      <c r="B33" s="184" t="s">
        <v>351</v>
      </c>
      <c r="C33" s="320">
        <f>SUM(C28:C32)</f>
        <v>0</v>
      </c>
      <c r="D33" s="178"/>
      <c r="E33" s="320">
        <f>SUM(E28:E32)</f>
        <v>0</v>
      </c>
      <c r="F33" s="179"/>
      <c r="G33" s="320">
        <f>SUM(G28:G32)</f>
        <v>0</v>
      </c>
      <c r="H33" s="178"/>
      <c r="I33" s="313" t="s">
        <v>352</v>
      </c>
      <c r="J33" s="168">
        <f t="shared" si="1"/>
        <v>22</v>
      </c>
    </row>
    <row r="34" spans="1:10" ht="16.2" thickTop="1" x14ac:dyDescent="0.3"/>
    <row r="36" spans="1:10" x14ac:dyDescent="0.3">
      <c r="A36" s="42" t="s">
        <v>42</v>
      </c>
      <c r="B36" s="12" t="str">
        <f>'Pg5 Rev Stmt AF'!B26</f>
        <v>Items in BOLD have changed due to the removal of CIAC related ADIT per TO5 Cycle 4 Letter Order determination in ER22-527 as compared to the original TO5 Cycle 4 filing.</v>
      </c>
    </row>
    <row r="37" spans="1:10" ht="18" x14ac:dyDescent="0.3">
      <c r="A37" s="187">
        <v>1</v>
      </c>
      <c r="B37" s="192" t="s">
        <v>584</v>
      </c>
    </row>
    <row r="38" spans="1:10" x14ac:dyDescent="0.3">
      <c r="B38" s="192" t="s">
        <v>585</v>
      </c>
    </row>
    <row r="39" spans="1:10" x14ac:dyDescent="0.3">
      <c r="B39" s="192"/>
    </row>
    <row r="41" spans="1:10" x14ac:dyDescent="0.3">
      <c r="C41" s="181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71" orientation="landscape" r:id="rId1"/>
  <headerFooter scaleWithDoc="0" alignWithMargins="0">
    <oddHeader>&amp;C&amp;"Times New Roman,Bold"&amp;8REVISED</oddHeader>
    <oddFooter>&amp;CPage 8.2&amp;R&amp;F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0A647-8138-405F-A0E3-C2FBF276AF46}">
  <sheetPr>
    <pageSetUpPr fitToPage="1"/>
  </sheetPr>
  <dimension ref="A1:I41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50.88671875" style="169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23.44140625" style="169" bestFit="1" customWidth="1"/>
    <col min="8" max="8" width="62.5546875" style="169" customWidth="1"/>
    <col min="9" max="9" width="5.109375" style="168" customWidth="1"/>
    <col min="10" max="16384" width="8.88671875" style="169"/>
  </cols>
  <sheetData>
    <row r="1" spans="1:9" x14ac:dyDescent="0.3">
      <c r="A1" s="556" t="s">
        <v>283</v>
      </c>
    </row>
    <row r="3" spans="1:9" x14ac:dyDescent="0.3">
      <c r="B3" s="861" t="s">
        <v>217</v>
      </c>
      <c r="C3" s="861"/>
      <c r="D3" s="861"/>
      <c r="E3" s="861"/>
      <c r="F3" s="861"/>
      <c r="G3" s="861"/>
      <c r="H3" s="861"/>
    </row>
    <row r="4" spans="1:9" x14ac:dyDescent="0.3">
      <c r="B4" s="861" t="s">
        <v>580</v>
      </c>
      <c r="C4" s="861"/>
      <c r="D4" s="861"/>
      <c r="E4" s="861"/>
      <c r="F4" s="861"/>
      <c r="G4" s="861"/>
      <c r="H4" s="861"/>
    </row>
    <row r="5" spans="1:9" x14ac:dyDescent="0.3">
      <c r="B5" s="861" t="s">
        <v>581</v>
      </c>
      <c r="C5" s="861"/>
      <c r="D5" s="861"/>
      <c r="E5" s="861"/>
      <c r="F5" s="861"/>
      <c r="G5" s="861"/>
      <c r="H5" s="861"/>
    </row>
    <row r="6" spans="1:9" x14ac:dyDescent="0.3">
      <c r="B6" s="861" t="s">
        <v>354</v>
      </c>
      <c r="C6" s="861"/>
      <c r="D6" s="861"/>
      <c r="E6" s="861"/>
      <c r="F6" s="861"/>
      <c r="G6" s="861"/>
      <c r="H6" s="861"/>
    </row>
    <row r="7" spans="1:9" x14ac:dyDescent="0.3">
      <c r="B7" s="863" t="s">
        <v>3</v>
      </c>
      <c r="C7" s="863"/>
      <c r="D7" s="863"/>
      <c r="E7" s="863"/>
      <c r="F7" s="863"/>
      <c r="G7" s="863"/>
      <c r="H7" s="863"/>
    </row>
    <row r="9" spans="1:9" x14ac:dyDescent="0.3">
      <c r="B9" s="188"/>
      <c r="C9" s="305" t="s">
        <v>296</v>
      </c>
      <c r="D9" s="305"/>
      <c r="E9" s="305" t="s">
        <v>297</v>
      </c>
      <c r="F9" s="305"/>
      <c r="G9" s="305" t="s">
        <v>582</v>
      </c>
      <c r="H9" s="305"/>
    </row>
    <row r="10" spans="1:9" x14ac:dyDescent="0.3">
      <c r="A10" s="168" t="s">
        <v>4</v>
      </c>
      <c r="B10" s="188"/>
      <c r="C10" s="305" t="s">
        <v>331</v>
      </c>
      <c r="D10" s="305"/>
      <c r="E10" s="305" t="s">
        <v>331</v>
      </c>
      <c r="F10" s="305"/>
      <c r="G10" s="305"/>
      <c r="H10" s="305"/>
      <c r="I10" s="168" t="s">
        <v>4</v>
      </c>
    </row>
    <row r="11" spans="1:9" x14ac:dyDescent="0.3">
      <c r="A11" s="168" t="s">
        <v>8</v>
      </c>
      <c r="B11" s="190" t="s">
        <v>5</v>
      </c>
      <c r="C11" s="310" t="s">
        <v>333</v>
      </c>
      <c r="D11" s="310"/>
      <c r="E11" s="310" t="s">
        <v>334</v>
      </c>
      <c r="F11" s="310"/>
      <c r="G11" s="190" t="s">
        <v>335</v>
      </c>
      <c r="H11" s="190" t="s">
        <v>7</v>
      </c>
      <c r="I11" s="168" t="s">
        <v>8</v>
      </c>
    </row>
    <row r="12" spans="1:9" x14ac:dyDescent="0.3">
      <c r="B12" s="188"/>
      <c r="C12" s="317"/>
      <c r="D12" s="317"/>
      <c r="E12" s="317"/>
      <c r="F12" s="317"/>
      <c r="G12" s="180"/>
      <c r="H12" s="180"/>
    </row>
    <row r="13" spans="1:9" x14ac:dyDescent="0.3">
      <c r="A13" s="168">
        <v>1</v>
      </c>
      <c r="B13" s="175" t="s">
        <v>336</v>
      </c>
      <c r="C13" s="318"/>
      <c r="D13" s="318"/>
      <c r="E13" s="318"/>
      <c r="F13" s="318"/>
      <c r="G13" s="180"/>
      <c r="H13" s="180"/>
      <c r="I13" s="168">
        <f>A13</f>
        <v>1</v>
      </c>
    </row>
    <row r="14" spans="1:9" x14ac:dyDescent="0.3">
      <c r="A14" s="168">
        <f>A13+1</f>
        <v>2</v>
      </c>
      <c r="B14" s="175" t="s">
        <v>337</v>
      </c>
      <c r="C14" s="185">
        <v>0</v>
      </c>
      <c r="D14" s="185"/>
      <c r="E14" s="185">
        <v>0</v>
      </c>
      <c r="F14" s="557"/>
      <c r="G14" s="314">
        <f>SUM(C14:E14)</f>
        <v>0</v>
      </c>
      <c r="H14" s="2" t="s">
        <v>345</v>
      </c>
      <c r="I14" s="168">
        <f>I13+1</f>
        <v>2</v>
      </c>
    </row>
    <row r="15" spans="1:9" x14ac:dyDescent="0.3">
      <c r="A15" s="168">
        <f t="shared" ref="A15:A34" si="0">A14+1</f>
        <v>3</v>
      </c>
      <c r="B15" s="175" t="s">
        <v>339</v>
      </c>
      <c r="C15" s="215">
        <v>0</v>
      </c>
      <c r="D15" s="215"/>
      <c r="E15" s="215">
        <v>374.29460583790154</v>
      </c>
      <c r="F15" s="215"/>
      <c r="G15" s="179">
        <f>SUM(C15:E15)</f>
        <v>374.29460583790154</v>
      </c>
      <c r="H15" s="2" t="s">
        <v>345</v>
      </c>
      <c r="I15" s="168">
        <f t="shared" ref="I15:I34" si="1">I14+1</f>
        <v>3</v>
      </c>
    </row>
    <row r="16" spans="1:9" ht="18" x14ac:dyDescent="0.3">
      <c r="A16" s="168">
        <f t="shared" si="0"/>
        <v>4</v>
      </c>
      <c r="B16" s="175" t="s">
        <v>583</v>
      </c>
      <c r="C16" s="215">
        <v>1528.5180985906402</v>
      </c>
      <c r="D16" s="215"/>
      <c r="E16" s="215">
        <v>0</v>
      </c>
      <c r="F16" s="215"/>
      <c r="G16" s="179">
        <f>SUM(C16:E16)</f>
        <v>1528.5180985906402</v>
      </c>
      <c r="H16" s="2" t="s">
        <v>345</v>
      </c>
      <c r="I16" s="168">
        <f t="shared" si="1"/>
        <v>4</v>
      </c>
    </row>
    <row r="17" spans="1:9" x14ac:dyDescent="0.3">
      <c r="A17" s="168">
        <f t="shared" si="0"/>
        <v>5</v>
      </c>
      <c r="B17" s="175"/>
      <c r="C17" s="215">
        <v>0</v>
      </c>
      <c r="D17" s="215"/>
      <c r="E17" s="215">
        <v>0</v>
      </c>
      <c r="F17" s="179"/>
      <c r="G17" s="179">
        <f>SUM(C17:E17)</f>
        <v>0</v>
      </c>
      <c r="H17" s="179"/>
      <c r="I17" s="168">
        <f t="shared" si="1"/>
        <v>5</v>
      </c>
    </row>
    <row r="18" spans="1:9" x14ac:dyDescent="0.3">
      <c r="A18" s="168">
        <f t="shared" si="0"/>
        <v>6</v>
      </c>
      <c r="C18" s="179">
        <v>0</v>
      </c>
      <c r="D18" s="179"/>
      <c r="E18" s="179">
        <v>0</v>
      </c>
      <c r="F18" s="179"/>
      <c r="G18" s="179">
        <f>SUM(C18:E18)</f>
        <v>0</v>
      </c>
      <c r="H18" s="179"/>
      <c r="I18" s="168">
        <f t="shared" si="1"/>
        <v>6</v>
      </c>
    </row>
    <row r="19" spans="1:9" ht="16.2" thickBot="1" x14ac:dyDescent="0.35">
      <c r="A19" s="168">
        <f t="shared" si="0"/>
        <v>7</v>
      </c>
      <c r="B19" s="184" t="s">
        <v>341</v>
      </c>
      <c r="C19" s="320">
        <f>SUM(C14:C18)</f>
        <v>1528.5180985906402</v>
      </c>
      <c r="D19" s="178"/>
      <c r="E19" s="320">
        <f>SUM(E14:E18)</f>
        <v>374.29460583790154</v>
      </c>
      <c r="F19" s="179"/>
      <c r="G19" s="320">
        <f>SUM(G14:G18)</f>
        <v>1902.8127044285418</v>
      </c>
      <c r="H19" s="313" t="s">
        <v>342</v>
      </c>
      <c r="I19" s="168">
        <f t="shared" si="1"/>
        <v>7</v>
      </c>
    </row>
    <row r="20" spans="1:9" ht="16.2" thickTop="1" x14ac:dyDescent="0.3">
      <c r="A20" s="168">
        <f t="shared" si="0"/>
        <v>8</v>
      </c>
      <c r="C20" s="322"/>
      <c r="D20" s="322"/>
      <c r="E20" s="322"/>
      <c r="F20" s="322"/>
      <c r="G20" s="322"/>
      <c r="H20" s="322"/>
      <c r="I20" s="168">
        <f t="shared" si="1"/>
        <v>8</v>
      </c>
    </row>
    <row r="21" spans="1:9" x14ac:dyDescent="0.3">
      <c r="A21" s="168">
        <f t="shared" si="0"/>
        <v>9</v>
      </c>
      <c r="B21" s="175" t="s">
        <v>343</v>
      </c>
      <c r="C21" s="318"/>
      <c r="D21" s="318"/>
      <c r="E21" s="318"/>
      <c r="F21" s="318"/>
      <c r="G21" s="180"/>
      <c r="H21" s="180"/>
      <c r="I21" s="168">
        <f t="shared" si="1"/>
        <v>9</v>
      </c>
    </row>
    <row r="22" spans="1:9" x14ac:dyDescent="0.3">
      <c r="A22" s="168">
        <f t="shared" si="0"/>
        <v>10</v>
      </c>
      <c r="B22" s="539" t="s">
        <v>344</v>
      </c>
      <c r="C22" s="314">
        <v>-2678.5794712430697</v>
      </c>
      <c r="D22" s="314"/>
      <c r="E22" s="314">
        <v>-1630.981692260412</v>
      </c>
      <c r="F22" s="314"/>
      <c r="G22" s="314">
        <f>SUM(C22:E22)</f>
        <v>-4309.561163503482</v>
      </c>
      <c r="H22" s="2" t="s">
        <v>586</v>
      </c>
      <c r="I22" s="168">
        <f t="shared" si="1"/>
        <v>10</v>
      </c>
    </row>
    <row r="23" spans="1:9" x14ac:dyDescent="0.3">
      <c r="A23" s="168">
        <f t="shared" si="0"/>
        <v>11</v>
      </c>
      <c r="C23" s="179">
        <v>0</v>
      </c>
      <c r="D23" s="179"/>
      <c r="E23" s="179">
        <v>0</v>
      </c>
      <c r="F23" s="179"/>
      <c r="G23" s="179">
        <f>SUM(C23:E23)</f>
        <v>0</v>
      </c>
      <c r="H23" s="179"/>
      <c r="I23" s="168">
        <f t="shared" si="1"/>
        <v>11</v>
      </c>
    </row>
    <row r="24" spans="1:9" x14ac:dyDescent="0.3">
      <c r="A24" s="168">
        <f t="shared" si="0"/>
        <v>12</v>
      </c>
      <c r="C24" s="179">
        <v>0</v>
      </c>
      <c r="D24" s="179"/>
      <c r="E24" s="179">
        <v>0</v>
      </c>
      <c r="F24" s="179"/>
      <c r="G24" s="179">
        <f>SUM(C24:E24)</f>
        <v>0</v>
      </c>
      <c r="H24" s="179"/>
      <c r="I24" s="168">
        <f t="shared" si="1"/>
        <v>12</v>
      </c>
    </row>
    <row r="25" spans="1:9" x14ac:dyDescent="0.3">
      <c r="A25" s="168">
        <f t="shared" si="0"/>
        <v>13</v>
      </c>
      <c r="C25" s="179">
        <v>0</v>
      </c>
      <c r="D25" s="179"/>
      <c r="E25" s="179">
        <v>0</v>
      </c>
      <c r="F25" s="179"/>
      <c r="G25" s="179">
        <f>SUM(C25:E25)</f>
        <v>0</v>
      </c>
      <c r="H25" s="179"/>
      <c r="I25" s="168">
        <f t="shared" si="1"/>
        <v>13</v>
      </c>
    </row>
    <row r="26" spans="1:9" ht="16.2" thickBot="1" x14ac:dyDescent="0.35">
      <c r="A26" s="168">
        <f t="shared" si="0"/>
        <v>14</v>
      </c>
      <c r="B26" s="184" t="s">
        <v>346</v>
      </c>
      <c r="C26" s="320">
        <f>SUM(C22:C25)</f>
        <v>-2678.5794712430697</v>
      </c>
      <c r="D26" s="178"/>
      <c r="E26" s="320">
        <f>SUM(E22:E25)</f>
        <v>-1630.981692260412</v>
      </c>
      <c r="F26" s="179"/>
      <c r="G26" s="320">
        <f>SUM(G22:G25)</f>
        <v>-4309.561163503482</v>
      </c>
      <c r="H26" s="313" t="s">
        <v>347</v>
      </c>
      <c r="I26" s="168">
        <f t="shared" si="1"/>
        <v>14</v>
      </c>
    </row>
    <row r="27" spans="1:9" ht="16.2" thickTop="1" x14ac:dyDescent="0.3">
      <c r="A27" s="168">
        <f t="shared" si="0"/>
        <v>15</v>
      </c>
      <c r="I27" s="168">
        <f t="shared" si="1"/>
        <v>15</v>
      </c>
    </row>
    <row r="28" spans="1:9" x14ac:dyDescent="0.3">
      <c r="A28" s="168">
        <f t="shared" si="0"/>
        <v>16</v>
      </c>
      <c r="B28" s="175" t="s">
        <v>348</v>
      </c>
      <c r="C28" s="318"/>
      <c r="D28" s="318"/>
      <c r="E28" s="318"/>
      <c r="F28" s="318"/>
      <c r="G28" s="180"/>
      <c r="H28" s="168"/>
      <c r="I28" s="168">
        <f t="shared" si="1"/>
        <v>16</v>
      </c>
    </row>
    <row r="29" spans="1:9" x14ac:dyDescent="0.3">
      <c r="A29" s="168">
        <f t="shared" si="0"/>
        <v>17</v>
      </c>
      <c r="B29" s="175" t="s">
        <v>349</v>
      </c>
      <c r="C29" s="185">
        <v>0</v>
      </c>
      <c r="D29" s="185"/>
      <c r="E29" s="185">
        <v>0</v>
      </c>
      <c r="F29" s="557"/>
      <c r="G29" s="314">
        <f>SUM(C29:E29)</f>
        <v>0</v>
      </c>
      <c r="H29" s="2" t="s">
        <v>345</v>
      </c>
      <c r="I29" s="168">
        <f t="shared" si="1"/>
        <v>17</v>
      </c>
    </row>
    <row r="30" spans="1:9" x14ac:dyDescent="0.3">
      <c r="A30" s="168">
        <f t="shared" si="0"/>
        <v>18</v>
      </c>
      <c r="B30" s="175"/>
      <c r="C30" s="215">
        <v>0</v>
      </c>
      <c r="D30" s="215"/>
      <c r="E30" s="215">
        <v>0</v>
      </c>
      <c r="F30" s="179"/>
      <c r="G30" s="179">
        <f>SUM(C30:E30)</f>
        <v>0</v>
      </c>
      <c r="H30" s="168"/>
      <c r="I30" s="168">
        <f t="shared" si="1"/>
        <v>18</v>
      </c>
    </row>
    <row r="31" spans="1:9" x14ac:dyDescent="0.3">
      <c r="A31" s="168">
        <f t="shared" si="0"/>
        <v>19</v>
      </c>
      <c r="B31" s="175"/>
      <c r="C31" s="179">
        <v>0</v>
      </c>
      <c r="D31" s="179"/>
      <c r="E31" s="179">
        <v>0</v>
      </c>
      <c r="F31" s="179"/>
      <c r="G31" s="179">
        <f>SUM(C31:E31)</f>
        <v>0</v>
      </c>
      <c r="H31" s="179"/>
      <c r="I31" s="168">
        <f t="shared" si="1"/>
        <v>19</v>
      </c>
    </row>
    <row r="32" spans="1:9" x14ac:dyDescent="0.3">
      <c r="A32" s="168">
        <f t="shared" si="0"/>
        <v>20</v>
      </c>
      <c r="B32" s="175"/>
      <c r="C32" s="179">
        <v>0</v>
      </c>
      <c r="D32" s="179"/>
      <c r="E32" s="179">
        <v>0</v>
      </c>
      <c r="F32" s="179"/>
      <c r="G32" s="179">
        <f>SUM(C32:E32)</f>
        <v>0</v>
      </c>
      <c r="H32" s="179"/>
      <c r="I32" s="168">
        <f t="shared" si="1"/>
        <v>20</v>
      </c>
    </row>
    <row r="33" spans="1:9" x14ac:dyDescent="0.3">
      <c r="A33" s="168">
        <f t="shared" si="0"/>
        <v>21</v>
      </c>
      <c r="B33" s="175"/>
      <c r="C33" s="179">
        <v>0</v>
      </c>
      <c r="D33" s="179"/>
      <c r="E33" s="179">
        <v>0</v>
      </c>
      <c r="F33" s="179"/>
      <c r="G33" s="179">
        <f>SUM(C33:E33)</f>
        <v>0</v>
      </c>
      <c r="H33" s="179"/>
      <c r="I33" s="168">
        <f t="shared" si="1"/>
        <v>21</v>
      </c>
    </row>
    <row r="34" spans="1:9" ht="16.2" thickBot="1" x14ac:dyDescent="0.35">
      <c r="A34" s="168">
        <f t="shared" si="0"/>
        <v>22</v>
      </c>
      <c r="B34" s="184" t="s">
        <v>351</v>
      </c>
      <c r="C34" s="320">
        <f>SUM(C29:C33)</f>
        <v>0</v>
      </c>
      <c r="D34" s="178"/>
      <c r="E34" s="320">
        <f>SUM(E29:E33)</f>
        <v>0</v>
      </c>
      <c r="F34" s="179"/>
      <c r="G34" s="320">
        <f>SUM(G29:G33)</f>
        <v>0</v>
      </c>
      <c r="H34" s="313" t="s">
        <v>352</v>
      </c>
      <c r="I34" s="168">
        <f t="shared" si="1"/>
        <v>22</v>
      </c>
    </row>
    <row r="35" spans="1:9" ht="16.2" thickTop="1" x14ac:dyDescent="0.3"/>
    <row r="37" spans="1:9" ht="18" x14ac:dyDescent="0.3">
      <c r="A37" s="187">
        <v>1</v>
      </c>
      <c r="B37" s="192" t="s">
        <v>584</v>
      </c>
    </row>
    <row r="38" spans="1:9" x14ac:dyDescent="0.3">
      <c r="B38" s="192" t="s">
        <v>585</v>
      </c>
    </row>
    <row r="39" spans="1:9" x14ac:dyDescent="0.3">
      <c r="B39" s="192"/>
    </row>
    <row r="41" spans="1:9" x14ac:dyDescent="0.3">
      <c r="C41" s="181"/>
    </row>
  </sheetData>
  <mergeCells count="5">
    <mergeCell ref="B3:H3"/>
    <mergeCell ref="B4:H4"/>
    <mergeCell ref="B5:H5"/>
    <mergeCell ref="B6:H6"/>
    <mergeCell ref="B7:H7"/>
  </mergeCells>
  <printOptions horizontalCentered="1"/>
  <pageMargins left="0.25" right="0.25" top="0.5" bottom="0.5" header="0.45" footer="0.25"/>
  <pageSetup scale="72" orientation="landscape" r:id="rId1"/>
  <headerFooter>
    <oddHeader>&amp;C&amp;"Times New Roman,Bold"&amp;10AS FILED</oddHeader>
    <oddFooter>&amp;CPage 8.2A&amp;R&amp;F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A7D1-705A-4781-ABED-51DEBEA9A802}">
  <sheetPr>
    <pageSetUpPr fitToPage="1"/>
  </sheetPr>
  <dimension ref="A2:R58"/>
  <sheetViews>
    <sheetView zoomScale="80" zoomScaleNormal="80" workbookViewId="0"/>
  </sheetViews>
  <sheetFormatPr defaultColWidth="14.5546875" defaultRowHeight="14.4" x14ac:dyDescent="0.3"/>
  <cols>
    <col min="1" max="1" width="5.88671875" customWidth="1"/>
    <col min="2" max="2" width="48.44140625" customWidth="1"/>
    <col min="3" max="3" width="8.88671875" customWidth="1"/>
    <col min="4" max="10" width="15.88671875" customWidth="1"/>
    <col min="11" max="11" width="16.44140625" customWidth="1"/>
    <col min="12" max="13" width="15.88671875" customWidth="1"/>
    <col min="14" max="14" width="2.109375" bestFit="1" customWidth="1"/>
    <col min="15" max="15" width="33.5546875" customWidth="1"/>
    <col min="16" max="16" width="5.88671875" customWidth="1"/>
  </cols>
  <sheetData>
    <row r="2" spans="1:17" ht="15.6" x14ac:dyDescent="0.3">
      <c r="A2" s="564"/>
      <c r="B2" s="565" t="s">
        <v>217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</row>
    <row r="3" spans="1:17" x14ac:dyDescent="0.3">
      <c r="A3" s="567"/>
      <c r="B3" s="565" t="s">
        <v>587</v>
      </c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</row>
    <row r="4" spans="1:17" x14ac:dyDescent="0.3">
      <c r="A4" s="567"/>
      <c r="B4" s="653" t="s">
        <v>588</v>
      </c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</row>
    <row r="5" spans="1:17" x14ac:dyDescent="0.3">
      <c r="A5" s="654"/>
      <c r="B5" s="653" t="s">
        <v>589</v>
      </c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656"/>
      <c r="P5" s="657"/>
      <c r="Q5" s="657"/>
    </row>
    <row r="6" spans="1:17" x14ac:dyDescent="0.3">
      <c r="A6" s="654"/>
      <c r="B6" s="872" t="s">
        <v>3</v>
      </c>
      <c r="C6" s="872"/>
      <c r="D6" s="872"/>
      <c r="E6" s="872"/>
      <c r="F6" s="872"/>
      <c r="G6" s="872"/>
      <c r="H6" s="872"/>
      <c r="I6" s="872"/>
      <c r="J6" s="872"/>
      <c r="K6" s="872"/>
      <c r="L6" s="872"/>
      <c r="M6" s="872"/>
      <c r="N6" s="872"/>
      <c r="O6" s="872"/>
      <c r="P6" s="657"/>
      <c r="Q6" s="657"/>
    </row>
    <row r="7" spans="1:17" x14ac:dyDescent="0.3">
      <c r="A7" s="654"/>
      <c r="B7" s="544"/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657"/>
      <c r="Q7" s="657"/>
    </row>
    <row r="8" spans="1:17" x14ac:dyDescent="0.3">
      <c r="A8" s="658"/>
      <c r="B8" s="654"/>
      <c r="C8" s="654"/>
      <c r="D8" s="659"/>
      <c r="E8" s="659"/>
      <c r="F8" s="659"/>
      <c r="G8" s="659"/>
      <c r="H8" s="659"/>
      <c r="I8" s="659"/>
      <c r="J8" s="659"/>
      <c r="K8" s="621"/>
      <c r="L8" s="660" t="s">
        <v>590</v>
      </c>
      <c r="M8" s="661">
        <v>2019</v>
      </c>
      <c r="N8" s="703"/>
      <c r="O8" s="662"/>
      <c r="P8" s="663"/>
      <c r="Q8" s="663"/>
    </row>
    <row r="9" spans="1:17" x14ac:dyDescent="0.3">
      <c r="A9" s="658"/>
      <c r="B9" s="659"/>
      <c r="C9" s="659"/>
      <c r="D9" s="659"/>
      <c r="E9" s="659"/>
      <c r="F9" s="659"/>
      <c r="G9" s="659"/>
      <c r="H9" s="659"/>
      <c r="I9" s="659"/>
      <c r="J9" s="659"/>
      <c r="K9" s="659"/>
      <c r="L9" s="659"/>
      <c r="M9" s="659"/>
      <c r="N9" s="659"/>
      <c r="O9" s="662"/>
      <c r="P9" s="663"/>
      <c r="Q9" s="663"/>
    </row>
    <row r="10" spans="1:17" x14ac:dyDescent="0.3">
      <c r="A10" s="664"/>
      <c r="B10" s="665" t="s">
        <v>591</v>
      </c>
      <c r="C10" s="665" t="s">
        <v>592</v>
      </c>
      <c r="D10" s="665" t="s">
        <v>593</v>
      </c>
      <c r="E10" s="665" t="s">
        <v>594</v>
      </c>
      <c r="F10" s="665" t="s">
        <v>595</v>
      </c>
      <c r="G10" s="665" t="s">
        <v>596</v>
      </c>
      <c r="H10" s="665" t="s">
        <v>597</v>
      </c>
      <c r="I10" s="665" t="s">
        <v>598</v>
      </c>
      <c r="J10" s="665" t="s">
        <v>599</v>
      </c>
      <c r="K10" s="665" t="s">
        <v>600</v>
      </c>
      <c r="L10" s="665" t="s">
        <v>601</v>
      </c>
      <c r="M10" s="665" t="s">
        <v>602</v>
      </c>
      <c r="N10" s="665"/>
      <c r="O10" s="666"/>
      <c r="P10" s="667"/>
      <c r="Q10" s="667"/>
    </row>
    <row r="11" spans="1:17" ht="15" thickBot="1" x14ac:dyDescent="0.35">
      <c r="A11" s="658"/>
      <c r="B11" s="664"/>
      <c r="C11" s="664"/>
      <c r="D11" s="664"/>
      <c r="E11" s="664"/>
      <c r="F11" s="664"/>
      <c r="G11" s="664"/>
      <c r="H11" s="664"/>
      <c r="I11" s="664"/>
      <c r="J11" s="664"/>
      <c r="K11" s="664"/>
      <c r="L11" s="664"/>
      <c r="M11" s="664"/>
      <c r="N11" s="664"/>
      <c r="O11" s="666"/>
      <c r="P11" s="666"/>
      <c r="Q11" s="666"/>
    </row>
    <row r="12" spans="1:17" ht="15" thickBot="1" x14ac:dyDescent="0.35">
      <c r="A12" s="658"/>
      <c r="B12" s="664"/>
      <c r="C12" s="664"/>
      <c r="D12" s="668"/>
      <c r="E12" s="668"/>
      <c r="F12" s="668"/>
      <c r="G12" s="668"/>
      <c r="H12" s="668"/>
      <c r="I12" s="668"/>
      <c r="J12" s="669" t="s">
        <v>603</v>
      </c>
      <c r="K12" s="670" t="s">
        <v>604</v>
      </c>
      <c r="L12" s="670" t="s">
        <v>605</v>
      </c>
      <c r="M12" s="670" t="s">
        <v>605</v>
      </c>
      <c r="N12" s="698"/>
      <c r="O12" s="666"/>
      <c r="P12" s="666"/>
      <c r="Q12" s="666"/>
    </row>
    <row r="13" spans="1:17" ht="40.200000000000003" thickBot="1" x14ac:dyDescent="0.35">
      <c r="A13" s="671" t="s">
        <v>606</v>
      </c>
      <c r="B13" s="672" t="s">
        <v>5</v>
      </c>
      <c r="C13" s="673" t="s">
        <v>607</v>
      </c>
      <c r="D13" s="674" t="s">
        <v>608</v>
      </c>
      <c r="E13" s="674" t="s">
        <v>609</v>
      </c>
      <c r="F13" s="674" t="s">
        <v>610</v>
      </c>
      <c r="G13" s="674" t="s">
        <v>611</v>
      </c>
      <c r="H13" s="675" t="s">
        <v>612</v>
      </c>
      <c r="I13" s="674" t="s">
        <v>613</v>
      </c>
      <c r="J13" s="674" t="s">
        <v>614</v>
      </c>
      <c r="K13" s="675" t="s">
        <v>615</v>
      </c>
      <c r="L13" s="674" t="s">
        <v>616</v>
      </c>
      <c r="M13" s="674" t="s">
        <v>617</v>
      </c>
      <c r="N13" s="699"/>
      <c r="O13" s="672" t="s">
        <v>7</v>
      </c>
      <c r="P13" s="671" t="s">
        <v>606</v>
      </c>
      <c r="Q13" s="676"/>
    </row>
    <row r="14" spans="1:17" x14ac:dyDescent="0.3">
      <c r="A14" s="546">
        <v>1</v>
      </c>
      <c r="B14" s="658" t="s">
        <v>618</v>
      </c>
      <c r="C14" s="677"/>
      <c r="D14" s="658"/>
      <c r="E14" s="658"/>
      <c r="F14" s="658"/>
      <c r="G14" s="658"/>
      <c r="H14" s="658"/>
      <c r="I14" s="658"/>
      <c r="J14" s="658"/>
      <c r="K14" s="658"/>
      <c r="L14" s="658"/>
      <c r="M14" s="658"/>
      <c r="N14" s="658"/>
      <c r="O14" s="678"/>
      <c r="P14" s="546">
        <v>1</v>
      </c>
      <c r="Q14" s="663"/>
    </row>
    <row r="15" spans="1:17" x14ac:dyDescent="0.3">
      <c r="A15" s="546">
        <f t="shared" ref="A15:A36" si="0">+A14+1</f>
        <v>2</v>
      </c>
      <c r="B15" s="658" t="s">
        <v>337</v>
      </c>
      <c r="C15" s="546">
        <v>190</v>
      </c>
      <c r="D15" s="679">
        <v>214.49018265600057</v>
      </c>
      <c r="E15" s="679">
        <v>0</v>
      </c>
      <c r="F15" s="679"/>
      <c r="G15" s="679"/>
      <c r="H15" s="679"/>
      <c r="I15" s="679"/>
      <c r="J15" s="658">
        <f>SUM(D15:I15)</f>
        <v>214.49018265600057</v>
      </c>
      <c r="K15" s="658">
        <v>0</v>
      </c>
      <c r="L15" s="658">
        <f>IF(+J15+K15&gt;0,+J15+K15,0)</f>
        <v>214.49018265600057</v>
      </c>
      <c r="M15" s="658">
        <f>IF(+J15+K15&gt;0,0,+J15+K15)</f>
        <v>0</v>
      </c>
      <c r="N15" s="658"/>
      <c r="O15" s="664" t="s">
        <v>345</v>
      </c>
      <c r="P15" s="546">
        <f t="shared" ref="P15:P36" si="1">+P14+1</f>
        <v>2</v>
      </c>
      <c r="Q15" s="663"/>
    </row>
    <row r="16" spans="1:17" x14ac:dyDescent="0.3">
      <c r="A16" s="546">
        <f t="shared" si="0"/>
        <v>3</v>
      </c>
      <c r="B16" s="658" t="s">
        <v>339</v>
      </c>
      <c r="C16" s="546">
        <v>190</v>
      </c>
      <c r="D16" s="679">
        <v>555.44960000000071</v>
      </c>
      <c r="E16" s="679">
        <v>0</v>
      </c>
      <c r="F16" s="679"/>
      <c r="G16" s="679"/>
      <c r="H16" s="679"/>
      <c r="I16" s="679"/>
      <c r="J16" s="658">
        <f>SUM(D16:I16)</f>
        <v>555.44960000000071</v>
      </c>
      <c r="K16" s="658">
        <v>0</v>
      </c>
      <c r="L16" s="658">
        <f>IF(+J16+K16&gt;0,+J16+K16,0)</f>
        <v>555.44960000000071</v>
      </c>
      <c r="M16" s="658">
        <f>IF(+J16+K16&gt;0,0,+J16+K16)</f>
        <v>0</v>
      </c>
      <c r="N16" s="658"/>
      <c r="O16" s="664" t="s">
        <v>345</v>
      </c>
      <c r="P16" s="546">
        <f t="shared" si="1"/>
        <v>3</v>
      </c>
      <c r="Q16" s="663"/>
    </row>
    <row r="17" spans="1:18" x14ac:dyDescent="0.3">
      <c r="A17" s="546">
        <f t="shared" si="0"/>
        <v>4</v>
      </c>
      <c r="B17" s="658" t="s">
        <v>349</v>
      </c>
      <c r="C17" s="546">
        <v>283</v>
      </c>
      <c r="D17" s="679">
        <v>0</v>
      </c>
      <c r="E17" s="679">
        <v>0</v>
      </c>
      <c r="F17" s="679"/>
      <c r="G17" s="679"/>
      <c r="H17" s="679"/>
      <c r="I17" s="679"/>
      <c r="J17" s="658">
        <f>SUM(D17:I17)</f>
        <v>0</v>
      </c>
      <c r="K17" s="658">
        <v>0</v>
      </c>
      <c r="L17" s="658">
        <f>IF(+J17+K17&gt;0,+J17+K17,0)</f>
        <v>0</v>
      </c>
      <c r="M17" s="658">
        <f>IF(+J17+K17&gt;0,0,+J17+K17)</f>
        <v>0</v>
      </c>
      <c r="N17" s="658"/>
      <c r="O17" s="664" t="s">
        <v>345</v>
      </c>
      <c r="P17" s="546">
        <f t="shared" si="1"/>
        <v>4</v>
      </c>
      <c r="Q17" s="663"/>
    </row>
    <row r="18" spans="1:18" x14ac:dyDescent="0.3">
      <c r="A18" s="546">
        <f t="shared" si="0"/>
        <v>5</v>
      </c>
      <c r="B18" s="664"/>
      <c r="C18" s="575"/>
      <c r="D18" s="680"/>
      <c r="E18" s="680"/>
      <c r="F18" s="680"/>
      <c r="G18" s="680"/>
      <c r="H18" s="680"/>
      <c r="I18" s="680"/>
      <c r="J18" s="680"/>
      <c r="K18" s="680"/>
      <c r="L18" s="680"/>
      <c r="M18" s="680"/>
      <c r="N18" s="682"/>
      <c r="O18" s="658"/>
      <c r="P18" s="546">
        <f t="shared" si="1"/>
        <v>5</v>
      </c>
      <c r="Q18" s="663"/>
    </row>
    <row r="19" spans="1:18" ht="15" thickBot="1" x14ac:dyDescent="0.35">
      <c r="A19" s="546">
        <f t="shared" si="0"/>
        <v>6</v>
      </c>
      <c r="B19" s="664" t="s">
        <v>619</v>
      </c>
      <c r="C19" s="658"/>
      <c r="D19" s="681">
        <f t="shared" ref="D19:M19" si="2">SUM(D15:D17)</f>
        <v>769.93978265600128</v>
      </c>
      <c r="E19" s="681">
        <f t="shared" si="2"/>
        <v>0</v>
      </c>
      <c r="F19" s="681">
        <f t="shared" si="2"/>
        <v>0</v>
      </c>
      <c r="G19" s="681">
        <f t="shared" si="2"/>
        <v>0</v>
      </c>
      <c r="H19" s="681">
        <f t="shared" si="2"/>
        <v>0</v>
      </c>
      <c r="I19" s="681">
        <f t="shared" si="2"/>
        <v>0</v>
      </c>
      <c r="J19" s="681">
        <f t="shared" si="2"/>
        <v>769.93978265600128</v>
      </c>
      <c r="K19" s="681">
        <f t="shared" si="2"/>
        <v>0</v>
      </c>
      <c r="L19" s="681">
        <f t="shared" si="2"/>
        <v>769.93978265600128</v>
      </c>
      <c r="M19" s="681">
        <f t="shared" si="2"/>
        <v>0</v>
      </c>
      <c r="N19" s="658"/>
      <c r="O19" s="664" t="s">
        <v>620</v>
      </c>
      <c r="P19" s="546">
        <f t="shared" si="1"/>
        <v>6</v>
      </c>
      <c r="Q19" s="663"/>
    </row>
    <row r="20" spans="1:18" ht="15" thickTop="1" x14ac:dyDescent="0.3">
      <c r="A20" s="546">
        <f t="shared" si="0"/>
        <v>7</v>
      </c>
      <c r="B20" s="658"/>
      <c r="C20" s="658"/>
      <c r="D20" s="682"/>
      <c r="E20" s="682"/>
      <c r="F20" s="682"/>
      <c r="G20" s="682"/>
      <c r="H20" s="682"/>
      <c r="I20" s="682"/>
      <c r="J20" s="682"/>
      <c r="K20" s="682"/>
      <c r="L20" s="682"/>
      <c r="M20" s="682"/>
      <c r="N20" s="682"/>
      <c r="O20" s="658"/>
      <c r="P20" s="546">
        <f t="shared" si="1"/>
        <v>7</v>
      </c>
      <c r="Q20" s="663"/>
    </row>
    <row r="21" spans="1:18" x14ac:dyDescent="0.3">
      <c r="A21" s="546">
        <f t="shared" si="0"/>
        <v>8</v>
      </c>
      <c r="B21" s="658" t="s">
        <v>621</v>
      </c>
      <c r="C21" s="683"/>
      <c r="D21" s="682"/>
      <c r="E21" s="682"/>
      <c r="F21" s="682"/>
      <c r="G21" s="682"/>
      <c r="H21" s="682"/>
      <c r="I21" s="682"/>
      <c r="J21" s="682"/>
      <c r="K21" s="682"/>
      <c r="L21" s="682"/>
      <c r="M21" s="682"/>
      <c r="N21" s="682"/>
      <c r="O21" s="658"/>
      <c r="P21" s="546">
        <f t="shared" si="1"/>
        <v>8</v>
      </c>
      <c r="Q21" s="663"/>
    </row>
    <row r="22" spans="1:18" x14ac:dyDescent="0.3">
      <c r="A22" s="546">
        <f t="shared" si="0"/>
        <v>9</v>
      </c>
      <c r="B22" s="658" t="s">
        <v>340</v>
      </c>
      <c r="C22" s="546">
        <v>190</v>
      </c>
      <c r="D22" s="679">
        <v>109466.83319999998</v>
      </c>
      <c r="E22" s="679">
        <v>0</v>
      </c>
      <c r="F22" s="679"/>
      <c r="G22" s="679"/>
      <c r="H22" s="679"/>
      <c r="I22" s="679">
        <v>-1228.37462263577</v>
      </c>
      <c r="J22" s="658">
        <f>SUM(D22:I22)</f>
        <v>108238.4585773642</v>
      </c>
      <c r="K22" s="658">
        <v>0</v>
      </c>
      <c r="L22" s="658">
        <f>IF(+J22+K22&gt;0,+J22+K22,0)</f>
        <v>108238.4585773642</v>
      </c>
      <c r="M22" s="658">
        <f>IF(+J22+K22&gt;0,0,+J22+K22)</f>
        <v>0</v>
      </c>
      <c r="N22" s="658"/>
      <c r="O22" s="664" t="s">
        <v>345</v>
      </c>
      <c r="P22" s="546">
        <f t="shared" si="1"/>
        <v>9</v>
      </c>
      <c r="Q22" s="663"/>
    </row>
    <row r="23" spans="1:18" ht="15.6" x14ac:dyDescent="0.3">
      <c r="A23" s="546">
        <f t="shared" si="0"/>
        <v>10</v>
      </c>
      <c r="B23" s="659" t="s">
        <v>344</v>
      </c>
      <c r="C23" s="546">
        <v>282</v>
      </c>
      <c r="D23" s="679">
        <v>0</v>
      </c>
      <c r="E23" s="702">
        <v>-381583.853</v>
      </c>
      <c r="F23" s="679"/>
      <c r="G23" s="679"/>
      <c r="H23" s="702">
        <v>3340.9740000000002</v>
      </c>
      <c r="I23" s="679"/>
      <c r="J23" s="659">
        <f>SUM(D23:I23)</f>
        <v>-378242.87900000002</v>
      </c>
      <c r="K23" s="658">
        <v>0</v>
      </c>
      <c r="L23" s="658">
        <f>IF(+J23+K23&gt;0,+J23+K23,0)</f>
        <v>0</v>
      </c>
      <c r="M23" s="659">
        <f>IF(+J23+K23&gt;0,0,+J23+K23)</f>
        <v>-378242.87900000002</v>
      </c>
      <c r="N23" s="42" t="s">
        <v>42</v>
      </c>
      <c r="O23" s="664" t="s">
        <v>345</v>
      </c>
      <c r="P23" s="546">
        <f t="shared" si="1"/>
        <v>10</v>
      </c>
      <c r="Q23" s="684"/>
      <c r="R23" s="685"/>
    </row>
    <row r="24" spans="1:18" ht="15.6" x14ac:dyDescent="0.3">
      <c r="A24" s="546">
        <f t="shared" si="0"/>
        <v>11</v>
      </c>
      <c r="B24" s="664" t="s">
        <v>622</v>
      </c>
      <c r="C24" s="575"/>
      <c r="D24" s="686">
        <f t="shared" ref="D24:M24" si="3">SUM(D22:D23)</f>
        <v>109466.83319999998</v>
      </c>
      <c r="E24" s="700">
        <f t="shared" si="3"/>
        <v>-381583.853</v>
      </c>
      <c r="F24" s="686">
        <f t="shared" si="3"/>
        <v>0</v>
      </c>
      <c r="G24" s="686">
        <f t="shared" si="3"/>
        <v>0</v>
      </c>
      <c r="H24" s="700">
        <f t="shared" si="3"/>
        <v>3340.9740000000002</v>
      </c>
      <c r="I24" s="686">
        <f t="shared" si="3"/>
        <v>-1228.37462263577</v>
      </c>
      <c r="J24" s="700">
        <f t="shared" si="3"/>
        <v>-270004.4204226358</v>
      </c>
      <c r="K24" s="686">
        <f t="shared" si="3"/>
        <v>0</v>
      </c>
      <c r="L24" s="686">
        <f t="shared" si="3"/>
        <v>108238.4585773642</v>
      </c>
      <c r="M24" s="700">
        <f t="shared" si="3"/>
        <v>-378242.87900000002</v>
      </c>
      <c r="N24" s="42" t="s">
        <v>42</v>
      </c>
      <c r="O24" s="664" t="s">
        <v>623</v>
      </c>
      <c r="P24" s="546">
        <f t="shared" si="1"/>
        <v>11</v>
      </c>
      <c r="Q24" s="687"/>
      <c r="R24" s="688"/>
    </row>
    <row r="25" spans="1:18" x14ac:dyDescent="0.3">
      <c r="A25" s="546">
        <f t="shared" si="0"/>
        <v>12</v>
      </c>
      <c r="B25" s="658"/>
      <c r="C25" s="575"/>
      <c r="D25" s="682"/>
      <c r="E25" s="682"/>
      <c r="F25" s="682"/>
      <c r="G25" s="682"/>
      <c r="H25" s="682"/>
      <c r="I25" s="682"/>
      <c r="J25" s="682"/>
      <c r="K25" s="682"/>
      <c r="L25" s="682"/>
      <c r="M25" s="682"/>
      <c r="N25" s="682"/>
      <c r="O25" s="658"/>
      <c r="P25" s="546">
        <f t="shared" si="1"/>
        <v>12</v>
      </c>
      <c r="Q25" s="663"/>
    </row>
    <row r="26" spans="1:18" x14ac:dyDescent="0.3">
      <c r="A26" s="546">
        <f t="shared" si="0"/>
        <v>13</v>
      </c>
      <c r="B26" s="658" t="s">
        <v>624</v>
      </c>
      <c r="C26" s="677"/>
      <c r="D26" s="682"/>
      <c r="E26" s="682"/>
      <c r="F26" s="682"/>
      <c r="G26" s="682"/>
      <c r="H26" s="682"/>
      <c r="I26" s="682"/>
      <c r="J26" s="682"/>
      <c r="K26" s="682"/>
      <c r="L26" s="682"/>
      <c r="M26" s="682"/>
      <c r="N26" s="682"/>
      <c r="O26" s="658"/>
      <c r="P26" s="546">
        <f t="shared" si="1"/>
        <v>13</v>
      </c>
      <c r="Q26" s="663"/>
    </row>
    <row r="27" spans="1:18" x14ac:dyDescent="0.3">
      <c r="A27" s="546">
        <f t="shared" si="0"/>
        <v>14</v>
      </c>
      <c r="B27" s="658" t="s">
        <v>625</v>
      </c>
      <c r="C27" s="546">
        <v>282</v>
      </c>
      <c r="D27" s="679">
        <v>0</v>
      </c>
      <c r="E27" s="679">
        <v>-12966.781000999999</v>
      </c>
      <c r="F27" s="679"/>
      <c r="G27" s="679"/>
      <c r="H27" s="679">
        <v>254.78899999999999</v>
      </c>
      <c r="I27" s="679"/>
      <c r="J27" s="658">
        <f>SUM(D27:I27)</f>
        <v>-12711.992000999999</v>
      </c>
      <c r="K27" s="658">
        <v>0</v>
      </c>
      <c r="L27" s="658">
        <f>IF(+J27+K27&gt;0,+J27+K27,0)</f>
        <v>0</v>
      </c>
      <c r="M27" s="658">
        <f>IF(+J27+K27&gt;0,0,+J27+K27)</f>
        <v>-12711.992000999999</v>
      </c>
      <c r="N27" s="658"/>
      <c r="O27" s="664" t="s">
        <v>345</v>
      </c>
      <c r="P27" s="546">
        <f t="shared" si="1"/>
        <v>14</v>
      </c>
      <c r="Q27" s="663"/>
    </row>
    <row r="28" spans="1:18" x14ac:dyDescent="0.3">
      <c r="A28" s="546">
        <f t="shared" si="0"/>
        <v>15</v>
      </c>
      <c r="B28" s="658" t="s">
        <v>626</v>
      </c>
      <c r="C28" s="546">
        <v>282</v>
      </c>
      <c r="D28" s="679">
        <v>0</v>
      </c>
      <c r="E28" s="679">
        <v>-37023.934000000001</v>
      </c>
      <c r="F28" s="679"/>
      <c r="G28" s="679"/>
      <c r="H28" s="679">
        <v>1590</v>
      </c>
      <c r="I28" s="679"/>
      <c r="J28" s="658">
        <f>SUM(D28:I28)</f>
        <v>-35433.934000000001</v>
      </c>
      <c r="K28" s="658">
        <v>0</v>
      </c>
      <c r="L28" s="658">
        <f>IF(+J28+K28&gt;0,+J28+K28,0)</f>
        <v>0</v>
      </c>
      <c r="M28" s="658">
        <f>IF(+J28+K28&gt;0,0,+J28+K28)</f>
        <v>-35433.934000000001</v>
      </c>
      <c r="N28" s="658"/>
      <c r="O28" s="664" t="s">
        <v>345</v>
      </c>
      <c r="P28" s="546">
        <f t="shared" si="1"/>
        <v>15</v>
      </c>
      <c r="Q28" s="663"/>
    </row>
    <row r="29" spans="1:18" x14ac:dyDescent="0.3">
      <c r="A29" s="546">
        <f t="shared" si="0"/>
        <v>16</v>
      </c>
      <c r="B29" s="658" t="s">
        <v>627</v>
      </c>
      <c r="C29" s="689">
        <v>282</v>
      </c>
      <c r="D29" s="679">
        <v>0</v>
      </c>
      <c r="E29" s="679">
        <v>-181.21099999999933</v>
      </c>
      <c r="F29" s="679"/>
      <c r="G29" s="679"/>
      <c r="H29" s="679">
        <v>545</v>
      </c>
      <c r="I29" s="679"/>
      <c r="J29" s="658">
        <f>SUM(D29:I29)</f>
        <v>363.78900000000067</v>
      </c>
      <c r="K29" s="658">
        <v>0</v>
      </c>
      <c r="L29" s="658">
        <f>IF(+J29+K29&gt;0,+J29+K29,0)</f>
        <v>363.78900000000067</v>
      </c>
      <c r="M29" s="658">
        <f>IF(+J29+K29&gt;0,0,+J29+K29)</f>
        <v>0</v>
      </c>
      <c r="N29" s="658"/>
      <c r="O29" s="664" t="s">
        <v>345</v>
      </c>
      <c r="P29" s="546">
        <f t="shared" si="1"/>
        <v>16</v>
      </c>
      <c r="Q29" s="663"/>
    </row>
    <row r="30" spans="1:18" x14ac:dyDescent="0.3">
      <c r="A30" s="546">
        <f t="shared" si="0"/>
        <v>17</v>
      </c>
      <c r="B30" s="664" t="s">
        <v>622</v>
      </c>
      <c r="C30" s="575"/>
      <c r="D30" s="686">
        <f t="shared" ref="D30:M30" si="4">SUM(D27:D29)</f>
        <v>0</v>
      </c>
      <c r="E30" s="686">
        <f t="shared" si="4"/>
        <v>-50171.926001</v>
      </c>
      <c r="F30" s="686">
        <f t="shared" si="4"/>
        <v>0</v>
      </c>
      <c r="G30" s="686">
        <f t="shared" si="4"/>
        <v>0</v>
      </c>
      <c r="H30" s="686">
        <f t="shared" si="4"/>
        <v>2389.7889999999998</v>
      </c>
      <c r="I30" s="686">
        <f t="shared" si="4"/>
        <v>0</v>
      </c>
      <c r="J30" s="686">
        <f t="shared" si="4"/>
        <v>-47782.137000999996</v>
      </c>
      <c r="K30" s="686">
        <f t="shared" si="4"/>
        <v>0</v>
      </c>
      <c r="L30" s="686">
        <f t="shared" si="4"/>
        <v>363.78900000000067</v>
      </c>
      <c r="M30" s="686">
        <f t="shared" si="4"/>
        <v>-48145.926001</v>
      </c>
      <c r="N30" s="658"/>
      <c r="O30" s="664" t="s">
        <v>628</v>
      </c>
      <c r="P30" s="546">
        <f t="shared" si="1"/>
        <v>17</v>
      </c>
      <c r="Q30" s="663"/>
    </row>
    <row r="31" spans="1:18" x14ac:dyDescent="0.3">
      <c r="A31" s="546">
        <f t="shared" si="0"/>
        <v>18</v>
      </c>
      <c r="B31" s="658"/>
      <c r="C31" s="575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2"/>
      <c r="O31" s="658"/>
      <c r="P31" s="546">
        <f t="shared" si="1"/>
        <v>18</v>
      </c>
      <c r="Q31" s="663"/>
    </row>
    <row r="32" spans="1:18" x14ac:dyDescent="0.3">
      <c r="A32" s="546">
        <f t="shared" si="0"/>
        <v>19</v>
      </c>
      <c r="B32" s="658" t="s">
        <v>629</v>
      </c>
      <c r="C32" s="689">
        <v>282</v>
      </c>
      <c r="D32" s="611">
        <v>40216.024064700854</v>
      </c>
      <c r="E32" s="611">
        <v>0</v>
      </c>
      <c r="F32" s="611"/>
      <c r="G32" s="611"/>
      <c r="H32" s="611"/>
      <c r="I32" s="611">
        <v>-484</v>
      </c>
      <c r="J32" s="690">
        <f>SUM(D32:I32)</f>
        <v>39732.024064700854</v>
      </c>
      <c r="K32" s="690">
        <v>0</v>
      </c>
      <c r="L32" s="690">
        <f>IF(+J32+K32&gt;0,+J32+K32,0)</f>
        <v>39732.024064700854</v>
      </c>
      <c r="M32" s="690">
        <f>IF(+J32+K32&gt;0,0,+J32+K32)</f>
        <v>0</v>
      </c>
      <c r="N32" s="658"/>
      <c r="O32" s="664" t="s">
        <v>345</v>
      </c>
      <c r="P32" s="546">
        <f t="shared" si="1"/>
        <v>19</v>
      </c>
      <c r="Q32" s="663"/>
    </row>
    <row r="33" spans="1:17" x14ac:dyDescent="0.3">
      <c r="A33" s="546">
        <f t="shared" si="0"/>
        <v>20</v>
      </c>
      <c r="B33" s="658"/>
      <c r="C33" s="575"/>
      <c r="D33" s="612"/>
      <c r="E33" s="612"/>
      <c r="F33" s="612"/>
      <c r="G33" s="612"/>
      <c r="H33" s="612"/>
      <c r="I33" s="612"/>
      <c r="J33" s="612"/>
      <c r="K33" s="612"/>
      <c r="L33" s="612"/>
      <c r="M33" s="612"/>
      <c r="N33" s="575"/>
      <c r="O33" s="658"/>
      <c r="P33" s="546">
        <f t="shared" si="1"/>
        <v>20</v>
      </c>
      <c r="Q33" s="663"/>
    </row>
    <row r="34" spans="1:17" ht="16.2" thickBot="1" x14ac:dyDescent="0.35">
      <c r="A34" s="546">
        <f t="shared" si="0"/>
        <v>21</v>
      </c>
      <c r="B34" s="664" t="s">
        <v>630</v>
      </c>
      <c r="C34" s="575"/>
      <c r="D34" s="681">
        <f t="shared" ref="D34:M34" si="5">+D32+D30+D24</f>
        <v>149682.85726470084</v>
      </c>
      <c r="E34" s="701">
        <f t="shared" si="5"/>
        <v>-431755.77900099999</v>
      </c>
      <c r="F34" s="681">
        <f t="shared" si="5"/>
        <v>0</v>
      </c>
      <c r="G34" s="681">
        <f t="shared" si="5"/>
        <v>0</v>
      </c>
      <c r="H34" s="701">
        <f t="shared" si="5"/>
        <v>5730.7629999999999</v>
      </c>
      <c r="I34" s="681">
        <f t="shared" si="5"/>
        <v>-1712.37462263577</v>
      </c>
      <c r="J34" s="701">
        <f t="shared" si="5"/>
        <v>-278054.53335893492</v>
      </c>
      <c r="K34" s="681">
        <f t="shared" si="5"/>
        <v>0</v>
      </c>
      <c r="L34" s="681">
        <f t="shared" si="5"/>
        <v>148334.27164206505</v>
      </c>
      <c r="M34" s="701">
        <f t="shared" si="5"/>
        <v>-426388.805001</v>
      </c>
      <c r="N34" s="42" t="s">
        <v>42</v>
      </c>
      <c r="O34" s="664" t="s">
        <v>631</v>
      </c>
      <c r="P34" s="546">
        <f t="shared" si="1"/>
        <v>21</v>
      </c>
      <c r="Q34" s="663"/>
    </row>
    <row r="35" spans="1:17" ht="15" thickTop="1" x14ac:dyDescent="0.3">
      <c r="A35" s="546">
        <f t="shared" si="0"/>
        <v>22</v>
      </c>
      <c r="B35" s="658"/>
      <c r="C35" s="658"/>
      <c r="D35" s="691"/>
      <c r="E35" s="691"/>
      <c r="F35" s="691"/>
      <c r="G35" s="691"/>
      <c r="H35" s="691"/>
      <c r="I35" s="691"/>
      <c r="J35" s="691"/>
      <c r="K35" s="691"/>
      <c r="L35" s="691"/>
      <c r="M35" s="691"/>
      <c r="N35" s="658"/>
      <c r="O35" s="658"/>
      <c r="P35" s="546">
        <f t="shared" si="1"/>
        <v>22</v>
      </c>
      <c r="Q35" s="663"/>
    </row>
    <row r="36" spans="1:17" ht="16.2" thickBot="1" x14ac:dyDescent="0.35">
      <c r="A36" s="546">
        <f t="shared" si="0"/>
        <v>23</v>
      </c>
      <c r="B36" s="664" t="s">
        <v>632</v>
      </c>
      <c r="C36" s="658"/>
      <c r="D36" s="681">
        <f t="shared" ref="D36:M36" si="6">D19+D34</f>
        <v>150452.79704735684</v>
      </c>
      <c r="E36" s="701">
        <f t="shared" si="6"/>
        <v>-431755.77900099999</v>
      </c>
      <c r="F36" s="681">
        <f t="shared" si="6"/>
        <v>0</v>
      </c>
      <c r="G36" s="681">
        <f t="shared" si="6"/>
        <v>0</v>
      </c>
      <c r="H36" s="701">
        <f t="shared" si="6"/>
        <v>5730.7629999999999</v>
      </c>
      <c r="I36" s="681">
        <f t="shared" si="6"/>
        <v>-1712.37462263577</v>
      </c>
      <c r="J36" s="701">
        <f t="shared" si="6"/>
        <v>-277284.59357627894</v>
      </c>
      <c r="K36" s="681">
        <f t="shared" si="6"/>
        <v>0</v>
      </c>
      <c r="L36" s="681">
        <f t="shared" si="6"/>
        <v>149104.21142472106</v>
      </c>
      <c r="M36" s="701">
        <f t="shared" si="6"/>
        <v>-426388.805001</v>
      </c>
      <c r="N36" s="42" t="s">
        <v>42</v>
      </c>
      <c r="O36" s="664" t="s">
        <v>633</v>
      </c>
      <c r="P36" s="546">
        <f t="shared" si="1"/>
        <v>23</v>
      </c>
      <c r="Q36" s="663"/>
    </row>
    <row r="37" spans="1:17" ht="15" thickTop="1" x14ac:dyDescent="0.3">
      <c r="A37" s="546"/>
      <c r="B37" s="652"/>
      <c r="C37" s="652"/>
      <c r="D37" s="658"/>
      <c r="E37" s="658"/>
      <c r="F37" s="658"/>
      <c r="G37" s="658"/>
      <c r="H37" s="658"/>
      <c r="I37" s="658"/>
      <c r="J37" s="658"/>
      <c r="K37" s="658"/>
      <c r="L37" s="658"/>
      <c r="M37" s="658"/>
      <c r="N37" s="658"/>
      <c r="O37" s="663"/>
      <c r="P37" s="692"/>
      <c r="Q37" s="663"/>
    </row>
    <row r="38" spans="1:17" x14ac:dyDescent="0.3">
      <c r="A38" s="546"/>
      <c r="B38" s="652"/>
      <c r="C38" s="652"/>
      <c r="D38" s="658"/>
      <c r="E38" s="658"/>
      <c r="F38" s="658"/>
      <c r="G38" s="658"/>
      <c r="H38" s="658"/>
      <c r="I38" s="658"/>
      <c r="J38" s="658"/>
      <c r="K38" s="658"/>
      <c r="L38" s="658"/>
      <c r="M38" s="658"/>
      <c r="N38" s="658"/>
      <c r="O38" s="663"/>
      <c r="P38" s="692"/>
      <c r="Q38" s="663"/>
    </row>
    <row r="39" spans="1:17" ht="15.6" x14ac:dyDescent="0.3">
      <c r="A39" s="42" t="s">
        <v>42</v>
      </c>
      <c r="B39" s="545" t="str">
        <f>'Pg5 Rev Stmt AF'!B26</f>
        <v>Items in BOLD have changed due to the removal of CIAC related ADIT per TO5 Cycle 4 Letter Order determination in ER22-527 as compared to the original TO5 Cycle 4 filing.</v>
      </c>
      <c r="C39" s="652"/>
      <c r="D39" s="658"/>
      <c r="E39" s="658"/>
      <c r="F39" s="658"/>
      <c r="G39" s="658"/>
      <c r="H39" s="658"/>
      <c r="I39" s="658"/>
      <c r="J39" s="658"/>
      <c r="K39" s="658"/>
      <c r="L39" s="658"/>
      <c r="M39" s="658"/>
      <c r="N39" s="658"/>
      <c r="O39" s="663"/>
      <c r="P39" s="692"/>
      <c r="Q39" s="663"/>
    </row>
    <row r="40" spans="1:17" x14ac:dyDescent="0.3">
      <c r="A40" s="693"/>
      <c r="B40" s="547" t="s">
        <v>634</v>
      </c>
      <c r="C40" s="694"/>
      <c r="D40" s="658"/>
      <c r="E40" s="658"/>
      <c r="F40" s="658"/>
      <c r="G40" s="658"/>
      <c r="H40" s="658"/>
      <c r="I40" s="658"/>
      <c r="J40" s="658"/>
      <c r="K40" s="658"/>
      <c r="L40" s="658"/>
      <c r="M40" s="658"/>
      <c r="N40" s="658"/>
      <c r="O40" s="663"/>
      <c r="P40" s="692"/>
      <c r="Q40" s="663"/>
    </row>
    <row r="41" spans="1:17" x14ac:dyDescent="0.3">
      <c r="A41" s="693"/>
      <c r="B41" s="695" t="s">
        <v>635</v>
      </c>
      <c r="C41" s="678"/>
      <c r="D41" s="678"/>
      <c r="E41" s="678"/>
      <c r="F41" s="658"/>
      <c r="G41" s="658"/>
      <c r="H41" s="658"/>
      <c r="I41" s="658"/>
      <c r="J41" s="658"/>
      <c r="K41" s="658"/>
      <c r="L41" s="658"/>
      <c r="M41" s="658"/>
      <c r="N41" s="658"/>
      <c r="O41" s="663"/>
      <c r="P41" s="692"/>
      <c r="Q41" s="663"/>
    </row>
    <row r="42" spans="1:17" x14ac:dyDescent="0.3">
      <c r="A42" s="678"/>
      <c r="B42" s="678"/>
      <c r="C42" s="678"/>
      <c r="D42" s="678"/>
      <c r="E42" s="678"/>
      <c r="F42" s="678"/>
      <c r="G42" s="678"/>
      <c r="H42" s="678"/>
      <c r="I42" s="678"/>
      <c r="J42" s="678"/>
      <c r="K42" s="678"/>
      <c r="L42" s="678"/>
      <c r="M42" s="678"/>
      <c r="N42" s="678"/>
      <c r="O42" s="663"/>
      <c r="P42" s="692"/>
      <c r="Q42" s="663"/>
    </row>
    <row r="43" spans="1:17" x14ac:dyDescent="0.3">
      <c r="A43" s="678"/>
      <c r="B43" s="678"/>
      <c r="C43" s="678"/>
      <c r="D43" s="678"/>
      <c r="E43" s="678"/>
      <c r="F43" s="678"/>
      <c r="G43" s="678"/>
      <c r="H43" s="678"/>
      <c r="I43" s="678"/>
      <c r="J43" s="678"/>
      <c r="K43" s="678"/>
      <c r="L43" s="678"/>
      <c r="M43" s="678"/>
      <c r="N43" s="678"/>
      <c r="O43" s="663"/>
      <c r="P43" s="692"/>
      <c r="Q43" s="663"/>
    </row>
    <row r="44" spans="1:17" x14ac:dyDescent="0.3">
      <c r="A44" s="678"/>
      <c r="B44" s="678"/>
      <c r="C44" s="678"/>
      <c r="D44" s="678"/>
      <c r="E44" s="678"/>
      <c r="F44" s="678"/>
      <c r="G44" s="678"/>
      <c r="H44" s="678"/>
      <c r="I44" s="678"/>
      <c r="J44" s="678"/>
      <c r="K44" s="678"/>
      <c r="L44" s="678"/>
      <c r="M44" s="678"/>
      <c r="N44" s="678"/>
      <c r="O44" s="663"/>
      <c r="P44" s="692"/>
      <c r="Q44" s="663"/>
    </row>
    <row r="45" spans="1:17" x14ac:dyDescent="0.3">
      <c r="A45" s="628"/>
      <c r="B45" s="628"/>
      <c r="C45" s="628"/>
      <c r="D45" s="628"/>
      <c r="E45" s="628"/>
      <c r="F45" s="628"/>
      <c r="G45" s="628"/>
      <c r="H45" s="628"/>
      <c r="I45" s="628"/>
      <c r="J45" s="628"/>
      <c r="K45" s="628"/>
      <c r="L45" s="628"/>
      <c r="M45" s="628"/>
      <c r="N45" s="628"/>
    </row>
    <row r="46" spans="1:17" x14ac:dyDescent="0.3">
      <c r="A46" s="628"/>
      <c r="B46" s="628"/>
      <c r="C46" s="628"/>
      <c r="D46" s="628"/>
      <c r="E46" s="628"/>
      <c r="F46" s="628"/>
      <c r="G46" s="628"/>
      <c r="H46" s="628"/>
      <c r="I46" s="628"/>
      <c r="J46" s="628"/>
      <c r="K46" s="628"/>
      <c r="L46" s="628"/>
      <c r="M46" s="628"/>
      <c r="N46" s="628"/>
    </row>
    <row r="47" spans="1:17" x14ac:dyDescent="0.3">
      <c r="A47" s="628"/>
      <c r="B47" s="628"/>
      <c r="C47" s="628"/>
      <c r="D47" s="628"/>
      <c r="E47" s="628"/>
      <c r="F47" s="628"/>
      <c r="G47" s="628"/>
      <c r="H47" s="628"/>
      <c r="I47" s="628"/>
      <c r="J47" s="628"/>
      <c r="K47" s="628"/>
      <c r="L47" s="628"/>
      <c r="M47" s="628"/>
      <c r="N47" s="628"/>
    </row>
    <row r="48" spans="1:17" x14ac:dyDescent="0.3">
      <c r="A48" s="628"/>
      <c r="B48" s="695"/>
      <c r="C48" s="658"/>
      <c r="D48" s="658"/>
      <c r="E48" s="658"/>
      <c r="F48" s="628"/>
      <c r="G48" s="628"/>
      <c r="H48" s="628"/>
      <c r="I48" s="628"/>
      <c r="J48" s="628"/>
      <c r="K48" s="628"/>
      <c r="L48" s="628"/>
      <c r="M48" s="628"/>
      <c r="N48" s="628"/>
    </row>
    <row r="49" spans="1:14" x14ac:dyDescent="0.3">
      <c r="A49" s="628"/>
      <c r="B49" s="695"/>
      <c r="C49" s="658"/>
      <c r="D49" s="658"/>
      <c r="E49" s="658"/>
      <c r="F49" s="628"/>
      <c r="G49" s="628"/>
      <c r="H49" s="628"/>
      <c r="I49" s="628"/>
      <c r="J49" s="628"/>
      <c r="K49" s="628"/>
      <c r="L49" s="628"/>
      <c r="M49" s="628"/>
      <c r="N49" s="628"/>
    </row>
    <row r="50" spans="1:14" x14ac:dyDescent="0.3">
      <c r="A50" s="628"/>
      <c r="B50" s="678"/>
      <c r="C50" s="696"/>
      <c r="D50" s="660"/>
      <c r="E50" s="660"/>
      <c r="F50" s="628"/>
      <c r="G50" s="628"/>
      <c r="H50" s="628"/>
      <c r="I50" s="628"/>
      <c r="J50" s="628"/>
      <c r="K50" s="628"/>
      <c r="L50" s="628"/>
      <c r="M50" s="628"/>
      <c r="N50" s="628"/>
    </row>
    <row r="51" spans="1:14" x14ac:dyDescent="0.3">
      <c r="A51" s="628"/>
      <c r="B51" s="678"/>
      <c r="C51" s="696"/>
      <c r="D51" s="697"/>
      <c r="E51" s="697"/>
      <c r="F51" s="628"/>
      <c r="G51" s="628"/>
      <c r="H51" s="628"/>
      <c r="I51" s="628"/>
      <c r="J51" s="628"/>
      <c r="K51" s="628"/>
      <c r="L51" s="628"/>
      <c r="M51" s="628"/>
      <c r="N51" s="628"/>
    </row>
    <row r="52" spans="1:14" x14ac:dyDescent="0.3">
      <c r="A52" s="628"/>
      <c r="B52" s="695"/>
      <c r="C52" s="658"/>
      <c r="D52" s="658"/>
      <c r="E52" s="658"/>
      <c r="F52" s="628"/>
      <c r="G52" s="628"/>
      <c r="H52" s="628"/>
      <c r="I52" s="628"/>
      <c r="J52" s="628"/>
      <c r="K52" s="628"/>
      <c r="L52" s="628"/>
      <c r="M52" s="628"/>
      <c r="N52" s="628"/>
    </row>
    <row r="53" spans="1:14" x14ac:dyDescent="0.3">
      <c r="A53" s="628"/>
      <c r="B53" s="678"/>
      <c r="C53" s="696"/>
      <c r="D53" s="660"/>
      <c r="E53" s="660"/>
      <c r="F53" s="628"/>
      <c r="G53" s="628"/>
      <c r="H53" s="628"/>
      <c r="I53" s="628"/>
      <c r="J53" s="628"/>
      <c r="K53" s="628"/>
      <c r="L53" s="628"/>
      <c r="M53" s="628"/>
      <c r="N53" s="628"/>
    </row>
    <row r="54" spans="1:14" x14ac:dyDescent="0.3">
      <c r="B54" s="678"/>
      <c r="C54" s="696"/>
      <c r="D54" s="697"/>
      <c r="E54" s="697"/>
    </row>
    <row r="55" spans="1:14" x14ac:dyDescent="0.3">
      <c r="B55" s="695"/>
      <c r="C55" s="678"/>
      <c r="D55" s="678"/>
      <c r="E55" s="678"/>
    </row>
    <row r="56" spans="1:14" x14ac:dyDescent="0.3">
      <c r="B56" s="678"/>
      <c r="C56" s="696"/>
      <c r="D56" s="660"/>
      <c r="E56" s="660"/>
    </row>
    <row r="57" spans="1:14" x14ac:dyDescent="0.3">
      <c r="B57" s="678"/>
      <c r="C57" s="696"/>
      <c r="D57" s="697"/>
      <c r="E57" s="697"/>
    </row>
    <row r="58" spans="1:14" x14ac:dyDescent="0.3">
      <c r="B58" s="695"/>
      <c r="C58" s="678"/>
      <c r="D58" s="678"/>
      <c r="E58" s="678"/>
    </row>
  </sheetData>
  <mergeCells count="1">
    <mergeCell ref="B6:O6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Roman,Bold"&amp;7REVISED</oddHeader>
    <oddFooter>&amp;CPage 9&amp;R&amp;F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DF96-9B4F-4852-AFDB-C9F932A53DD3}">
  <sheetPr codeName="Sheet3"/>
  <dimension ref="A1:N230"/>
  <sheetViews>
    <sheetView zoomScale="80" zoomScaleNormal="80" workbookViewId="0"/>
  </sheetViews>
  <sheetFormatPr defaultColWidth="9.109375" defaultRowHeight="15" x14ac:dyDescent="0.25"/>
  <cols>
    <col min="1" max="1" width="4.88671875" style="9" bestFit="1" customWidth="1"/>
    <col min="2" max="2" width="72.88671875" style="9" customWidth="1"/>
    <col min="3" max="3" width="1.88671875" style="9" customWidth="1"/>
    <col min="4" max="4" width="15.88671875" style="9" customWidth="1"/>
    <col min="5" max="5" width="1.88671875" style="9" customWidth="1"/>
    <col min="6" max="6" width="14.5546875" style="9" customWidth="1"/>
    <col min="7" max="7" width="1.88671875" style="9" customWidth="1"/>
    <col min="8" max="8" width="16.109375" style="9" customWidth="1"/>
    <col min="9" max="9" width="1.5546875" style="9" customWidth="1"/>
    <col min="10" max="10" width="13.5546875" style="9" customWidth="1"/>
    <col min="11" max="11" width="33.88671875" style="9" customWidth="1"/>
    <col min="12" max="12" width="4.88671875" style="98" bestFit="1" customWidth="1"/>
    <col min="13" max="13" width="10.88671875" style="9" bestFit="1" customWidth="1"/>
    <col min="14" max="16384" width="9.109375" style="9"/>
  </cols>
  <sheetData>
    <row r="1" spans="1:14" ht="15.6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2"/>
      <c r="L1" s="2"/>
    </row>
    <row r="2" spans="1:14" ht="15.6" x14ac:dyDescent="0.3">
      <c r="A2" s="2"/>
      <c r="B2" s="851" t="s">
        <v>0</v>
      </c>
      <c r="C2" s="852"/>
      <c r="D2" s="852"/>
      <c r="E2" s="852"/>
      <c r="F2" s="852"/>
      <c r="G2" s="852"/>
      <c r="H2" s="852"/>
      <c r="I2" s="852"/>
      <c r="J2" s="852"/>
      <c r="K2" s="852"/>
      <c r="L2" s="2"/>
    </row>
    <row r="3" spans="1:14" ht="15.6" x14ac:dyDescent="0.3">
      <c r="A3" s="2" t="s">
        <v>26</v>
      </c>
      <c r="B3" s="851" t="s">
        <v>27</v>
      </c>
      <c r="C3" s="851"/>
      <c r="D3" s="851"/>
      <c r="E3" s="851"/>
      <c r="F3" s="851"/>
      <c r="G3" s="851"/>
      <c r="H3" s="851"/>
      <c r="I3" s="851"/>
      <c r="J3" s="851"/>
      <c r="K3" s="851"/>
      <c r="L3" s="2"/>
    </row>
    <row r="4" spans="1:14" ht="15.6" x14ac:dyDescent="0.3">
      <c r="A4" s="2"/>
      <c r="B4" s="851" t="s">
        <v>28</v>
      </c>
      <c r="C4" s="853"/>
      <c r="D4" s="853"/>
      <c r="E4" s="853"/>
      <c r="F4" s="853"/>
      <c r="G4" s="853"/>
      <c r="H4" s="853"/>
      <c r="I4" s="853"/>
      <c r="J4" s="853"/>
      <c r="K4" s="853"/>
      <c r="L4" s="2"/>
    </row>
    <row r="5" spans="1:14" ht="15.6" x14ac:dyDescent="0.3">
      <c r="A5" s="2"/>
      <c r="B5" s="850" t="s">
        <v>3</v>
      </c>
      <c r="C5" s="852"/>
      <c r="D5" s="852"/>
      <c r="E5" s="852"/>
      <c r="F5" s="852"/>
      <c r="G5" s="852"/>
      <c r="H5" s="852"/>
      <c r="I5" s="852"/>
      <c r="J5" s="852"/>
      <c r="K5" s="852"/>
      <c r="L5" s="2"/>
    </row>
    <row r="6" spans="1:14" ht="15.6" x14ac:dyDescent="0.3">
      <c r="A6" s="2"/>
      <c r="B6" s="8"/>
      <c r="C6" s="1"/>
      <c r="D6" s="1"/>
      <c r="E6" s="1"/>
      <c r="F6" s="99"/>
      <c r="G6" s="100"/>
      <c r="H6" s="99"/>
      <c r="I6" s="1"/>
      <c r="K6" s="1"/>
      <c r="L6" s="2"/>
    </row>
    <row r="7" spans="1:14" ht="15.6" x14ac:dyDescent="0.3">
      <c r="A7" s="2"/>
      <c r="B7" s="8"/>
      <c r="C7" s="1"/>
      <c r="D7" s="1"/>
      <c r="E7" s="1"/>
      <c r="F7" s="10" t="s">
        <v>29</v>
      </c>
      <c r="G7"/>
      <c r="H7" s="10" t="s">
        <v>30</v>
      </c>
      <c r="I7"/>
      <c r="J7" s="10" t="s">
        <v>31</v>
      </c>
      <c r="K7" s="1"/>
      <c r="L7" s="2"/>
    </row>
    <row r="8" spans="1:14" ht="46.8" x14ac:dyDescent="0.3">
      <c r="A8" s="2" t="s">
        <v>4</v>
      </c>
      <c r="B8" s="5"/>
      <c r="C8" s="5"/>
      <c r="D8" s="5"/>
      <c r="E8" s="5"/>
      <c r="F8" s="11" t="s">
        <v>32</v>
      </c>
      <c r="G8" s="12"/>
      <c r="H8" s="11" t="s">
        <v>33</v>
      </c>
      <c r="I8" s="12"/>
      <c r="J8" s="13" t="s">
        <v>34</v>
      </c>
      <c r="K8" s="2"/>
      <c r="L8" s="2" t="s">
        <v>4</v>
      </c>
      <c r="N8" s="11"/>
    </row>
    <row r="9" spans="1:14" ht="15.6" x14ac:dyDescent="0.3">
      <c r="A9" s="3" t="s">
        <v>8</v>
      </c>
      <c r="B9" s="12" t="s">
        <v>26</v>
      </c>
      <c r="C9" s="5"/>
      <c r="D9" s="5"/>
      <c r="E9" s="5"/>
      <c r="F9" s="14" t="s">
        <v>35</v>
      </c>
      <c r="G9" s="5"/>
      <c r="H9" s="14" t="s">
        <v>36</v>
      </c>
      <c r="I9" s="5"/>
      <c r="J9" s="15" t="s">
        <v>37</v>
      </c>
      <c r="K9" s="3" t="s">
        <v>7</v>
      </c>
      <c r="L9" s="3" t="s">
        <v>8</v>
      </c>
    </row>
    <row r="10" spans="1:14" ht="15.6" x14ac:dyDescent="0.3">
      <c r="A10" s="2"/>
      <c r="B10" s="16" t="s">
        <v>38</v>
      </c>
      <c r="C10" s="17"/>
      <c r="D10" s="17"/>
      <c r="E10" s="17"/>
      <c r="F10" s="5"/>
      <c r="G10" s="5"/>
      <c r="H10" s="5"/>
      <c r="I10" s="5"/>
      <c r="J10" s="5"/>
      <c r="K10" s="2"/>
      <c r="L10" s="2"/>
    </row>
    <row r="11" spans="1:14" ht="15.6" x14ac:dyDescent="0.3">
      <c r="A11" s="2">
        <f t="shared" ref="A11:A40" si="0">A10+1</f>
        <v>1</v>
      </c>
      <c r="B11" s="18" t="s">
        <v>39</v>
      </c>
      <c r="C11" s="19" t="s">
        <v>26</v>
      </c>
      <c r="D11" s="19"/>
      <c r="E11" s="19"/>
      <c r="F11" s="21">
        <f>'Pg3 BK-1 Rev TO5 C4-Cost Adj '!E11</f>
        <v>95535.541019356009</v>
      </c>
      <c r="G11" s="20"/>
      <c r="H11" s="21">
        <f>'Pg4 BK-1 Retail TRR-As Filed'!E12</f>
        <v>95535.541019356009</v>
      </c>
      <c r="I11" s="5"/>
      <c r="J11" s="7">
        <f>F11-H11</f>
        <v>0</v>
      </c>
      <c r="K11" s="2" t="s">
        <v>40</v>
      </c>
      <c r="L11" s="2">
        <f>L10+1</f>
        <v>1</v>
      </c>
    </row>
    <row r="12" spans="1:14" ht="15.6" x14ac:dyDescent="0.3">
      <c r="A12" s="2">
        <f t="shared" si="0"/>
        <v>2</v>
      </c>
      <c r="B12" s="18" t="s">
        <v>26</v>
      </c>
      <c r="C12" s="19"/>
      <c r="D12" s="19"/>
      <c r="E12" s="19"/>
      <c r="F12" s="5" t="s">
        <v>26</v>
      </c>
      <c r="G12" s="5"/>
      <c r="H12" s="5" t="s">
        <v>26</v>
      </c>
      <c r="I12" s="5"/>
      <c r="J12" s="5"/>
      <c r="K12" s="2"/>
      <c r="L12" s="2">
        <f>L11+1</f>
        <v>2</v>
      </c>
    </row>
    <row r="13" spans="1:14" ht="15.6" x14ac:dyDescent="0.3">
      <c r="A13" s="2">
        <f t="shared" si="0"/>
        <v>3</v>
      </c>
      <c r="B13" s="18" t="s">
        <v>41</v>
      </c>
      <c r="C13" s="19"/>
      <c r="D13" s="19"/>
      <c r="E13" s="19"/>
      <c r="F13" s="461">
        <f>'Pg3 BK-1 Rev TO5 C4-Cost Adj '!E13</f>
        <v>81351.457442747444</v>
      </c>
      <c r="G13" s="42" t="s">
        <v>42</v>
      </c>
      <c r="H13" s="22">
        <f>'Pg4 BK-1 Retail TRR-As Filed'!E14</f>
        <v>81368.446559515098</v>
      </c>
      <c r="J13" s="23">
        <f>F13-H13</f>
        <v>-16.989116767654195</v>
      </c>
      <c r="K13" s="2" t="s">
        <v>43</v>
      </c>
      <c r="L13" s="2">
        <f>L12+1</f>
        <v>3</v>
      </c>
    </row>
    <row r="14" spans="1:14" ht="15.6" x14ac:dyDescent="0.3">
      <c r="A14" s="2">
        <f t="shared" si="0"/>
        <v>4</v>
      </c>
      <c r="B14" s="18"/>
      <c r="C14" s="19"/>
      <c r="D14" s="19"/>
      <c r="E14" s="19"/>
      <c r="F14" s="5"/>
      <c r="G14" s="12"/>
      <c r="H14" s="5"/>
      <c r="I14" s="12"/>
      <c r="J14" s="5"/>
      <c r="K14" s="2"/>
      <c r="L14" s="2">
        <f t="shared" ref="L14:L40" si="1">L13+1</f>
        <v>4</v>
      </c>
    </row>
    <row r="15" spans="1:14" ht="15.6" x14ac:dyDescent="0.3">
      <c r="A15" s="2">
        <f t="shared" si="0"/>
        <v>5</v>
      </c>
      <c r="B15" s="18" t="s">
        <v>44</v>
      </c>
      <c r="C15" s="19"/>
      <c r="D15" s="19"/>
      <c r="E15" s="19"/>
      <c r="F15" s="24">
        <f>'Pg3 BK-1 Rev TO5 C4-Cost Adj '!E15</f>
        <v>0</v>
      </c>
      <c r="G15" s="12"/>
      <c r="H15" s="24">
        <f>'Pg4 BK-1 Retail TRR-As Filed'!E16</f>
        <v>0</v>
      </c>
      <c r="I15" s="12"/>
      <c r="J15" s="25">
        <f>F15-H15</f>
        <v>0</v>
      </c>
      <c r="K15" s="2" t="s">
        <v>45</v>
      </c>
      <c r="L15" s="2">
        <f t="shared" si="1"/>
        <v>5</v>
      </c>
    </row>
    <row r="16" spans="1:14" ht="15.6" x14ac:dyDescent="0.3">
      <c r="A16" s="2">
        <f t="shared" si="0"/>
        <v>6</v>
      </c>
      <c r="B16" s="18" t="s">
        <v>46</v>
      </c>
      <c r="C16" s="19" t="s">
        <v>26</v>
      </c>
      <c r="D16" s="19"/>
      <c r="E16" s="19"/>
      <c r="F16" s="462">
        <f>F11+F13+F15</f>
        <v>176886.99846210345</v>
      </c>
      <c r="G16" s="42" t="s">
        <v>42</v>
      </c>
      <c r="H16" s="26">
        <f>H11+H13+H15</f>
        <v>176903.98757887111</v>
      </c>
      <c r="I16" s="5"/>
      <c r="J16" s="462">
        <f>J11+J13+J15</f>
        <v>-16.989116767654195</v>
      </c>
      <c r="K16" s="2" t="s">
        <v>47</v>
      </c>
      <c r="L16" s="2">
        <f t="shared" si="1"/>
        <v>6</v>
      </c>
    </row>
    <row r="17" spans="1:12" ht="15.6" x14ac:dyDescent="0.3">
      <c r="A17" s="2">
        <f t="shared" si="0"/>
        <v>7</v>
      </c>
      <c r="B17" s="5"/>
      <c r="C17" s="5"/>
      <c r="D17" s="5"/>
      <c r="E17" s="5"/>
      <c r="F17" s="5"/>
      <c r="G17" s="5"/>
      <c r="H17" s="5"/>
      <c r="I17" s="5"/>
      <c r="J17" s="5"/>
      <c r="K17" s="2"/>
      <c r="L17" s="2">
        <f t="shared" si="1"/>
        <v>7</v>
      </c>
    </row>
    <row r="18" spans="1:12" ht="15.6" x14ac:dyDescent="0.3">
      <c r="A18" s="2">
        <f t="shared" si="0"/>
        <v>8</v>
      </c>
      <c r="B18" s="5" t="s">
        <v>48</v>
      </c>
      <c r="C18" s="19"/>
      <c r="D18" s="19"/>
      <c r="E18" s="19"/>
      <c r="F18" s="22">
        <f>'Pg3 BK-1 Rev TO5 C4-Cost Adj '!E18</f>
        <v>225950.77038593692</v>
      </c>
      <c r="H18" s="22">
        <f>'Pg4 BK-1 Retail TRR-As Filed'!E19</f>
        <v>225950.77038593692</v>
      </c>
      <c r="I18" s="5"/>
      <c r="J18" s="23">
        <f>F18-H18</f>
        <v>0</v>
      </c>
      <c r="K18" s="2" t="s">
        <v>49</v>
      </c>
      <c r="L18" s="2">
        <f t="shared" si="1"/>
        <v>8</v>
      </c>
    </row>
    <row r="19" spans="1:12" ht="15.6" x14ac:dyDescent="0.3">
      <c r="A19" s="2">
        <f t="shared" si="0"/>
        <v>9</v>
      </c>
      <c r="B19" s="5"/>
      <c r="C19" s="5"/>
      <c r="D19" s="5"/>
      <c r="E19" s="5"/>
      <c r="F19" s="22"/>
      <c r="G19" s="5"/>
      <c r="H19" s="22"/>
      <c r="I19" s="5"/>
      <c r="J19" s="5"/>
      <c r="K19" s="2"/>
      <c r="L19" s="2">
        <f t="shared" si="1"/>
        <v>9</v>
      </c>
    </row>
    <row r="20" spans="1:12" ht="18" x14ac:dyDescent="0.3">
      <c r="A20" s="2">
        <f t="shared" si="0"/>
        <v>10</v>
      </c>
      <c r="B20" s="27" t="s">
        <v>50</v>
      </c>
      <c r="C20" s="5"/>
      <c r="D20" s="5"/>
      <c r="E20" s="5"/>
      <c r="F20" s="22">
        <f>'Pg3 BK-1 Rev TO5 C4-Cost Adj '!E20</f>
        <v>0</v>
      </c>
      <c r="G20" s="5"/>
      <c r="H20" s="22">
        <f>'Pg4 BK-1 Retail TRR-As Filed'!E21</f>
        <v>0</v>
      </c>
      <c r="I20" s="5"/>
      <c r="J20" s="23">
        <f>F20-H20</f>
        <v>0</v>
      </c>
      <c r="K20" s="2" t="s">
        <v>51</v>
      </c>
      <c r="L20" s="2">
        <f t="shared" si="1"/>
        <v>10</v>
      </c>
    </row>
    <row r="21" spans="1:12" ht="15.6" x14ac:dyDescent="0.3">
      <c r="A21" s="2">
        <f t="shared" si="0"/>
        <v>11</v>
      </c>
      <c r="B21" s="5"/>
      <c r="C21" s="5"/>
      <c r="D21" s="5"/>
      <c r="E21" s="5"/>
      <c r="F21" s="22"/>
      <c r="G21" s="5"/>
      <c r="H21" s="22"/>
      <c r="I21" s="5"/>
      <c r="J21" s="5"/>
      <c r="K21" s="2"/>
      <c r="L21" s="2">
        <f t="shared" si="1"/>
        <v>11</v>
      </c>
    </row>
    <row r="22" spans="1:12" ht="15.6" x14ac:dyDescent="0.3">
      <c r="A22" s="2">
        <f t="shared" si="0"/>
        <v>12</v>
      </c>
      <c r="B22" s="5" t="s">
        <v>52</v>
      </c>
      <c r="C22" s="19" t="s">
        <v>26</v>
      </c>
      <c r="D22" s="19"/>
      <c r="E22" s="19"/>
      <c r="F22" s="22">
        <f>'Pg3 BK-1 Rev TO5 C4-Cost Adj '!E22</f>
        <v>57780.481143755853</v>
      </c>
      <c r="H22" s="22">
        <f>'Pg4 BK-1 Retail TRR-As Filed'!E23</f>
        <v>57780.481143755853</v>
      </c>
      <c r="I22" s="12"/>
      <c r="J22" s="23">
        <f>F22-H22</f>
        <v>0</v>
      </c>
      <c r="K22" s="2" t="s">
        <v>53</v>
      </c>
      <c r="L22" s="2">
        <f t="shared" si="1"/>
        <v>12</v>
      </c>
    </row>
    <row r="23" spans="1:12" ht="15.6" x14ac:dyDescent="0.3">
      <c r="A23" s="2">
        <f t="shared" si="0"/>
        <v>13</v>
      </c>
      <c r="B23" s="18"/>
      <c r="C23" s="19"/>
      <c r="D23" s="19"/>
      <c r="E23" s="19"/>
      <c r="F23" s="22"/>
      <c r="G23" s="5"/>
      <c r="H23" s="22"/>
      <c r="I23" s="5"/>
      <c r="J23" s="5"/>
      <c r="K23" s="28"/>
      <c r="L23" s="2">
        <f t="shared" si="1"/>
        <v>13</v>
      </c>
    </row>
    <row r="24" spans="1:12" ht="15.6" x14ac:dyDescent="0.3">
      <c r="A24" s="2">
        <f t="shared" si="0"/>
        <v>14</v>
      </c>
      <c r="B24" s="5" t="s">
        <v>54</v>
      </c>
      <c r="C24" s="19"/>
      <c r="D24" s="19"/>
      <c r="E24" s="19"/>
      <c r="F24" s="29">
        <f>'Pg3 BK-1 Rev TO5 C4-Cost Adj '!E24</f>
        <v>3104.6015779338113</v>
      </c>
      <c r="G24" s="20"/>
      <c r="H24" s="29">
        <f>'Pg4 BK-1 Retail TRR-As Filed'!E25</f>
        <v>3104.6015779338113</v>
      </c>
      <c r="I24" s="5"/>
      <c r="J24" s="25">
        <f>F24-H24</f>
        <v>0</v>
      </c>
      <c r="K24" s="2" t="s">
        <v>55</v>
      </c>
      <c r="L24" s="2">
        <f t="shared" si="1"/>
        <v>14</v>
      </c>
    </row>
    <row r="25" spans="1:12" ht="15.6" x14ac:dyDescent="0.3">
      <c r="A25" s="2">
        <f t="shared" si="0"/>
        <v>15</v>
      </c>
      <c r="B25" s="18" t="s">
        <v>56</v>
      </c>
      <c r="C25" s="19"/>
      <c r="D25" s="19"/>
      <c r="E25" s="19"/>
      <c r="F25" s="30">
        <f>SUM(F16:F24)</f>
        <v>463722.85156973003</v>
      </c>
      <c r="G25" s="20" t="s">
        <v>42</v>
      </c>
      <c r="H25" s="31">
        <f>SUM(H16:H24)</f>
        <v>463739.84068649769</v>
      </c>
      <c r="J25" s="30">
        <f>SUM(J16:J24)</f>
        <v>-16.989116767654195</v>
      </c>
      <c r="K25" s="28" t="s">
        <v>57</v>
      </c>
      <c r="L25" s="2">
        <f t="shared" si="1"/>
        <v>15</v>
      </c>
    </row>
    <row r="26" spans="1:12" ht="15.6" x14ac:dyDescent="0.3">
      <c r="A26" s="2">
        <f t="shared" si="0"/>
        <v>16</v>
      </c>
      <c r="B26" s="18"/>
      <c r="C26" s="19"/>
      <c r="D26" s="19"/>
      <c r="E26" s="19"/>
      <c r="F26" s="12"/>
      <c r="G26" s="5"/>
      <c r="H26" s="5"/>
      <c r="J26" s="5"/>
      <c r="K26" s="2"/>
      <c r="L26" s="2">
        <f t="shared" si="1"/>
        <v>16</v>
      </c>
    </row>
    <row r="27" spans="1:12" ht="18" x14ac:dyDescent="0.3">
      <c r="A27" s="2">
        <f t="shared" si="0"/>
        <v>17</v>
      </c>
      <c r="B27" s="32" t="s">
        <v>58</v>
      </c>
      <c r="C27" s="19"/>
      <c r="D27" s="19"/>
      <c r="E27" s="19"/>
      <c r="F27" s="642">
        <f>'Pg3 BK-1 Rev TO5 C4-Cost Adj '!E27</f>
        <v>9.5816762149131596E-2</v>
      </c>
      <c r="G27" s="20" t="s">
        <v>42</v>
      </c>
      <c r="H27" s="33">
        <f>'Pg4 BK-1 Retail TRR-As Filed'!E28</f>
        <v>9.6007908353307039E-2</v>
      </c>
      <c r="J27" s="646">
        <f>F27-H27</f>
        <v>-1.9114620417544359E-4</v>
      </c>
      <c r="K27" s="2" t="s">
        <v>59</v>
      </c>
      <c r="L27" s="2">
        <f t="shared" si="1"/>
        <v>17</v>
      </c>
    </row>
    <row r="28" spans="1:12" ht="15.6" x14ac:dyDescent="0.3">
      <c r="A28" s="2">
        <f t="shared" si="0"/>
        <v>18</v>
      </c>
      <c r="B28" s="18" t="s">
        <v>60</v>
      </c>
      <c r="C28" s="19"/>
      <c r="D28" s="19"/>
      <c r="E28" s="19"/>
      <c r="F28" s="30">
        <f>+F138</f>
        <v>4577996.2614806164</v>
      </c>
      <c r="G28" s="20" t="s">
        <v>42</v>
      </c>
      <c r="H28" s="31">
        <f>'Pg4 BK-1 Retail TRR-As Filed'!E29</f>
        <v>4601951.905053095</v>
      </c>
      <c r="J28" s="25">
        <f>F28-H28</f>
        <v>-23955.643572478555</v>
      </c>
      <c r="K28" s="2" t="s">
        <v>61</v>
      </c>
      <c r="L28" s="2">
        <f t="shared" si="1"/>
        <v>18</v>
      </c>
    </row>
    <row r="29" spans="1:12" ht="15.6" x14ac:dyDescent="0.3">
      <c r="A29" s="2">
        <f t="shared" si="0"/>
        <v>19</v>
      </c>
      <c r="B29" s="27" t="s">
        <v>62</v>
      </c>
      <c r="C29" s="5"/>
      <c r="D29" s="5"/>
      <c r="E29" s="5"/>
      <c r="F29" s="34">
        <f>F27*F28</f>
        <v>438648.77890590188</v>
      </c>
      <c r="G29" s="20" t="s">
        <v>42</v>
      </c>
      <c r="H29" s="35">
        <f>H27*H28</f>
        <v>441823.77674666425</v>
      </c>
      <c r="J29" s="34">
        <f>F29-H29</f>
        <v>-3174.9978407623712</v>
      </c>
      <c r="K29" s="28" t="s">
        <v>63</v>
      </c>
      <c r="L29" s="2">
        <f t="shared" si="1"/>
        <v>19</v>
      </c>
    </row>
    <row r="30" spans="1:12" ht="15.6" x14ac:dyDescent="0.3">
      <c r="A30" s="2">
        <f t="shared" si="0"/>
        <v>20</v>
      </c>
      <c r="B30" s="5"/>
      <c r="C30" s="5"/>
      <c r="D30" s="5"/>
      <c r="E30" s="5"/>
      <c r="F30" s="34"/>
      <c r="G30" s="20"/>
      <c r="H30" s="35"/>
      <c r="J30" s="34"/>
      <c r="K30" s="2"/>
      <c r="L30" s="2">
        <f t="shared" si="1"/>
        <v>20</v>
      </c>
    </row>
    <row r="31" spans="1:12" ht="18" x14ac:dyDescent="0.3">
      <c r="A31" s="2">
        <f t="shared" si="0"/>
        <v>21</v>
      </c>
      <c r="B31" s="32" t="s">
        <v>64</v>
      </c>
      <c r="C31" s="5"/>
      <c r="D31" s="5"/>
      <c r="E31" s="5"/>
      <c r="F31" s="36">
        <f>'Pg3 BK-1 Rev TO5 C4-Cost Adj '!E31</f>
        <v>3.8994570343371454E-3</v>
      </c>
      <c r="G31" s="20"/>
      <c r="H31" s="36">
        <f>'Pg4 BK-1 Retail TRR-As Filed'!E32</f>
        <v>3.8994570343371454E-3</v>
      </c>
      <c r="J31" s="36">
        <f>F31-H31</f>
        <v>0</v>
      </c>
      <c r="K31" s="2" t="s">
        <v>65</v>
      </c>
      <c r="L31" s="2">
        <f t="shared" si="1"/>
        <v>21</v>
      </c>
    </row>
    <row r="32" spans="1:12" ht="15.6" x14ac:dyDescent="0.3">
      <c r="A32" s="2">
        <f t="shared" si="0"/>
        <v>22</v>
      </c>
      <c r="B32" s="32" t="s">
        <v>60</v>
      </c>
      <c r="C32" s="5"/>
      <c r="D32" s="5"/>
      <c r="E32" s="5"/>
      <c r="F32" s="30">
        <f>F138-F121</f>
        <v>4577996.2614806164</v>
      </c>
      <c r="G32" s="20" t="s">
        <v>42</v>
      </c>
      <c r="H32" s="31">
        <f>'Pg4 BK-1 Retail TRR-As Filed'!E33</f>
        <v>4601951.905053095</v>
      </c>
      <c r="J32" s="30">
        <f>F32-H32</f>
        <v>-23955.643572478555</v>
      </c>
      <c r="K32" s="2" t="s">
        <v>66</v>
      </c>
      <c r="L32" s="2">
        <f t="shared" si="1"/>
        <v>22</v>
      </c>
    </row>
    <row r="33" spans="1:12" ht="15.6" x14ac:dyDescent="0.3">
      <c r="A33" s="2">
        <f t="shared" si="0"/>
        <v>23</v>
      </c>
      <c r="B33" s="27" t="s">
        <v>67</v>
      </c>
      <c r="C33" s="5"/>
      <c r="D33" s="5"/>
      <c r="E33" s="5"/>
      <c r="F33" s="34">
        <f>F31*F32</f>
        <v>17851.699724999744</v>
      </c>
      <c r="G33" s="20" t="s">
        <v>42</v>
      </c>
      <c r="H33" s="35">
        <f>H31*H32</f>
        <v>17945.113727840519</v>
      </c>
      <c r="J33" s="34">
        <f>F33-H33</f>
        <v>-93.414002840774629</v>
      </c>
      <c r="K33" s="28" t="s">
        <v>68</v>
      </c>
      <c r="L33" s="2">
        <f t="shared" si="1"/>
        <v>23</v>
      </c>
    </row>
    <row r="34" spans="1:12" ht="15.6" x14ac:dyDescent="0.3">
      <c r="A34" s="2">
        <f t="shared" si="0"/>
        <v>24</v>
      </c>
      <c r="B34" s="5"/>
      <c r="C34" s="5"/>
      <c r="D34" s="5"/>
      <c r="E34" s="5"/>
      <c r="F34" s="34"/>
      <c r="G34" s="20"/>
      <c r="H34" s="35"/>
      <c r="J34" s="34"/>
      <c r="K34" s="2"/>
      <c r="L34" s="2">
        <f t="shared" si="1"/>
        <v>24</v>
      </c>
    </row>
    <row r="35" spans="1:12" ht="15.6" x14ac:dyDescent="0.3">
      <c r="A35" s="2">
        <f t="shared" si="0"/>
        <v>25</v>
      </c>
      <c r="B35" s="27" t="s">
        <v>69</v>
      </c>
      <c r="C35" s="5"/>
      <c r="D35" s="5"/>
      <c r="E35" s="5"/>
      <c r="F35" s="21">
        <f>'Pg3 BK-1 Rev TO5 C4-Cost Adj '!E35</f>
        <v>1304.0991895338727</v>
      </c>
      <c r="G35" s="22"/>
      <c r="H35" s="21">
        <f>'Pg4 BK-1 Retail TRR-As Filed'!E36</f>
        <v>1304.0991895338727</v>
      </c>
      <c r="I35" s="22"/>
      <c r="J35" s="21">
        <f t="shared" ref="J35:J38" si="2">F35-H35</f>
        <v>0</v>
      </c>
      <c r="K35" s="2" t="s">
        <v>70</v>
      </c>
      <c r="L35" s="2">
        <f t="shared" si="1"/>
        <v>25</v>
      </c>
    </row>
    <row r="36" spans="1:12" ht="15.6" x14ac:dyDescent="0.3">
      <c r="A36" s="2">
        <f t="shared" si="0"/>
        <v>26</v>
      </c>
      <c r="B36" s="27" t="s">
        <v>71</v>
      </c>
      <c r="C36" s="5"/>
      <c r="D36" s="5"/>
      <c r="E36" s="5"/>
      <c r="F36" s="461">
        <f>'Pg3 BK-1 Rev TO5 C4-Cost Adj '!E36</f>
        <v>-4408.3500000000004</v>
      </c>
      <c r="G36" s="20" t="s">
        <v>42</v>
      </c>
      <c r="H36" s="22">
        <f>'Pg4 BK-1 Retail TRR-As Filed'!E37</f>
        <v>-4344.3500000000004</v>
      </c>
      <c r="I36" s="5"/>
      <c r="J36" s="23">
        <f t="shared" si="2"/>
        <v>-64</v>
      </c>
      <c r="K36" s="2" t="s">
        <v>72</v>
      </c>
      <c r="L36" s="2">
        <f t="shared" si="1"/>
        <v>26</v>
      </c>
    </row>
    <row r="37" spans="1:12" ht="15.6" x14ac:dyDescent="0.3">
      <c r="A37" s="2">
        <f t="shared" si="0"/>
        <v>27</v>
      </c>
      <c r="B37" s="27" t="s">
        <v>73</v>
      </c>
      <c r="C37" s="5"/>
      <c r="D37" s="5"/>
      <c r="E37" s="5"/>
      <c r="F37" s="22">
        <f>'Pg3 BK-1 Rev TO5 C4-Cost Adj '!E37</f>
        <v>0</v>
      </c>
      <c r="G37" s="5"/>
      <c r="H37" s="22">
        <f>'Pg4 BK-1 Retail TRR-As Filed'!E38</f>
        <v>0</v>
      </c>
      <c r="I37" s="5"/>
      <c r="J37" s="23">
        <f t="shared" si="2"/>
        <v>0</v>
      </c>
      <c r="K37" s="2" t="s">
        <v>74</v>
      </c>
      <c r="L37" s="2">
        <f t="shared" si="1"/>
        <v>27</v>
      </c>
    </row>
    <row r="38" spans="1:12" ht="15.6" x14ac:dyDescent="0.3">
      <c r="A38" s="2">
        <f t="shared" si="0"/>
        <v>28</v>
      </c>
      <c r="B38" s="37" t="s">
        <v>75</v>
      </c>
      <c r="C38" s="5"/>
      <c r="D38" s="5"/>
      <c r="E38" s="5"/>
      <c r="F38" s="29">
        <f>'Pg3 BK-1 Rev TO5 C4-Cost Adj '!E38</f>
        <v>0</v>
      </c>
      <c r="G38" s="20"/>
      <c r="H38" s="29">
        <f>'Pg4 BK-1 Retail TRR-As Filed'!E39</f>
        <v>0</v>
      </c>
      <c r="I38" s="5"/>
      <c r="J38" s="25">
        <f t="shared" si="2"/>
        <v>0</v>
      </c>
      <c r="K38" s="2" t="s">
        <v>76</v>
      </c>
      <c r="L38" s="2">
        <f t="shared" si="1"/>
        <v>28</v>
      </c>
    </row>
    <row r="39" spans="1:12" ht="15.6" x14ac:dyDescent="0.3">
      <c r="A39" s="2">
        <f t="shared" si="0"/>
        <v>29</v>
      </c>
      <c r="B39" s="5"/>
      <c r="C39" s="5"/>
      <c r="D39" s="5"/>
      <c r="E39" s="5"/>
      <c r="F39" s="5"/>
      <c r="G39" s="5"/>
      <c r="H39" s="5"/>
      <c r="I39" s="5"/>
      <c r="J39" s="5"/>
      <c r="K39" s="28"/>
      <c r="L39" s="2">
        <f t="shared" si="1"/>
        <v>29</v>
      </c>
    </row>
    <row r="40" spans="1:12" ht="31.8" thickBot="1" x14ac:dyDescent="0.45">
      <c r="A40" s="2">
        <f t="shared" si="0"/>
        <v>30</v>
      </c>
      <c r="B40" s="271" t="s">
        <v>77</v>
      </c>
      <c r="C40" s="19"/>
      <c r="D40" s="19"/>
      <c r="E40" s="19"/>
      <c r="F40" s="38">
        <f>F25+F29+F33+SUM(F35:F38)</f>
        <v>917119.07939016551</v>
      </c>
      <c r="G40" s="20" t="s">
        <v>42</v>
      </c>
      <c r="H40" s="39">
        <f>H25+H29+H33+SUM(H35:H38)</f>
        <v>920468.48035053629</v>
      </c>
      <c r="J40" s="38">
        <f>F40-H40</f>
        <v>-3349.4009603707818</v>
      </c>
      <c r="K40" s="95" t="s">
        <v>78</v>
      </c>
      <c r="L40" s="2">
        <f t="shared" si="1"/>
        <v>30</v>
      </c>
    </row>
    <row r="41" spans="1:12" ht="16.2" thickTop="1" x14ac:dyDescent="0.3">
      <c r="A41" s="2"/>
      <c r="B41" s="27"/>
      <c r="C41" s="19"/>
      <c r="D41" s="19"/>
      <c r="E41" s="19"/>
      <c r="F41" s="40"/>
      <c r="G41" s="20"/>
      <c r="H41" s="41"/>
      <c r="J41" s="41"/>
      <c r="K41" s="28"/>
      <c r="L41" s="2"/>
    </row>
    <row r="42" spans="1:12" ht="15.6" x14ac:dyDescent="0.3">
      <c r="A42" s="42" t="s">
        <v>42</v>
      </c>
      <c r="B42" s="12" t="s">
        <v>79</v>
      </c>
      <c r="C42" s="19"/>
      <c r="D42" s="19"/>
      <c r="E42" s="19"/>
      <c r="F42" s="40"/>
      <c r="G42" s="20"/>
      <c r="H42" s="41"/>
      <c r="J42" s="41"/>
      <c r="K42" s="28"/>
      <c r="L42" s="2"/>
    </row>
    <row r="43" spans="1:12" ht="15.6" x14ac:dyDescent="0.3">
      <c r="A43" s="42"/>
      <c r="B43" s="12" t="s">
        <v>80</v>
      </c>
      <c r="C43" s="19"/>
      <c r="D43" s="19"/>
      <c r="E43" s="19"/>
      <c r="F43" s="40"/>
      <c r="G43" s="20"/>
      <c r="H43" s="41"/>
      <c r="J43" s="41"/>
      <c r="K43" s="28"/>
      <c r="L43" s="2"/>
    </row>
    <row r="44" spans="1:12" ht="18" x14ac:dyDescent="0.3">
      <c r="A44" s="43">
        <v>1</v>
      </c>
      <c r="B44" s="27" t="s">
        <v>81</v>
      </c>
      <c r="C44" s="19"/>
      <c r="D44" s="19"/>
      <c r="E44" s="19"/>
      <c r="F44" s="40"/>
      <c r="G44" s="20"/>
      <c r="H44" s="41"/>
      <c r="J44" s="41"/>
      <c r="K44" s="28"/>
      <c r="L44" s="2"/>
    </row>
    <row r="45" spans="1:12" ht="15.6" x14ac:dyDescent="0.3">
      <c r="A45" s="2"/>
      <c r="B45" s="27"/>
      <c r="C45" s="19"/>
      <c r="D45" s="19"/>
      <c r="E45" s="19"/>
      <c r="F45" s="40"/>
      <c r="G45" s="20"/>
      <c r="H45" s="41"/>
      <c r="J45" s="41"/>
      <c r="K45" s="28"/>
      <c r="L45" s="2"/>
    </row>
    <row r="46" spans="1:12" ht="15.6" x14ac:dyDescent="0.3">
      <c r="A46" s="2"/>
      <c r="B46" s="27"/>
      <c r="C46" s="19"/>
      <c r="D46" s="19"/>
      <c r="E46" s="19"/>
      <c r="F46" s="40"/>
      <c r="G46" s="20"/>
      <c r="H46" s="41"/>
      <c r="J46" s="41"/>
      <c r="K46" s="28"/>
      <c r="L46" s="2"/>
    </row>
    <row r="47" spans="1:12" ht="15.6" x14ac:dyDescent="0.3">
      <c r="A47" s="2"/>
      <c r="B47" s="851" t="s">
        <v>0</v>
      </c>
      <c r="C47" s="852"/>
      <c r="D47" s="852"/>
      <c r="E47" s="852"/>
      <c r="F47" s="852"/>
      <c r="G47" s="852"/>
      <c r="H47" s="852"/>
      <c r="I47" s="852"/>
      <c r="J47" s="852"/>
      <c r="K47" s="852"/>
      <c r="L47" s="2"/>
    </row>
    <row r="48" spans="1:12" ht="15.6" x14ac:dyDescent="0.3">
      <c r="A48" s="2" t="s">
        <v>26</v>
      </c>
      <c r="B48" s="851" t="str">
        <f>B3</f>
        <v>TO5 Cycle 5 Annual Informational Filing</v>
      </c>
      <c r="C48" s="852"/>
      <c r="D48" s="852"/>
      <c r="E48" s="852"/>
      <c r="F48" s="852"/>
      <c r="G48" s="852"/>
      <c r="H48" s="852"/>
      <c r="I48" s="852"/>
      <c r="J48" s="852"/>
      <c r="K48" s="852"/>
      <c r="L48" s="2"/>
    </row>
    <row r="49" spans="1:14" ht="15.6" x14ac:dyDescent="0.3">
      <c r="A49" s="2"/>
      <c r="B49" s="851" t="str">
        <f>B4</f>
        <v>Derivation of Other BTRR Adjustments Applicable to TO5 Cycle 4</v>
      </c>
      <c r="C49" s="853"/>
      <c r="D49" s="853"/>
      <c r="E49" s="853"/>
      <c r="F49" s="853"/>
      <c r="G49" s="853"/>
      <c r="H49" s="853"/>
      <c r="I49" s="853"/>
      <c r="J49" s="853"/>
      <c r="K49" s="853"/>
      <c r="L49" s="2"/>
    </row>
    <row r="50" spans="1:14" ht="15.6" x14ac:dyDescent="0.3">
      <c r="A50" s="2"/>
      <c r="B50" s="850" t="s">
        <v>3</v>
      </c>
      <c r="C50" s="852"/>
      <c r="D50" s="852"/>
      <c r="E50" s="852"/>
      <c r="F50" s="852"/>
      <c r="G50" s="852"/>
      <c r="H50" s="852"/>
      <c r="I50" s="852"/>
      <c r="J50" s="852"/>
      <c r="K50" s="852"/>
      <c r="L50" s="2"/>
    </row>
    <row r="51" spans="1:14" ht="15.6" x14ac:dyDescent="0.3">
      <c r="A51" s="2"/>
      <c r="B51" s="8"/>
      <c r="C51" s="1"/>
      <c r="D51" s="1"/>
      <c r="E51" s="1"/>
      <c r="G51" s="1"/>
      <c r="I51" s="1"/>
      <c r="K51" s="1"/>
      <c r="L51" s="2"/>
    </row>
    <row r="52" spans="1:14" ht="15.6" x14ac:dyDescent="0.3">
      <c r="A52" s="2"/>
      <c r="B52" s="8"/>
      <c r="C52" s="1"/>
      <c r="D52" s="1"/>
      <c r="E52" s="1"/>
      <c r="F52" s="10" t="s">
        <v>29</v>
      </c>
      <c r="G52"/>
      <c r="H52" s="10" t="s">
        <v>30</v>
      </c>
      <c r="I52"/>
      <c r="J52" s="10" t="s">
        <v>31</v>
      </c>
      <c r="K52" s="1"/>
      <c r="L52" s="2"/>
    </row>
    <row r="53" spans="1:14" ht="49.65" customHeight="1" x14ac:dyDescent="0.3">
      <c r="A53" s="2" t="s">
        <v>4</v>
      </c>
      <c r="B53" s="5"/>
      <c r="C53" s="5"/>
      <c r="D53" s="5"/>
      <c r="E53" s="5"/>
      <c r="F53" s="11" t="str">
        <f>F8</f>
        <v xml:space="preserve">Revised      TO5 C4 </v>
      </c>
      <c r="G53" s="12"/>
      <c r="H53" s="11" t="str">
        <f>H8</f>
        <v>As Filed        TO5 C4          ER 22-527</v>
      </c>
      <c r="I53" s="12"/>
      <c r="J53" s="13" t="s">
        <v>34</v>
      </c>
      <c r="K53" s="2"/>
      <c r="L53" s="2" t="s">
        <v>4</v>
      </c>
      <c r="N53" s="11"/>
    </row>
    <row r="54" spans="1:14" ht="18" x14ac:dyDescent="0.3">
      <c r="A54" s="3" t="s">
        <v>8</v>
      </c>
      <c r="B54" s="12" t="s">
        <v>26</v>
      </c>
      <c r="C54" s="5"/>
      <c r="D54" s="5"/>
      <c r="E54" s="5"/>
      <c r="F54" s="14" t="s">
        <v>82</v>
      </c>
      <c r="G54" s="5"/>
      <c r="H54" s="14" t="s">
        <v>82</v>
      </c>
      <c r="I54" s="5"/>
      <c r="J54" s="15" t="s">
        <v>37</v>
      </c>
      <c r="K54" s="3" t="s">
        <v>7</v>
      </c>
      <c r="L54" s="3" t="s">
        <v>8</v>
      </c>
    </row>
    <row r="55" spans="1:14" ht="18" x14ac:dyDescent="0.3">
      <c r="A55" s="2"/>
      <c r="B55" s="44" t="s">
        <v>83</v>
      </c>
      <c r="C55" s="19"/>
      <c r="D55" s="19"/>
      <c r="E55" s="19"/>
      <c r="F55" s="40"/>
      <c r="G55" s="20"/>
      <c r="H55" s="41"/>
      <c r="J55" s="41"/>
      <c r="K55" s="28"/>
      <c r="L55" s="2"/>
    </row>
    <row r="56" spans="1:14" ht="15.6" x14ac:dyDescent="0.3">
      <c r="A56" s="2">
        <v>1</v>
      </c>
      <c r="B56" s="32" t="s">
        <v>84</v>
      </c>
      <c r="C56" s="19"/>
      <c r="D56" s="19"/>
      <c r="E56" s="19"/>
      <c r="F56" s="41">
        <f>'Pg3 BK-1 Rev TO5 C4-Cost Adj '!E56</f>
        <v>0</v>
      </c>
      <c r="G56" s="20"/>
      <c r="H56" s="41">
        <f>'Pg4 BK-1 Retail TRR-As Filed'!E55</f>
        <v>0</v>
      </c>
      <c r="J56" s="41">
        <f>F56-H56</f>
        <v>0</v>
      </c>
      <c r="K56" s="2" t="s">
        <v>85</v>
      </c>
      <c r="L56" s="2">
        <v>1</v>
      </c>
    </row>
    <row r="57" spans="1:14" ht="15.6" x14ac:dyDescent="0.3">
      <c r="A57" s="2">
        <f>A56+1</f>
        <v>2</v>
      </c>
      <c r="B57" s="32"/>
      <c r="C57" s="19"/>
      <c r="D57" s="19"/>
      <c r="E57" s="19"/>
      <c r="F57" s="40"/>
      <c r="G57" s="20"/>
      <c r="H57" s="41"/>
      <c r="J57" s="41"/>
      <c r="K57" s="28"/>
      <c r="L57" s="2">
        <f>L56+1</f>
        <v>2</v>
      </c>
    </row>
    <row r="58" spans="1:14" ht="18" x14ac:dyDescent="0.3">
      <c r="A58" s="2">
        <f t="shared" ref="A58:A94" si="3">A57+1</f>
        <v>3</v>
      </c>
      <c r="B58" s="32" t="s">
        <v>86</v>
      </c>
      <c r="C58" s="19"/>
      <c r="D58" s="19"/>
      <c r="E58" s="19"/>
      <c r="F58" s="45">
        <f>'Pg3 BK-1 Rev TO5 C4-Cost Adj '!E58</f>
        <v>1.7368511652018213E-2</v>
      </c>
      <c r="G58" s="20"/>
      <c r="H58" s="45">
        <f>'Pg4 BK-1 Retail TRR-As Filed'!E57</f>
        <v>1.7368511652018213E-2</v>
      </c>
      <c r="J58" s="41">
        <f>F58-H58</f>
        <v>0</v>
      </c>
      <c r="K58" s="2" t="s">
        <v>87</v>
      </c>
      <c r="L58" s="2">
        <f t="shared" ref="L58:L94" si="4">L57+1</f>
        <v>3</v>
      </c>
    </row>
    <row r="59" spans="1:14" ht="15.6" x14ac:dyDescent="0.3">
      <c r="A59" s="2">
        <f t="shared" si="3"/>
        <v>4</v>
      </c>
      <c r="B59" s="27" t="s">
        <v>88</v>
      </c>
      <c r="C59" s="19"/>
      <c r="D59" s="19"/>
      <c r="E59" s="19"/>
      <c r="F59" s="46">
        <f>'Pg3 BK-1 Rev TO5 C4-Cost Adj '!E59</f>
        <v>0</v>
      </c>
      <c r="G59" s="20"/>
      <c r="H59" s="46">
        <f>'Pg4 BK-1 Retail TRR-As Filed'!E58</f>
        <v>0</v>
      </c>
      <c r="J59" s="47">
        <f>F59-H59</f>
        <v>0</v>
      </c>
      <c r="K59" s="2" t="s">
        <v>89</v>
      </c>
      <c r="L59" s="2">
        <f t="shared" si="4"/>
        <v>4</v>
      </c>
    </row>
    <row r="60" spans="1:14" ht="15.6" x14ac:dyDescent="0.3">
      <c r="A60" s="2">
        <f t="shared" si="3"/>
        <v>5</v>
      </c>
      <c r="B60" s="27" t="s">
        <v>90</v>
      </c>
      <c r="C60" s="19"/>
      <c r="D60" s="19"/>
      <c r="E60" s="19"/>
      <c r="F60" s="48">
        <f>F59*F58</f>
        <v>0</v>
      </c>
      <c r="G60" s="20"/>
      <c r="H60" s="48">
        <f>H59*H58</f>
        <v>0</v>
      </c>
      <c r="J60" s="41">
        <f>F60-H60</f>
        <v>0</v>
      </c>
      <c r="K60" s="28" t="s">
        <v>91</v>
      </c>
      <c r="L60" s="2">
        <f t="shared" si="4"/>
        <v>5</v>
      </c>
    </row>
    <row r="61" spans="1:14" ht="15.6" x14ac:dyDescent="0.3">
      <c r="A61" s="2">
        <f t="shared" si="3"/>
        <v>6</v>
      </c>
      <c r="B61" s="27"/>
      <c r="C61" s="19"/>
      <c r="D61" s="19"/>
      <c r="E61" s="19"/>
      <c r="F61" s="49"/>
      <c r="G61" s="20"/>
      <c r="H61" s="49"/>
      <c r="J61" s="41"/>
      <c r="K61" s="28"/>
      <c r="L61" s="2">
        <f t="shared" si="4"/>
        <v>6</v>
      </c>
    </row>
    <row r="62" spans="1:14" ht="18" x14ac:dyDescent="0.3">
      <c r="A62" s="2">
        <f t="shared" si="3"/>
        <v>7</v>
      </c>
      <c r="B62" s="32" t="s">
        <v>64</v>
      </c>
      <c r="C62" s="19"/>
      <c r="D62" s="19"/>
      <c r="E62" s="19"/>
      <c r="F62" s="45">
        <f>'Pg3 BK-1 Rev TO5 C4-Cost Adj '!E62</f>
        <v>0</v>
      </c>
      <c r="G62" s="20"/>
      <c r="H62" s="45">
        <f>'Pg4 BK-1 Retail TRR-As Filed'!E61</f>
        <v>0</v>
      </c>
      <c r="J62" s="50">
        <f>F62-H62</f>
        <v>0</v>
      </c>
      <c r="K62" s="2" t="s">
        <v>92</v>
      </c>
      <c r="L62" s="2">
        <f t="shared" si="4"/>
        <v>7</v>
      </c>
    </row>
    <row r="63" spans="1:14" ht="15.6" x14ac:dyDescent="0.3">
      <c r="A63" s="2">
        <f t="shared" si="3"/>
        <v>8</v>
      </c>
      <c r="B63" s="27" t="s">
        <v>88</v>
      </c>
      <c r="C63" s="19"/>
      <c r="D63" s="19"/>
      <c r="E63" s="19"/>
      <c r="F63" s="46">
        <f>'Pg3 BK-1 Rev TO5 C4-Cost Adj '!E63</f>
        <v>0</v>
      </c>
      <c r="G63" s="20"/>
      <c r="H63" s="46">
        <f>H143</f>
        <v>0</v>
      </c>
      <c r="J63" s="47">
        <f>F63-H63</f>
        <v>0</v>
      </c>
      <c r="K63" s="2" t="s">
        <v>93</v>
      </c>
      <c r="L63" s="2">
        <f t="shared" si="4"/>
        <v>8</v>
      </c>
    </row>
    <row r="64" spans="1:14" ht="15.6" x14ac:dyDescent="0.3">
      <c r="A64" s="2">
        <f t="shared" si="3"/>
        <v>9</v>
      </c>
      <c r="B64" s="27" t="s">
        <v>67</v>
      </c>
      <c r="C64" s="19"/>
      <c r="D64" s="19"/>
      <c r="E64" s="19"/>
      <c r="F64" s="48">
        <f>F63*F62</f>
        <v>0</v>
      </c>
      <c r="G64" s="20"/>
      <c r="H64" s="48">
        <f>H63*H62</f>
        <v>0</v>
      </c>
      <c r="J64" s="41">
        <f>F64-H64</f>
        <v>0</v>
      </c>
      <c r="K64" s="28" t="s">
        <v>94</v>
      </c>
      <c r="L64" s="2">
        <f t="shared" si="4"/>
        <v>9</v>
      </c>
    </row>
    <row r="65" spans="1:12" ht="15.6" x14ac:dyDescent="0.3">
      <c r="A65" s="2">
        <f t="shared" si="3"/>
        <v>10</v>
      </c>
      <c r="B65" s="27"/>
      <c r="C65" s="19"/>
      <c r="D65" s="19"/>
      <c r="E65" s="19"/>
      <c r="F65" s="49"/>
      <c r="G65" s="20"/>
      <c r="H65" s="49"/>
      <c r="J65" s="41"/>
      <c r="K65" s="28"/>
      <c r="L65" s="2">
        <f t="shared" si="4"/>
        <v>10</v>
      </c>
    </row>
    <row r="66" spans="1:12" ht="16.2" thickBot="1" x14ac:dyDescent="0.35">
      <c r="A66" s="2">
        <f t="shared" si="3"/>
        <v>11</v>
      </c>
      <c r="B66" s="27" t="s">
        <v>95</v>
      </c>
      <c r="C66" s="19"/>
      <c r="D66" s="19"/>
      <c r="E66" s="19"/>
      <c r="F66" s="51">
        <f>F56+F60+F64</f>
        <v>0</v>
      </c>
      <c r="G66" s="20"/>
      <c r="H66" s="51">
        <f>H56+H60+H64</f>
        <v>0</v>
      </c>
      <c r="J66" s="52">
        <f>F66-H66</f>
        <v>0</v>
      </c>
      <c r="K66" s="28" t="s">
        <v>96</v>
      </c>
      <c r="L66" s="2">
        <f t="shared" si="4"/>
        <v>11</v>
      </c>
    </row>
    <row r="67" spans="1:12" ht="16.2" thickTop="1" x14ac:dyDescent="0.3">
      <c r="A67" s="2">
        <f t="shared" si="3"/>
        <v>12</v>
      </c>
      <c r="B67" s="27"/>
      <c r="C67" s="19"/>
      <c r="D67" s="19"/>
      <c r="E67" s="19"/>
      <c r="F67" s="53"/>
      <c r="G67" s="20"/>
      <c r="H67" s="53"/>
      <c r="J67" s="41"/>
      <c r="K67" s="28"/>
      <c r="L67" s="2">
        <f t="shared" si="4"/>
        <v>12</v>
      </c>
    </row>
    <row r="68" spans="1:12" ht="18" x14ac:dyDescent="0.3">
      <c r="A68" s="2">
        <f t="shared" si="3"/>
        <v>13</v>
      </c>
      <c r="B68" s="54" t="s">
        <v>97</v>
      </c>
      <c r="C68" s="19"/>
      <c r="D68" s="19"/>
      <c r="E68" s="19"/>
      <c r="F68" s="53"/>
      <c r="G68" s="20"/>
      <c r="H68" s="53"/>
      <c r="J68" s="41"/>
      <c r="K68" s="28"/>
      <c r="L68" s="2">
        <f t="shared" si="4"/>
        <v>13</v>
      </c>
    </row>
    <row r="69" spans="1:12" ht="15.6" x14ac:dyDescent="0.3">
      <c r="A69" s="2">
        <f t="shared" si="3"/>
        <v>14</v>
      </c>
      <c r="B69" s="32" t="s">
        <v>98</v>
      </c>
      <c r="C69" s="19"/>
      <c r="D69" s="19"/>
      <c r="E69" s="19"/>
      <c r="F69" s="49">
        <f>'Pg3 BK-1 Rev TO5 C4-Cost Adj '!E69</f>
        <v>0</v>
      </c>
      <c r="G69" s="20"/>
      <c r="H69" s="49">
        <f>'Pg4 BK-1 Retail TRR-As Filed'!E68</f>
        <v>0</v>
      </c>
      <c r="J69" s="41">
        <f>F69-H69</f>
        <v>0</v>
      </c>
      <c r="K69" s="2" t="s">
        <v>99</v>
      </c>
      <c r="L69" s="2">
        <f t="shared" si="4"/>
        <v>14</v>
      </c>
    </row>
    <row r="70" spans="1:12" ht="15.6" x14ac:dyDescent="0.3">
      <c r="A70" s="2">
        <f t="shared" si="3"/>
        <v>15</v>
      </c>
      <c r="B70" s="32"/>
      <c r="C70" s="19"/>
      <c r="D70" s="19"/>
      <c r="E70" s="19"/>
      <c r="F70" s="55"/>
      <c r="G70" s="20"/>
      <c r="H70" s="55"/>
      <c r="J70" s="41"/>
      <c r="K70" s="28"/>
      <c r="L70" s="2">
        <f t="shared" si="4"/>
        <v>15</v>
      </c>
    </row>
    <row r="71" spans="1:12" ht="15.6" x14ac:dyDescent="0.3">
      <c r="A71" s="2">
        <f t="shared" si="3"/>
        <v>16</v>
      </c>
      <c r="B71" s="32" t="s">
        <v>100</v>
      </c>
      <c r="C71" s="19"/>
      <c r="D71" s="19"/>
      <c r="E71" s="19"/>
      <c r="F71" s="49">
        <f>'Pg3 BK-1 Rev TO5 C4-Cost Adj '!E71</f>
        <v>0</v>
      </c>
      <c r="G71" s="20"/>
      <c r="H71" s="49">
        <f>'Pg4 BK-1 Retail TRR-As Filed'!E70</f>
        <v>0</v>
      </c>
      <c r="J71" s="41">
        <f>F71-H71</f>
        <v>0</v>
      </c>
      <c r="K71" s="2" t="s">
        <v>101</v>
      </c>
      <c r="L71" s="2">
        <f t="shared" si="4"/>
        <v>16</v>
      </c>
    </row>
    <row r="72" spans="1:12" ht="18" x14ac:dyDescent="0.3">
      <c r="A72" s="2">
        <f t="shared" si="3"/>
        <v>17</v>
      </c>
      <c r="B72" s="32" t="s">
        <v>58</v>
      </c>
      <c r="C72" s="19"/>
      <c r="D72" s="19"/>
      <c r="E72" s="19"/>
      <c r="F72" s="647">
        <f>'Pg3 BK-1 Rev TO5 C4-Cost Adj '!E72</f>
        <v>9.5816762149131596E-2</v>
      </c>
      <c r="G72" s="20" t="s">
        <v>42</v>
      </c>
      <c r="H72" s="56">
        <f>'Pg4 BK-1 Retail TRR-As Filed'!E71</f>
        <v>9.6007908353307039E-2</v>
      </c>
      <c r="J72" s="648">
        <f>F72-H72</f>
        <v>-1.9114620417544359E-4</v>
      </c>
      <c r="K72" s="2" t="s">
        <v>102</v>
      </c>
      <c r="L72" s="2">
        <f t="shared" si="4"/>
        <v>17</v>
      </c>
    </row>
    <row r="73" spans="1:12" ht="18" x14ac:dyDescent="0.3">
      <c r="A73" s="2">
        <f t="shared" si="3"/>
        <v>18</v>
      </c>
      <c r="B73" s="27" t="s">
        <v>103</v>
      </c>
      <c r="C73" s="19"/>
      <c r="D73" s="19"/>
      <c r="E73" s="19"/>
      <c r="F73" s="48">
        <f>F71*F72</f>
        <v>0</v>
      </c>
      <c r="G73" s="57"/>
      <c r="H73" s="48">
        <f>H71*H72</f>
        <v>0</v>
      </c>
      <c r="I73" s="57"/>
      <c r="J73" s="58">
        <f>F73-H73</f>
        <v>0</v>
      </c>
      <c r="K73" s="28" t="s">
        <v>104</v>
      </c>
      <c r="L73" s="2">
        <f t="shared" si="4"/>
        <v>18</v>
      </c>
    </row>
    <row r="74" spans="1:12" ht="15.6" x14ac:dyDescent="0.3">
      <c r="A74" s="2">
        <f t="shared" si="3"/>
        <v>19</v>
      </c>
      <c r="B74" s="27"/>
      <c r="C74" s="19"/>
      <c r="D74" s="19"/>
      <c r="E74" s="19"/>
      <c r="F74" s="49"/>
      <c r="G74" s="20"/>
      <c r="H74" s="49"/>
      <c r="J74" s="41"/>
      <c r="K74" s="28"/>
      <c r="L74" s="2">
        <f t="shared" si="4"/>
        <v>19</v>
      </c>
    </row>
    <row r="75" spans="1:12" ht="15.6" x14ac:dyDescent="0.3">
      <c r="A75" s="2">
        <f t="shared" si="3"/>
        <v>20</v>
      </c>
      <c r="B75" s="32" t="s">
        <v>100</v>
      </c>
      <c r="C75" s="19"/>
      <c r="D75" s="19"/>
      <c r="E75" s="19"/>
      <c r="F75" s="49">
        <f>'Pg3 BK-1 Rev TO5 C4-Cost Adj '!E75</f>
        <v>0</v>
      </c>
      <c r="G75" s="20"/>
      <c r="H75" s="49">
        <f>'Pg4 BK-1 Retail TRR-As Filed'!E74</f>
        <v>0</v>
      </c>
      <c r="J75" s="41">
        <f>F75-H75</f>
        <v>0</v>
      </c>
      <c r="K75" s="2" t="s">
        <v>105</v>
      </c>
      <c r="L75" s="2">
        <f t="shared" si="4"/>
        <v>20</v>
      </c>
    </row>
    <row r="76" spans="1:12" ht="18" x14ac:dyDescent="0.3">
      <c r="A76" s="2">
        <f t="shared" si="3"/>
        <v>21</v>
      </c>
      <c r="B76" s="32" t="s">
        <v>64</v>
      </c>
      <c r="C76" s="19"/>
      <c r="D76" s="19"/>
      <c r="E76" s="19"/>
      <c r="F76" s="56">
        <f>'Pg3 BK-1 Rev TO5 C4-Cost Adj '!E76</f>
        <v>0</v>
      </c>
      <c r="G76" s="20"/>
      <c r="H76" s="56">
        <f>'Pg4 BK-1 Retail TRR-As Filed'!E75</f>
        <v>0</v>
      </c>
      <c r="J76" s="59">
        <f>F76-H76</f>
        <v>0</v>
      </c>
      <c r="K76" s="2" t="s">
        <v>106</v>
      </c>
      <c r="L76" s="2">
        <f t="shared" si="4"/>
        <v>21</v>
      </c>
    </row>
    <row r="77" spans="1:12" ht="15.6" x14ac:dyDescent="0.3">
      <c r="A77" s="2">
        <f t="shared" si="3"/>
        <v>22</v>
      </c>
      <c r="B77" s="27" t="s">
        <v>107</v>
      </c>
      <c r="C77" s="19"/>
      <c r="D77" s="19"/>
      <c r="E77" s="19"/>
      <c r="F77" s="48">
        <f>F75*F76</f>
        <v>0</v>
      </c>
      <c r="G77" s="20"/>
      <c r="H77" s="48">
        <f>H75*H76</f>
        <v>0</v>
      </c>
      <c r="J77" s="41">
        <f>F77-H77</f>
        <v>0</v>
      </c>
      <c r="K77" s="28" t="s">
        <v>108</v>
      </c>
      <c r="L77" s="2">
        <f t="shared" si="4"/>
        <v>22</v>
      </c>
    </row>
    <row r="78" spans="1:12" ht="15.6" x14ac:dyDescent="0.3">
      <c r="A78" s="2">
        <f t="shared" si="3"/>
        <v>23</v>
      </c>
      <c r="B78" s="27"/>
      <c r="C78" s="19"/>
      <c r="D78" s="19"/>
      <c r="E78" s="19"/>
      <c r="F78" s="53"/>
      <c r="G78" s="20"/>
      <c r="H78" s="53"/>
      <c r="J78" s="41"/>
      <c r="K78" s="28"/>
      <c r="L78" s="2">
        <f t="shared" si="4"/>
        <v>23</v>
      </c>
    </row>
    <row r="79" spans="1:12" ht="16.2" thickBot="1" x14ac:dyDescent="0.35">
      <c r="A79" s="2">
        <f t="shared" si="3"/>
        <v>24</v>
      </c>
      <c r="B79" s="27" t="s">
        <v>109</v>
      </c>
      <c r="C79" s="19"/>
      <c r="D79" s="19"/>
      <c r="E79" s="19"/>
      <c r="F79" s="51">
        <f>F69+F73+F77</f>
        <v>0</v>
      </c>
      <c r="G79" s="20"/>
      <c r="H79" s="51">
        <f>H69+H73+H77</f>
        <v>0</v>
      </c>
      <c r="J79" s="52">
        <f>F79-H79</f>
        <v>0</v>
      </c>
      <c r="K79" s="28" t="s">
        <v>110</v>
      </c>
      <c r="L79" s="2">
        <f t="shared" si="4"/>
        <v>24</v>
      </c>
    </row>
    <row r="80" spans="1:12" ht="16.2" thickTop="1" x14ac:dyDescent="0.3">
      <c r="A80" s="2">
        <f t="shared" si="3"/>
        <v>25</v>
      </c>
      <c r="B80" s="27"/>
      <c r="C80" s="19"/>
      <c r="D80" s="19"/>
      <c r="E80" s="19"/>
      <c r="F80" s="53"/>
      <c r="G80" s="20"/>
      <c r="H80" s="53"/>
      <c r="J80" s="41"/>
      <c r="K80" s="28"/>
      <c r="L80" s="2">
        <f t="shared" si="4"/>
        <v>25</v>
      </c>
    </row>
    <row r="81" spans="1:12" ht="18" x14ac:dyDescent="0.3">
      <c r="A81" s="2">
        <f t="shared" si="3"/>
        <v>26</v>
      </c>
      <c r="B81" s="54" t="s">
        <v>111</v>
      </c>
      <c r="C81" s="19"/>
      <c r="D81" s="19"/>
      <c r="E81" s="19"/>
      <c r="F81" s="60"/>
      <c r="G81" s="20"/>
      <c r="H81" s="60"/>
      <c r="J81" s="41"/>
      <c r="K81" s="28"/>
      <c r="L81" s="2">
        <f t="shared" si="4"/>
        <v>26</v>
      </c>
    </row>
    <row r="82" spans="1:12" ht="15.6" x14ac:dyDescent="0.3">
      <c r="A82" s="2">
        <f t="shared" si="3"/>
        <v>27</v>
      </c>
      <c r="B82" s="27" t="s">
        <v>112</v>
      </c>
      <c r="C82" s="19"/>
      <c r="D82" s="19"/>
      <c r="E82" s="19"/>
      <c r="F82" s="61">
        <f>'Pg3 BK-1 Rev TO5 C4-Cost Adj '!E82</f>
        <v>0</v>
      </c>
      <c r="G82" s="20"/>
      <c r="H82" s="61">
        <f>'Pg4 BK-1 Retail TRR-As Filed'!E81</f>
        <v>0</v>
      </c>
      <c r="J82" s="41">
        <f>F82-H82</f>
        <v>0</v>
      </c>
      <c r="K82" s="2" t="s">
        <v>113</v>
      </c>
      <c r="L82" s="2">
        <f t="shared" si="4"/>
        <v>27</v>
      </c>
    </row>
    <row r="83" spans="1:12" ht="18" x14ac:dyDescent="0.3">
      <c r="A83" s="2">
        <f t="shared" si="3"/>
        <v>28</v>
      </c>
      <c r="B83" s="32" t="s">
        <v>58</v>
      </c>
      <c r="C83" s="19"/>
      <c r="D83" s="19"/>
      <c r="E83" s="19"/>
      <c r="F83" s="649">
        <f>'Pg3 BK-1 Rev TO5 C4-Cost Adj '!E83</f>
        <v>9.5816762149131596E-2</v>
      </c>
      <c r="G83" s="20" t="s">
        <v>42</v>
      </c>
      <c r="H83" s="62">
        <f>'Pg4 BK-1 Retail TRR-As Filed'!E82</f>
        <v>9.6007908353307039E-2</v>
      </c>
      <c r="J83" s="648">
        <f>F83-H83</f>
        <v>-1.9114620417544359E-4</v>
      </c>
      <c r="K83" s="2" t="s">
        <v>114</v>
      </c>
      <c r="L83" s="2">
        <f t="shared" si="4"/>
        <v>28</v>
      </c>
    </row>
    <row r="84" spans="1:12" ht="15.6" x14ac:dyDescent="0.3">
      <c r="A84" s="2">
        <f t="shared" si="3"/>
        <v>29</v>
      </c>
      <c r="B84" s="27" t="s">
        <v>115</v>
      </c>
      <c r="C84" s="19"/>
      <c r="D84" s="19"/>
      <c r="E84" s="19"/>
      <c r="F84" s="63">
        <f>F82*F83</f>
        <v>0</v>
      </c>
      <c r="G84" s="20"/>
      <c r="H84" s="63">
        <f>H82*H83</f>
        <v>0</v>
      </c>
      <c r="J84" s="41">
        <f>F84-H84</f>
        <v>0</v>
      </c>
      <c r="K84" s="28" t="s">
        <v>116</v>
      </c>
      <c r="L84" s="2">
        <f t="shared" si="4"/>
        <v>29</v>
      </c>
    </row>
    <row r="85" spans="1:12" ht="15.6" x14ac:dyDescent="0.3">
      <c r="A85" s="2">
        <f t="shared" si="3"/>
        <v>30</v>
      </c>
      <c r="B85" s="27"/>
      <c r="C85" s="19"/>
      <c r="D85" s="19"/>
      <c r="E85" s="19"/>
      <c r="F85" s="61"/>
      <c r="G85" s="20"/>
      <c r="H85" s="61"/>
      <c r="J85" s="41"/>
      <c r="K85" s="28"/>
      <c r="L85" s="2">
        <f t="shared" si="4"/>
        <v>30</v>
      </c>
    </row>
    <row r="86" spans="1:12" ht="15.6" x14ac:dyDescent="0.3">
      <c r="A86" s="2">
        <f t="shared" si="3"/>
        <v>31</v>
      </c>
      <c r="B86" s="27" t="s">
        <v>112</v>
      </c>
      <c r="C86" s="19"/>
      <c r="D86" s="19"/>
      <c r="E86" s="19"/>
      <c r="F86" s="61">
        <f>'Pg3 BK-1 Rev TO5 C4-Cost Adj '!E86</f>
        <v>0</v>
      </c>
      <c r="G86" s="20"/>
      <c r="H86" s="61">
        <f>'Pg4 BK-1 Retail TRR-As Filed'!E85</f>
        <v>0</v>
      </c>
      <c r="J86" s="41">
        <f>F86-H86</f>
        <v>0</v>
      </c>
      <c r="K86" s="2" t="s">
        <v>117</v>
      </c>
      <c r="L86" s="2">
        <f t="shared" si="4"/>
        <v>31</v>
      </c>
    </row>
    <row r="87" spans="1:12" ht="18" x14ac:dyDescent="0.3">
      <c r="A87" s="2">
        <f t="shared" si="3"/>
        <v>32</v>
      </c>
      <c r="B87" s="32" t="s">
        <v>64</v>
      </c>
      <c r="C87" s="19"/>
      <c r="D87" s="19"/>
      <c r="E87" s="19"/>
      <c r="F87" s="62">
        <f>'Pg3 BK-1 Rev TO5 C4-Cost Adj '!E87</f>
        <v>3.8994570343371454E-3</v>
      </c>
      <c r="G87" s="20"/>
      <c r="H87" s="62">
        <f>'Pg4 BK-1 Retail TRR-As Filed'!E86</f>
        <v>3.8994570343371454E-3</v>
      </c>
      <c r="J87" s="59">
        <f>F87-H87</f>
        <v>0</v>
      </c>
      <c r="K87" s="2" t="s">
        <v>118</v>
      </c>
      <c r="L87" s="2">
        <f t="shared" si="4"/>
        <v>32</v>
      </c>
    </row>
    <row r="88" spans="1:12" ht="15.6" x14ac:dyDescent="0.3">
      <c r="A88" s="2">
        <f t="shared" si="3"/>
        <v>33</v>
      </c>
      <c r="B88" s="27" t="s">
        <v>119</v>
      </c>
      <c r="C88" s="19"/>
      <c r="D88" s="19"/>
      <c r="E88" s="19"/>
      <c r="F88" s="63">
        <f>F86*F87</f>
        <v>0</v>
      </c>
      <c r="G88" s="20"/>
      <c r="H88" s="63">
        <f>H86*H87</f>
        <v>0</v>
      </c>
      <c r="J88" s="41">
        <f>F88-H88</f>
        <v>0</v>
      </c>
      <c r="K88" s="28" t="s">
        <v>120</v>
      </c>
      <c r="L88" s="2">
        <f t="shared" si="4"/>
        <v>33</v>
      </c>
    </row>
    <row r="89" spans="1:12" ht="15.6" x14ac:dyDescent="0.3">
      <c r="A89" s="2">
        <f t="shared" si="3"/>
        <v>34</v>
      </c>
      <c r="B89" s="27"/>
      <c r="C89" s="19"/>
      <c r="D89" s="19"/>
      <c r="E89" s="19"/>
      <c r="F89" s="61"/>
      <c r="G89" s="20"/>
      <c r="H89" s="61"/>
      <c r="J89" s="41"/>
      <c r="K89" s="28"/>
      <c r="L89" s="2">
        <f t="shared" si="4"/>
        <v>34</v>
      </c>
    </row>
    <row r="90" spans="1:12" ht="16.2" thickBot="1" x14ac:dyDescent="0.35">
      <c r="A90" s="2">
        <f t="shared" si="3"/>
        <v>35</v>
      </c>
      <c r="B90" s="27" t="s">
        <v>121</v>
      </c>
      <c r="C90" s="19"/>
      <c r="D90" s="19"/>
      <c r="E90" s="19"/>
      <c r="F90" s="51">
        <f>F84+F88</f>
        <v>0</v>
      </c>
      <c r="G90" s="20"/>
      <c r="H90" s="51">
        <f>H84+H88</f>
        <v>0</v>
      </c>
      <c r="J90" s="64">
        <f>F90-H90</f>
        <v>0</v>
      </c>
      <c r="K90" s="28" t="s">
        <v>122</v>
      </c>
      <c r="L90" s="2">
        <f t="shared" si="4"/>
        <v>35</v>
      </c>
    </row>
    <row r="91" spans="1:12" ht="16.2" thickTop="1" x14ac:dyDescent="0.3">
      <c r="A91" s="2">
        <f t="shared" si="3"/>
        <v>36</v>
      </c>
      <c r="B91" s="27"/>
      <c r="C91" s="19"/>
      <c r="D91" s="19"/>
      <c r="E91" s="19"/>
      <c r="F91" s="60"/>
      <c r="G91" s="20"/>
      <c r="H91" s="60"/>
      <c r="J91" s="41"/>
      <c r="K91" s="28"/>
      <c r="L91" s="2">
        <f t="shared" si="4"/>
        <v>36</v>
      </c>
    </row>
    <row r="92" spans="1:12" ht="18.600000000000001" thickBot="1" x14ac:dyDescent="0.35">
      <c r="A92" s="2">
        <f t="shared" si="3"/>
        <v>37</v>
      </c>
      <c r="B92" s="27" t="s">
        <v>123</v>
      </c>
      <c r="C92" s="19"/>
      <c r="D92" s="19"/>
      <c r="E92" s="19"/>
      <c r="F92" s="65">
        <f>F66+F79+F90</f>
        <v>0</v>
      </c>
      <c r="G92" s="20"/>
      <c r="H92" s="65">
        <f>H66+H79+H90</f>
        <v>0</v>
      </c>
      <c r="J92" s="39">
        <f>F92-H92</f>
        <v>0</v>
      </c>
      <c r="K92" s="28" t="s">
        <v>124</v>
      </c>
      <c r="L92" s="2">
        <f t="shared" si="4"/>
        <v>37</v>
      </c>
    </row>
    <row r="93" spans="1:12" ht="16.2" thickTop="1" x14ac:dyDescent="0.3">
      <c r="A93" s="2">
        <f t="shared" si="3"/>
        <v>38</v>
      </c>
      <c r="B93" s="27"/>
      <c r="C93" s="19"/>
      <c r="D93" s="19"/>
      <c r="E93" s="19"/>
      <c r="F93" s="60"/>
      <c r="G93" s="20"/>
      <c r="H93" s="60"/>
      <c r="J93" s="41"/>
      <c r="K93" s="28"/>
      <c r="L93" s="2">
        <f t="shared" si="4"/>
        <v>38</v>
      </c>
    </row>
    <row r="94" spans="1:12" ht="18.600000000000001" thickBot="1" x14ac:dyDescent="0.35">
      <c r="A94" s="2">
        <f t="shared" si="3"/>
        <v>39</v>
      </c>
      <c r="B94" s="54" t="s">
        <v>125</v>
      </c>
      <c r="C94" s="19"/>
      <c r="D94" s="19"/>
      <c r="E94" s="19"/>
      <c r="F94" s="66">
        <f>F40+F92</f>
        <v>917119.07939016551</v>
      </c>
      <c r="G94" s="42" t="s">
        <v>42</v>
      </c>
      <c r="H94" s="65">
        <f>H40+H92</f>
        <v>920468.48035053629</v>
      </c>
      <c r="J94" s="38">
        <f>F94-H94</f>
        <v>-3349.4009603707818</v>
      </c>
      <c r="K94" s="28" t="s">
        <v>126</v>
      </c>
      <c r="L94" s="2">
        <f t="shared" si="4"/>
        <v>39</v>
      </c>
    </row>
    <row r="95" spans="1:12" ht="16.2" thickTop="1" x14ac:dyDescent="0.3">
      <c r="A95" s="2"/>
      <c r="B95" s="54"/>
      <c r="C95" s="19"/>
      <c r="D95" s="19"/>
      <c r="E95" s="19"/>
      <c r="F95" s="40"/>
      <c r="G95" s="42"/>
      <c r="H95" s="40"/>
      <c r="J95" s="41"/>
      <c r="K95" s="28"/>
      <c r="L95" s="2"/>
    </row>
    <row r="96" spans="1:12" ht="15.6" x14ac:dyDescent="0.3">
      <c r="A96" s="42" t="s">
        <v>42</v>
      </c>
      <c r="B96" s="12" t="str">
        <f>B42</f>
        <v xml:space="preserve">Items in BOLD have changed due to unfunded reserves error, A&amp;G adjustments, transmission revenue credits error,  and removal of CIAC related ADIT per TO5 Cycle 4 Letter Order </v>
      </c>
      <c r="C96" s="19"/>
      <c r="D96" s="19"/>
      <c r="E96" s="19"/>
      <c r="F96" s="40"/>
      <c r="G96" s="20"/>
      <c r="H96" s="41"/>
      <c r="J96" s="41"/>
      <c r="K96" s="2"/>
      <c r="L96" s="2"/>
    </row>
    <row r="97" spans="1:12" ht="15.6" x14ac:dyDescent="0.3">
      <c r="A97" s="42"/>
      <c r="B97" s="12" t="str">
        <f>B43</f>
        <v>determination in ER22-527 as compared to the original TO5 Cycle 4 filing.</v>
      </c>
      <c r="C97" s="19"/>
      <c r="D97" s="19"/>
      <c r="E97" s="19"/>
      <c r="F97" s="40"/>
      <c r="G97" s="20"/>
      <c r="H97" s="41"/>
      <c r="J97" s="41"/>
      <c r="K97" s="2"/>
      <c r="L97" s="2"/>
    </row>
    <row r="98" spans="1:12" ht="18" x14ac:dyDescent="0.3">
      <c r="A98" s="43">
        <v>1</v>
      </c>
      <c r="B98" s="27" t="s">
        <v>81</v>
      </c>
      <c r="C98" s="19"/>
      <c r="D98" s="19"/>
      <c r="E98" s="19"/>
      <c r="F98" s="5"/>
      <c r="G98" s="5"/>
      <c r="H98" s="5"/>
      <c r="I98" s="5"/>
      <c r="J98" s="5"/>
      <c r="K98" s="2"/>
      <c r="L98" s="2"/>
    </row>
    <row r="99" spans="1:12" ht="18" x14ac:dyDescent="0.3">
      <c r="A99" s="43">
        <v>2</v>
      </c>
      <c r="B99" s="27" t="s">
        <v>127</v>
      </c>
      <c r="C99" s="19"/>
      <c r="D99" s="19"/>
      <c r="E99" s="19"/>
      <c r="F99" s="5"/>
      <c r="G99" s="5"/>
      <c r="H99" s="5"/>
      <c r="I99" s="5"/>
      <c r="J99" s="5"/>
      <c r="K99" s="2"/>
      <c r="L99" s="2"/>
    </row>
    <row r="100" spans="1:12" ht="18" x14ac:dyDescent="0.3">
      <c r="A100" s="43">
        <v>3</v>
      </c>
      <c r="B100" s="27" t="s">
        <v>128</v>
      </c>
      <c r="C100" s="19"/>
      <c r="D100" s="19"/>
      <c r="E100" s="19"/>
      <c r="F100" s="5"/>
      <c r="G100" s="5"/>
      <c r="H100" s="5"/>
      <c r="I100" s="5"/>
      <c r="J100" s="5"/>
      <c r="K100" s="2"/>
      <c r="L100" s="2"/>
    </row>
    <row r="101" spans="1:12" ht="15.6" x14ac:dyDescent="0.3">
      <c r="A101" s="2"/>
      <c r="B101" s="12"/>
      <c r="C101" s="19"/>
      <c r="D101" s="19"/>
      <c r="E101" s="19"/>
      <c r="F101" s="5"/>
      <c r="G101" s="5"/>
      <c r="H101" s="5"/>
      <c r="I101" s="5"/>
      <c r="J101" s="5"/>
      <c r="K101" s="2"/>
      <c r="L101" s="2"/>
    </row>
    <row r="102" spans="1:12" ht="15.6" x14ac:dyDescent="0.3">
      <c r="A102" s="2"/>
      <c r="B102" s="5"/>
      <c r="C102" s="19"/>
      <c r="D102" s="19"/>
      <c r="E102" s="19"/>
      <c r="F102" s="5"/>
      <c r="G102" s="5"/>
      <c r="H102" s="5"/>
      <c r="I102" s="5"/>
      <c r="J102" s="5"/>
      <c r="K102" s="2"/>
      <c r="L102" s="2"/>
    </row>
    <row r="103" spans="1:12" ht="15.6" x14ac:dyDescent="0.3">
      <c r="A103" s="2"/>
      <c r="B103" s="851" t="s">
        <v>0</v>
      </c>
      <c r="C103" s="852"/>
      <c r="D103" s="852"/>
      <c r="E103" s="852"/>
      <c r="F103" s="852"/>
      <c r="G103" s="852"/>
      <c r="H103" s="852"/>
      <c r="I103" s="852"/>
      <c r="J103" s="852"/>
      <c r="K103" s="852"/>
      <c r="L103" s="2"/>
    </row>
    <row r="104" spans="1:12" ht="15.6" x14ac:dyDescent="0.3">
      <c r="A104" s="2"/>
      <c r="B104" s="851" t="str">
        <f>B3</f>
        <v>TO5 Cycle 5 Annual Informational Filing</v>
      </c>
      <c r="C104" s="852"/>
      <c r="D104" s="852"/>
      <c r="E104" s="852"/>
      <c r="F104" s="852"/>
      <c r="G104" s="852"/>
      <c r="H104" s="852"/>
      <c r="I104" s="852"/>
      <c r="J104" s="852"/>
      <c r="K104" s="852"/>
      <c r="L104" s="2"/>
    </row>
    <row r="105" spans="1:12" ht="15.6" x14ac:dyDescent="0.3">
      <c r="A105" s="2" t="s">
        <v>26</v>
      </c>
      <c r="B105" s="851" t="str">
        <f>B4</f>
        <v>Derivation of Other BTRR Adjustments Applicable to TO5 Cycle 4</v>
      </c>
      <c r="C105" s="853"/>
      <c r="D105" s="853"/>
      <c r="E105" s="853"/>
      <c r="F105" s="853"/>
      <c r="G105" s="853"/>
      <c r="H105" s="853"/>
      <c r="I105" s="853"/>
      <c r="J105" s="853"/>
      <c r="K105" s="853"/>
      <c r="L105" s="2" t="s">
        <v>26</v>
      </c>
    </row>
    <row r="106" spans="1:12" ht="15.6" x14ac:dyDescent="0.3">
      <c r="A106" s="2"/>
      <c r="B106" s="850" t="s">
        <v>3</v>
      </c>
      <c r="C106" s="852"/>
      <c r="D106" s="852"/>
      <c r="E106" s="852"/>
      <c r="F106" s="852"/>
      <c r="G106" s="852"/>
      <c r="H106" s="852"/>
      <c r="I106" s="852"/>
      <c r="J106" s="852"/>
      <c r="K106" s="852"/>
      <c r="L106" s="2"/>
    </row>
    <row r="107" spans="1:12" ht="15.6" x14ac:dyDescent="0.3">
      <c r="A107" s="2"/>
      <c r="B107" s="8"/>
      <c r="C107" s="1"/>
      <c r="D107" s="1"/>
      <c r="E107" s="1"/>
      <c r="G107" s="1"/>
      <c r="I107" s="1"/>
      <c r="K107" s="1"/>
      <c r="L107" s="2"/>
    </row>
    <row r="108" spans="1:12" ht="15.6" x14ac:dyDescent="0.3">
      <c r="A108" s="2"/>
      <c r="B108" s="8"/>
      <c r="C108" s="1"/>
      <c r="D108" s="1"/>
      <c r="E108" s="1"/>
      <c r="F108" s="10" t="s">
        <v>29</v>
      </c>
      <c r="G108"/>
      <c r="H108" s="10" t="s">
        <v>30</v>
      </c>
      <c r="I108"/>
      <c r="J108" s="10" t="s">
        <v>31</v>
      </c>
      <c r="K108" s="1"/>
      <c r="L108" s="2"/>
    </row>
    <row r="109" spans="1:12" ht="51" customHeight="1" x14ac:dyDescent="0.3">
      <c r="A109" s="2" t="s">
        <v>4</v>
      </c>
      <c r="B109" s="5"/>
      <c r="C109" s="5"/>
      <c r="D109" s="5"/>
      <c r="E109" s="5"/>
      <c r="F109" s="11" t="str">
        <f>F8</f>
        <v xml:space="preserve">Revised      TO5 C4 </v>
      </c>
      <c r="G109" s="12"/>
      <c r="H109" s="11" t="str">
        <f>H8</f>
        <v>As Filed        TO5 C4          ER 22-527</v>
      </c>
      <c r="I109" s="12"/>
      <c r="J109" s="13" t="s">
        <v>34</v>
      </c>
      <c r="K109" s="2"/>
      <c r="L109" s="2" t="s">
        <v>4</v>
      </c>
    </row>
    <row r="110" spans="1:12" ht="15.6" x14ac:dyDescent="0.3">
      <c r="A110" s="3" t="s">
        <v>8</v>
      </c>
      <c r="B110" s="12" t="s">
        <v>26</v>
      </c>
      <c r="C110" s="5"/>
      <c r="D110" s="5"/>
      <c r="E110" s="5"/>
      <c r="F110" s="14" t="s">
        <v>6</v>
      </c>
      <c r="G110" s="5"/>
      <c r="H110" s="14" t="s">
        <v>6</v>
      </c>
      <c r="I110" s="5"/>
      <c r="J110" s="15" t="s">
        <v>37</v>
      </c>
      <c r="K110" s="3" t="s">
        <v>7</v>
      </c>
      <c r="L110" s="3" t="s">
        <v>8</v>
      </c>
    </row>
    <row r="111" spans="1:12" ht="15.6" x14ac:dyDescent="0.3">
      <c r="A111" s="2"/>
      <c r="B111" s="16" t="s">
        <v>129</v>
      </c>
      <c r="C111" s="67"/>
      <c r="D111" s="67"/>
      <c r="E111" s="67"/>
      <c r="F111" s="5"/>
      <c r="G111" s="5"/>
      <c r="H111" s="5"/>
      <c r="I111" s="5"/>
      <c r="J111" s="5"/>
      <c r="K111" s="2"/>
      <c r="L111" s="2"/>
    </row>
    <row r="112" spans="1:12" ht="15.6" x14ac:dyDescent="0.3">
      <c r="A112" s="2">
        <v>1</v>
      </c>
      <c r="B112" s="68" t="s">
        <v>130</v>
      </c>
      <c r="C112" s="67"/>
      <c r="D112" s="67"/>
      <c r="E112" s="67"/>
      <c r="F112" s="5"/>
      <c r="G112" s="5"/>
      <c r="H112" s="5"/>
      <c r="I112" s="5"/>
      <c r="J112" s="5"/>
      <c r="K112" s="2"/>
      <c r="L112" s="2">
        <v>1</v>
      </c>
    </row>
    <row r="113" spans="1:12" ht="15.6" x14ac:dyDescent="0.3">
      <c r="A113" s="2">
        <f t="shared" ref="A113:A150" si="5">A112+1</f>
        <v>2</v>
      </c>
      <c r="B113" s="18" t="s">
        <v>131</v>
      </c>
      <c r="C113" s="67"/>
      <c r="D113" s="67"/>
      <c r="E113" s="67"/>
      <c r="F113" s="69">
        <f>'Pg3 BK-1 Rev TO5 C4-Cost Adj '!E113</f>
        <v>5246121.1315707676</v>
      </c>
      <c r="H113" s="69">
        <f>'Pg4 BK-1 Retail TRR-As Filed'!E110</f>
        <v>5246121.1315707676</v>
      </c>
      <c r="I113" s="5"/>
      <c r="J113" s="7">
        <f>F113-H113</f>
        <v>0</v>
      </c>
      <c r="K113" s="2" t="s">
        <v>132</v>
      </c>
      <c r="L113" s="2">
        <f>L112+1</f>
        <v>2</v>
      </c>
    </row>
    <row r="114" spans="1:12" ht="15.6" x14ac:dyDescent="0.3">
      <c r="A114" s="2">
        <f t="shared" si="5"/>
        <v>3</v>
      </c>
      <c r="B114" s="18" t="s">
        <v>133</v>
      </c>
      <c r="C114" s="67"/>
      <c r="D114" s="67"/>
      <c r="E114" s="67"/>
      <c r="F114" s="70">
        <f>'Pg3 BK-1 Rev TO5 C4-Cost Adj '!E114</f>
        <v>6185.413608726165</v>
      </c>
      <c r="G114" s="20"/>
      <c r="H114" s="70">
        <f>'Pg4 BK-1 Retail TRR-As Filed'!E111</f>
        <v>6185.413608726165</v>
      </c>
      <c r="J114" s="23">
        <f>F114-H114</f>
        <v>0</v>
      </c>
      <c r="K114" s="2" t="s">
        <v>134</v>
      </c>
      <c r="L114" s="2">
        <f>L113+1</f>
        <v>3</v>
      </c>
    </row>
    <row r="115" spans="1:12" ht="15.6" x14ac:dyDescent="0.3">
      <c r="A115" s="2">
        <f t="shared" si="5"/>
        <v>4</v>
      </c>
      <c r="B115" s="18" t="s">
        <v>135</v>
      </c>
      <c r="C115" s="67"/>
      <c r="D115" s="67"/>
      <c r="E115" s="67"/>
      <c r="F115" s="70">
        <f>'Pg3 BK-1 Rev TO5 C4-Cost Adj '!E115</f>
        <v>51220.11925408426</v>
      </c>
      <c r="G115" s="5"/>
      <c r="H115" s="70">
        <f>'Pg4 BK-1 Retail TRR-As Filed'!E112</f>
        <v>51220.11925408426</v>
      </c>
      <c r="J115" s="23">
        <f t="shared" ref="J115:J116" si="6">F115-H115</f>
        <v>0</v>
      </c>
      <c r="K115" s="2" t="s">
        <v>136</v>
      </c>
      <c r="L115" s="2">
        <f>L114+1</f>
        <v>4</v>
      </c>
    </row>
    <row r="116" spans="1:12" ht="15.6" x14ac:dyDescent="0.3">
      <c r="A116" s="2">
        <f t="shared" si="5"/>
        <v>5</v>
      </c>
      <c r="B116" s="18" t="s">
        <v>137</v>
      </c>
      <c r="C116" s="67"/>
      <c r="D116" s="67"/>
      <c r="E116" s="67"/>
      <c r="F116" s="71">
        <f>'Pg3 BK-1 Rev TO5 C4-Cost Adj '!E116</f>
        <v>107749.97527197437</v>
      </c>
      <c r="G116" s="5"/>
      <c r="H116" s="71">
        <f>'Pg4 BK-1 Retail TRR-As Filed'!E113</f>
        <v>107749.97527197437</v>
      </c>
      <c r="J116" s="25">
        <f t="shared" si="6"/>
        <v>0</v>
      </c>
      <c r="K116" s="2" t="s">
        <v>138</v>
      </c>
      <c r="L116" s="2">
        <f>L115+1</f>
        <v>5</v>
      </c>
    </row>
    <row r="117" spans="1:12" ht="15.6" x14ac:dyDescent="0.3">
      <c r="A117" s="2">
        <f t="shared" si="5"/>
        <v>6</v>
      </c>
      <c r="B117" s="18" t="s">
        <v>139</v>
      </c>
      <c r="C117" s="2"/>
      <c r="D117" s="2"/>
      <c r="E117" s="2"/>
      <c r="F117" s="35">
        <f>SUM(F113:F116)</f>
        <v>5411276.6397055527</v>
      </c>
      <c r="G117" s="42"/>
      <c r="H117" s="35">
        <f>SUM(H113:H116)</f>
        <v>5411276.6397055527</v>
      </c>
      <c r="J117" s="35">
        <f>SUM(J113:J116)</f>
        <v>0</v>
      </c>
      <c r="K117" s="2" t="s">
        <v>140</v>
      </c>
      <c r="L117" s="2">
        <f t="shared" ref="L117:L150" si="7">L116+1</f>
        <v>6</v>
      </c>
    </row>
    <row r="118" spans="1:12" ht="15.6" x14ac:dyDescent="0.3">
      <c r="A118" s="2">
        <f t="shared" si="5"/>
        <v>7</v>
      </c>
      <c r="B118" s="18"/>
      <c r="C118" s="2"/>
      <c r="D118" s="2"/>
      <c r="E118" s="2"/>
      <c r="F118" s="72"/>
      <c r="G118" s="5"/>
      <c r="H118" s="72"/>
      <c r="J118" s="5"/>
      <c r="K118" s="2"/>
      <c r="L118" s="2">
        <f t="shared" si="7"/>
        <v>7</v>
      </c>
    </row>
    <row r="119" spans="1:12" ht="15.6" x14ac:dyDescent="0.3">
      <c r="A119" s="2">
        <f t="shared" si="5"/>
        <v>8</v>
      </c>
      <c r="B119" s="68" t="s">
        <v>141</v>
      </c>
      <c r="C119" s="2"/>
      <c r="D119" s="2"/>
      <c r="E119" s="2"/>
      <c r="F119" s="35"/>
      <c r="G119" s="5"/>
      <c r="H119" s="35"/>
      <c r="J119" s="6"/>
      <c r="K119" s="2"/>
      <c r="L119" s="2">
        <f t="shared" si="7"/>
        <v>8</v>
      </c>
    </row>
    <row r="120" spans="1:12" ht="15.6" x14ac:dyDescent="0.3">
      <c r="A120" s="2">
        <f t="shared" si="5"/>
        <v>9</v>
      </c>
      <c r="B120" s="18" t="s">
        <v>142</v>
      </c>
      <c r="C120" s="2"/>
      <c r="D120" s="2"/>
      <c r="E120" s="2"/>
      <c r="F120" s="35">
        <f>'Pg3 BK-1 Rev TO5 C4-Cost Adj '!E120</f>
        <v>0</v>
      </c>
      <c r="G120" s="5"/>
      <c r="H120" s="35">
        <f>'Pg4 BK-1 Retail TRR-As Filed'!E117</f>
        <v>0</v>
      </c>
      <c r="J120" s="6">
        <f>F120-H120</f>
        <v>0</v>
      </c>
      <c r="K120" s="2" t="s">
        <v>143</v>
      </c>
      <c r="L120" s="2">
        <f t="shared" si="7"/>
        <v>9</v>
      </c>
    </row>
    <row r="121" spans="1:12" ht="15.6" x14ac:dyDescent="0.3">
      <c r="A121" s="2">
        <f t="shared" si="5"/>
        <v>10</v>
      </c>
      <c r="B121" s="18" t="s">
        <v>144</v>
      </c>
      <c r="C121" s="2"/>
      <c r="D121" s="2"/>
      <c r="E121" s="2"/>
      <c r="F121" s="73">
        <f>'Pg3 BK-1 Rev TO5 C4-Cost Adj '!E121</f>
        <v>0</v>
      </c>
      <c r="G121" s="5"/>
      <c r="H121" s="73">
        <f>'Pg4 BK-1 Retail TRR-As Filed'!E118</f>
        <v>0</v>
      </c>
      <c r="J121" s="74">
        <f>F121-H121</f>
        <v>0</v>
      </c>
      <c r="K121" s="2" t="s">
        <v>145</v>
      </c>
      <c r="L121" s="2">
        <f t="shared" si="7"/>
        <v>10</v>
      </c>
    </row>
    <row r="122" spans="1:12" ht="15.6" x14ac:dyDescent="0.3">
      <c r="A122" s="2">
        <f t="shared" si="5"/>
        <v>11</v>
      </c>
      <c r="B122" s="18" t="s">
        <v>146</v>
      </c>
      <c r="C122" s="2"/>
      <c r="D122" s="2"/>
      <c r="E122" s="2"/>
      <c r="F122" s="75">
        <f>SUM(F120:F121)</f>
        <v>0</v>
      </c>
      <c r="G122" s="5"/>
      <c r="H122" s="75">
        <f>SUM(H120:H121)</f>
        <v>0</v>
      </c>
      <c r="J122" s="75">
        <f>SUM(J120:J121)</f>
        <v>0</v>
      </c>
      <c r="K122" s="28" t="s">
        <v>147</v>
      </c>
      <c r="L122" s="2">
        <f t="shared" si="7"/>
        <v>11</v>
      </c>
    </row>
    <row r="123" spans="1:12" ht="15.6" x14ac:dyDescent="0.3">
      <c r="A123" s="2">
        <f t="shared" si="5"/>
        <v>12</v>
      </c>
      <c r="B123" s="18"/>
      <c r="C123" s="2"/>
      <c r="D123" s="2"/>
      <c r="E123" s="2"/>
      <c r="F123" s="72"/>
      <c r="G123" s="5"/>
      <c r="H123" s="72"/>
      <c r="J123" s="5"/>
      <c r="K123" s="2"/>
      <c r="L123" s="2">
        <f t="shared" si="7"/>
        <v>12</v>
      </c>
    </row>
    <row r="124" spans="1:12" ht="15.6" x14ac:dyDescent="0.3">
      <c r="A124" s="2">
        <f t="shared" si="5"/>
        <v>13</v>
      </c>
      <c r="B124" s="68" t="s">
        <v>148</v>
      </c>
      <c r="C124" s="5"/>
      <c r="D124" s="5"/>
      <c r="E124" s="5"/>
      <c r="F124" s="72"/>
      <c r="G124" s="5"/>
      <c r="H124" s="72"/>
      <c r="J124" s="5"/>
      <c r="K124" s="2"/>
      <c r="L124" s="2">
        <f t="shared" si="7"/>
        <v>13</v>
      </c>
    </row>
    <row r="125" spans="1:12" ht="15.6" x14ac:dyDescent="0.3">
      <c r="A125" s="2">
        <f t="shared" si="5"/>
        <v>14</v>
      </c>
      <c r="B125" s="5" t="s">
        <v>149</v>
      </c>
      <c r="C125" s="2"/>
      <c r="D125" s="2"/>
      <c r="E125" s="2"/>
      <c r="F125" s="34">
        <f>'Pg3 BK-1 Rev TO5 C4-Cost Adj '!E125</f>
        <v>-934308.51593694778</v>
      </c>
      <c r="G125" s="42" t="s">
        <v>42</v>
      </c>
      <c r="H125" s="35">
        <f>'Pg4 BK-1 Retail TRR-As Filed'!E122</f>
        <v>-914206.71933328768</v>
      </c>
      <c r="J125" s="651">
        <f t="shared" ref="J125" si="8">F125-H125</f>
        <v>-20101.796603660099</v>
      </c>
      <c r="K125" s="2" t="s">
        <v>150</v>
      </c>
      <c r="L125" s="2">
        <f t="shared" si="7"/>
        <v>14</v>
      </c>
    </row>
    <row r="126" spans="1:12" ht="15.6" x14ac:dyDescent="0.3">
      <c r="A126" s="2">
        <f t="shared" si="5"/>
        <v>15</v>
      </c>
      <c r="B126" s="5" t="s">
        <v>151</v>
      </c>
      <c r="C126" s="2"/>
      <c r="D126" s="2"/>
      <c r="E126" s="2"/>
      <c r="F126" s="76">
        <f>'Pg3 BK-1 Rev TO5 C4-Cost Adj '!E126</f>
        <v>0</v>
      </c>
      <c r="G126" s="5"/>
      <c r="H126" s="76">
        <f>'Pg4 BK-1 Retail TRR-As Filed'!E123</f>
        <v>0</v>
      </c>
      <c r="J126" s="77">
        <f>F126-H126</f>
        <v>0</v>
      </c>
      <c r="K126" s="2" t="s">
        <v>152</v>
      </c>
      <c r="L126" s="2">
        <f t="shared" si="7"/>
        <v>15</v>
      </c>
    </row>
    <row r="127" spans="1:12" ht="15.6" x14ac:dyDescent="0.3">
      <c r="A127" s="2">
        <f t="shared" si="5"/>
        <v>16</v>
      </c>
      <c r="B127" s="5" t="s">
        <v>153</v>
      </c>
      <c r="C127" s="2"/>
      <c r="D127" s="2"/>
      <c r="E127" s="2"/>
      <c r="F127" s="34">
        <f>SUM(F125:F126)</f>
        <v>-934308.51593694778</v>
      </c>
      <c r="G127" s="42" t="s">
        <v>42</v>
      </c>
      <c r="H127" s="35">
        <f>SUM(H125:H126)</f>
        <v>-914206.71933328768</v>
      </c>
      <c r="J127" s="651">
        <f>SUM(J125:J126)</f>
        <v>-20101.796603660099</v>
      </c>
      <c r="K127" s="28" t="s">
        <v>154</v>
      </c>
      <c r="L127" s="2">
        <f t="shared" si="7"/>
        <v>16</v>
      </c>
    </row>
    <row r="128" spans="1:12" ht="15.6" x14ac:dyDescent="0.3">
      <c r="A128" s="2">
        <f t="shared" si="5"/>
        <v>17</v>
      </c>
      <c r="B128" s="5"/>
      <c r="C128" s="2"/>
      <c r="D128" s="2"/>
      <c r="E128" s="2"/>
      <c r="F128" s="35"/>
      <c r="G128" s="5"/>
      <c r="H128" s="35"/>
      <c r="J128" s="6"/>
      <c r="K128" s="2"/>
      <c r="L128" s="2">
        <f t="shared" si="7"/>
        <v>17</v>
      </c>
    </row>
    <row r="129" spans="1:12" ht="15.6" x14ac:dyDescent="0.3">
      <c r="A129" s="2">
        <f t="shared" si="5"/>
        <v>18</v>
      </c>
      <c r="B129" s="68" t="s">
        <v>155</v>
      </c>
      <c r="C129" s="2"/>
      <c r="D129" s="2"/>
      <c r="E129" s="2"/>
      <c r="F129" s="78"/>
      <c r="G129" s="5"/>
      <c r="H129" s="78"/>
      <c r="J129" s="5"/>
      <c r="K129" s="2"/>
      <c r="L129" s="2">
        <f t="shared" si="7"/>
        <v>18</v>
      </c>
    </row>
    <row r="130" spans="1:12" ht="15.6" x14ac:dyDescent="0.3">
      <c r="A130" s="2">
        <f t="shared" si="5"/>
        <v>19</v>
      </c>
      <c r="B130" s="18" t="s">
        <v>156</v>
      </c>
      <c r="C130" s="2" t="s">
        <v>26</v>
      </c>
      <c r="D130" s="2"/>
      <c r="E130" s="2"/>
      <c r="F130" s="26">
        <f>'Pg3 BK-1 Rev TO5 C4-Cost Adj '!E130</f>
        <v>51967.715833331946</v>
      </c>
      <c r="G130" s="42"/>
      <c r="H130" s="26">
        <f>'Pg4 BK-1 Retail TRR-As Filed'!E127</f>
        <v>51967.715833331946</v>
      </c>
      <c r="J130" s="21">
        <f t="shared" ref="J130:J132" si="9">F130-H130</f>
        <v>0</v>
      </c>
      <c r="K130" s="2" t="s">
        <v>157</v>
      </c>
      <c r="L130" s="2">
        <f t="shared" si="7"/>
        <v>19</v>
      </c>
    </row>
    <row r="131" spans="1:12" ht="15.6" x14ac:dyDescent="0.3">
      <c r="A131" s="2">
        <f t="shared" si="5"/>
        <v>20</v>
      </c>
      <c r="B131" s="18" t="s">
        <v>158</v>
      </c>
      <c r="C131" s="2" t="s">
        <v>26</v>
      </c>
      <c r="D131" s="2"/>
      <c r="E131" s="2"/>
      <c r="F131" s="78">
        <f>'Pg3 BK-1 Rev TO5 C4-Cost Adj '!E131</f>
        <v>37816.931501811814</v>
      </c>
      <c r="G131" s="42"/>
      <c r="H131" s="78">
        <f>'Pg4 BK-1 Retail TRR-As Filed'!E128</f>
        <v>37816.931501811814</v>
      </c>
      <c r="J131" s="23">
        <f t="shared" si="9"/>
        <v>0</v>
      </c>
      <c r="K131" s="2" t="s">
        <v>159</v>
      </c>
      <c r="L131" s="2">
        <f t="shared" si="7"/>
        <v>20</v>
      </c>
    </row>
    <row r="132" spans="1:12" ht="15.6" x14ac:dyDescent="0.3">
      <c r="A132" s="2">
        <f t="shared" si="5"/>
        <v>21</v>
      </c>
      <c r="B132" s="18" t="s">
        <v>160</v>
      </c>
      <c r="C132" s="2" t="s">
        <v>26</v>
      </c>
      <c r="D132" s="2"/>
      <c r="E132" s="2"/>
      <c r="F132" s="503">
        <f>'Pg3 BK-1 Rev TO5 C4-Cost Adj '!E132</f>
        <v>22110.874807762932</v>
      </c>
      <c r="G132" s="42" t="s">
        <v>42</v>
      </c>
      <c r="H132" s="79">
        <f>'Pg4 BK-1 Retail TRR-As Filed'!E129</f>
        <v>22112.998447358888</v>
      </c>
      <c r="J132" s="25">
        <f t="shared" si="9"/>
        <v>-2.1236395959567744</v>
      </c>
      <c r="K132" s="2" t="s">
        <v>161</v>
      </c>
      <c r="L132" s="2">
        <f t="shared" si="7"/>
        <v>21</v>
      </c>
    </row>
    <row r="133" spans="1:12" ht="15.6" x14ac:dyDescent="0.3">
      <c r="A133" s="2">
        <f t="shared" si="5"/>
        <v>22</v>
      </c>
      <c r="B133" s="18" t="s">
        <v>162</v>
      </c>
      <c r="C133" s="5"/>
      <c r="D133" s="5"/>
      <c r="E133" s="5"/>
      <c r="F133" s="34">
        <f>SUM(F130:F132)</f>
        <v>111895.52214290669</v>
      </c>
      <c r="G133" s="42" t="s">
        <v>42</v>
      </c>
      <c r="H133" s="35">
        <f>SUM(H130:H132)</f>
        <v>111897.64578250264</v>
      </c>
      <c r="J133" s="34">
        <f>SUM(J130:J132)</f>
        <v>-2.1236395959567744</v>
      </c>
      <c r="K133" s="28" t="s">
        <v>163</v>
      </c>
      <c r="L133" s="2">
        <f t="shared" si="7"/>
        <v>22</v>
      </c>
    </row>
    <row r="134" spans="1:12" ht="15.6" x14ac:dyDescent="0.3">
      <c r="A134" s="2">
        <f t="shared" si="5"/>
        <v>23</v>
      </c>
      <c r="B134" s="18"/>
      <c r="C134" s="5"/>
      <c r="D134" s="5"/>
      <c r="E134" s="5"/>
      <c r="F134" s="34"/>
      <c r="G134" s="42"/>
      <c r="H134" s="35"/>
      <c r="J134" s="34"/>
      <c r="K134" s="2"/>
      <c r="L134" s="2">
        <f t="shared" si="7"/>
        <v>23</v>
      </c>
    </row>
    <row r="135" spans="1:12" ht="15.6" x14ac:dyDescent="0.3">
      <c r="A135" s="2">
        <f t="shared" si="5"/>
        <v>24</v>
      </c>
      <c r="B135" s="18" t="s">
        <v>164</v>
      </c>
      <c r="C135" s="5"/>
      <c r="D135" s="5"/>
      <c r="E135" s="5"/>
      <c r="F135" s="80">
        <f>'Pg3 BK-1 Rev TO5 C4-Cost Adj '!E135</f>
        <v>0</v>
      </c>
      <c r="G135" s="42"/>
      <c r="H135" s="80">
        <f>'Pg4 BK-1 Retail TRR-As Filed'!E132</f>
        <v>0</v>
      </c>
      <c r="J135" s="81">
        <f>F135-H135</f>
        <v>0</v>
      </c>
      <c r="K135" s="2" t="s">
        <v>165</v>
      </c>
      <c r="L135" s="2">
        <f t="shared" si="7"/>
        <v>24</v>
      </c>
    </row>
    <row r="136" spans="1:12" ht="15.6" x14ac:dyDescent="0.3">
      <c r="A136" s="2">
        <f t="shared" si="5"/>
        <v>25</v>
      </c>
      <c r="B136" s="32" t="s">
        <v>166</v>
      </c>
      <c r="C136" s="5"/>
      <c r="D136" s="5"/>
      <c r="E136" s="5"/>
      <c r="F136" s="327">
        <f>'Pg3 BK-1 Rev TO5 C4-Cost Adj '!E136</f>
        <v>-10867.384430895108</v>
      </c>
      <c r="G136" s="42" t="s">
        <v>42</v>
      </c>
      <c r="H136" s="82">
        <f>'Pg4 BK-1 Retail TRR-As Filed'!E133</f>
        <v>-7015.6611016726329</v>
      </c>
      <c r="J136" s="326">
        <f>F136-H136</f>
        <v>-3851.7233292224755</v>
      </c>
      <c r="K136" s="2" t="s">
        <v>167</v>
      </c>
      <c r="L136" s="2">
        <f t="shared" si="7"/>
        <v>25</v>
      </c>
    </row>
    <row r="137" spans="1:12" ht="15.6" x14ac:dyDescent="0.3">
      <c r="A137" s="2">
        <f t="shared" si="5"/>
        <v>26</v>
      </c>
      <c r="B137" s="18"/>
      <c r="C137" s="5"/>
      <c r="D137" s="5"/>
      <c r="E137" s="5"/>
      <c r="F137" s="83"/>
      <c r="G137" s="5"/>
      <c r="H137" s="83"/>
      <c r="I137" s="5"/>
      <c r="J137" s="5"/>
      <c r="K137" s="28"/>
      <c r="L137" s="2">
        <f t="shared" si="7"/>
        <v>26</v>
      </c>
    </row>
    <row r="138" spans="1:12" ht="16.2" thickBot="1" x14ac:dyDescent="0.35">
      <c r="A138" s="2">
        <f t="shared" si="5"/>
        <v>27</v>
      </c>
      <c r="B138" s="32" t="s">
        <v>168</v>
      </c>
      <c r="C138" s="5"/>
      <c r="D138" s="5"/>
      <c r="E138" s="5"/>
      <c r="F138" s="84">
        <f>F117+F122+F127+F133+F135+F136</f>
        <v>4577996.2614806164</v>
      </c>
      <c r="G138" s="42" t="s">
        <v>42</v>
      </c>
      <c r="H138" s="85">
        <f>H117+H122+H127+H133+H135+H136</f>
        <v>4601951.905053095</v>
      </c>
      <c r="J138" s="84">
        <f>F138-H138</f>
        <v>-23955.643572478555</v>
      </c>
      <c r="K138" s="28" t="s">
        <v>169</v>
      </c>
      <c r="L138" s="2">
        <f t="shared" si="7"/>
        <v>27</v>
      </c>
    </row>
    <row r="139" spans="1:12" ht="16.2" thickTop="1" x14ac:dyDescent="0.3">
      <c r="A139" s="2">
        <f t="shared" si="5"/>
        <v>28</v>
      </c>
      <c r="B139" s="18"/>
      <c r="C139" s="5"/>
      <c r="D139" s="5"/>
      <c r="E139" s="5"/>
      <c r="F139" s="34"/>
      <c r="G139" s="42"/>
      <c r="H139" s="35"/>
      <c r="J139" s="34"/>
      <c r="K139" s="2"/>
      <c r="L139" s="2">
        <f t="shared" si="7"/>
        <v>28</v>
      </c>
    </row>
    <row r="140" spans="1:12" ht="18" x14ac:dyDescent="0.3">
      <c r="A140" s="2">
        <f t="shared" si="5"/>
        <v>29</v>
      </c>
      <c r="B140" s="44" t="s">
        <v>170</v>
      </c>
      <c r="C140" s="5"/>
      <c r="D140" s="5"/>
      <c r="E140" s="5"/>
      <c r="F140" s="34"/>
      <c r="G140" s="42"/>
      <c r="H140" s="35"/>
      <c r="J140" s="34"/>
      <c r="K140" s="2"/>
      <c r="L140" s="2">
        <f t="shared" si="7"/>
        <v>29</v>
      </c>
    </row>
    <row r="141" spans="1:12" ht="15.6" x14ac:dyDescent="0.3">
      <c r="A141" s="2">
        <f t="shared" si="5"/>
        <v>30</v>
      </c>
      <c r="B141" s="32" t="s">
        <v>171</v>
      </c>
      <c r="C141" s="5"/>
      <c r="D141" s="5"/>
      <c r="E141" s="5"/>
      <c r="F141" s="35">
        <f>'Pg3 BK-1 Rev TO5 C4-Cost Adj '!E141</f>
        <v>0</v>
      </c>
      <c r="G141" s="42"/>
      <c r="H141" s="35">
        <f>'Pg4 BK-1 Retail TRR-As Filed'!E138</f>
        <v>0</v>
      </c>
      <c r="J141" s="35">
        <f>F141-H141</f>
        <v>0</v>
      </c>
      <c r="K141" s="2" t="s">
        <v>172</v>
      </c>
      <c r="L141" s="2">
        <f t="shared" si="7"/>
        <v>30</v>
      </c>
    </row>
    <row r="142" spans="1:12" ht="15.6" x14ac:dyDescent="0.3">
      <c r="A142" s="2">
        <f t="shared" si="5"/>
        <v>31</v>
      </c>
      <c r="B142" s="32" t="s">
        <v>173</v>
      </c>
      <c r="C142" s="5"/>
      <c r="D142" s="5"/>
      <c r="E142" s="5"/>
      <c r="F142" s="76">
        <f>'Pg3 BK-1 Rev TO5 C4-Cost Adj '!E142</f>
        <v>0</v>
      </c>
      <c r="G142" s="86"/>
      <c r="H142" s="76">
        <f>'Pg4 BK-1 Retail TRR-As Filed'!E139</f>
        <v>0</v>
      </c>
      <c r="J142" s="76">
        <f>F142-H142</f>
        <v>0</v>
      </c>
      <c r="K142" s="2" t="s">
        <v>174</v>
      </c>
      <c r="L142" s="2">
        <f t="shared" si="7"/>
        <v>31</v>
      </c>
    </row>
    <row r="143" spans="1:12" ht="15.6" x14ac:dyDescent="0.3">
      <c r="A143" s="2">
        <f t="shared" si="5"/>
        <v>32</v>
      </c>
      <c r="B143" s="27" t="s">
        <v>175</v>
      </c>
      <c r="C143" s="5"/>
      <c r="D143" s="5"/>
      <c r="E143" s="5"/>
      <c r="F143" s="35">
        <f>SUM(F141:F142)</f>
        <v>0</v>
      </c>
      <c r="G143" s="42"/>
      <c r="H143" s="35">
        <f>SUM(H141:H142)</f>
        <v>0</v>
      </c>
      <c r="J143" s="35">
        <f>SUM(J141:J142)</f>
        <v>0</v>
      </c>
      <c r="K143" s="28" t="s">
        <v>176</v>
      </c>
      <c r="L143" s="2">
        <f t="shared" si="7"/>
        <v>32</v>
      </c>
    </row>
    <row r="144" spans="1:12" ht="15.6" x14ac:dyDescent="0.3">
      <c r="A144" s="2">
        <f t="shared" si="5"/>
        <v>33</v>
      </c>
      <c r="B144" s="32"/>
      <c r="C144" s="5"/>
      <c r="D144" s="5"/>
      <c r="E144" s="5"/>
      <c r="F144" s="34"/>
      <c r="G144" s="42"/>
      <c r="H144" s="35"/>
      <c r="J144" s="34"/>
      <c r="K144" s="28"/>
      <c r="L144" s="2">
        <f t="shared" si="7"/>
        <v>33</v>
      </c>
    </row>
    <row r="145" spans="1:12" ht="18" x14ac:dyDescent="0.3">
      <c r="A145" s="2">
        <f t="shared" si="5"/>
        <v>34</v>
      </c>
      <c r="B145" s="44" t="s">
        <v>177</v>
      </c>
      <c r="C145" s="5"/>
      <c r="D145" s="5"/>
      <c r="E145" s="5"/>
      <c r="F145" s="34"/>
      <c r="G145" s="42"/>
      <c r="H145" s="35"/>
      <c r="J145" s="34"/>
      <c r="K145" s="28"/>
      <c r="L145" s="2">
        <f t="shared" si="7"/>
        <v>34</v>
      </c>
    </row>
    <row r="146" spans="1:12" ht="15.6" x14ac:dyDescent="0.3">
      <c r="A146" s="2">
        <f t="shared" si="5"/>
        <v>35</v>
      </c>
      <c r="B146" s="32" t="s">
        <v>178</v>
      </c>
      <c r="C146" s="5"/>
      <c r="D146" s="5"/>
      <c r="E146" s="5"/>
      <c r="F146" s="35">
        <f>'Pg3 BK-1 Rev TO5 C4-Cost Adj '!E146</f>
        <v>0</v>
      </c>
      <c r="G146" s="42"/>
      <c r="H146" s="35">
        <f>'Pg4 BK-1 Retail TRR-As Filed'!E143</f>
        <v>0</v>
      </c>
      <c r="J146" s="35">
        <f>F146-H146</f>
        <v>0</v>
      </c>
      <c r="K146" s="2" t="s">
        <v>179</v>
      </c>
      <c r="L146" s="2">
        <f t="shared" si="7"/>
        <v>35</v>
      </c>
    </row>
    <row r="147" spans="1:12" ht="15.6" x14ac:dyDescent="0.3">
      <c r="A147" s="2">
        <f t="shared" si="5"/>
        <v>36</v>
      </c>
      <c r="B147" s="27" t="s">
        <v>180</v>
      </c>
      <c r="C147" s="5"/>
      <c r="D147" s="5"/>
      <c r="E147" s="5"/>
      <c r="F147" s="76">
        <f>'Pg3 BK-1 Rev TO5 C4-Cost Adj '!E147</f>
        <v>0</v>
      </c>
      <c r="G147" s="42"/>
      <c r="H147" s="76">
        <f>'Pg4 BK-1 Retail TRR-As Filed'!E144</f>
        <v>0</v>
      </c>
      <c r="J147" s="87">
        <f>F147-H147</f>
        <v>0</v>
      </c>
      <c r="K147" s="2" t="s">
        <v>181</v>
      </c>
      <c r="L147" s="2">
        <f t="shared" si="7"/>
        <v>36</v>
      </c>
    </row>
    <row r="148" spans="1:12" ht="15.6" x14ac:dyDescent="0.3">
      <c r="A148" s="2">
        <f t="shared" si="5"/>
        <v>37</v>
      </c>
      <c r="B148" s="27" t="s">
        <v>182</v>
      </c>
      <c r="C148" s="5"/>
      <c r="D148" s="5"/>
      <c r="E148" s="5"/>
      <c r="F148" s="35">
        <f>SUM(F146:F147)</f>
        <v>0</v>
      </c>
      <c r="G148" s="42"/>
      <c r="H148" s="35">
        <f>SUM(H146:H147)</f>
        <v>0</v>
      </c>
      <c r="J148" s="35">
        <f>SUM(J146:J147)</f>
        <v>0</v>
      </c>
      <c r="K148" s="28" t="s">
        <v>183</v>
      </c>
      <c r="L148" s="2">
        <f t="shared" si="7"/>
        <v>37</v>
      </c>
    </row>
    <row r="149" spans="1:12" ht="15.6" x14ac:dyDescent="0.3">
      <c r="A149" s="2">
        <f t="shared" si="5"/>
        <v>38</v>
      </c>
      <c r="B149" s="32"/>
      <c r="C149" s="5"/>
      <c r="D149" s="5"/>
      <c r="E149" s="5"/>
      <c r="F149" s="34"/>
      <c r="G149" s="42"/>
      <c r="H149" s="35"/>
      <c r="J149" s="34"/>
      <c r="K149" s="28"/>
      <c r="L149" s="2">
        <f t="shared" si="7"/>
        <v>38</v>
      </c>
    </row>
    <row r="150" spans="1:12" ht="18" x14ac:dyDescent="0.3">
      <c r="A150" s="2">
        <f t="shared" si="5"/>
        <v>39</v>
      </c>
      <c r="B150" s="44" t="s">
        <v>184</v>
      </c>
      <c r="C150" s="5"/>
      <c r="D150" s="5"/>
      <c r="E150" s="5"/>
      <c r="F150" s="35">
        <f>'Pg3 BK-1 Rev TO5 C4-Cost Adj '!E150</f>
        <v>0</v>
      </c>
      <c r="G150" s="42"/>
      <c r="H150" s="35">
        <f>'Pg4 BK-1 Retail TRR-As Filed'!E147</f>
        <v>0</v>
      </c>
      <c r="J150" s="35">
        <f>F150-H150</f>
        <v>0</v>
      </c>
      <c r="K150" s="2" t="s">
        <v>185</v>
      </c>
      <c r="L150" s="2">
        <f t="shared" si="7"/>
        <v>39</v>
      </c>
    </row>
    <row r="151" spans="1:12" ht="15.6" x14ac:dyDescent="0.3">
      <c r="A151" s="2"/>
      <c r="B151" s="18"/>
      <c r="C151" s="5"/>
      <c r="D151" s="5"/>
      <c r="E151" s="5"/>
      <c r="F151" s="34"/>
      <c r="G151" s="42"/>
      <c r="H151" s="35"/>
      <c r="J151" s="34"/>
      <c r="K151" s="2"/>
      <c r="L151" s="2"/>
    </row>
    <row r="152" spans="1:12" ht="15.6" x14ac:dyDescent="0.3">
      <c r="A152" s="42" t="s">
        <v>42</v>
      </c>
      <c r="B152" s="12" t="str">
        <f>B42</f>
        <v xml:space="preserve">Items in BOLD have changed due to unfunded reserves error, A&amp;G adjustments, transmission revenue credits error,  and removal of CIAC related ADIT per TO5 Cycle 4 Letter Order </v>
      </c>
      <c r="C152" s="5"/>
      <c r="D152" s="5"/>
      <c r="E152" s="5"/>
      <c r="F152" s="5"/>
      <c r="G152" s="5"/>
      <c r="H152" s="5"/>
      <c r="I152" s="5"/>
      <c r="J152" s="5"/>
      <c r="K152" s="2"/>
      <c r="L152" s="2"/>
    </row>
    <row r="153" spans="1:12" ht="15.6" x14ac:dyDescent="0.3">
      <c r="A153" s="42"/>
      <c r="B153" s="12" t="str">
        <f>B43</f>
        <v>determination in ER22-527 as compared to the original TO5 Cycle 4 filing.</v>
      </c>
      <c r="C153" s="5"/>
      <c r="D153" s="5"/>
      <c r="E153" s="5"/>
      <c r="F153" s="5"/>
      <c r="G153" s="5"/>
      <c r="H153" s="5"/>
      <c r="I153" s="5"/>
      <c r="J153" s="5"/>
      <c r="K153" s="2"/>
      <c r="L153" s="2"/>
    </row>
    <row r="154" spans="1:12" ht="18" x14ac:dyDescent="0.3">
      <c r="A154" s="43">
        <v>1</v>
      </c>
      <c r="B154" s="27" t="s">
        <v>127</v>
      </c>
      <c r="C154" s="5"/>
      <c r="D154" s="5"/>
      <c r="E154" s="5"/>
      <c r="F154" s="5"/>
      <c r="G154" s="5"/>
      <c r="H154" s="5"/>
      <c r="I154" s="5"/>
      <c r="J154" s="5"/>
      <c r="K154" s="2"/>
      <c r="L154" s="2"/>
    </row>
    <row r="155" spans="1:12" ht="15.6" x14ac:dyDescent="0.3">
      <c r="A155" s="2"/>
      <c r="B155" s="12"/>
      <c r="C155" s="5"/>
      <c r="D155" s="5"/>
      <c r="E155" s="5"/>
      <c r="F155" s="5"/>
      <c r="G155" s="5"/>
      <c r="H155" s="5"/>
      <c r="I155" s="5"/>
      <c r="J155" s="5"/>
      <c r="K155" s="2"/>
      <c r="L155" s="2"/>
    </row>
    <row r="156" spans="1:12" ht="15.6" x14ac:dyDescent="0.3">
      <c r="A156" s="2"/>
      <c r="B156" s="12"/>
      <c r="C156" s="5"/>
      <c r="D156" s="5"/>
      <c r="E156" s="5"/>
      <c r="F156" s="5"/>
      <c r="G156" s="5"/>
      <c r="H156" s="5"/>
      <c r="I156" s="5"/>
      <c r="J156" s="5"/>
      <c r="K156" s="2"/>
      <c r="L156" s="2"/>
    </row>
    <row r="157" spans="1:12" ht="15.6" x14ac:dyDescent="0.3">
      <c r="A157" s="2"/>
      <c r="B157" s="851" t="s">
        <v>0</v>
      </c>
      <c r="C157" s="852"/>
      <c r="D157" s="852"/>
      <c r="E157" s="852"/>
      <c r="F157" s="852"/>
      <c r="G157" s="852"/>
      <c r="H157" s="852"/>
      <c r="I157" s="852"/>
      <c r="J157" s="852"/>
      <c r="K157" s="852"/>
      <c r="L157" s="2"/>
    </row>
    <row r="158" spans="1:12" ht="15.6" x14ac:dyDescent="0.3">
      <c r="A158" s="2" t="s">
        <v>26</v>
      </c>
      <c r="B158" s="851" t="str">
        <f>B3</f>
        <v>TO5 Cycle 5 Annual Informational Filing</v>
      </c>
      <c r="C158" s="852"/>
      <c r="D158" s="852"/>
      <c r="E158" s="852"/>
      <c r="F158" s="852"/>
      <c r="G158" s="852"/>
      <c r="H158" s="852"/>
      <c r="I158" s="852"/>
      <c r="J158" s="852"/>
      <c r="K158" s="852"/>
      <c r="L158" s="2"/>
    </row>
    <row r="159" spans="1:12" ht="15.6" x14ac:dyDescent="0.3">
      <c r="A159" s="2"/>
      <c r="B159" s="851" t="str">
        <f>B4</f>
        <v>Derivation of Other BTRR Adjustments Applicable to TO5 Cycle 4</v>
      </c>
      <c r="C159" s="853"/>
      <c r="D159" s="853"/>
      <c r="E159" s="853"/>
      <c r="F159" s="853"/>
      <c r="G159" s="853"/>
      <c r="H159" s="853"/>
      <c r="I159" s="853"/>
      <c r="J159" s="853"/>
      <c r="K159" s="853"/>
      <c r="L159" s="2"/>
    </row>
    <row r="160" spans="1:12" ht="15.6" x14ac:dyDescent="0.3">
      <c r="A160" s="2"/>
      <c r="B160" s="850" t="s">
        <v>3</v>
      </c>
      <c r="C160" s="852"/>
      <c r="D160" s="852"/>
      <c r="E160" s="852"/>
      <c r="F160" s="852"/>
      <c r="G160" s="852"/>
      <c r="H160" s="852"/>
      <c r="I160" s="852"/>
      <c r="J160" s="852"/>
      <c r="K160" s="852"/>
      <c r="L160" s="2"/>
    </row>
    <row r="161" spans="1:13" ht="15.6" x14ac:dyDescent="0.3">
      <c r="A161" s="2"/>
      <c r="B161" s="8"/>
      <c r="C161" s="1"/>
      <c r="D161" s="1"/>
      <c r="E161" s="1"/>
      <c r="G161" s="1"/>
      <c r="I161" s="1"/>
      <c r="K161" s="1"/>
      <c r="L161" s="2"/>
    </row>
    <row r="162" spans="1:13" ht="15.6" x14ac:dyDescent="0.3">
      <c r="A162" s="2"/>
      <c r="B162" s="88"/>
      <c r="F162" s="10" t="s">
        <v>29</v>
      </c>
      <c r="G162"/>
      <c r="H162" s="10" t="s">
        <v>30</v>
      </c>
      <c r="I162"/>
      <c r="J162" s="10" t="s">
        <v>31</v>
      </c>
      <c r="L162" s="2"/>
    </row>
    <row r="163" spans="1:13" ht="46.8" x14ac:dyDescent="0.3">
      <c r="A163" s="2" t="s">
        <v>4</v>
      </c>
      <c r="B163" s="5"/>
      <c r="C163" s="5"/>
      <c r="D163" s="5"/>
      <c r="E163" s="5"/>
      <c r="F163" s="11" t="str">
        <f>F8</f>
        <v xml:space="preserve">Revised      TO5 C4 </v>
      </c>
      <c r="G163" s="12"/>
      <c r="H163" s="11" t="str">
        <f>H8</f>
        <v>As Filed        TO5 C4          ER 22-527</v>
      </c>
      <c r="I163" s="12"/>
      <c r="J163" s="13" t="s">
        <v>34</v>
      </c>
      <c r="K163" s="2"/>
      <c r="L163" s="2" t="s">
        <v>4</v>
      </c>
    </row>
    <row r="164" spans="1:13" ht="15.6" x14ac:dyDescent="0.3">
      <c r="A164" s="3" t="s">
        <v>8</v>
      </c>
      <c r="B164" s="12" t="s">
        <v>26</v>
      </c>
      <c r="C164" s="5"/>
      <c r="D164" s="5"/>
      <c r="E164" s="5"/>
      <c r="F164" s="14" t="s">
        <v>6</v>
      </c>
      <c r="G164" s="5"/>
      <c r="H164" s="14" t="s">
        <v>6</v>
      </c>
      <c r="I164" s="5"/>
      <c r="J164" s="15" t="s">
        <v>37</v>
      </c>
      <c r="K164" s="3" t="s">
        <v>7</v>
      </c>
      <c r="L164" s="3" t="s">
        <v>8</v>
      </c>
    </row>
    <row r="165" spans="1:13" ht="15.6" x14ac:dyDescent="0.3">
      <c r="A165" s="2"/>
      <c r="B165" s="16" t="s">
        <v>186</v>
      </c>
      <c r="C165" s="5"/>
      <c r="D165" s="5"/>
      <c r="E165" s="5"/>
      <c r="F165" s="5"/>
      <c r="G165" s="5"/>
      <c r="H165" s="5"/>
      <c r="I165" s="5"/>
      <c r="J165" s="5"/>
      <c r="K165" s="2"/>
      <c r="L165" s="2"/>
    </row>
    <row r="166" spans="1:13" ht="15.6" x14ac:dyDescent="0.3">
      <c r="A166" s="2">
        <v>1</v>
      </c>
      <c r="B166" s="68" t="s">
        <v>187</v>
      </c>
      <c r="C166" s="5"/>
      <c r="D166" s="5"/>
      <c r="E166" s="5"/>
      <c r="F166" s="5"/>
      <c r="G166" s="5"/>
      <c r="H166" s="5"/>
      <c r="I166" s="5"/>
      <c r="J166" s="5"/>
      <c r="K166" s="2"/>
      <c r="L166" s="2">
        <v>1</v>
      </c>
    </row>
    <row r="167" spans="1:13" ht="15.6" x14ac:dyDescent="0.3">
      <c r="A167" s="2">
        <f t="shared" ref="A167:A190" si="10">A166+1</f>
        <v>2</v>
      </c>
      <c r="B167" s="18" t="s">
        <v>131</v>
      </c>
      <c r="C167" s="5"/>
      <c r="D167" s="5"/>
      <c r="E167" s="5"/>
      <c r="F167" s="26">
        <f>'Pg3 BK-1 Rev TO5 C4-Cost Adj '!E167</f>
        <v>6632410.4084030753</v>
      </c>
      <c r="G167" s="42"/>
      <c r="H167" s="26">
        <f>'Pg4 BK-1 Retail TRR-As Filed'!E162</f>
        <v>6632410.4084030753</v>
      </c>
      <c r="I167" s="12"/>
      <c r="J167" s="7">
        <f>F167-H167</f>
        <v>0</v>
      </c>
      <c r="K167" s="2" t="s">
        <v>188</v>
      </c>
      <c r="L167" s="2">
        <f t="shared" ref="L167:L190" si="11">L166+1</f>
        <v>2</v>
      </c>
    </row>
    <row r="168" spans="1:13" ht="15.6" x14ac:dyDescent="0.3">
      <c r="A168" s="2">
        <f t="shared" si="10"/>
        <v>3</v>
      </c>
      <c r="B168" s="18" t="s">
        <v>133</v>
      </c>
      <c r="C168" s="5"/>
      <c r="D168" s="5"/>
      <c r="E168" s="5"/>
      <c r="F168" s="78">
        <f>'Pg3 BK-1 Rev TO5 C4-Cost Adj '!E168</f>
        <v>34627.403972329441</v>
      </c>
      <c r="G168" s="20"/>
      <c r="H168" s="78">
        <f>'Pg4 BK-1 Retail TRR-As Filed'!E163</f>
        <v>34627.403972329441</v>
      </c>
      <c r="J168" s="23">
        <f>F168-H168</f>
        <v>0</v>
      </c>
      <c r="K168" s="2" t="s">
        <v>189</v>
      </c>
      <c r="L168" s="2">
        <f t="shared" si="11"/>
        <v>3</v>
      </c>
    </row>
    <row r="169" spans="1:13" ht="15.6" x14ac:dyDescent="0.3">
      <c r="A169" s="2">
        <f t="shared" si="10"/>
        <v>4</v>
      </c>
      <c r="B169" s="18" t="s">
        <v>135</v>
      </c>
      <c r="C169" s="5"/>
      <c r="D169" s="5"/>
      <c r="E169" s="5"/>
      <c r="F169" s="78">
        <f>'Pg3 BK-1 Rev TO5 C4-Cost Adj '!E169</f>
        <v>86594.311561361523</v>
      </c>
      <c r="G169" s="12"/>
      <c r="H169" s="78">
        <f>'Pg4 BK-1 Retail TRR-As Filed'!E164</f>
        <v>86594.311561361523</v>
      </c>
      <c r="J169" s="23">
        <f t="shared" ref="J169:J170" si="12">F169-H169</f>
        <v>0</v>
      </c>
      <c r="K169" s="2" t="s">
        <v>190</v>
      </c>
      <c r="L169" s="2">
        <f t="shared" si="11"/>
        <v>4</v>
      </c>
      <c r="M169" s="89"/>
    </row>
    <row r="170" spans="1:13" ht="15.6" x14ac:dyDescent="0.3">
      <c r="A170" s="2">
        <f t="shared" si="10"/>
        <v>5</v>
      </c>
      <c r="B170" s="18" t="s">
        <v>137</v>
      </c>
      <c r="C170" s="2" t="s">
        <v>26</v>
      </c>
      <c r="D170" s="2"/>
      <c r="E170" s="2"/>
      <c r="F170" s="79">
        <f>'Pg3 BK-1 Rev TO5 C4-Cost Adj '!E170</f>
        <v>214262.5076566372</v>
      </c>
      <c r="G170" s="12"/>
      <c r="H170" s="79">
        <f>'Pg4 BK-1 Retail TRR-As Filed'!E165</f>
        <v>214262.5076566372</v>
      </c>
      <c r="J170" s="25">
        <f t="shared" si="12"/>
        <v>0</v>
      </c>
      <c r="K170" s="2" t="s">
        <v>191</v>
      </c>
      <c r="L170" s="2">
        <f t="shared" si="11"/>
        <v>5</v>
      </c>
    </row>
    <row r="171" spans="1:13" ht="15.6" x14ac:dyDescent="0.3">
      <c r="A171" s="2">
        <f t="shared" si="10"/>
        <v>6</v>
      </c>
      <c r="B171" s="18" t="s">
        <v>192</v>
      </c>
      <c r="C171" s="5"/>
      <c r="D171" s="5"/>
      <c r="E171" s="5"/>
      <c r="F171" s="35">
        <f>SUM(F167:F170)</f>
        <v>6967894.6315934043</v>
      </c>
      <c r="G171" s="42"/>
      <c r="H171" s="35">
        <f>SUM(H167:H170)</f>
        <v>6967894.6315934043</v>
      </c>
      <c r="J171" s="35">
        <f>SUM(J167:J170)</f>
        <v>0</v>
      </c>
      <c r="K171" s="28" t="s">
        <v>140</v>
      </c>
      <c r="L171" s="2">
        <f t="shared" si="11"/>
        <v>6</v>
      </c>
    </row>
    <row r="172" spans="1:13" ht="15.6" x14ac:dyDescent="0.3">
      <c r="A172" s="2">
        <f t="shared" si="10"/>
        <v>7</v>
      </c>
      <c r="B172" s="5"/>
      <c r="C172" s="2"/>
      <c r="D172" s="2"/>
      <c r="E172" s="2"/>
      <c r="F172" s="90"/>
      <c r="G172" s="5"/>
      <c r="H172" s="90"/>
      <c r="J172" s="5"/>
      <c r="K172" s="28"/>
      <c r="L172" s="2">
        <f t="shared" si="11"/>
        <v>7</v>
      </c>
    </row>
    <row r="173" spans="1:13" ht="15.6" x14ac:dyDescent="0.3">
      <c r="A173" s="2">
        <f t="shared" si="10"/>
        <v>8</v>
      </c>
      <c r="B173" s="91" t="s">
        <v>193</v>
      </c>
      <c r="C173" s="5"/>
      <c r="D173" s="5"/>
      <c r="E173" s="5"/>
      <c r="F173" s="90"/>
      <c r="G173" s="5"/>
      <c r="H173" s="90"/>
      <c r="J173" s="5"/>
      <c r="K173" s="28"/>
      <c r="L173" s="2">
        <f t="shared" si="11"/>
        <v>8</v>
      </c>
    </row>
    <row r="174" spans="1:13" ht="15.6" x14ac:dyDescent="0.3">
      <c r="A174" s="2">
        <f t="shared" si="10"/>
        <v>9</v>
      </c>
      <c r="B174" s="5" t="s">
        <v>194</v>
      </c>
      <c r="C174" s="5"/>
      <c r="D174" s="5"/>
      <c r="E174" s="5"/>
      <c r="F174" s="26">
        <f>'Pg3 BK-1 Rev TO5 C4-Cost Adj '!E174</f>
        <v>1386289.2768323075</v>
      </c>
      <c r="G174" s="42"/>
      <c r="H174" s="26">
        <f>'Pg4 BK-1 Retail TRR-As Filed'!E169</f>
        <v>1386289.2768323075</v>
      </c>
      <c r="J174" s="7">
        <f>F174-H174</f>
        <v>0</v>
      </c>
      <c r="K174" s="2" t="s">
        <v>195</v>
      </c>
      <c r="L174" s="2">
        <f t="shared" si="11"/>
        <v>9</v>
      </c>
    </row>
    <row r="175" spans="1:13" ht="15.6" x14ac:dyDescent="0.3">
      <c r="A175" s="2">
        <f t="shared" si="10"/>
        <v>10</v>
      </c>
      <c r="B175" s="5" t="s">
        <v>196</v>
      </c>
      <c r="C175" s="5"/>
      <c r="D175" s="5"/>
      <c r="E175" s="5"/>
      <c r="F175" s="78">
        <f>'Pg3 BK-1 Rev TO5 C4-Cost Adj '!E175</f>
        <v>28441.990363603276</v>
      </c>
      <c r="G175" s="20"/>
      <c r="H175" s="78">
        <f>'Pg4 BK-1 Retail TRR-As Filed'!E170</f>
        <v>28441.990363603276</v>
      </c>
      <c r="J175" s="23">
        <f t="shared" ref="J175:J177" si="13">F175-H175</f>
        <v>0</v>
      </c>
      <c r="K175" s="2" t="s">
        <v>197</v>
      </c>
      <c r="L175" s="2">
        <f t="shared" si="11"/>
        <v>10</v>
      </c>
    </row>
    <row r="176" spans="1:13" ht="15.6" x14ac:dyDescent="0.3">
      <c r="A176" s="2">
        <f t="shared" si="10"/>
        <v>11</v>
      </c>
      <c r="B176" s="5" t="s">
        <v>198</v>
      </c>
      <c r="C176" s="5"/>
      <c r="D176" s="5"/>
      <c r="E176" s="5"/>
      <c r="F176" s="78">
        <f>'Pg3 BK-1 Rev TO5 C4-Cost Adj '!E176</f>
        <v>35374.192307277262</v>
      </c>
      <c r="G176" s="12"/>
      <c r="H176" s="78">
        <f>'Pg4 BK-1 Retail TRR-As Filed'!E171</f>
        <v>35374.192307277262</v>
      </c>
      <c r="J176" s="23">
        <f t="shared" si="13"/>
        <v>0</v>
      </c>
      <c r="K176" s="2" t="s">
        <v>199</v>
      </c>
      <c r="L176" s="2">
        <f t="shared" si="11"/>
        <v>11</v>
      </c>
    </row>
    <row r="177" spans="1:12" ht="15.6" x14ac:dyDescent="0.3">
      <c r="A177" s="2">
        <f t="shared" si="10"/>
        <v>12</v>
      </c>
      <c r="B177" s="5" t="s">
        <v>200</v>
      </c>
      <c r="C177" s="5"/>
      <c r="D177" s="5"/>
      <c r="E177" s="5"/>
      <c r="F177" s="78">
        <f>'Pg3 BK-1 Rev TO5 C4-Cost Adj '!E177</f>
        <v>106512.53238466283</v>
      </c>
      <c r="G177" s="12"/>
      <c r="H177" s="78">
        <f>'Pg4 BK-1 Retail TRR-As Filed'!E172</f>
        <v>106512.53238466283</v>
      </c>
      <c r="J177" s="25">
        <f t="shared" si="13"/>
        <v>0</v>
      </c>
      <c r="K177" s="2" t="s">
        <v>201</v>
      </c>
      <c r="L177" s="2">
        <f t="shared" si="11"/>
        <v>12</v>
      </c>
    </row>
    <row r="178" spans="1:12" ht="15.6" x14ac:dyDescent="0.3">
      <c r="A178" s="2">
        <f t="shared" si="10"/>
        <v>13</v>
      </c>
      <c r="B178" s="92" t="s">
        <v>202</v>
      </c>
      <c r="C178" s="92"/>
      <c r="D178" s="92"/>
      <c r="E178" s="92"/>
      <c r="F178" s="93">
        <f>SUM(F174:F177)</f>
        <v>1556617.9918878509</v>
      </c>
      <c r="G178" s="42"/>
      <c r="H178" s="93">
        <f>SUM(H174:H177)</f>
        <v>1556617.9918878509</v>
      </c>
      <c r="J178" s="93">
        <f>SUM(J174:J177)</f>
        <v>0</v>
      </c>
      <c r="K178" s="28" t="s">
        <v>203</v>
      </c>
      <c r="L178" s="2">
        <f t="shared" si="11"/>
        <v>13</v>
      </c>
    </row>
    <row r="179" spans="1:12" ht="15.6" x14ac:dyDescent="0.3">
      <c r="A179" s="2">
        <f t="shared" si="10"/>
        <v>14</v>
      </c>
      <c r="B179" s="92"/>
      <c r="C179" s="92"/>
      <c r="D179" s="92"/>
      <c r="E179" s="92"/>
      <c r="F179" s="78"/>
      <c r="G179" s="5"/>
      <c r="H179" s="78"/>
      <c r="J179" s="5"/>
      <c r="K179" s="2"/>
      <c r="L179" s="2">
        <f t="shared" si="11"/>
        <v>14</v>
      </c>
    </row>
    <row r="180" spans="1:12" ht="15.6" x14ac:dyDescent="0.3">
      <c r="A180" s="2">
        <f t="shared" si="10"/>
        <v>15</v>
      </c>
      <c r="B180" s="68" t="s">
        <v>130</v>
      </c>
      <c r="C180" s="92"/>
      <c r="D180" s="92"/>
      <c r="E180" s="92"/>
      <c r="F180" s="78"/>
      <c r="G180" s="5"/>
      <c r="H180" s="78"/>
      <c r="J180" s="5"/>
      <c r="K180" s="2"/>
      <c r="L180" s="2">
        <f t="shared" si="11"/>
        <v>15</v>
      </c>
    </row>
    <row r="181" spans="1:12" ht="15.6" x14ac:dyDescent="0.3">
      <c r="A181" s="2">
        <f t="shared" si="10"/>
        <v>16</v>
      </c>
      <c r="B181" s="18" t="s">
        <v>131</v>
      </c>
      <c r="C181" s="5"/>
      <c r="D181" s="5"/>
      <c r="E181" s="5"/>
      <c r="F181" s="26">
        <f>'Pg3 BK-1 Rev TO5 C4-Cost Adj '!E181</f>
        <v>5246121.1315707676</v>
      </c>
      <c r="G181" s="42"/>
      <c r="H181" s="26">
        <f>'Pg4 BK-1 Retail TRR-As Filed'!E176</f>
        <v>5246121.1315707676</v>
      </c>
      <c r="J181" s="7">
        <f>F181-H181</f>
        <v>0</v>
      </c>
      <c r="K181" s="2" t="s">
        <v>204</v>
      </c>
      <c r="L181" s="2">
        <f t="shared" si="11"/>
        <v>16</v>
      </c>
    </row>
    <row r="182" spans="1:12" ht="15.6" x14ac:dyDescent="0.3">
      <c r="A182" s="2">
        <f t="shared" si="10"/>
        <v>17</v>
      </c>
      <c r="B182" s="18" t="s">
        <v>133</v>
      </c>
      <c r="C182" s="5"/>
      <c r="D182" s="5"/>
      <c r="E182" s="5"/>
      <c r="F182" s="78">
        <f>'Pg3 BK-1 Rev TO5 C4-Cost Adj '!E182</f>
        <v>6185.413608726165</v>
      </c>
      <c r="G182" s="20"/>
      <c r="H182" s="78">
        <f>'Pg4 BK-1 Retail TRR-As Filed'!E177</f>
        <v>6185.413608726165</v>
      </c>
      <c r="J182" s="23">
        <f t="shared" ref="J182:J184" si="14">F182-H182</f>
        <v>0</v>
      </c>
      <c r="K182" s="2" t="s">
        <v>205</v>
      </c>
      <c r="L182" s="2">
        <f t="shared" si="11"/>
        <v>17</v>
      </c>
    </row>
    <row r="183" spans="1:12" ht="15.6" x14ac:dyDescent="0.3">
      <c r="A183" s="2">
        <f t="shared" si="10"/>
        <v>18</v>
      </c>
      <c r="B183" s="18" t="s">
        <v>135</v>
      </c>
      <c r="C183" s="5"/>
      <c r="D183" s="5"/>
      <c r="E183" s="5"/>
      <c r="F183" s="78">
        <f>'Pg3 BK-1 Rev TO5 C4-Cost Adj '!E183</f>
        <v>51220.11925408426</v>
      </c>
      <c r="G183" s="5"/>
      <c r="H183" s="78">
        <f>'Pg4 BK-1 Retail TRR-As Filed'!E178</f>
        <v>51220.11925408426</v>
      </c>
      <c r="J183" s="23">
        <f t="shared" si="14"/>
        <v>0</v>
      </c>
      <c r="K183" s="2" t="s">
        <v>206</v>
      </c>
      <c r="L183" s="2">
        <f t="shared" si="11"/>
        <v>18</v>
      </c>
    </row>
    <row r="184" spans="1:12" ht="15.6" x14ac:dyDescent="0.3">
      <c r="A184" s="2">
        <f t="shared" si="10"/>
        <v>19</v>
      </c>
      <c r="B184" s="18" t="s">
        <v>137</v>
      </c>
      <c r="C184" s="5"/>
      <c r="D184" s="5"/>
      <c r="E184" s="5"/>
      <c r="F184" s="78">
        <f>'Pg3 BK-1 Rev TO5 C4-Cost Adj '!E184</f>
        <v>107749.97527197437</v>
      </c>
      <c r="G184" s="5"/>
      <c r="H184" s="78">
        <f>'Pg4 BK-1 Retail TRR-As Filed'!E179</f>
        <v>107749.97527197437</v>
      </c>
      <c r="J184" s="23">
        <f t="shared" si="14"/>
        <v>0</v>
      </c>
      <c r="K184" s="2" t="s">
        <v>207</v>
      </c>
      <c r="L184" s="2">
        <f t="shared" si="11"/>
        <v>19</v>
      </c>
    </row>
    <row r="185" spans="1:12" ht="16.2" thickBot="1" x14ac:dyDescent="0.35">
      <c r="A185" s="2">
        <f t="shared" si="10"/>
        <v>20</v>
      </c>
      <c r="B185" s="5" t="s">
        <v>139</v>
      </c>
      <c r="C185" s="5"/>
      <c r="D185" s="5"/>
      <c r="E185" s="5"/>
      <c r="F185" s="94">
        <f>SUM(F181:F184)</f>
        <v>5411276.6397055527</v>
      </c>
      <c r="G185" s="42"/>
      <c r="H185" s="94">
        <f>SUM(H181:H184)</f>
        <v>5411276.6397055527</v>
      </c>
      <c r="J185" s="94">
        <f>SUM(J181:J184)</f>
        <v>0</v>
      </c>
      <c r="K185" s="2" t="s">
        <v>208</v>
      </c>
      <c r="L185" s="2">
        <f t="shared" si="11"/>
        <v>20</v>
      </c>
    </row>
    <row r="186" spans="1:12" ht="16.2" thickTop="1" x14ac:dyDescent="0.3">
      <c r="A186" s="2">
        <f t="shared" si="10"/>
        <v>21</v>
      </c>
      <c r="B186" s="5"/>
      <c r="C186" s="5"/>
      <c r="D186" s="5"/>
      <c r="E186" s="5"/>
      <c r="F186" s="34"/>
      <c r="G186" s="42"/>
      <c r="H186" s="35"/>
      <c r="J186" s="34"/>
      <c r="K186" s="2"/>
      <c r="L186" s="2">
        <f t="shared" si="11"/>
        <v>21</v>
      </c>
    </row>
    <row r="187" spans="1:12" ht="18" x14ac:dyDescent="0.3">
      <c r="A187" s="2">
        <f t="shared" si="10"/>
        <v>22</v>
      </c>
      <c r="B187" s="44" t="s">
        <v>209</v>
      </c>
      <c r="C187" s="5"/>
      <c r="D187" s="5"/>
      <c r="E187" s="5"/>
      <c r="F187" s="34"/>
      <c r="G187" s="42"/>
      <c r="H187" s="35"/>
      <c r="J187" s="34"/>
      <c r="K187" s="2"/>
      <c r="L187" s="2">
        <f t="shared" si="11"/>
        <v>22</v>
      </c>
    </row>
    <row r="188" spans="1:12" ht="15.6" x14ac:dyDescent="0.3">
      <c r="A188" s="2">
        <f t="shared" si="10"/>
        <v>23</v>
      </c>
      <c r="B188" s="32" t="s">
        <v>210</v>
      </c>
      <c r="C188" s="5"/>
      <c r="D188" s="5"/>
      <c r="E188" s="5"/>
      <c r="F188" s="35">
        <f>'Pg3 BK-1 Rev TO5 C4-Cost Adj '!E188</f>
        <v>0</v>
      </c>
      <c r="G188" s="42"/>
      <c r="H188" s="35">
        <f>'Pg4 BK-1 Retail TRR-As Filed'!E183</f>
        <v>0</v>
      </c>
      <c r="J188" s="35">
        <f>F188-H188</f>
        <v>0</v>
      </c>
      <c r="K188" s="2" t="s">
        <v>211</v>
      </c>
      <c r="L188" s="2">
        <f t="shared" si="11"/>
        <v>23</v>
      </c>
    </row>
    <row r="189" spans="1:12" ht="15.6" x14ac:dyDescent="0.3">
      <c r="A189" s="2">
        <f t="shared" si="10"/>
        <v>24</v>
      </c>
      <c r="B189" s="27" t="s">
        <v>212</v>
      </c>
      <c r="C189" s="5"/>
      <c r="D189" s="5"/>
      <c r="E189" s="5"/>
      <c r="F189" s="76">
        <f>'Pg3 BK-1 Rev TO5 C4-Cost Adj '!E189</f>
        <v>0</v>
      </c>
      <c r="G189" s="86"/>
      <c r="H189" s="76">
        <f>'Pg4 BK-1 Retail TRR-As Filed'!E184</f>
        <v>0</v>
      </c>
      <c r="J189" s="81">
        <f>F189-H189</f>
        <v>0</v>
      </c>
      <c r="K189" s="2" t="s">
        <v>213</v>
      </c>
      <c r="L189" s="2">
        <f t="shared" si="11"/>
        <v>24</v>
      </c>
    </row>
    <row r="190" spans="1:12" ht="16.2" thickBot="1" x14ac:dyDescent="0.35">
      <c r="A190" s="2">
        <f t="shared" si="10"/>
        <v>25</v>
      </c>
      <c r="B190" s="32" t="s">
        <v>214</v>
      </c>
      <c r="C190" s="5"/>
      <c r="D190" s="5"/>
      <c r="E190" s="5"/>
      <c r="F190" s="85">
        <f>F188-F189</f>
        <v>0</v>
      </c>
      <c r="G190" s="42"/>
      <c r="H190" s="85">
        <f>H188-H189</f>
        <v>0</v>
      </c>
      <c r="J190" s="94">
        <f>F190-H190</f>
        <v>0</v>
      </c>
      <c r="K190" s="28" t="s">
        <v>215</v>
      </c>
      <c r="L190" s="2">
        <f t="shared" si="11"/>
        <v>25</v>
      </c>
    </row>
    <row r="191" spans="1:12" ht="16.2" thickTop="1" x14ac:dyDescent="0.3">
      <c r="A191" s="2"/>
      <c r="B191" s="5"/>
      <c r="C191" s="5"/>
      <c r="D191" s="5"/>
      <c r="E191" s="5"/>
      <c r="F191" s="34"/>
      <c r="G191" s="42"/>
      <c r="H191" s="35"/>
      <c r="J191" s="34"/>
      <c r="K191" s="2"/>
      <c r="L191" s="2"/>
    </row>
    <row r="192" spans="1:12" ht="18" x14ac:dyDescent="0.3">
      <c r="A192" s="43">
        <v>1</v>
      </c>
      <c r="B192" s="27" t="s">
        <v>216</v>
      </c>
      <c r="C192" s="5"/>
      <c r="D192" s="5"/>
      <c r="E192" s="5"/>
      <c r="F192" s="5"/>
      <c r="G192" s="5"/>
      <c r="H192" s="5"/>
      <c r="I192" s="5"/>
      <c r="J192" s="5"/>
      <c r="K192" s="2"/>
      <c r="L192" s="2"/>
    </row>
    <row r="193" spans="1:12" ht="15.6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2"/>
    </row>
    <row r="194" spans="1:12" ht="15.6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2"/>
    </row>
    <row r="195" spans="1:12" ht="15.6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2"/>
    </row>
    <row r="196" spans="1:12" ht="15.6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2"/>
    </row>
    <row r="197" spans="1:12" ht="15.6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2"/>
    </row>
    <row r="198" spans="1:12" ht="15.6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2"/>
    </row>
    <row r="199" spans="1:12" ht="15.6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2"/>
    </row>
    <row r="200" spans="1:12" ht="15.6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2"/>
    </row>
    <row r="201" spans="1:12" ht="15.6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2"/>
    </row>
    <row r="202" spans="1:12" ht="15.6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2"/>
    </row>
    <row r="203" spans="1:12" ht="15.6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2"/>
    </row>
    <row r="204" spans="1:12" ht="15.6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2"/>
    </row>
    <row r="205" spans="1:12" ht="15.6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2"/>
    </row>
    <row r="206" spans="1:12" ht="15.6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2"/>
    </row>
    <row r="207" spans="1:12" ht="15.6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2"/>
    </row>
    <row r="208" spans="1:12" ht="15.6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2"/>
    </row>
    <row r="209" spans="1:12" ht="15.6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2"/>
    </row>
    <row r="210" spans="1:12" ht="15.6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2"/>
    </row>
    <row r="211" spans="1:12" ht="15.6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2"/>
    </row>
    <row r="212" spans="1:12" ht="15.6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2"/>
    </row>
    <row r="213" spans="1:12" ht="15.6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2"/>
    </row>
    <row r="214" spans="1:12" ht="15.6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2"/>
    </row>
    <row r="215" spans="1:12" ht="15.6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2"/>
    </row>
    <row r="216" spans="1:12" ht="15.6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2"/>
    </row>
    <row r="217" spans="1:12" ht="15.6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2"/>
    </row>
    <row r="218" spans="1:12" ht="15.6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2"/>
    </row>
    <row r="219" spans="1:12" ht="15.6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2"/>
    </row>
    <row r="220" spans="1:12" ht="15.6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2"/>
    </row>
    <row r="221" spans="1:12" ht="15.6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2"/>
    </row>
    <row r="222" spans="1:12" ht="15.6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2"/>
    </row>
    <row r="223" spans="1:12" ht="15.6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2"/>
    </row>
    <row r="224" spans="1:12" ht="15.6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2"/>
    </row>
    <row r="225" spans="1:12" ht="15.6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2"/>
    </row>
    <row r="226" spans="1:12" ht="15.6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2"/>
    </row>
    <row r="227" spans="1:12" ht="15.6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2"/>
    </row>
    <row r="228" spans="1:12" ht="15.6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2"/>
    </row>
    <row r="229" spans="1:12" ht="15.6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2"/>
    </row>
    <row r="230" spans="1:12" ht="15.6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2"/>
    </row>
  </sheetData>
  <mergeCells count="16">
    <mergeCell ref="B160:K160"/>
    <mergeCell ref="B159:K159"/>
    <mergeCell ref="B48:K48"/>
    <mergeCell ref="B49:K49"/>
    <mergeCell ref="B50:K50"/>
    <mergeCell ref="B103:K103"/>
    <mergeCell ref="B104:K104"/>
    <mergeCell ref="B105:K105"/>
    <mergeCell ref="B106:K106"/>
    <mergeCell ref="B157:K157"/>
    <mergeCell ref="B158:K158"/>
    <mergeCell ref="B47:K47"/>
    <mergeCell ref="B2:K2"/>
    <mergeCell ref="B3:K3"/>
    <mergeCell ref="B4:K4"/>
    <mergeCell ref="B5:K5"/>
  </mergeCells>
  <printOptions horizontalCentered="1"/>
  <pageMargins left="0" right="0" top="0.5" bottom="0.5" header="0.25" footer="0.25"/>
  <pageSetup scale="50" orientation="portrait" r:id="rId1"/>
  <headerFooter scaleWithDoc="0" alignWithMargins="0">
    <oddFooter>&amp;CPage 2.&amp;P&amp;R&amp;F</oddFooter>
  </headerFooter>
  <rowBreaks count="3" manualBreakCount="3">
    <brk id="45" max="16383" man="1"/>
    <brk id="101" max="16383" man="1"/>
    <brk id="15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04E6-896F-4819-8234-FBE465BF660A}">
  <sheetPr>
    <pageSetUpPr fitToPage="1"/>
  </sheetPr>
  <dimension ref="A1:P57"/>
  <sheetViews>
    <sheetView zoomScale="80" zoomScaleNormal="80" workbookViewId="0"/>
  </sheetViews>
  <sheetFormatPr defaultColWidth="14.5546875" defaultRowHeight="14.4" x14ac:dyDescent="0.3"/>
  <cols>
    <col min="1" max="1" width="5.88671875" customWidth="1"/>
    <col min="2" max="2" width="48.44140625" customWidth="1"/>
    <col min="3" max="3" width="8.88671875" customWidth="1"/>
    <col min="4" max="10" width="15.88671875" customWidth="1"/>
    <col min="11" max="11" width="16.109375" customWidth="1"/>
    <col min="12" max="13" width="15.88671875" customWidth="1"/>
    <col min="14" max="14" width="34.109375" customWidth="1"/>
    <col min="15" max="15" width="5.88671875" customWidth="1"/>
  </cols>
  <sheetData>
    <row r="1" spans="1:16" ht="15.6" x14ac:dyDescent="0.3">
      <c r="A1" s="556" t="s">
        <v>283</v>
      </c>
    </row>
    <row r="3" spans="1:16" ht="15.6" x14ac:dyDescent="0.3">
      <c r="A3" s="564"/>
      <c r="B3" s="565" t="s">
        <v>217</v>
      </c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</row>
    <row r="4" spans="1:16" x14ac:dyDescent="0.3">
      <c r="A4" s="567"/>
      <c r="B4" s="565" t="s">
        <v>587</v>
      </c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</row>
    <row r="5" spans="1:16" x14ac:dyDescent="0.3">
      <c r="A5" s="567"/>
      <c r="B5" s="568" t="s">
        <v>588</v>
      </c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</row>
    <row r="6" spans="1:16" x14ac:dyDescent="0.3">
      <c r="A6" s="569"/>
      <c r="B6" s="568" t="s">
        <v>589</v>
      </c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1"/>
      <c r="O6" s="572"/>
      <c r="P6" s="572"/>
    </row>
    <row r="7" spans="1:16" x14ac:dyDescent="0.3">
      <c r="A7" s="569"/>
      <c r="B7" s="872" t="s">
        <v>3</v>
      </c>
      <c r="C7" s="872"/>
      <c r="D7" s="872"/>
      <c r="E7" s="872"/>
      <c r="F7" s="872"/>
      <c r="G7" s="872"/>
      <c r="H7" s="872"/>
      <c r="I7" s="872"/>
      <c r="J7" s="872"/>
      <c r="K7" s="872"/>
      <c r="L7" s="872"/>
      <c r="M7" s="872"/>
      <c r="N7" s="872"/>
      <c r="O7" s="572"/>
      <c r="P7" s="572"/>
    </row>
    <row r="8" spans="1:16" x14ac:dyDescent="0.3">
      <c r="A8" s="569"/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4"/>
      <c r="O8" s="572"/>
      <c r="P8" s="572"/>
    </row>
    <row r="9" spans="1:16" x14ac:dyDescent="0.3">
      <c r="A9" s="573"/>
      <c r="B9" s="569"/>
      <c r="C9" s="569"/>
      <c r="D9" s="602"/>
      <c r="E9" s="602"/>
      <c r="F9" s="602"/>
      <c r="G9" s="602"/>
      <c r="H9" s="602"/>
      <c r="I9" s="602"/>
      <c r="J9" s="602"/>
      <c r="K9" s="621"/>
      <c r="L9" s="576" t="s">
        <v>590</v>
      </c>
      <c r="M9" s="577">
        <v>2019</v>
      </c>
      <c r="N9" s="578"/>
      <c r="O9" s="580"/>
      <c r="P9" s="580"/>
    </row>
    <row r="10" spans="1:16" x14ac:dyDescent="0.3">
      <c r="A10" s="573"/>
      <c r="B10" s="602"/>
      <c r="C10" s="602"/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578"/>
      <c r="O10" s="580"/>
      <c r="P10" s="580"/>
    </row>
    <row r="11" spans="1:16" x14ac:dyDescent="0.3">
      <c r="A11" s="581"/>
      <c r="B11" s="582" t="s">
        <v>591</v>
      </c>
      <c r="C11" s="582" t="s">
        <v>592</v>
      </c>
      <c r="D11" s="582" t="s">
        <v>593</v>
      </c>
      <c r="E11" s="582" t="s">
        <v>594</v>
      </c>
      <c r="F11" s="582" t="s">
        <v>595</v>
      </c>
      <c r="G11" s="582" t="s">
        <v>596</v>
      </c>
      <c r="H11" s="582" t="s">
        <v>597</v>
      </c>
      <c r="I11" s="582" t="s">
        <v>598</v>
      </c>
      <c r="J11" s="582" t="s">
        <v>599</v>
      </c>
      <c r="K11" s="582" t="s">
        <v>600</v>
      </c>
      <c r="L11" s="582" t="s">
        <v>601</v>
      </c>
      <c r="M11" s="582" t="s">
        <v>602</v>
      </c>
      <c r="N11" s="583"/>
      <c r="O11" s="585"/>
      <c r="P11" s="585"/>
    </row>
    <row r="12" spans="1:16" ht="15" thickBot="1" x14ac:dyDescent="0.35">
      <c r="A12" s="573"/>
      <c r="B12" s="581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3"/>
      <c r="O12" s="583"/>
      <c r="P12" s="583"/>
    </row>
    <row r="13" spans="1:16" ht="15" thickBot="1" x14ac:dyDescent="0.35">
      <c r="A13" s="573"/>
      <c r="B13" s="581"/>
      <c r="C13" s="581"/>
      <c r="D13" s="586"/>
      <c r="E13" s="586"/>
      <c r="F13" s="586"/>
      <c r="G13" s="586"/>
      <c r="H13" s="586"/>
      <c r="I13" s="586"/>
      <c r="J13" s="587" t="s">
        <v>603</v>
      </c>
      <c r="K13" s="588" t="s">
        <v>604</v>
      </c>
      <c r="L13" s="588" t="s">
        <v>605</v>
      </c>
      <c r="M13" s="588" t="s">
        <v>605</v>
      </c>
      <c r="N13" s="583"/>
      <c r="O13" s="583"/>
      <c r="P13" s="583"/>
    </row>
    <row r="14" spans="1:16" ht="40.200000000000003" thickBot="1" x14ac:dyDescent="0.35">
      <c r="A14" s="589" t="s">
        <v>606</v>
      </c>
      <c r="B14" s="590" t="s">
        <v>5</v>
      </c>
      <c r="C14" s="591" t="s">
        <v>607</v>
      </c>
      <c r="D14" s="592" t="s">
        <v>608</v>
      </c>
      <c r="E14" s="592" t="s">
        <v>609</v>
      </c>
      <c r="F14" s="592" t="s">
        <v>610</v>
      </c>
      <c r="G14" s="592" t="s">
        <v>611</v>
      </c>
      <c r="H14" s="593" t="s">
        <v>612</v>
      </c>
      <c r="I14" s="592" t="s">
        <v>613</v>
      </c>
      <c r="J14" s="592" t="s">
        <v>614</v>
      </c>
      <c r="K14" s="593" t="s">
        <v>615</v>
      </c>
      <c r="L14" s="592" t="s">
        <v>616</v>
      </c>
      <c r="M14" s="592" t="s">
        <v>617</v>
      </c>
      <c r="N14" s="590" t="s">
        <v>7</v>
      </c>
      <c r="O14" s="589" t="s">
        <v>606</v>
      </c>
      <c r="P14" s="622"/>
    </row>
    <row r="15" spans="1:16" x14ac:dyDescent="0.3">
      <c r="A15" s="595">
        <v>1</v>
      </c>
      <c r="B15" s="573" t="s">
        <v>618</v>
      </c>
      <c r="C15" s="596"/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97"/>
      <c r="O15" s="595">
        <v>1</v>
      </c>
      <c r="P15" s="580"/>
    </row>
    <row r="16" spans="1:16" x14ac:dyDescent="0.3">
      <c r="A16" s="595">
        <f t="shared" ref="A16:A37" si="0">+A15+1</f>
        <v>2</v>
      </c>
      <c r="B16" s="573" t="s">
        <v>337</v>
      </c>
      <c r="C16" s="595">
        <v>190</v>
      </c>
      <c r="D16" s="599">
        <v>214.49018265600057</v>
      </c>
      <c r="E16" s="599">
        <v>0</v>
      </c>
      <c r="F16" s="599"/>
      <c r="G16" s="599"/>
      <c r="H16" s="599"/>
      <c r="I16" s="599"/>
      <c r="J16" s="573">
        <f>SUM(D16:I16)</f>
        <v>214.49018265600057</v>
      </c>
      <c r="K16" s="573">
        <v>0</v>
      </c>
      <c r="L16" s="573">
        <f>IF(+J16+K16&gt;0,+J16+K16,0)</f>
        <v>214.49018265600057</v>
      </c>
      <c r="M16" s="573">
        <f>IF(+J16+K16&gt;0,0,+J16+K16)</f>
        <v>0</v>
      </c>
      <c r="N16" s="581" t="s">
        <v>345</v>
      </c>
      <c r="O16" s="595">
        <f t="shared" ref="O16:O37" si="1">+O15+1</f>
        <v>2</v>
      </c>
      <c r="P16" s="580"/>
    </row>
    <row r="17" spans="1:16" x14ac:dyDescent="0.3">
      <c r="A17" s="595">
        <f t="shared" si="0"/>
        <v>3</v>
      </c>
      <c r="B17" s="573" t="s">
        <v>339</v>
      </c>
      <c r="C17" s="595">
        <v>190</v>
      </c>
      <c r="D17" s="599">
        <v>555.44960000000071</v>
      </c>
      <c r="E17" s="599">
        <v>0</v>
      </c>
      <c r="F17" s="599"/>
      <c r="G17" s="599"/>
      <c r="H17" s="599"/>
      <c r="I17" s="599"/>
      <c r="J17" s="573">
        <f>SUM(D17:I17)</f>
        <v>555.44960000000071</v>
      </c>
      <c r="K17" s="573">
        <v>0</v>
      </c>
      <c r="L17" s="573">
        <f>IF(+J17+K17&gt;0,+J17+K17,0)</f>
        <v>555.44960000000071</v>
      </c>
      <c r="M17" s="573">
        <f>IF(+J17+K17&gt;0,0,+J17+K17)</f>
        <v>0</v>
      </c>
      <c r="N17" s="581" t="s">
        <v>345</v>
      </c>
      <c r="O17" s="595">
        <f t="shared" si="1"/>
        <v>3</v>
      </c>
      <c r="P17" s="580"/>
    </row>
    <row r="18" spans="1:16" x14ac:dyDescent="0.3">
      <c r="A18" s="595">
        <f t="shared" si="0"/>
        <v>4</v>
      </c>
      <c r="B18" s="573" t="s">
        <v>349</v>
      </c>
      <c r="C18" s="595">
        <v>283</v>
      </c>
      <c r="D18" s="599">
        <v>0</v>
      </c>
      <c r="E18" s="599">
        <v>0</v>
      </c>
      <c r="F18" s="599"/>
      <c r="G18" s="599"/>
      <c r="H18" s="599"/>
      <c r="I18" s="599"/>
      <c r="J18" s="573">
        <f>SUM(D18:I18)</f>
        <v>0</v>
      </c>
      <c r="K18" s="573">
        <v>0</v>
      </c>
      <c r="L18" s="573">
        <f>IF(+J18+K18&gt;0,+J18+K18,0)</f>
        <v>0</v>
      </c>
      <c r="M18" s="573">
        <f>IF(+J18+K18&gt;0,0,+J18+K18)</f>
        <v>0</v>
      </c>
      <c r="N18" s="581" t="s">
        <v>345</v>
      </c>
      <c r="O18" s="595">
        <f t="shared" si="1"/>
        <v>4</v>
      </c>
      <c r="P18" s="580"/>
    </row>
    <row r="19" spans="1:16" x14ac:dyDescent="0.3">
      <c r="A19" s="595">
        <f t="shared" si="0"/>
        <v>5</v>
      </c>
      <c r="B19" s="581"/>
      <c r="C19" s="600"/>
      <c r="D19" s="623"/>
      <c r="E19" s="623"/>
      <c r="F19" s="609"/>
      <c r="G19" s="609"/>
      <c r="H19" s="609"/>
      <c r="I19" s="609"/>
      <c r="J19" s="609"/>
      <c r="K19" s="609"/>
      <c r="L19" s="609"/>
      <c r="M19" s="609"/>
      <c r="N19" s="573"/>
      <c r="O19" s="595">
        <f t="shared" si="1"/>
        <v>5</v>
      </c>
      <c r="P19" s="580"/>
    </row>
    <row r="20" spans="1:16" ht="15" thickBot="1" x14ac:dyDescent="0.35">
      <c r="A20" s="595">
        <f t="shared" si="0"/>
        <v>6</v>
      </c>
      <c r="B20" s="581" t="s">
        <v>619</v>
      </c>
      <c r="C20" s="573"/>
      <c r="D20" s="624">
        <f t="shared" ref="D20:M20" si="2">SUM(D16:D18)</f>
        <v>769.93978265600128</v>
      </c>
      <c r="E20" s="624">
        <f t="shared" si="2"/>
        <v>0</v>
      </c>
      <c r="F20" s="603">
        <f t="shared" si="2"/>
        <v>0</v>
      </c>
      <c r="G20" s="603">
        <f t="shared" si="2"/>
        <v>0</v>
      </c>
      <c r="H20" s="603">
        <f t="shared" si="2"/>
        <v>0</v>
      </c>
      <c r="I20" s="603">
        <f t="shared" si="2"/>
        <v>0</v>
      </c>
      <c r="J20" s="603">
        <f t="shared" si="2"/>
        <v>769.93978265600128</v>
      </c>
      <c r="K20" s="603">
        <f t="shared" si="2"/>
        <v>0</v>
      </c>
      <c r="L20" s="603">
        <f t="shared" si="2"/>
        <v>769.93978265600128</v>
      </c>
      <c r="M20" s="603">
        <f t="shared" si="2"/>
        <v>0</v>
      </c>
      <c r="N20" s="581" t="s">
        <v>620</v>
      </c>
      <c r="O20" s="595">
        <f t="shared" si="1"/>
        <v>6</v>
      </c>
      <c r="P20" s="580"/>
    </row>
    <row r="21" spans="1:16" ht="15" thickTop="1" x14ac:dyDescent="0.3">
      <c r="A21" s="595">
        <f t="shared" si="0"/>
        <v>7</v>
      </c>
      <c r="B21" s="573"/>
      <c r="C21" s="573"/>
      <c r="D21" s="625"/>
      <c r="E21" s="625"/>
      <c r="F21" s="604"/>
      <c r="G21" s="604"/>
      <c r="H21" s="604"/>
      <c r="I21" s="604"/>
      <c r="J21" s="604"/>
      <c r="K21" s="604"/>
      <c r="L21" s="604"/>
      <c r="M21" s="604"/>
      <c r="N21" s="573"/>
      <c r="O21" s="595">
        <f t="shared" si="1"/>
        <v>7</v>
      </c>
      <c r="P21" s="580"/>
    </row>
    <row r="22" spans="1:16" x14ac:dyDescent="0.3">
      <c r="A22" s="595">
        <f t="shared" si="0"/>
        <v>8</v>
      </c>
      <c r="B22" s="573" t="s">
        <v>621</v>
      </c>
      <c r="C22" s="605"/>
      <c r="D22" s="625"/>
      <c r="E22" s="625"/>
      <c r="F22" s="604"/>
      <c r="G22" s="604"/>
      <c r="H22" s="604"/>
      <c r="I22" s="604"/>
      <c r="J22" s="604"/>
      <c r="K22" s="604"/>
      <c r="L22" s="604"/>
      <c r="M22" s="604"/>
      <c r="N22" s="573"/>
      <c r="O22" s="595">
        <f t="shared" si="1"/>
        <v>8</v>
      </c>
      <c r="P22" s="580"/>
    </row>
    <row r="23" spans="1:16" x14ac:dyDescent="0.3">
      <c r="A23" s="595">
        <f t="shared" si="0"/>
        <v>9</v>
      </c>
      <c r="B23" s="573" t="s">
        <v>340</v>
      </c>
      <c r="C23" s="595">
        <v>190</v>
      </c>
      <c r="D23" s="599">
        <v>109466.83319999998</v>
      </c>
      <c r="E23" s="599">
        <v>0</v>
      </c>
      <c r="F23" s="599"/>
      <c r="G23" s="599"/>
      <c r="H23" s="599"/>
      <c r="I23" s="599">
        <v>-1228.37462263577</v>
      </c>
      <c r="J23" s="573">
        <f>SUM(D23:I23)</f>
        <v>108238.4585773642</v>
      </c>
      <c r="K23" s="573">
        <v>0</v>
      </c>
      <c r="L23" s="573">
        <f>IF(+J23+K23&gt;0,+J23+K23,0)</f>
        <v>108238.4585773642</v>
      </c>
      <c r="M23" s="573">
        <f>IF(+J23+K23&gt;0,0,+J23+K23)</f>
        <v>0</v>
      </c>
      <c r="N23" s="581" t="s">
        <v>345</v>
      </c>
      <c r="O23" s="595">
        <f t="shared" si="1"/>
        <v>9</v>
      </c>
      <c r="P23" s="580"/>
    </row>
    <row r="24" spans="1:16" x14ac:dyDescent="0.3">
      <c r="A24" s="595">
        <f t="shared" si="0"/>
        <v>10</v>
      </c>
      <c r="B24" s="573" t="s">
        <v>344</v>
      </c>
      <c r="C24" s="595">
        <v>282</v>
      </c>
      <c r="D24" s="599">
        <v>0</v>
      </c>
      <c r="E24" s="599">
        <v>-375541.70899999962</v>
      </c>
      <c r="F24" s="599"/>
      <c r="G24" s="599"/>
      <c r="H24" s="599">
        <v>2661</v>
      </c>
      <c r="I24" s="599"/>
      <c r="J24" s="573">
        <f>SUM(D24:I24)</f>
        <v>-372880.70899999962</v>
      </c>
      <c r="K24" s="573">
        <v>0</v>
      </c>
      <c r="L24" s="573">
        <f>IF(+J24+K24&gt;0,+J24+K24,0)</f>
        <v>0</v>
      </c>
      <c r="M24" s="573">
        <f>IF(+J24+K24&gt;0,0,+J24+K24)</f>
        <v>-372880.70899999962</v>
      </c>
      <c r="N24" s="581" t="s">
        <v>345</v>
      </c>
      <c r="O24" s="595">
        <f t="shared" si="1"/>
        <v>10</v>
      </c>
      <c r="P24" s="580"/>
    </row>
    <row r="25" spans="1:16" x14ac:dyDescent="0.3">
      <c r="A25" s="595">
        <f t="shared" si="0"/>
        <v>11</v>
      </c>
      <c r="B25" s="581" t="s">
        <v>622</v>
      </c>
      <c r="C25" s="600"/>
      <c r="D25" s="626">
        <f t="shared" ref="D25:M25" si="3">SUM(D23:D24)</f>
        <v>109466.83319999998</v>
      </c>
      <c r="E25" s="626">
        <f t="shared" si="3"/>
        <v>-375541.70899999962</v>
      </c>
      <c r="F25" s="607">
        <f t="shared" si="3"/>
        <v>0</v>
      </c>
      <c r="G25" s="607">
        <f t="shared" si="3"/>
        <v>0</v>
      </c>
      <c r="H25" s="607">
        <f t="shared" si="3"/>
        <v>2661</v>
      </c>
      <c r="I25" s="607">
        <f t="shared" si="3"/>
        <v>-1228.37462263577</v>
      </c>
      <c r="J25" s="607">
        <f t="shared" si="3"/>
        <v>-264642.25042263541</v>
      </c>
      <c r="K25" s="607">
        <f t="shared" si="3"/>
        <v>0</v>
      </c>
      <c r="L25" s="607">
        <f t="shared" si="3"/>
        <v>108238.4585773642</v>
      </c>
      <c r="M25" s="607">
        <f t="shared" si="3"/>
        <v>-372880.70899999962</v>
      </c>
      <c r="N25" s="581" t="s">
        <v>623</v>
      </c>
      <c r="O25" s="595">
        <f t="shared" si="1"/>
        <v>11</v>
      </c>
      <c r="P25" s="580"/>
    </row>
    <row r="26" spans="1:16" x14ac:dyDescent="0.3">
      <c r="A26" s="595">
        <f t="shared" si="0"/>
        <v>12</v>
      </c>
      <c r="B26" s="573"/>
      <c r="C26" s="600"/>
      <c r="D26" s="625"/>
      <c r="E26" s="625"/>
      <c r="F26" s="604"/>
      <c r="G26" s="604"/>
      <c r="H26" s="604"/>
      <c r="I26" s="604"/>
      <c r="J26" s="604"/>
      <c r="K26" s="604"/>
      <c r="L26" s="604"/>
      <c r="M26" s="604"/>
      <c r="N26" s="573"/>
      <c r="O26" s="595">
        <f t="shared" si="1"/>
        <v>12</v>
      </c>
      <c r="P26" s="580"/>
    </row>
    <row r="27" spans="1:16" x14ac:dyDescent="0.3">
      <c r="A27" s="595">
        <f t="shared" si="0"/>
        <v>13</v>
      </c>
      <c r="B27" s="573" t="s">
        <v>624</v>
      </c>
      <c r="C27" s="596"/>
      <c r="D27" s="625"/>
      <c r="E27" s="625"/>
      <c r="F27" s="604"/>
      <c r="G27" s="604"/>
      <c r="H27" s="604"/>
      <c r="I27" s="604"/>
      <c r="J27" s="604"/>
      <c r="K27" s="604"/>
      <c r="L27" s="604"/>
      <c r="M27" s="604"/>
      <c r="N27" s="573"/>
      <c r="O27" s="595">
        <f t="shared" si="1"/>
        <v>13</v>
      </c>
      <c r="P27" s="580"/>
    </row>
    <row r="28" spans="1:16" x14ac:dyDescent="0.3">
      <c r="A28" s="595">
        <f t="shared" si="0"/>
        <v>14</v>
      </c>
      <c r="B28" s="573" t="s">
        <v>625</v>
      </c>
      <c r="C28" s="595">
        <v>282</v>
      </c>
      <c r="D28" s="599">
        <v>0</v>
      </c>
      <c r="E28" s="599">
        <v>-12966.781000999999</v>
      </c>
      <c r="F28" s="599"/>
      <c r="G28" s="599"/>
      <c r="H28" s="599">
        <v>254.78899999999999</v>
      </c>
      <c r="I28" s="599"/>
      <c r="J28" s="573">
        <f>SUM(D28:I28)</f>
        <v>-12711.992000999999</v>
      </c>
      <c r="K28" s="573">
        <v>0</v>
      </c>
      <c r="L28" s="573">
        <f>IF(+J28+K28&gt;0,+J28+K28,0)</f>
        <v>0</v>
      </c>
      <c r="M28" s="573">
        <f>IF(+J28+K28&gt;0,0,+J28+K28)</f>
        <v>-12711.992000999999</v>
      </c>
      <c r="N28" s="581" t="s">
        <v>345</v>
      </c>
      <c r="O28" s="595">
        <f t="shared" si="1"/>
        <v>14</v>
      </c>
      <c r="P28" s="580"/>
    </row>
    <row r="29" spans="1:16" x14ac:dyDescent="0.3">
      <c r="A29" s="595">
        <f t="shared" si="0"/>
        <v>15</v>
      </c>
      <c r="B29" s="573" t="s">
        <v>626</v>
      </c>
      <c r="C29" s="595">
        <v>282</v>
      </c>
      <c r="D29" s="599">
        <v>0</v>
      </c>
      <c r="E29" s="599">
        <v>-37023.934000000001</v>
      </c>
      <c r="F29" s="599"/>
      <c r="G29" s="599"/>
      <c r="H29" s="599">
        <v>1590</v>
      </c>
      <c r="I29" s="599"/>
      <c r="J29" s="573">
        <f>SUM(D29:I29)</f>
        <v>-35433.934000000001</v>
      </c>
      <c r="K29" s="573">
        <v>0</v>
      </c>
      <c r="L29" s="573">
        <f>IF(+J29+K29&gt;0,+J29+K29,0)</f>
        <v>0</v>
      </c>
      <c r="M29" s="573">
        <f>IF(+J29+K29&gt;0,0,+J29+K29)</f>
        <v>-35433.934000000001</v>
      </c>
      <c r="N29" s="581" t="s">
        <v>345</v>
      </c>
      <c r="O29" s="595">
        <f t="shared" si="1"/>
        <v>15</v>
      </c>
      <c r="P29" s="580"/>
    </row>
    <row r="30" spans="1:16" x14ac:dyDescent="0.3">
      <c r="A30" s="595">
        <f t="shared" si="0"/>
        <v>16</v>
      </c>
      <c r="B30" s="573" t="s">
        <v>627</v>
      </c>
      <c r="C30" s="608">
        <v>282</v>
      </c>
      <c r="D30" s="599">
        <v>0</v>
      </c>
      <c r="E30" s="599">
        <v>-181.21099999999933</v>
      </c>
      <c r="F30" s="599"/>
      <c r="G30" s="599"/>
      <c r="H30" s="599">
        <v>545</v>
      </c>
      <c r="I30" s="599"/>
      <c r="J30" s="573">
        <f>SUM(D30:I30)</f>
        <v>363.78900000000067</v>
      </c>
      <c r="K30" s="573">
        <v>0</v>
      </c>
      <c r="L30" s="573">
        <f>IF(+J30+K30&gt;0,+J30+K30,0)</f>
        <v>363.78900000000067</v>
      </c>
      <c r="M30" s="573">
        <f>IF(+J30+K30&gt;0,0,+J30+K30)</f>
        <v>0</v>
      </c>
      <c r="N30" s="581" t="s">
        <v>345</v>
      </c>
      <c r="O30" s="595">
        <f t="shared" si="1"/>
        <v>16</v>
      </c>
      <c r="P30" s="580"/>
    </row>
    <row r="31" spans="1:16" x14ac:dyDescent="0.3">
      <c r="A31" s="595">
        <f t="shared" si="0"/>
        <v>17</v>
      </c>
      <c r="B31" s="581" t="s">
        <v>622</v>
      </c>
      <c r="C31" s="600"/>
      <c r="D31" s="626">
        <f t="shared" ref="D31:M31" si="4">SUM(D28:D30)</f>
        <v>0</v>
      </c>
      <c r="E31" s="626">
        <f t="shared" si="4"/>
        <v>-50171.926001</v>
      </c>
      <c r="F31" s="607">
        <f t="shared" si="4"/>
        <v>0</v>
      </c>
      <c r="G31" s="607">
        <f t="shared" si="4"/>
        <v>0</v>
      </c>
      <c r="H31" s="607">
        <f t="shared" si="4"/>
        <v>2389.7889999999998</v>
      </c>
      <c r="I31" s="607">
        <f t="shared" si="4"/>
        <v>0</v>
      </c>
      <c r="J31" s="607">
        <f t="shared" si="4"/>
        <v>-47782.137000999996</v>
      </c>
      <c r="K31" s="607">
        <f t="shared" si="4"/>
        <v>0</v>
      </c>
      <c r="L31" s="607">
        <f t="shared" si="4"/>
        <v>363.78900000000067</v>
      </c>
      <c r="M31" s="607">
        <f t="shared" si="4"/>
        <v>-48145.926001</v>
      </c>
      <c r="N31" s="581" t="s">
        <v>628</v>
      </c>
      <c r="O31" s="595">
        <f t="shared" si="1"/>
        <v>17</v>
      </c>
      <c r="P31" s="580"/>
    </row>
    <row r="32" spans="1:16" x14ac:dyDescent="0.3">
      <c r="A32" s="595">
        <f t="shared" si="0"/>
        <v>18</v>
      </c>
      <c r="B32" s="573"/>
      <c r="C32" s="600"/>
      <c r="D32" s="623"/>
      <c r="E32" s="623"/>
      <c r="F32" s="609"/>
      <c r="G32" s="609"/>
      <c r="H32" s="609"/>
      <c r="I32" s="609"/>
      <c r="J32" s="609"/>
      <c r="K32" s="609"/>
      <c r="L32" s="609"/>
      <c r="M32" s="609"/>
      <c r="N32" s="573"/>
      <c r="O32" s="595">
        <f t="shared" si="1"/>
        <v>18</v>
      </c>
      <c r="P32" s="580"/>
    </row>
    <row r="33" spans="1:16" x14ac:dyDescent="0.3">
      <c r="A33" s="595">
        <f t="shared" si="0"/>
        <v>19</v>
      </c>
      <c r="B33" s="573" t="s">
        <v>629</v>
      </c>
      <c r="C33" s="608">
        <v>282</v>
      </c>
      <c r="D33" s="611">
        <v>40216.024064700854</v>
      </c>
      <c r="E33" s="611">
        <v>0</v>
      </c>
      <c r="F33" s="611"/>
      <c r="G33" s="611"/>
      <c r="H33" s="611"/>
      <c r="I33" s="611">
        <v>-484</v>
      </c>
      <c r="J33" s="627">
        <f>SUM(D33:I33)</f>
        <v>39732.024064700854</v>
      </c>
      <c r="K33" s="627">
        <v>0</v>
      </c>
      <c r="L33" s="627">
        <f>IF(+J33+K33&gt;0,+J33+K33,0)</f>
        <v>39732.024064700854</v>
      </c>
      <c r="M33" s="627">
        <f>IF(+J33+K33&gt;0,0,+J33+K33)</f>
        <v>0</v>
      </c>
      <c r="N33" s="581" t="s">
        <v>345</v>
      </c>
      <c r="O33" s="595">
        <f t="shared" si="1"/>
        <v>19</v>
      </c>
      <c r="P33" s="580"/>
    </row>
    <row r="34" spans="1:16" x14ac:dyDescent="0.3">
      <c r="A34" s="595">
        <f t="shared" si="0"/>
        <v>20</v>
      </c>
      <c r="B34" s="573"/>
      <c r="C34" s="600"/>
      <c r="D34" s="612"/>
      <c r="E34" s="612"/>
      <c r="F34" s="612"/>
      <c r="G34" s="612"/>
      <c r="H34" s="612"/>
      <c r="I34" s="612"/>
      <c r="J34" s="612"/>
      <c r="K34" s="612"/>
      <c r="L34" s="612"/>
      <c r="M34" s="612"/>
      <c r="N34" s="573"/>
      <c r="O34" s="595">
        <f t="shared" si="1"/>
        <v>20</v>
      </c>
      <c r="P34" s="580"/>
    </row>
    <row r="35" spans="1:16" ht="15" thickBot="1" x14ac:dyDescent="0.35">
      <c r="A35" s="595">
        <f t="shared" si="0"/>
        <v>21</v>
      </c>
      <c r="B35" s="581" t="s">
        <v>630</v>
      </c>
      <c r="C35" s="600"/>
      <c r="D35" s="603">
        <f t="shared" ref="D35:M35" si="5">+D33+D31+D25</f>
        <v>149682.85726470084</v>
      </c>
      <c r="E35" s="603">
        <f t="shared" si="5"/>
        <v>-425713.63500099961</v>
      </c>
      <c r="F35" s="603">
        <f t="shared" si="5"/>
        <v>0</v>
      </c>
      <c r="G35" s="603">
        <f t="shared" si="5"/>
        <v>0</v>
      </c>
      <c r="H35" s="603">
        <f t="shared" si="5"/>
        <v>5050.7889999999998</v>
      </c>
      <c r="I35" s="603">
        <f t="shared" si="5"/>
        <v>-1712.37462263577</v>
      </c>
      <c r="J35" s="603">
        <f t="shared" si="5"/>
        <v>-272692.36335893453</v>
      </c>
      <c r="K35" s="603">
        <f t="shared" si="5"/>
        <v>0</v>
      </c>
      <c r="L35" s="603">
        <f t="shared" si="5"/>
        <v>148334.27164206505</v>
      </c>
      <c r="M35" s="603">
        <f t="shared" si="5"/>
        <v>-421026.63500099961</v>
      </c>
      <c r="N35" s="581" t="s">
        <v>631</v>
      </c>
      <c r="O35" s="595">
        <f t="shared" si="1"/>
        <v>21</v>
      </c>
      <c r="P35" s="580"/>
    </row>
    <row r="36" spans="1:16" ht="15" thickTop="1" x14ac:dyDescent="0.3">
      <c r="A36" s="595">
        <f t="shared" si="0"/>
        <v>22</v>
      </c>
      <c r="B36" s="573"/>
      <c r="C36" s="573"/>
      <c r="D36" s="613"/>
      <c r="E36" s="613"/>
      <c r="F36" s="613"/>
      <c r="G36" s="613"/>
      <c r="H36" s="613"/>
      <c r="I36" s="613"/>
      <c r="J36" s="613"/>
      <c r="K36" s="613"/>
      <c r="L36" s="613"/>
      <c r="M36" s="613"/>
      <c r="N36" s="573"/>
      <c r="O36" s="595">
        <f t="shared" si="1"/>
        <v>22</v>
      </c>
      <c r="P36" s="580"/>
    </row>
    <row r="37" spans="1:16" ht="15" thickBot="1" x14ac:dyDescent="0.35">
      <c r="A37" s="595">
        <f t="shared" si="0"/>
        <v>23</v>
      </c>
      <c r="B37" s="581" t="s">
        <v>632</v>
      </c>
      <c r="C37" s="573"/>
      <c r="D37" s="603">
        <f t="shared" ref="D37:M37" si="6">D20+D35</f>
        <v>150452.79704735684</v>
      </c>
      <c r="E37" s="603">
        <f t="shared" si="6"/>
        <v>-425713.63500099961</v>
      </c>
      <c r="F37" s="603">
        <f t="shared" si="6"/>
        <v>0</v>
      </c>
      <c r="G37" s="603">
        <f t="shared" si="6"/>
        <v>0</v>
      </c>
      <c r="H37" s="603">
        <f t="shared" si="6"/>
        <v>5050.7889999999998</v>
      </c>
      <c r="I37" s="603">
        <f t="shared" si="6"/>
        <v>-1712.37462263577</v>
      </c>
      <c r="J37" s="603">
        <f t="shared" si="6"/>
        <v>-271922.42357627855</v>
      </c>
      <c r="K37" s="603">
        <f t="shared" si="6"/>
        <v>0</v>
      </c>
      <c r="L37" s="603">
        <f t="shared" si="6"/>
        <v>149104.21142472106</v>
      </c>
      <c r="M37" s="603">
        <f t="shared" si="6"/>
        <v>-421026.63500099961</v>
      </c>
      <c r="N37" s="581" t="s">
        <v>633</v>
      </c>
      <c r="O37" s="595">
        <f t="shared" si="1"/>
        <v>23</v>
      </c>
      <c r="P37" s="580"/>
    </row>
    <row r="38" spans="1:16" ht="15" thickTop="1" x14ac:dyDescent="0.3">
      <c r="A38" s="595"/>
      <c r="B38" s="615"/>
      <c r="C38" s="615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80"/>
      <c r="O38" s="579"/>
      <c r="P38" s="580"/>
    </row>
    <row r="39" spans="1:16" x14ac:dyDescent="0.3">
      <c r="A39" s="614"/>
      <c r="B39" s="616" t="s">
        <v>634</v>
      </c>
      <c r="C39" s="617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80"/>
      <c r="O39" s="579"/>
      <c r="P39" s="580"/>
    </row>
    <row r="40" spans="1:16" x14ac:dyDescent="0.3">
      <c r="A40" s="614"/>
      <c r="B40" s="618" t="s">
        <v>635</v>
      </c>
      <c r="C40" s="597"/>
      <c r="D40" s="597"/>
      <c r="E40" s="597"/>
      <c r="F40" s="573"/>
      <c r="G40" s="573"/>
      <c r="H40" s="573"/>
      <c r="I40" s="573"/>
      <c r="J40" s="573"/>
      <c r="K40" s="573"/>
      <c r="L40" s="573"/>
      <c r="M40" s="573"/>
      <c r="N40" s="580"/>
      <c r="O40" s="579"/>
      <c r="P40" s="580"/>
    </row>
    <row r="41" spans="1:16" x14ac:dyDescent="0.3">
      <c r="A41" s="597"/>
      <c r="B41" s="597"/>
      <c r="C41" s="597"/>
      <c r="D41" s="597"/>
      <c r="E41" s="597"/>
      <c r="F41" s="597"/>
      <c r="G41" s="597"/>
      <c r="H41" s="597"/>
      <c r="I41" s="597"/>
      <c r="J41" s="597"/>
      <c r="K41" s="597"/>
      <c r="L41" s="597"/>
      <c r="M41" s="597"/>
      <c r="N41" s="580"/>
      <c r="O41" s="579"/>
      <c r="P41" s="580"/>
    </row>
    <row r="42" spans="1:16" x14ac:dyDescent="0.3">
      <c r="A42" s="597"/>
      <c r="B42" s="597"/>
      <c r="C42" s="597"/>
      <c r="D42" s="597"/>
      <c r="E42" s="597"/>
      <c r="F42" s="597"/>
      <c r="G42" s="597"/>
      <c r="H42" s="597"/>
      <c r="I42" s="597"/>
      <c r="J42" s="597"/>
      <c r="K42" s="597"/>
      <c r="L42" s="597"/>
      <c r="M42" s="597"/>
      <c r="N42" s="580"/>
      <c r="O42" s="579"/>
      <c r="P42" s="580"/>
    </row>
    <row r="43" spans="1:16" x14ac:dyDescent="0.3">
      <c r="A43" s="597"/>
      <c r="B43" s="597"/>
      <c r="C43" s="597"/>
      <c r="D43" s="597"/>
      <c r="E43" s="597"/>
      <c r="F43" s="597"/>
      <c r="G43" s="597"/>
      <c r="H43" s="597"/>
      <c r="I43" s="597"/>
      <c r="J43" s="597"/>
      <c r="K43" s="597"/>
      <c r="L43" s="597"/>
      <c r="M43" s="597"/>
      <c r="N43" s="580"/>
      <c r="O43" s="579"/>
      <c r="P43" s="580"/>
    </row>
    <row r="44" spans="1:16" x14ac:dyDescent="0.3">
      <c r="A44" s="628"/>
      <c r="B44" s="628"/>
      <c r="C44" s="628"/>
      <c r="D44" s="628"/>
      <c r="E44" s="628"/>
      <c r="F44" s="628"/>
      <c r="G44" s="628"/>
      <c r="H44" s="628"/>
      <c r="I44" s="628"/>
      <c r="J44" s="628"/>
      <c r="K44" s="628"/>
      <c r="L44" s="628"/>
      <c r="M44" s="628"/>
    </row>
    <row r="45" spans="1:16" x14ac:dyDescent="0.3">
      <c r="A45" s="628"/>
      <c r="B45" s="628"/>
      <c r="C45" s="628"/>
      <c r="D45" s="628"/>
      <c r="E45" s="628"/>
      <c r="F45" s="628"/>
      <c r="G45" s="628"/>
      <c r="H45" s="628"/>
      <c r="I45" s="628"/>
      <c r="J45" s="628"/>
      <c r="K45" s="628"/>
      <c r="L45" s="628"/>
      <c r="M45" s="628"/>
    </row>
    <row r="46" spans="1:16" x14ac:dyDescent="0.3">
      <c r="A46" s="628"/>
      <c r="B46" s="628"/>
      <c r="C46" s="628"/>
      <c r="D46" s="628"/>
      <c r="E46" s="628"/>
      <c r="F46" s="628"/>
      <c r="G46" s="628"/>
      <c r="H46" s="628"/>
      <c r="I46" s="628"/>
      <c r="J46" s="628"/>
      <c r="K46" s="628"/>
      <c r="L46" s="628"/>
      <c r="M46" s="628"/>
    </row>
    <row r="47" spans="1:16" x14ac:dyDescent="0.3">
      <c r="A47" s="628"/>
      <c r="B47" s="618"/>
      <c r="C47" s="573"/>
      <c r="D47" s="573"/>
      <c r="E47" s="573"/>
      <c r="F47" s="628"/>
      <c r="G47" s="628"/>
      <c r="H47" s="628"/>
      <c r="I47" s="628"/>
      <c r="J47" s="628"/>
      <c r="K47" s="628"/>
      <c r="L47" s="628"/>
      <c r="M47" s="628"/>
    </row>
    <row r="48" spans="1:16" x14ac:dyDescent="0.3">
      <c r="A48" s="628"/>
      <c r="B48" s="618"/>
      <c r="C48" s="573"/>
      <c r="D48" s="573"/>
      <c r="E48" s="573"/>
      <c r="F48" s="628"/>
      <c r="G48" s="628"/>
      <c r="H48" s="628"/>
      <c r="I48" s="628"/>
      <c r="J48" s="628"/>
      <c r="K48" s="628"/>
      <c r="L48" s="628"/>
      <c r="M48" s="628"/>
    </row>
    <row r="49" spans="1:13" x14ac:dyDescent="0.3">
      <c r="A49" s="628"/>
      <c r="B49" s="597"/>
      <c r="C49" s="619"/>
      <c r="D49" s="576"/>
      <c r="E49" s="576"/>
      <c r="F49" s="628"/>
      <c r="G49" s="628"/>
      <c r="H49" s="628"/>
      <c r="I49" s="628"/>
      <c r="J49" s="628"/>
      <c r="K49" s="628"/>
      <c r="L49" s="628"/>
      <c r="M49" s="628"/>
    </row>
    <row r="50" spans="1:13" x14ac:dyDescent="0.3">
      <c r="A50" s="628"/>
      <c r="B50" s="597"/>
      <c r="C50" s="619"/>
      <c r="D50" s="620"/>
      <c r="E50" s="620"/>
      <c r="F50" s="628"/>
      <c r="G50" s="628"/>
      <c r="H50" s="628"/>
      <c r="I50" s="628"/>
      <c r="J50" s="628"/>
      <c r="K50" s="628"/>
      <c r="L50" s="628"/>
      <c r="M50" s="628"/>
    </row>
    <row r="51" spans="1:13" x14ac:dyDescent="0.3">
      <c r="A51" s="628"/>
      <c r="B51" s="618"/>
      <c r="C51" s="573"/>
      <c r="D51" s="573"/>
      <c r="E51" s="573"/>
      <c r="F51" s="628"/>
      <c r="G51" s="628"/>
      <c r="H51" s="628"/>
      <c r="I51" s="628"/>
      <c r="J51" s="628"/>
      <c r="K51" s="628"/>
      <c r="L51" s="628"/>
      <c r="M51" s="628"/>
    </row>
    <row r="52" spans="1:13" x14ac:dyDescent="0.3">
      <c r="A52" s="628"/>
      <c r="B52" s="597"/>
      <c r="C52" s="619"/>
      <c r="D52" s="576"/>
      <c r="E52" s="576"/>
      <c r="F52" s="628"/>
      <c r="G52" s="628"/>
      <c r="H52" s="628"/>
      <c r="I52" s="628"/>
      <c r="J52" s="628"/>
      <c r="K52" s="628"/>
      <c r="L52" s="628"/>
      <c r="M52" s="628"/>
    </row>
    <row r="53" spans="1:13" x14ac:dyDescent="0.3">
      <c r="B53" s="597"/>
      <c r="C53" s="619"/>
      <c r="D53" s="620"/>
      <c r="E53" s="620"/>
    </row>
    <row r="54" spans="1:13" x14ac:dyDescent="0.3">
      <c r="B54" s="618"/>
      <c r="C54" s="597"/>
      <c r="D54" s="597"/>
      <c r="E54" s="597"/>
    </row>
    <row r="55" spans="1:13" x14ac:dyDescent="0.3">
      <c r="B55" s="597"/>
      <c r="C55" s="619"/>
      <c r="D55" s="576"/>
      <c r="E55" s="576"/>
    </row>
    <row r="56" spans="1:13" x14ac:dyDescent="0.3">
      <c r="B56" s="597"/>
      <c r="C56" s="619"/>
      <c r="D56" s="620"/>
      <c r="E56" s="620"/>
    </row>
    <row r="57" spans="1:13" x14ac:dyDescent="0.3">
      <c r="B57" s="618"/>
      <c r="C57" s="597"/>
      <c r="D57" s="597"/>
      <c r="E57" s="597"/>
    </row>
  </sheetData>
  <mergeCells count="1">
    <mergeCell ref="B7:N7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Roman,Bold"&amp;6AS FILED</oddHeader>
    <oddFooter>&amp;CPage 9.1&amp;R&amp;F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3273-173C-4CDD-A557-2C76E1715BC1}">
  <sheetPr>
    <pageSetUpPr fitToPage="1"/>
  </sheetPr>
  <dimension ref="A2:Q47"/>
  <sheetViews>
    <sheetView zoomScale="80" zoomScaleNormal="80" workbookViewId="0"/>
  </sheetViews>
  <sheetFormatPr defaultColWidth="14.5546875" defaultRowHeight="14.4" x14ac:dyDescent="0.3"/>
  <cols>
    <col min="1" max="1" width="5.88671875" customWidth="1"/>
    <col min="2" max="2" width="49" customWidth="1"/>
    <col min="3" max="3" width="8.88671875" customWidth="1"/>
    <col min="4" max="10" width="15.88671875" customWidth="1"/>
    <col min="11" max="11" width="16.109375" customWidth="1"/>
    <col min="12" max="13" width="15.88671875" customWidth="1"/>
    <col min="14" max="14" width="2.109375" bestFit="1" customWidth="1"/>
    <col min="15" max="15" width="34" customWidth="1"/>
    <col min="16" max="16" width="5.88671875" customWidth="1"/>
  </cols>
  <sheetData>
    <row r="2" spans="1:17" ht="15.6" x14ac:dyDescent="0.3">
      <c r="A2" s="564"/>
      <c r="B2" s="565" t="s">
        <v>217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</row>
    <row r="3" spans="1:17" x14ac:dyDescent="0.3">
      <c r="A3" s="567"/>
      <c r="B3" s="565" t="s">
        <v>636</v>
      </c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</row>
    <row r="4" spans="1:17" x14ac:dyDescent="0.3">
      <c r="A4" s="567"/>
      <c r="B4" s="568" t="s">
        <v>588</v>
      </c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</row>
    <row r="5" spans="1:17" x14ac:dyDescent="0.3">
      <c r="A5" s="569"/>
      <c r="B5" s="568" t="s">
        <v>637</v>
      </c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1"/>
      <c r="P5" s="572"/>
      <c r="Q5" s="572"/>
    </row>
    <row r="6" spans="1:17" x14ac:dyDescent="0.3">
      <c r="A6" s="569"/>
      <c r="B6" s="872" t="s">
        <v>3</v>
      </c>
      <c r="C6" s="872"/>
      <c r="D6" s="872"/>
      <c r="E6" s="872"/>
      <c r="F6" s="872"/>
      <c r="G6" s="872"/>
      <c r="H6" s="872"/>
      <c r="I6" s="872"/>
      <c r="J6" s="872"/>
      <c r="K6" s="872"/>
      <c r="L6" s="872"/>
      <c r="M6" s="872"/>
      <c r="N6" s="872"/>
      <c r="O6" s="872"/>
      <c r="P6" s="572"/>
      <c r="Q6" s="572"/>
    </row>
    <row r="7" spans="1:17" x14ac:dyDescent="0.3">
      <c r="A7" s="569"/>
      <c r="B7" s="568"/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1"/>
      <c r="P7" s="572"/>
      <c r="Q7" s="572"/>
    </row>
    <row r="8" spans="1:17" x14ac:dyDescent="0.3">
      <c r="A8" s="573"/>
      <c r="B8" s="574"/>
      <c r="C8" s="574"/>
      <c r="D8" s="573"/>
      <c r="E8" s="573"/>
      <c r="F8" s="573"/>
      <c r="G8" s="573"/>
      <c r="H8" s="573"/>
      <c r="I8" s="573"/>
      <c r="J8" s="573"/>
      <c r="K8" s="575"/>
      <c r="L8" s="576" t="s">
        <v>590</v>
      </c>
      <c r="M8" s="577">
        <v>2020</v>
      </c>
      <c r="N8" s="712"/>
      <c r="O8" s="578"/>
      <c r="P8" s="579"/>
      <c r="Q8" s="580"/>
    </row>
    <row r="9" spans="1:17" x14ac:dyDescent="0.3">
      <c r="A9" s="573"/>
      <c r="B9" s="573"/>
      <c r="C9" s="573"/>
      <c r="D9" s="573"/>
      <c r="E9" s="573"/>
      <c r="F9" s="573"/>
      <c r="G9" s="573"/>
      <c r="H9" s="573"/>
      <c r="I9" s="573"/>
      <c r="J9" s="573"/>
      <c r="K9" s="573"/>
      <c r="L9" s="573"/>
      <c r="M9" s="573"/>
      <c r="N9" s="573"/>
      <c r="O9" s="578"/>
      <c r="P9" s="579"/>
      <c r="Q9" s="580"/>
    </row>
    <row r="10" spans="1:17" x14ac:dyDescent="0.3">
      <c r="A10" s="581"/>
      <c r="B10" s="582" t="s">
        <v>591</v>
      </c>
      <c r="C10" s="582" t="s">
        <v>592</v>
      </c>
      <c r="D10" s="582" t="s">
        <v>593</v>
      </c>
      <c r="E10" s="582" t="s">
        <v>594</v>
      </c>
      <c r="F10" s="582" t="s">
        <v>595</v>
      </c>
      <c r="G10" s="582" t="s">
        <v>596</v>
      </c>
      <c r="H10" s="582" t="s">
        <v>597</v>
      </c>
      <c r="I10" s="582" t="s">
        <v>598</v>
      </c>
      <c r="J10" s="582" t="s">
        <v>599</v>
      </c>
      <c r="K10" s="582" t="s">
        <v>600</v>
      </c>
      <c r="L10" s="582" t="s">
        <v>601</v>
      </c>
      <c r="M10" s="582" t="s">
        <v>602</v>
      </c>
      <c r="N10" s="582"/>
      <c r="O10" s="583"/>
      <c r="P10" s="584"/>
      <c r="Q10" s="585"/>
    </row>
    <row r="11" spans="1:17" ht="15" thickBot="1" x14ac:dyDescent="0.35">
      <c r="A11" s="573"/>
      <c r="B11" s="581"/>
      <c r="C11" s="581"/>
      <c r="D11" s="581"/>
      <c r="E11" s="581"/>
      <c r="F11" s="581"/>
      <c r="G11" s="581"/>
      <c r="H11" s="581"/>
      <c r="I11" s="581"/>
      <c r="J11" s="581"/>
      <c r="K11" s="581"/>
      <c r="L11" s="581"/>
      <c r="M11" s="581"/>
      <c r="N11" s="581"/>
      <c r="O11" s="583"/>
      <c r="P11" s="583"/>
      <c r="Q11" s="583"/>
    </row>
    <row r="12" spans="1:17" ht="15" thickBot="1" x14ac:dyDescent="0.35">
      <c r="A12" s="573"/>
      <c r="B12" s="581"/>
      <c r="C12" s="581"/>
      <c r="D12" s="586"/>
      <c r="E12" s="586"/>
      <c r="F12" s="586"/>
      <c r="G12" s="586"/>
      <c r="H12" s="586"/>
      <c r="I12" s="586"/>
      <c r="J12" s="587" t="s">
        <v>603</v>
      </c>
      <c r="K12" s="588" t="s">
        <v>638</v>
      </c>
      <c r="L12" s="588" t="s">
        <v>605</v>
      </c>
      <c r="M12" s="588" t="s">
        <v>605</v>
      </c>
      <c r="N12" s="707"/>
      <c r="O12" s="583"/>
      <c r="P12" s="583"/>
      <c r="Q12" s="583"/>
    </row>
    <row r="13" spans="1:17" ht="40.200000000000003" thickBot="1" x14ac:dyDescent="0.35">
      <c r="A13" s="589" t="s">
        <v>606</v>
      </c>
      <c r="B13" s="590" t="s">
        <v>5</v>
      </c>
      <c r="C13" s="591" t="s">
        <v>607</v>
      </c>
      <c r="D13" s="592" t="s">
        <v>608</v>
      </c>
      <c r="E13" s="592" t="s">
        <v>609</v>
      </c>
      <c r="F13" s="592" t="s">
        <v>610</v>
      </c>
      <c r="G13" s="592" t="s">
        <v>611</v>
      </c>
      <c r="H13" s="593" t="s">
        <v>612</v>
      </c>
      <c r="I13" s="592" t="s">
        <v>613</v>
      </c>
      <c r="J13" s="592" t="s">
        <v>614</v>
      </c>
      <c r="K13" s="593" t="s">
        <v>615</v>
      </c>
      <c r="L13" s="592" t="s">
        <v>616</v>
      </c>
      <c r="M13" s="592" t="s">
        <v>617</v>
      </c>
      <c r="N13" s="708"/>
      <c r="O13" s="590" t="s">
        <v>7</v>
      </c>
      <c r="P13" s="589" t="s">
        <v>606</v>
      </c>
      <c r="Q13" s="594"/>
    </row>
    <row r="14" spans="1:17" x14ac:dyDescent="0.3">
      <c r="A14" s="595">
        <v>1</v>
      </c>
      <c r="B14" s="573" t="s">
        <v>618</v>
      </c>
      <c r="C14" s="596"/>
      <c r="D14" s="573"/>
      <c r="E14" s="573"/>
      <c r="F14" s="573"/>
      <c r="G14" s="573"/>
      <c r="H14" s="573"/>
      <c r="I14" s="573"/>
      <c r="J14" s="573"/>
      <c r="K14" s="573"/>
      <c r="L14" s="573"/>
      <c r="M14" s="573"/>
      <c r="N14" s="573"/>
      <c r="O14" s="597"/>
      <c r="P14" s="595">
        <v>1</v>
      </c>
      <c r="Q14" s="580"/>
    </row>
    <row r="15" spans="1:17" x14ac:dyDescent="0.3">
      <c r="A15" s="595">
        <f t="shared" ref="A15:A36" si="0">+A14+1</f>
        <v>2</v>
      </c>
      <c r="B15" s="573" t="s">
        <v>337</v>
      </c>
      <c r="C15" s="595">
        <v>190</v>
      </c>
      <c r="D15" s="598">
        <v>214.49018265600057</v>
      </c>
      <c r="E15" s="598">
        <v>0</v>
      </c>
      <c r="F15" s="599"/>
      <c r="G15" s="599"/>
      <c r="H15" s="599"/>
      <c r="I15" s="599"/>
      <c r="J15" s="573">
        <f>SUM(D15:I15)</f>
        <v>214.49018265600057</v>
      </c>
      <c r="K15" s="573">
        <v>0</v>
      </c>
      <c r="L15" s="573">
        <f>IF(+J15+K15&gt;0,+J15+K15,0)</f>
        <v>214.49018265600057</v>
      </c>
      <c r="M15" s="573">
        <f>IF(+J15+K15&gt;0,0,+J15+K15)</f>
        <v>0</v>
      </c>
      <c r="N15" s="573"/>
      <c r="O15" s="581" t="s">
        <v>345</v>
      </c>
      <c r="P15" s="595">
        <f t="shared" ref="P15:P36" si="1">+P14+1</f>
        <v>2</v>
      </c>
      <c r="Q15" s="580"/>
    </row>
    <row r="16" spans="1:17" x14ac:dyDescent="0.3">
      <c r="A16" s="595">
        <f t="shared" si="0"/>
        <v>3</v>
      </c>
      <c r="B16" s="573" t="s">
        <v>339</v>
      </c>
      <c r="C16" s="595">
        <v>190</v>
      </c>
      <c r="D16" s="598">
        <v>555.44960000000071</v>
      </c>
      <c r="E16" s="598">
        <v>0</v>
      </c>
      <c r="F16" s="599"/>
      <c r="G16" s="599"/>
      <c r="H16" s="599"/>
      <c r="I16" s="599">
        <v>-374.29460583790154</v>
      </c>
      <c r="J16" s="573">
        <f>SUM(D16:I16)</f>
        <v>181.15499416209917</v>
      </c>
      <c r="K16" s="573">
        <v>0</v>
      </c>
      <c r="L16" s="573">
        <f>IF(+J16+K16&gt;0,+J16+K16,0)</f>
        <v>181.15499416209917</v>
      </c>
      <c r="M16" s="573">
        <f>IF(+J16+K16&gt;0,0,+J16+K16)</f>
        <v>0</v>
      </c>
      <c r="N16" s="573"/>
      <c r="O16" s="581" t="s">
        <v>345</v>
      </c>
      <c r="P16" s="595">
        <f t="shared" si="1"/>
        <v>3</v>
      </c>
      <c r="Q16" s="580"/>
    </row>
    <row r="17" spans="1:17" x14ac:dyDescent="0.3">
      <c r="A17" s="595">
        <f t="shared" si="0"/>
        <v>4</v>
      </c>
      <c r="B17" s="573" t="s">
        <v>349</v>
      </c>
      <c r="C17" s="595">
        <v>283</v>
      </c>
      <c r="D17" s="598">
        <v>0</v>
      </c>
      <c r="E17" s="598">
        <v>0</v>
      </c>
      <c r="F17" s="599"/>
      <c r="G17" s="599"/>
      <c r="H17" s="599"/>
      <c r="I17" s="599"/>
      <c r="J17" s="573">
        <f>SUM(D17:I17)</f>
        <v>0</v>
      </c>
      <c r="K17" s="573">
        <v>0</v>
      </c>
      <c r="L17" s="573">
        <f>IF(+J17+K17&gt;0,+J17+K17,0)</f>
        <v>0</v>
      </c>
      <c r="M17" s="573">
        <f>IF(+J17+K17&gt;0,0,+J17+K17)</f>
        <v>0</v>
      </c>
      <c r="N17" s="573"/>
      <c r="O17" s="581" t="s">
        <v>345</v>
      </c>
      <c r="P17" s="595">
        <f t="shared" si="1"/>
        <v>4</v>
      </c>
      <c r="Q17" s="580"/>
    </row>
    <row r="18" spans="1:17" x14ac:dyDescent="0.3">
      <c r="A18" s="595">
        <f t="shared" si="0"/>
        <v>5</v>
      </c>
      <c r="B18" s="581"/>
      <c r="C18" s="600"/>
      <c r="D18" s="601"/>
      <c r="E18" s="601"/>
      <c r="F18" s="601"/>
      <c r="G18" s="601"/>
      <c r="H18" s="601"/>
      <c r="I18" s="601"/>
      <c r="J18" s="601"/>
      <c r="K18" s="601"/>
      <c r="L18" s="601"/>
      <c r="M18" s="601"/>
      <c r="N18" s="709"/>
      <c r="O18" s="573"/>
      <c r="P18" s="595">
        <f t="shared" si="1"/>
        <v>5</v>
      </c>
      <c r="Q18" s="580"/>
    </row>
    <row r="19" spans="1:17" ht="15" thickBot="1" x14ac:dyDescent="0.35">
      <c r="A19" s="595">
        <f t="shared" si="0"/>
        <v>6</v>
      </c>
      <c r="B19" s="581" t="s">
        <v>619</v>
      </c>
      <c r="C19" s="602"/>
      <c r="D19" s="603">
        <f t="shared" ref="D19:M19" si="2">SUM(D15:D17)</f>
        <v>769.93978265600128</v>
      </c>
      <c r="E19" s="603">
        <f t="shared" si="2"/>
        <v>0</v>
      </c>
      <c r="F19" s="603">
        <f t="shared" si="2"/>
        <v>0</v>
      </c>
      <c r="G19" s="603">
        <f t="shared" si="2"/>
        <v>0</v>
      </c>
      <c r="H19" s="603">
        <f t="shared" si="2"/>
        <v>0</v>
      </c>
      <c r="I19" s="603">
        <f t="shared" si="2"/>
        <v>-374.29460583790154</v>
      </c>
      <c r="J19" s="603">
        <f t="shared" si="2"/>
        <v>395.64517681809974</v>
      </c>
      <c r="K19" s="603">
        <f t="shared" si="2"/>
        <v>0</v>
      </c>
      <c r="L19" s="603">
        <f t="shared" si="2"/>
        <v>395.64517681809974</v>
      </c>
      <c r="M19" s="603">
        <f t="shared" si="2"/>
        <v>0</v>
      </c>
      <c r="N19" s="710"/>
      <c r="O19" s="581" t="s">
        <v>620</v>
      </c>
      <c r="P19" s="595">
        <f t="shared" si="1"/>
        <v>6</v>
      </c>
      <c r="Q19" s="580"/>
    </row>
    <row r="20" spans="1:17" ht="15" thickTop="1" x14ac:dyDescent="0.3">
      <c r="A20" s="595">
        <f t="shared" si="0"/>
        <v>7</v>
      </c>
      <c r="B20" s="573"/>
      <c r="C20" s="573"/>
      <c r="D20" s="604"/>
      <c r="E20" s="604"/>
      <c r="F20" s="604"/>
      <c r="G20" s="604"/>
      <c r="H20" s="604"/>
      <c r="I20" s="604"/>
      <c r="J20" s="604"/>
      <c r="K20" s="604"/>
      <c r="L20" s="604"/>
      <c r="M20" s="604"/>
      <c r="N20" s="604"/>
      <c r="O20" s="573"/>
      <c r="P20" s="595">
        <f t="shared" si="1"/>
        <v>7</v>
      </c>
      <c r="Q20" s="580"/>
    </row>
    <row r="21" spans="1:17" x14ac:dyDescent="0.3">
      <c r="A21" s="595">
        <f t="shared" si="0"/>
        <v>8</v>
      </c>
      <c r="B21" s="573" t="s">
        <v>621</v>
      </c>
      <c r="C21" s="605"/>
      <c r="D21" s="604"/>
      <c r="E21" s="604"/>
      <c r="F21" s="604"/>
      <c r="G21" s="604"/>
      <c r="H21" s="604"/>
      <c r="I21" s="604"/>
      <c r="J21" s="604"/>
      <c r="K21" s="604"/>
      <c r="L21" s="604"/>
      <c r="M21" s="604"/>
      <c r="N21" s="604"/>
      <c r="O21" s="573"/>
      <c r="P21" s="595">
        <f t="shared" si="1"/>
        <v>8</v>
      </c>
      <c r="Q21" s="580"/>
    </row>
    <row r="22" spans="1:17" x14ac:dyDescent="0.3">
      <c r="A22" s="595">
        <f t="shared" si="0"/>
        <v>9</v>
      </c>
      <c r="B22" s="573" t="s">
        <v>340</v>
      </c>
      <c r="C22" s="595">
        <v>190</v>
      </c>
      <c r="D22" s="598">
        <v>108238.4585773642</v>
      </c>
      <c r="E22" s="598">
        <v>0</v>
      </c>
      <c r="F22" s="599"/>
      <c r="G22" s="599"/>
      <c r="H22" s="599"/>
      <c r="I22" s="599">
        <v>-1528.5180985906402</v>
      </c>
      <c r="J22" s="573">
        <f>SUM(D22:I22)</f>
        <v>106709.94047877357</v>
      </c>
      <c r="K22" s="573">
        <v>0</v>
      </c>
      <c r="L22" s="573">
        <f>IF(+J22+K22&gt;0,+J22+K22,0)</f>
        <v>106709.94047877357</v>
      </c>
      <c r="M22" s="573">
        <f>IF(+J22+K22&gt;0,0,+J22+K22)</f>
        <v>0</v>
      </c>
      <c r="N22" s="573"/>
      <c r="O22" s="581" t="s">
        <v>345</v>
      </c>
      <c r="P22" s="595">
        <f t="shared" si="1"/>
        <v>9</v>
      </c>
      <c r="Q22" s="580"/>
    </row>
    <row r="23" spans="1:17" ht="15.6" x14ac:dyDescent="0.3">
      <c r="A23" s="595">
        <f t="shared" si="0"/>
        <v>10</v>
      </c>
      <c r="B23" s="602" t="s">
        <v>344</v>
      </c>
      <c r="C23" s="595">
        <v>282</v>
      </c>
      <c r="D23" s="598">
        <v>0</v>
      </c>
      <c r="E23" s="704">
        <v>-378242.87900000002</v>
      </c>
      <c r="F23" s="599"/>
      <c r="G23" s="599"/>
      <c r="H23" s="705">
        <v>3306.5344712430701</v>
      </c>
      <c r="I23" s="599"/>
      <c r="J23" s="602">
        <f>SUM(D23:I23)</f>
        <v>-374936.34452875692</v>
      </c>
      <c r="K23" s="573">
        <v>0</v>
      </c>
      <c r="L23" s="573">
        <f>IF(+J23+K23&gt;0,+J23+K23,0)</f>
        <v>0</v>
      </c>
      <c r="M23" s="602">
        <f>IF(+J23+K23&gt;0,0,+J23+K23)</f>
        <v>-374936.34452875692</v>
      </c>
      <c r="N23" s="42" t="s">
        <v>42</v>
      </c>
      <c r="O23" s="581" t="s">
        <v>345</v>
      </c>
      <c r="P23" s="595">
        <f t="shared" si="1"/>
        <v>10</v>
      </c>
      <c r="Q23" s="580"/>
    </row>
    <row r="24" spans="1:17" ht="15.6" x14ac:dyDescent="0.3">
      <c r="A24" s="595">
        <f t="shared" si="0"/>
        <v>11</v>
      </c>
      <c r="B24" s="581" t="s">
        <v>622</v>
      </c>
      <c r="C24" s="606"/>
      <c r="D24" s="607">
        <f t="shared" ref="D24:M24" si="3">SUM(D22:D23)</f>
        <v>108238.4585773642</v>
      </c>
      <c r="E24" s="706">
        <f t="shared" si="3"/>
        <v>-378242.87900000002</v>
      </c>
      <c r="F24" s="607">
        <f t="shared" si="3"/>
        <v>0</v>
      </c>
      <c r="G24" s="607">
        <f t="shared" si="3"/>
        <v>0</v>
      </c>
      <c r="H24" s="706">
        <f t="shared" si="3"/>
        <v>3306.5344712430701</v>
      </c>
      <c r="I24" s="607">
        <f t="shared" si="3"/>
        <v>-1528.5180985906402</v>
      </c>
      <c r="J24" s="706">
        <f t="shared" si="3"/>
        <v>-268226.40404998336</v>
      </c>
      <c r="K24" s="607">
        <f t="shared" si="3"/>
        <v>0</v>
      </c>
      <c r="L24" s="607">
        <f t="shared" si="3"/>
        <v>106709.94047877357</v>
      </c>
      <c r="M24" s="706">
        <f t="shared" si="3"/>
        <v>-374936.34452875692</v>
      </c>
      <c r="N24" s="42" t="s">
        <v>42</v>
      </c>
      <c r="O24" s="581" t="s">
        <v>623</v>
      </c>
      <c r="P24" s="595">
        <f t="shared" si="1"/>
        <v>11</v>
      </c>
      <c r="Q24" s="580"/>
    </row>
    <row r="25" spans="1:17" x14ac:dyDescent="0.3">
      <c r="A25" s="595">
        <f t="shared" si="0"/>
        <v>12</v>
      </c>
      <c r="B25" s="573"/>
      <c r="C25" s="600"/>
      <c r="D25" s="573"/>
      <c r="E25" s="573"/>
      <c r="F25" s="573"/>
      <c r="G25" s="573"/>
      <c r="H25" s="573"/>
      <c r="I25" s="573"/>
      <c r="J25" s="573"/>
      <c r="K25" s="573"/>
      <c r="L25" s="573"/>
      <c r="M25" s="573"/>
      <c r="N25" s="573"/>
      <c r="O25" s="573"/>
      <c r="P25" s="595">
        <f t="shared" si="1"/>
        <v>12</v>
      </c>
      <c r="Q25" s="580"/>
    </row>
    <row r="26" spans="1:17" x14ac:dyDescent="0.3">
      <c r="A26" s="595">
        <f t="shared" si="0"/>
        <v>13</v>
      </c>
      <c r="B26" s="573" t="s">
        <v>624</v>
      </c>
      <c r="C26" s="596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95">
        <f t="shared" si="1"/>
        <v>13</v>
      </c>
      <c r="Q26" s="580"/>
    </row>
    <row r="27" spans="1:17" x14ac:dyDescent="0.3">
      <c r="A27" s="595">
        <f t="shared" si="0"/>
        <v>14</v>
      </c>
      <c r="B27" s="573" t="s">
        <v>625</v>
      </c>
      <c r="C27" s="595">
        <v>282</v>
      </c>
      <c r="D27" s="598">
        <v>0</v>
      </c>
      <c r="E27" s="598">
        <v>-12711.992000999999</v>
      </c>
      <c r="F27" s="599"/>
      <c r="G27" s="599"/>
      <c r="H27" s="599">
        <v>263.35636363636348</v>
      </c>
      <c r="I27" s="599"/>
      <c r="J27" s="573">
        <f>SUM(D27:I27)</f>
        <v>-12448.635637363635</v>
      </c>
      <c r="K27" s="573">
        <v>0</v>
      </c>
      <c r="L27" s="573">
        <f>IF(+J27+K27&gt;0,+J27+K27,0)</f>
        <v>0</v>
      </c>
      <c r="M27" s="573">
        <f>IF(+J27+K27&gt;0,0,+J27+K27)</f>
        <v>-12448.635637363635</v>
      </c>
      <c r="N27" s="573"/>
      <c r="O27" s="581" t="s">
        <v>345</v>
      </c>
      <c r="P27" s="595">
        <f t="shared" si="1"/>
        <v>14</v>
      </c>
      <c r="Q27" s="580"/>
    </row>
    <row r="28" spans="1:17" x14ac:dyDescent="0.3">
      <c r="A28" s="595">
        <f t="shared" si="0"/>
        <v>15</v>
      </c>
      <c r="B28" s="573" t="s">
        <v>626</v>
      </c>
      <c r="C28" s="595">
        <v>282</v>
      </c>
      <c r="D28" s="598">
        <v>0</v>
      </c>
      <c r="E28" s="598">
        <v>-35433.934000000001</v>
      </c>
      <c r="F28" s="599"/>
      <c r="G28" s="599"/>
      <c r="H28" s="599">
        <v>1630.263272727268</v>
      </c>
      <c r="I28" s="599"/>
      <c r="J28" s="573">
        <f>SUM(D28:I28)</f>
        <v>-33803.670727272736</v>
      </c>
      <c r="K28" s="573">
        <v>0</v>
      </c>
      <c r="L28" s="573">
        <f>IF(+J28+K28&gt;0,+J28+K28,0)</f>
        <v>0</v>
      </c>
      <c r="M28" s="573">
        <f>IF(+J28+K28&gt;0,0,+J28+K28)</f>
        <v>-33803.670727272736</v>
      </c>
      <c r="N28" s="573"/>
      <c r="O28" s="581" t="s">
        <v>345</v>
      </c>
      <c r="P28" s="595">
        <f t="shared" si="1"/>
        <v>15</v>
      </c>
      <c r="Q28" s="580"/>
    </row>
    <row r="29" spans="1:17" x14ac:dyDescent="0.3">
      <c r="A29" s="595">
        <f t="shared" si="0"/>
        <v>16</v>
      </c>
      <c r="B29" s="573" t="s">
        <v>627</v>
      </c>
      <c r="C29" s="608">
        <v>282</v>
      </c>
      <c r="D29" s="598">
        <v>363.78900000000067</v>
      </c>
      <c r="E29" s="598">
        <v>0</v>
      </c>
      <c r="F29" s="599"/>
      <c r="G29" s="599"/>
      <c r="H29" s="599">
        <v>212.16872727272732</v>
      </c>
      <c r="I29" s="599"/>
      <c r="J29" s="573">
        <f>SUM(D29:I29)</f>
        <v>575.95772727272799</v>
      </c>
      <c r="K29" s="573">
        <v>0</v>
      </c>
      <c r="L29" s="573">
        <f>IF(+J29+K29&gt;0,+J29+K29,0)</f>
        <v>575.95772727272799</v>
      </c>
      <c r="M29" s="573">
        <f>IF(+J29+K29&gt;0,0,+J29+K29)</f>
        <v>0</v>
      </c>
      <c r="N29" s="573"/>
      <c r="O29" s="581" t="s">
        <v>345</v>
      </c>
      <c r="P29" s="595">
        <f t="shared" si="1"/>
        <v>16</v>
      </c>
      <c r="Q29" s="580"/>
    </row>
    <row r="30" spans="1:17" x14ac:dyDescent="0.3">
      <c r="A30" s="595">
        <f t="shared" si="0"/>
        <v>17</v>
      </c>
      <c r="B30" s="581" t="s">
        <v>622</v>
      </c>
      <c r="C30" s="606"/>
      <c r="D30" s="607">
        <f t="shared" ref="D30:M30" si="4">SUM(D27:D29)</f>
        <v>363.78900000000067</v>
      </c>
      <c r="E30" s="607">
        <f t="shared" si="4"/>
        <v>-48145.926001</v>
      </c>
      <c r="F30" s="607">
        <f t="shared" si="4"/>
        <v>0</v>
      </c>
      <c r="G30" s="607">
        <f t="shared" si="4"/>
        <v>0</v>
      </c>
      <c r="H30" s="607">
        <f t="shared" si="4"/>
        <v>2105.788363636359</v>
      </c>
      <c r="I30" s="607">
        <f t="shared" si="4"/>
        <v>0</v>
      </c>
      <c r="J30" s="607">
        <f t="shared" si="4"/>
        <v>-45676.348637363648</v>
      </c>
      <c r="K30" s="607">
        <f t="shared" si="4"/>
        <v>0</v>
      </c>
      <c r="L30" s="607">
        <f t="shared" si="4"/>
        <v>575.95772727272799</v>
      </c>
      <c r="M30" s="607">
        <f t="shared" si="4"/>
        <v>-46252.306364636373</v>
      </c>
      <c r="N30" s="710"/>
      <c r="O30" s="581" t="s">
        <v>628</v>
      </c>
      <c r="P30" s="595">
        <f t="shared" si="1"/>
        <v>17</v>
      </c>
      <c r="Q30" s="580"/>
    </row>
    <row r="31" spans="1:17" x14ac:dyDescent="0.3">
      <c r="A31" s="595">
        <f t="shared" si="0"/>
        <v>18</v>
      </c>
      <c r="B31" s="573"/>
      <c r="C31" s="600"/>
      <c r="D31" s="609"/>
      <c r="E31" s="609"/>
      <c r="F31" s="609"/>
      <c r="G31" s="609"/>
      <c r="H31" s="609"/>
      <c r="I31" s="609"/>
      <c r="J31" s="609"/>
      <c r="K31" s="609"/>
      <c r="L31" s="609"/>
      <c r="M31" s="609"/>
      <c r="N31" s="711"/>
      <c r="O31" s="573"/>
      <c r="P31" s="595">
        <f t="shared" si="1"/>
        <v>18</v>
      </c>
      <c r="Q31" s="580"/>
    </row>
    <row r="32" spans="1:17" x14ac:dyDescent="0.3">
      <c r="A32" s="595">
        <f t="shared" si="0"/>
        <v>19</v>
      </c>
      <c r="B32" s="573" t="s">
        <v>629</v>
      </c>
      <c r="C32" s="608">
        <v>282</v>
      </c>
      <c r="D32" s="610">
        <v>39732.024064700854</v>
      </c>
      <c r="E32" s="610">
        <v>0</v>
      </c>
      <c r="F32" s="611"/>
      <c r="G32" s="611"/>
      <c r="H32" s="611"/>
      <c r="I32" s="611">
        <v>-474.80667137594071</v>
      </c>
      <c r="J32" s="573">
        <f>SUM(D32:I32)</f>
        <v>39257.217393324914</v>
      </c>
      <c r="K32" s="573">
        <v>0</v>
      </c>
      <c r="L32" s="573">
        <f>IF(+J32+K32&gt;0,+J32+K32,0)</f>
        <v>39257.217393324914</v>
      </c>
      <c r="M32" s="573">
        <f>IF(+J32+K32&gt;0,0,+J32+K32)</f>
        <v>0</v>
      </c>
      <c r="N32" s="573"/>
      <c r="O32" s="581" t="s">
        <v>345</v>
      </c>
      <c r="P32" s="595">
        <f t="shared" si="1"/>
        <v>19</v>
      </c>
      <c r="Q32" s="580"/>
    </row>
    <row r="33" spans="1:17" x14ac:dyDescent="0.3">
      <c r="A33" s="595">
        <f t="shared" si="0"/>
        <v>20</v>
      </c>
      <c r="B33" s="573"/>
      <c r="C33" s="600"/>
      <c r="D33" s="612"/>
      <c r="E33" s="612"/>
      <c r="F33" s="612"/>
      <c r="G33" s="612"/>
      <c r="H33" s="612"/>
      <c r="I33" s="612"/>
      <c r="J33" s="612"/>
      <c r="K33" s="612"/>
      <c r="L33" s="612"/>
      <c r="M33" s="612"/>
      <c r="N33" s="575"/>
      <c r="O33" s="573"/>
      <c r="P33" s="595">
        <f t="shared" si="1"/>
        <v>20</v>
      </c>
      <c r="Q33" s="580"/>
    </row>
    <row r="34" spans="1:17" ht="16.2" thickBot="1" x14ac:dyDescent="0.35">
      <c r="A34" s="595">
        <f t="shared" si="0"/>
        <v>21</v>
      </c>
      <c r="B34" s="581" t="s">
        <v>630</v>
      </c>
      <c r="C34" s="606"/>
      <c r="D34" s="603">
        <f t="shared" ref="D34:L34" si="5">D24+D30+D32</f>
        <v>148334.27164206505</v>
      </c>
      <c r="E34" s="713">
        <f t="shared" si="5"/>
        <v>-426388.805001</v>
      </c>
      <c r="F34" s="603">
        <f t="shared" si="5"/>
        <v>0</v>
      </c>
      <c r="G34" s="603">
        <f t="shared" si="5"/>
        <v>0</v>
      </c>
      <c r="H34" s="713">
        <f t="shared" si="5"/>
        <v>5412.3228348794291</v>
      </c>
      <c r="I34" s="603">
        <f t="shared" si="5"/>
        <v>-2003.3247699665808</v>
      </c>
      <c r="J34" s="713">
        <f t="shared" si="5"/>
        <v>-274645.53529402206</v>
      </c>
      <c r="K34" s="603">
        <f t="shared" si="5"/>
        <v>0</v>
      </c>
      <c r="L34" s="603">
        <f t="shared" si="5"/>
        <v>146543.1155993712</v>
      </c>
      <c r="M34" s="713">
        <f>M24+M30+M32-1</f>
        <v>-421189.65089339332</v>
      </c>
      <c r="N34" s="42" t="s">
        <v>42</v>
      </c>
      <c r="O34" s="581" t="s">
        <v>631</v>
      </c>
      <c r="P34" s="595">
        <f t="shared" si="1"/>
        <v>21</v>
      </c>
      <c r="Q34" s="580"/>
    </row>
    <row r="35" spans="1:17" ht="15" thickTop="1" x14ac:dyDescent="0.3">
      <c r="A35" s="595">
        <f t="shared" si="0"/>
        <v>22</v>
      </c>
      <c r="B35" s="573"/>
      <c r="C35" s="573"/>
      <c r="D35" s="613"/>
      <c r="E35" s="613"/>
      <c r="F35" s="613"/>
      <c r="G35" s="613"/>
      <c r="H35" s="613"/>
      <c r="I35" s="613"/>
      <c r="J35" s="613"/>
      <c r="K35" s="613"/>
      <c r="L35" s="613"/>
      <c r="M35" s="613"/>
      <c r="N35" s="709"/>
      <c r="O35" s="573"/>
      <c r="P35" s="595">
        <f t="shared" si="1"/>
        <v>22</v>
      </c>
      <c r="Q35" s="580"/>
    </row>
    <row r="36" spans="1:17" ht="16.2" thickBot="1" x14ac:dyDescent="0.35">
      <c r="A36" s="595">
        <f t="shared" si="0"/>
        <v>23</v>
      </c>
      <c r="B36" s="581" t="s">
        <v>632</v>
      </c>
      <c r="C36" s="602"/>
      <c r="D36" s="603">
        <f t="shared" ref="D36:M36" si="6">D19+D34</f>
        <v>149104.21142472106</v>
      </c>
      <c r="E36" s="713">
        <f t="shared" si="6"/>
        <v>-426388.805001</v>
      </c>
      <c r="F36" s="603">
        <f t="shared" si="6"/>
        <v>0</v>
      </c>
      <c r="G36" s="603">
        <f t="shared" si="6"/>
        <v>0</v>
      </c>
      <c r="H36" s="713">
        <f t="shared" si="6"/>
        <v>5412.3228348794291</v>
      </c>
      <c r="I36" s="603">
        <f t="shared" si="6"/>
        <v>-2377.6193758044824</v>
      </c>
      <c r="J36" s="713">
        <f t="shared" si="6"/>
        <v>-274249.89011720393</v>
      </c>
      <c r="K36" s="603">
        <f t="shared" si="6"/>
        <v>0</v>
      </c>
      <c r="L36" s="603">
        <f t="shared" si="6"/>
        <v>146938.7607761893</v>
      </c>
      <c r="M36" s="713">
        <f t="shared" si="6"/>
        <v>-421189.65089339332</v>
      </c>
      <c r="N36" s="42" t="s">
        <v>42</v>
      </c>
      <c r="O36" s="581" t="s">
        <v>633</v>
      </c>
      <c r="P36" s="595">
        <f t="shared" si="1"/>
        <v>23</v>
      </c>
      <c r="Q36" s="580"/>
    </row>
    <row r="37" spans="1:17" ht="15" thickTop="1" x14ac:dyDescent="0.3">
      <c r="A37" s="614"/>
      <c r="B37" s="615"/>
      <c r="C37" s="615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80"/>
      <c r="P37" s="580"/>
      <c r="Q37" s="580"/>
    </row>
    <row r="38" spans="1:17" x14ac:dyDescent="0.3">
      <c r="A38" s="614"/>
      <c r="B38" s="615"/>
      <c r="C38" s="615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80"/>
      <c r="P38" s="580"/>
      <c r="Q38" s="580"/>
    </row>
    <row r="39" spans="1:17" ht="15.6" x14ac:dyDescent="0.3">
      <c r="A39" s="42" t="s">
        <v>42</v>
      </c>
      <c r="B39" s="714" t="str">
        <f>'Pg5 Rev Stmt AF'!B26</f>
        <v>Items in BOLD have changed due to the removal of CIAC related ADIT per TO5 Cycle 4 Letter Order determination in ER22-527 as compared to the original TO5 Cycle 4 filing.</v>
      </c>
      <c r="C39" s="615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73"/>
      <c r="O39" s="580"/>
      <c r="P39" s="580"/>
      <c r="Q39" s="580"/>
    </row>
    <row r="40" spans="1:17" x14ac:dyDescent="0.3">
      <c r="A40" s="614"/>
      <c r="B40" s="616" t="s">
        <v>634</v>
      </c>
      <c r="C40" s="617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80"/>
      <c r="P40" s="580"/>
      <c r="Q40" s="580"/>
    </row>
    <row r="41" spans="1:17" x14ac:dyDescent="0.3">
      <c r="A41" s="614"/>
      <c r="B41" s="618" t="s">
        <v>635</v>
      </c>
      <c r="C41" s="597"/>
      <c r="D41" s="597"/>
      <c r="E41" s="597"/>
      <c r="F41" s="573"/>
      <c r="G41" s="573"/>
      <c r="H41" s="573"/>
      <c r="I41" s="573"/>
      <c r="J41" s="573"/>
      <c r="K41" s="573"/>
      <c r="L41" s="573"/>
      <c r="M41" s="573"/>
      <c r="N41" s="573"/>
      <c r="O41" s="580"/>
      <c r="P41" s="580"/>
      <c r="Q41" s="580"/>
    </row>
    <row r="42" spans="1:17" x14ac:dyDescent="0.3">
      <c r="A42" s="614"/>
      <c r="B42" s="618"/>
      <c r="C42" s="573"/>
      <c r="D42" s="573"/>
      <c r="E42" s="573"/>
      <c r="F42" s="573"/>
      <c r="G42" s="573"/>
      <c r="H42" s="573"/>
      <c r="I42" s="573"/>
      <c r="J42" s="573"/>
      <c r="K42" s="573"/>
      <c r="L42" s="573"/>
      <c r="M42" s="573"/>
      <c r="N42" s="573"/>
      <c r="O42" s="580"/>
      <c r="P42" s="580"/>
      <c r="Q42" s="580"/>
    </row>
    <row r="43" spans="1:17" x14ac:dyDescent="0.3">
      <c r="A43" s="614"/>
      <c r="B43" s="618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80"/>
      <c r="P43" s="580"/>
      <c r="Q43" s="580"/>
    </row>
    <row r="44" spans="1:17" x14ac:dyDescent="0.3">
      <c r="A44" s="614"/>
      <c r="B44" s="597"/>
      <c r="C44" s="619"/>
      <c r="D44" s="576"/>
      <c r="E44" s="576"/>
      <c r="F44" s="573"/>
      <c r="G44" s="573"/>
      <c r="H44" s="573"/>
      <c r="I44" s="573"/>
      <c r="J44" s="573"/>
      <c r="K44" s="573"/>
      <c r="L44" s="573"/>
      <c r="M44" s="573"/>
      <c r="N44" s="573"/>
      <c r="O44" s="580"/>
      <c r="P44" s="580"/>
      <c r="Q44" s="580"/>
    </row>
    <row r="45" spans="1:17" x14ac:dyDescent="0.3">
      <c r="B45" s="597"/>
      <c r="C45" s="619"/>
      <c r="D45" s="576"/>
      <c r="E45" s="576"/>
    </row>
    <row r="46" spans="1:17" x14ac:dyDescent="0.3">
      <c r="B46" s="597"/>
      <c r="C46" s="619"/>
      <c r="D46" s="620"/>
      <c r="E46" s="620"/>
    </row>
    <row r="47" spans="1:17" x14ac:dyDescent="0.3">
      <c r="B47" s="618"/>
      <c r="C47" s="597"/>
      <c r="D47" s="597"/>
      <c r="E47" s="597"/>
    </row>
  </sheetData>
  <mergeCells count="1">
    <mergeCell ref="B6:O6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Roman,Bold"&amp;7REVISED</oddHeader>
    <oddFooter>&amp;CPage 9.2&amp;R&amp;F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3183-7235-4CE5-A371-AE28C791A2E4}">
  <sheetPr>
    <pageSetUpPr fitToPage="1"/>
  </sheetPr>
  <dimension ref="A1:P46"/>
  <sheetViews>
    <sheetView zoomScale="80" zoomScaleNormal="80" workbookViewId="0"/>
  </sheetViews>
  <sheetFormatPr defaultColWidth="14.5546875" defaultRowHeight="14.4" x14ac:dyDescent="0.3"/>
  <cols>
    <col min="1" max="1" width="5.88671875" customWidth="1"/>
    <col min="2" max="2" width="49" customWidth="1"/>
    <col min="3" max="3" width="8.88671875" customWidth="1"/>
    <col min="4" max="10" width="15.88671875" customWidth="1"/>
    <col min="11" max="11" width="16.109375" customWidth="1"/>
    <col min="12" max="13" width="15.88671875" customWidth="1"/>
    <col min="14" max="14" width="36.44140625" customWidth="1"/>
    <col min="15" max="15" width="4.88671875" bestFit="1" customWidth="1"/>
  </cols>
  <sheetData>
    <row r="1" spans="1:16" ht="15.6" x14ac:dyDescent="0.3">
      <c r="A1" s="556" t="s">
        <v>283</v>
      </c>
    </row>
    <row r="3" spans="1:16" ht="15.6" x14ac:dyDescent="0.3">
      <c r="A3" s="564"/>
      <c r="B3" s="565" t="s">
        <v>217</v>
      </c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</row>
    <row r="4" spans="1:16" x14ac:dyDescent="0.3">
      <c r="A4" s="567"/>
      <c r="B4" s="565" t="s">
        <v>636</v>
      </c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</row>
    <row r="5" spans="1:16" x14ac:dyDescent="0.3">
      <c r="A5" s="567"/>
      <c r="B5" s="568" t="s">
        <v>588</v>
      </c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</row>
    <row r="6" spans="1:16" x14ac:dyDescent="0.3">
      <c r="A6" s="569"/>
      <c r="B6" s="568" t="s">
        <v>637</v>
      </c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1"/>
      <c r="O6" s="572"/>
      <c r="P6" s="572"/>
    </row>
    <row r="7" spans="1:16" x14ac:dyDescent="0.3">
      <c r="A7" s="569"/>
      <c r="B7" s="872" t="s">
        <v>3</v>
      </c>
      <c r="C7" s="872"/>
      <c r="D7" s="872"/>
      <c r="E7" s="872"/>
      <c r="F7" s="872"/>
      <c r="G7" s="872"/>
      <c r="H7" s="872"/>
      <c r="I7" s="872"/>
      <c r="J7" s="872"/>
      <c r="K7" s="872"/>
      <c r="L7" s="872"/>
      <c r="M7" s="872"/>
      <c r="N7" s="872"/>
      <c r="O7" s="572"/>
      <c r="P7" s="572"/>
    </row>
    <row r="8" spans="1:16" x14ac:dyDescent="0.3">
      <c r="A8" s="569"/>
      <c r="B8" s="568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  <c r="N8" s="571"/>
      <c r="O8" s="572"/>
      <c r="P8" s="572"/>
    </row>
    <row r="9" spans="1:16" x14ac:dyDescent="0.3">
      <c r="A9" s="573"/>
      <c r="B9" s="574"/>
      <c r="C9" s="574"/>
      <c r="D9" s="573"/>
      <c r="E9" s="573"/>
      <c r="F9" s="573"/>
      <c r="G9" s="573"/>
      <c r="H9" s="573"/>
      <c r="I9" s="573"/>
      <c r="J9" s="573"/>
      <c r="K9" s="575"/>
      <c r="L9" s="576" t="s">
        <v>590</v>
      </c>
      <c r="M9" s="577">
        <v>2020</v>
      </c>
      <c r="N9" s="578"/>
      <c r="O9" s="579"/>
      <c r="P9" s="580"/>
    </row>
    <row r="10" spans="1:16" x14ac:dyDescent="0.3">
      <c r="A10" s="573"/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8"/>
      <c r="O10" s="579"/>
      <c r="P10" s="580"/>
    </row>
    <row r="11" spans="1:16" x14ac:dyDescent="0.3">
      <c r="A11" s="581"/>
      <c r="B11" s="582" t="s">
        <v>591</v>
      </c>
      <c r="C11" s="582" t="s">
        <v>592</v>
      </c>
      <c r="D11" s="582" t="s">
        <v>593</v>
      </c>
      <c r="E11" s="582" t="s">
        <v>594</v>
      </c>
      <c r="F11" s="582" t="s">
        <v>595</v>
      </c>
      <c r="G11" s="582" t="s">
        <v>596</v>
      </c>
      <c r="H11" s="582" t="s">
        <v>597</v>
      </c>
      <c r="I11" s="582" t="s">
        <v>598</v>
      </c>
      <c r="J11" s="582" t="s">
        <v>599</v>
      </c>
      <c r="K11" s="582" t="s">
        <v>600</v>
      </c>
      <c r="L11" s="582" t="s">
        <v>601</v>
      </c>
      <c r="M11" s="582" t="s">
        <v>602</v>
      </c>
      <c r="N11" s="583"/>
      <c r="O11" s="584"/>
      <c r="P11" s="585"/>
    </row>
    <row r="12" spans="1:16" ht="15" thickBot="1" x14ac:dyDescent="0.35">
      <c r="A12" s="573"/>
      <c r="B12" s="581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3"/>
      <c r="O12" s="583"/>
      <c r="P12" s="583"/>
    </row>
    <row r="13" spans="1:16" ht="15" thickBot="1" x14ac:dyDescent="0.35">
      <c r="A13" s="573"/>
      <c r="B13" s="581"/>
      <c r="C13" s="581"/>
      <c r="D13" s="586"/>
      <c r="E13" s="586"/>
      <c r="F13" s="586"/>
      <c r="G13" s="586"/>
      <c r="H13" s="586"/>
      <c r="I13" s="586"/>
      <c r="J13" s="587" t="s">
        <v>603</v>
      </c>
      <c r="K13" s="588" t="s">
        <v>638</v>
      </c>
      <c r="L13" s="588" t="s">
        <v>605</v>
      </c>
      <c r="M13" s="588" t="s">
        <v>605</v>
      </c>
      <c r="N13" s="583"/>
      <c r="O13" s="583"/>
      <c r="P13" s="583"/>
    </row>
    <row r="14" spans="1:16" ht="40.200000000000003" thickBot="1" x14ac:dyDescent="0.35">
      <c r="A14" s="589" t="s">
        <v>606</v>
      </c>
      <c r="B14" s="590" t="s">
        <v>5</v>
      </c>
      <c r="C14" s="591" t="s">
        <v>607</v>
      </c>
      <c r="D14" s="592" t="s">
        <v>608</v>
      </c>
      <c r="E14" s="592" t="s">
        <v>609</v>
      </c>
      <c r="F14" s="592" t="s">
        <v>610</v>
      </c>
      <c r="G14" s="592" t="s">
        <v>611</v>
      </c>
      <c r="H14" s="593" t="s">
        <v>612</v>
      </c>
      <c r="I14" s="592" t="s">
        <v>613</v>
      </c>
      <c r="J14" s="592" t="s">
        <v>614</v>
      </c>
      <c r="K14" s="593" t="s">
        <v>615</v>
      </c>
      <c r="L14" s="592" t="s">
        <v>616</v>
      </c>
      <c r="M14" s="592" t="s">
        <v>617</v>
      </c>
      <c r="N14" s="590" t="s">
        <v>7</v>
      </c>
      <c r="O14" s="589" t="s">
        <v>606</v>
      </c>
      <c r="P14" s="594"/>
    </row>
    <row r="15" spans="1:16" x14ac:dyDescent="0.3">
      <c r="A15" s="595">
        <v>1</v>
      </c>
      <c r="B15" s="573" t="s">
        <v>618</v>
      </c>
      <c r="C15" s="596"/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97"/>
      <c r="O15" s="595">
        <v>1</v>
      </c>
      <c r="P15" s="580"/>
    </row>
    <row r="16" spans="1:16" x14ac:dyDescent="0.3">
      <c r="A16" s="595">
        <f t="shared" ref="A16:A37" si="0">+A15+1</f>
        <v>2</v>
      </c>
      <c r="B16" s="573" t="s">
        <v>337</v>
      </c>
      <c r="C16" s="595">
        <v>190</v>
      </c>
      <c r="D16" s="598">
        <v>214.49018265600057</v>
      </c>
      <c r="E16" s="598">
        <v>0</v>
      </c>
      <c r="F16" s="599"/>
      <c r="G16" s="599"/>
      <c r="H16" s="599"/>
      <c r="I16" s="599"/>
      <c r="J16" s="573">
        <f>SUM(D16:I16)</f>
        <v>214.49018265600057</v>
      </c>
      <c r="K16" s="573">
        <v>0</v>
      </c>
      <c r="L16" s="573">
        <f>IF(+J16+K16&gt;0,+J16+K16,0)</f>
        <v>214.49018265600057</v>
      </c>
      <c r="M16" s="573">
        <f>IF(+J16+K16&gt;0,0,+J16+K16)</f>
        <v>0</v>
      </c>
      <c r="N16" s="581" t="s">
        <v>345</v>
      </c>
      <c r="O16" s="595">
        <f t="shared" ref="O16:O37" si="1">+O15+1</f>
        <v>2</v>
      </c>
      <c r="P16" s="580"/>
    </row>
    <row r="17" spans="1:16" x14ac:dyDescent="0.3">
      <c r="A17" s="595">
        <f t="shared" si="0"/>
        <v>3</v>
      </c>
      <c r="B17" s="573" t="s">
        <v>339</v>
      </c>
      <c r="C17" s="595">
        <v>190</v>
      </c>
      <c r="D17" s="598">
        <v>555.44960000000071</v>
      </c>
      <c r="E17" s="598">
        <v>0</v>
      </c>
      <c r="F17" s="599"/>
      <c r="G17" s="599"/>
      <c r="H17" s="599"/>
      <c r="I17" s="599">
        <v>-374.29460583790154</v>
      </c>
      <c r="J17" s="573">
        <f>SUM(D17:I17)</f>
        <v>181.15499416209917</v>
      </c>
      <c r="K17" s="573">
        <v>0</v>
      </c>
      <c r="L17" s="573">
        <f>IF(+J17+K17&gt;0,+J17+K17,0)</f>
        <v>181.15499416209917</v>
      </c>
      <c r="M17" s="573">
        <f>IF(+J17+K17&gt;0,0,+J17+K17)</f>
        <v>0</v>
      </c>
      <c r="N17" s="581" t="s">
        <v>345</v>
      </c>
      <c r="O17" s="595">
        <f t="shared" si="1"/>
        <v>3</v>
      </c>
      <c r="P17" s="580"/>
    </row>
    <row r="18" spans="1:16" x14ac:dyDescent="0.3">
      <c r="A18" s="595">
        <f t="shared" si="0"/>
        <v>4</v>
      </c>
      <c r="B18" s="573" t="s">
        <v>349</v>
      </c>
      <c r="C18" s="595">
        <v>283</v>
      </c>
      <c r="D18" s="598">
        <v>0</v>
      </c>
      <c r="E18" s="598">
        <v>0</v>
      </c>
      <c r="F18" s="599"/>
      <c r="G18" s="599"/>
      <c r="H18" s="599"/>
      <c r="I18" s="599"/>
      <c r="J18" s="573">
        <f>SUM(D18:I18)</f>
        <v>0</v>
      </c>
      <c r="K18" s="573">
        <v>0</v>
      </c>
      <c r="L18" s="573">
        <f>IF(+J18+K18&gt;0,+J18+K18,0)</f>
        <v>0</v>
      </c>
      <c r="M18" s="573">
        <f>IF(+J18+K18&gt;0,0,+J18+K18)</f>
        <v>0</v>
      </c>
      <c r="N18" s="581" t="s">
        <v>345</v>
      </c>
      <c r="O18" s="595">
        <f t="shared" si="1"/>
        <v>4</v>
      </c>
      <c r="P18" s="580"/>
    </row>
    <row r="19" spans="1:16" x14ac:dyDescent="0.3">
      <c r="A19" s="595">
        <f t="shared" si="0"/>
        <v>5</v>
      </c>
      <c r="B19" s="581"/>
      <c r="C19" s="600"/>
      <c r="D19" s="601"/>
      <c r="E19" s="601"/>
      <c r="F19" s="601"/>
      <c r="G19" s="601"/>
      <c r="H19" s="601"/>
      <c r="I19" s="601"/>
      <c r="J19" s="601"/>
      <c r="K19" s="601"/>
      <c r="L19" s="601"/>
      <c r="M19" s="601"/>
      <c r="N19" s="573"/>
      <c r="O19" s="595">
        <f t="shared" si="1"/>
        <v>5</v>
      </c>
      <c r="P19" s="580"/>
    </row>
    <row r="20" spans="1:16" ht="15" thickBot="1" x14ac:dyDescent="0.35">
      <c r="A20" s="595">
        <f t="shared" si="0"/>
        <v>6</v>
      </c>
      <c r="B20" s="581" t="s">
        <v>619</v>
      </c>
      <c r="C20" s="602"/>
      <c r="D20" s="603">
        <f t="shared" ref="D20:M20" si="2">SUM(D16:D18)</f>
        <v>769.93978265600128</v>
      </c>
      <c r="E20" s="603">
        <f t="shared" si="2"/>
        <v>0</v>
      </c>
      <c r="F20" s="603">
        <f t="shared" si="2"/>
        <v>0</v>
      </c>
      <c r="G20" s="603">
        <f t="shared" si="2"/>
        <v>0</v>
      </c>
      <c r="H20" s="603">
        <f t="shared" si="2"/>
        <v>0</v>
      </c>
      <c r="I20" s="603">
        <f t="shared" si="2"/>
        <v>-374.29460583790154</v>
      </c>
      <c r="J20" s="603">
        <f t="shared" si="2"/>
        <v>395.64517681809974</v>
      </c>
      <c r="K20" s="603">
        <f t="shared" si="2"/>
        <v>0</v>
      </c>
      <c r="L20" s="603">
        <f t="shared" si="2"/>
        <v>395.64517681809974</v>
      </c>
      <c r="M20" s="603">
        <f t="shared" si="2"/>
        <v>0</v>
      </c>
      <c r="N20" s="581" t="s">
        <v>620</v>
      </c>
      <c r="O20" s="595">
        <f t="shared" si="1"/>
        <v>6</v>
      </c>
      <c r="P20" s="580"/>
    </row>
    <row r="21" spans="1:16" ht="15" thickTop="1" x14ac:dyDescent="0.3">
      <c r="A21" s="595">
        <f t="shared" si="0"/>
        <v>7</v>
      </c>
      <c r="B21" s="573"/>
      <c r="C21" s="573"/>
      <c r="D21" s="604"/>
      <c r="E21" s="604"/>
      <c r="F21" s="604"/>
      <c r="G21" s="604"/>
      <c r="H21" s="604"/>
      <c r="I21" s="604"/>
      <c r="J21" s="604"/>
      <c r="K21" s="604"/>
      <c r="L21" s="604"/>
      <c r="M21" s="604"/>
      <c r="N21" s="573"/>
      <c r="O21" s="595">
        <f t="shared" si="1"/>
        <v>7</v>
      </c>
      <c r="P21" s="580"/>
    </row>
    <row r="22" spans="1:16" x14ac:dyDescent="0.3">
      <c r="A22" s="595">
        <f t="shared" si="0"/>
        <v>8</v>
      </c>
      <c r="B22" s="573" t="s">
        <v>621</v>
      </c>
      <c r="C22" s="605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573"/>
      <c r="O22" s="595">
        <f t="shared" si="1"/>
        <v>8</v>
      </c>
      <c r="P22" s="580"/>
    </row>
    <row r="23" spans="1:16" x14ac:dyDescent="0.3">
      <c r="A23" s="595">
        <f t="shared" si="0"/>
        <v>9</v>
      </c>
      <c r="B23" s="573" t="s">
        <v>340</v>
      </c>
      <c r="C23" s="595">
        <v>190</v>
      </c>
      <c r="D23" s="598">
        <v>108238.4585773642</v>
      </c>
      <c r="E23" s="598">
        <v>0</v>
      </c>
      <c r="F23" s="599"/>
      <c r="G23" s="599"/>
      <c r="H23" s="599"/>
      <c r="I23" s="599">
        <v>-1528.5180985906402</v>
      </c>
      <c r="J23" s="573">
        <f>SUM(D23:I23)</f>
        <v>106709.94047877357</v>
      </c>
      <c r="K23" s="573">
        <v>0</v>
      </c>
      <c r="L23" s="573">
        <f>IF(+J23+K23&gt;0,+J23+K23,0)</f>
        <v>106709.94047877357</v>
      </c>
      <c r="M23" s="573">
        <f>IF(+J23+K23&gt;0,0,+J23+K23)</f>
        <v>0</v>
      </c>
      <c r="N23" s="581" t="s">
        <v>345</v>
      </c>
      <c r="O23" s="595">
        <f t="shared" si="1"/>
        <v>9</v>
      </c>
      <c r="P23" s="580"/>
    </row>
    <row r="24" spans="1:16" x14ac:dyDescent="0.3">
      <c r="A24" s="595">
        <f t="shared" si="0"/>
        <v>10</v>
      </c>
      <c r="B24" s="573" t="s">
        <v>344</v>
      </c>
      <c r="C24" s="595">
        <v>282</v>
      </c>
      <c r="D24" s="598">
        <v>0</v>
      </c>
      <c r="E24" s="598">
        <v>-372880.70899999962</v>
      </c>
      <c r="F24" s="599"/>
      <c r="G24" s="599"/>
      <c r="H24" s="599">
        <v>2678.5794712430743</v>
      </c>
      <c r="I24" s="599"/>
      <c r="J24" s="573">
        <f>SUM(D24:I24)</f>
        <v>-370202.12952875654</v>
      </c>
      <c r="K24" s="573">
        <v>0</v>
      </c>
      <c r="L24" s="573">
        <f>IF(+J24+K24&gt;0,+J24+K24,0)</f>
        <v>0</v>
      </c>
      <c r="M24" s="573">
        <f>IF(+J24+K24&gt;0,0,+J24+K24)</f>
        <v>-370202.12952875654</v>
      </c>
      <c r="N24" s="581" t="s">
        <v>345</v>
      </c>
      <c r="O24" s="595">
        <f t="shared" si="1"/>
        <v>10</v>
      </c>
      <c r="P24" s="580"/>
    </row>
    <row r="25" spans="1:16" x14ac:dyDescent="0.3">
      <c r="A25" s="595">
        <f t="shared" si="0"/>
        <v>11</v>
      </c>
      <c r="B25" s="581" t="s">
        <v>622</v>
      </c>
      <c r="C25" s="606"/>
      <c r="D25" s="607">
        <f t="shared" ref="D25:M25" si="3">SUM(D23:D24)</f>
        <v>108238.4585773642</v>
      </c>
      <c r="E25" s="607">
        <f t="shared" si="3"/>
        <v>-372880.70899999962</v>
      </c>
      <c r="F25" s="607">
        <f t="shared" si="3"/>
        <v>0</v>
      </c>
      <c r="G25" s="607">
        <f t="shared" si="3"/>
        <v>0</v>
      </c>
      <c r="H25" s="607">
        <f t="shared" si="3"/>
        <v>2678.5794712430743</v>
      </c>
      <c r="I25" s="607">
        <f t="shared" si="3"/>
        <v>-1528.5180985906402</v>
      </c>
      <c r="J25" s="607">
        <f t="shared" si="3"/>
        <v>-263492.18904998299</v>
      </c>
      <c r="K25" s="607">
        <f t="shared" si="3"/>
        <v>0</v>
      </c>
      <c r="L25" s="607">
        <f t="shared" si="3"/>
        <v>106709.94047877357</v>
      </c>
      <c r="M25" s="607">
        <f t="shared" si="3"/>
        <v>-370202.12952875654</v>
      </c>
      <c r="N25" s="581" t="s">
        <v>623</v>
      </c>
      <c r="O25" s="595">
        <f t="shared" si="1"/>
        <v>11</v>
      </c>
      <c r="P25" s="580"/>
    </row>
    <row r="26" spans="1:16" x14ac:dyDescent="0.3">
      <c r="A26" s="595">
        <f t="shared" si="0"/>
        <v>12</v>
      </c>
      <c r="B26" s="573"/>
      <c r="C26" s="600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95">
        <f t="shared" si="1"/>
        <v>12</v>
      </c>
      <c r="P26" s="580"/>
    </row>
    <row r="27" spans="1:16" x14ac:dyDescent="0.3">
      <c r="A27" s="595">
        <f t="shared" si="0"/>
        <v>13</v>
      </c>
      <c r="B27" s="573" t="s">
        <v>624</v>
      </c>
      <c r="C27" s="596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N27" s="573"/>
      <c r="O27" s="595">
        <f t="shared" si="1"/>
        <v>13</v>
      </c>
      <c r="P27" s="580"/>
    </row>
    <row r="28" spans="1:16" x14ac:dyDescent="0.3">
      <c r="A28" s="595">
        <f t="shared" si="0"/>
        <v>14</v>
      </c>
      <c r="B28" s="573" t="s">
        <v>625</v>
      </c>
      <c r="C28" s="595">
        <v>282</v>
      </c>
      <c r="D28" s="598">
        <v>0</v>
      </c>
      <c r="E28" s="598">
        <v>-12711.992000999999</v>
      </c>
      <c r="F28" s="599"/>
      <c r="G28" s="599"/>
      <c r="H28" s="599">
        <v>263.35636363636348</v>
      </c>
      <c r="I28" s="599"/>
      <c r="J28" s="573">
        <f>SUM(D28:I28)</f>
        <v>-12448.635637363635</v>
      </c>
      <c r="K28" s="573">
        <v>0</v>
      </c>
      <c r="L28" s="573">
        <f>IF(+J28+K28&gt;0,+J28+K28,0)</f>
        <v>0</v>
      </c>
      <c r="M28" s="573">
        <f>IF(+J28+K28&gt;0,0,+J28+K28)</f>
        <v>-12448.635637363635</v>
      </c>
      <c r="N28" s="581" t="s">
        <v>345</v>
      </c>
      <c r="O28" s="595">
        <f t="shared" si="1"/>
        <v>14</v>
      </c>
      <c r="P28" s="580"/>
    </row>
    <row r="29" spans="1:16" x14ac:dyDescent="0.3">
      <c r="A29" s="595">
        <f t="shared" si="0"/>
        <v>15</v>
      </c>
      <c r="B29" s="573" t="s">
        <v>626</v>
      </c>
      <c r="C29" s="595">
        <v>282</v>
      </c>
      <c r="D29" s="598">
        <v>0</v>
      </c>
      <c r="E29" s="598">
        <v>-35433.934000000001</v>
      </c>
      <c r="F29" s="599"/>
      <c r="G29" s="599"/>
      <c r="H29" s="599">
        <v>1630.263272727268</v>
      </c>
      <c r="I29" s="599"/>
      <c r="J29" s="573">
        <f>SUM(D29:I29)</f>
        <v>-33803.670727272736</v>
      </c>
      <c r="K29" s="573">
        <v>0</v>
      </c>
      <c r="L29" s="573">
        <f>IF(+J29+K29&gt;0,+J29+K29,0)</f>
        <v>0</v>
      </c>
      <c r="M29" s="573">
        <f>IF(+J29+K29&gt;0,0,+J29+K29)</f>
        <v>-33803.670727272736</v>
      </c>
      <c r="N29" s="581" t="s">
        <v>345</v>
      </c>
      <c r="O29" s="595">
        <f t="shared" si="1"/>
        <v>15</v>
      </c>
      <c r="P29" s="580"/>
    </row>
    <row r="30" spans="1:16" x14ac:dyDescent="0.3">
      <c r="A30" s="595">
        <f t="shared" si="0"/>
        <v>16</v>
      </c>
      <c r="B30" s="573" t="s">
        <v>627</v>
      </c>
      <c r="C30" s="608">
        <v>282</v>
      </c>
      <c r="D30" s="598">
        <v>363.78900000000067</v>
      </c>
      <c r="E30" s="598">
        <v>0</v>
      </c>
      <c r="F30" s="599"/>
      <c r="G30" s="599"/>
      <c r="H30" s="599">
        <v>212.16872727272732</v>
      </c>
      <c r="I30" s="599"/>
      <c r="J30" s="573">
        <f>SUM(D30:I30)</f>
        <v>575.95772727272799</v>
      </c>
      <c r="K30" s="573">
        <v>0</v>
      </c>
      <c r="L30" s="573">
        <f>IF(+J30+K30&gt;0,+J30+K30,0)</f>
        <v>575.95772727272799</v>
      </c>
      <c r="M30" s="573">
        <f>IF(+J30+K30&gt;0,0,+J30+K30)</f>
        <v>0</v>
      </c>
      <c r="N30" s="581" t="s">
        <v>345</v>
      </c>
      <c r="O30" s="595">
        <f t="shared" si="1"/>
        <v>16</v>
      </c>
      <c r="P30" s="580"/>
    </row>
    <row r="31" spans="1:16" x14ac:dyDescent="0.3">
      <c r="A31" s="595">
        <f t="shared" si="0"/>
        <v>17</v>
      </c>
      <c r="B31" s="581" t="s">
        <v>622</v>
      </c>
      <c r="C31" s="606"/>
      <c r="D31" s="607">
        <f t="shared" ref="D31:M31" si="4">SUM(D28:D30)</f>
        <v>363.78900000000067</v>
      </c>
      <c r="E31" s="607">
        <f t="shared" si="4"/>
        <v>-48145.926001</v>
      </c>
      <c r="F31" s="607">
        <f t="shared" si="4"/>
        <v>0</v>
      </c>
      <c r="G31" s="607">
        <f t="shared" si="4"/>
        <v>0</v>
      </c>
      <c r="H31" s="607">
        <f t="shared" si="4"/>
        <v>2105.788363636359</v>
      </c>
      <c r="I31" s="607">
        <f t="shared" si="4"/>
        <v>0</v>
      </c>
      <c r="J31" s="607">
        <f t="shared" si="4"/>
        <v>-45676.348637363648</v>
      </c>
      <c r="K31" s="607">
        <f t="shared" si="4"/>
        <v>0</v>
      </c>
      <c r="L31" s="607">
        <f t="shared" si="4"/>
        <v>575.95772727272799</v>
      </c>
      <c r="M31" s="607">
        <f t="shared" si="4"/>
        <v>-46252.306364636373</v>
      </c>
      <c r="N31" s="581" t="s">
        <v>628</v>
      </c>
      <c r="O31" s="595">
        <f t="shared" si="1"/>
        <v>17</v>
      </c>
      <c r="P31" s="580"/>
    </row>
    <row r="32" spans="1:16" x14ac:dyDescent="0.3">
      <c r="A32" s="595">
        <f t="shared" si="0"/>
        <v>18</v>
      </c>
      <c r="B32" s="573"/>
      <c r="C32" s="600"/>
      <c r="D32" s="609"/>
      <c r="E32" s="609"/>
      <c r="F32" s="609"/>
      <c r="G32" s="609"/>
      <c r="H32" s="609"/>
      <c r="I32" s="609"/>
      <c r="J32" s="609"/>
      <c r="K32" s="609"/>
      <c r="L32" s="609"/>
      <c r="M32" s="609"/>
      <c r="N32" s="573"/>
      <c r="O32" s="595">
        <f t="shared" si="1"/>
        <v>18</v>
      </c>
      <c r="P32" s="580"/>
    </row>
    <row r="33" spans="1:16" x14ac:dyDescent="0.3">
      <c r="A33" s="595">
        <f t="shared" si="0"/>
        <v>19</v>
      </c>
      <c r="B33" s="573" t="s">
        <v>629</v>
      </c>
      <c r="C33" s="608">
        <v>282</v>
      </c>
      <c r="D33" s="610">
        <v>39732.024064700854</v>
      </c>
      <c r="E33" s="610">
        <v>0</v>
      </c>
      <c r="F33" s="611"/>
      <c r="G33" s="611"/>
      <c r="H33" s="611"/>
      <c r="I33" s="611">
        <v>-474.80667137594071</v>
      </c>
      <c r="J33" s="573">
        <f>SUM(D33:I33)</f>
        <v>39257.217393324914</v>
      </c>
      <c r="K33" s="573">
        <v>0</v>
      </c>
      <c r="L33" s="573">
        <f>IF(+J33+K33&gt;0,+J33+K33,0)</f>
        <v>39257.217393324914</v>
      </c>
      <c r="M33" s="573">
        <f>IF(+J33+K33&gt;0,0,+J33+K33)</f>
        <v>0</v>
      </c>
      <c r="N33" s="581" t="s">
        <v>345</v>
      </c>
      <c r="O33" s="595">
        <f t="shared" si="1"/>
        <v>19</v>
      </c>
      <c r="P33" s="580"/>
    </row>
    <row r="34" spans="1:16" x14ac:dyDescent="0.3">
      <c r="A34" s="595">
        <f t="shared" si="0"/>
        <v>20</v>
      </c>
      <c r="B34" s="573"/>
      <c r="C34" s="600"/>
      <c r="D34" s="612"/>
      <c r="E34" s="612"/>
      <c r="F34" s="612"/>
      <c r="G34" s="612"/>
      <c r="H34" s="612"/>
      <c r="I34" s="612"/>
      <c r="J34" s="612"/>
      <c r="K34" s="612"/>
      <c r="L34" s="612"/>
      <c r="M34" s="612"/>
      <c r="N34" s="573"/>
      <c r="O34" s="595">
        <f t="shared" si="1"/>
        <v>20</v>
      </c>
      <c r="P34" s="580"/>
    </row>
    <row r="35" spans="1:16" ht="15" thickBot="1" x14ac:dyDescent="0.35">
      <c r="A35" s="595">
        <f t="shared" si="0"/>
        <v>21</v>
      </c>
      <c r="B35" s="581" t="s">
        <v>630</v>
      </c>
      <c r="C35" s="606"/>
      <c r="D35" s="603">
        <f t="shared" ref="D35:L35" si="5">D25+D31+D33</f>
        <v>148334.27164206505</v>
      </c>
      <c r="E35" s="603">
        <f t="shared" si="5"/>
        <v>-421026.63500099961</v>
      </c>
      <c r="F35" s="603">
        <f t="shared" si="5"/>
        <v>0</v>
      </c>
      <c r="G35" s="603">
        <f t="shared" si="5"/>
        <v>0</v>
      </c>
      <c r="H35" s="603">
        <f t="shared" si="5"/>
        <v>4784.3678348794328</v>
      </c>
      <c r="I35" s="603">
        <f t="shared" si="5"/>
        <v>-2003.3247699665808</v>
      </c>
      <c r="J35" s="603">
        <f t="shared" si="5"/>
        <v>-269911.32029402175</v>
      </c>
      <c r="K35" s="603">
        <f t="shared" si="5"/>
        <v>0</v>
      </c>
      <c r="L35" s="603">
        <f t="shared" si="5"/>
        <v>146543.1155993712</v>
      </c>
      <c r="M35" s="603">
        <f>M25+M31+M33-1</f>
        <v>-416455.43589339289</v>
      </c>
      <c r="N35" s="581" t="s">
        <v>631</v>
      </c>
      <c r="O35" s="595">
        <f t="shared" si="1"/>
        <v>21</v>
      </c>
      <c r="P35" s="580"/>
    </row>
    <row r="36" spans="1:16" ht="15" thickTop="1" x14ac:dyDescent="0.3">
      <c r="A36" s="595">
        <f t="shared" si="0"/>
        <v>22</v>
      </c>
      <c r="B36" s="573"/>
      <c r="C36" s="573"/>
      <c r="D36" s="613"/>
      <c r="E36" s="613"/>
      <c r="F36" s="613"/>
      <c r="G36" s="613"/>
      <c r="H36" s="613"/>
      <c r="I36" s="613"/>
      <c r="J36" s="613"/>
      <c r="K36" s="613"/>
      <c r="L36" s="613"/>
      <c r="M36" s="613"/>
      <c r="N36" s="573"/>
      <c r="O36" s="595">
        <f t="shared" si="1"/>
        <v>22</v>
      </c>
      <c r="P36" s="580"/>
    </row>
    <row r="37" spans="1:16" ht="15" thickBot="1" x14ac:dyDescent="0.35">
      <c r="A37" s="595">
        <f t="shared" si="0"/>
        <v>23</v>
      </c>
      <c r="B37" s="581" t="s">
        <v>632</v>
      </c>
      <c r="C37" s="602"/>
      <c r="D37" s="603">
        <f t="shared" ref="D37:M37" si="6">D20+D35</f>
        <v>149104.21142472106</v>
      </c>
      <c r="E37" s="603">
        <f t="shared" si="6"/>
        <v>-421026.63500099961</v>
      </c>
      <c r="F37" s="603">
        <f t="shared" si="6"/>
        <v>0</v>
      </c>
      <c r="G37" s="603">
        <f t="shared" si="6"/>
        <v>0</v>
      </c>
      <c r="H37" s="603">
        <f t="shared" si="6"/>
        <v>4784.3678348794328</v>
      </c>
      <c r="I37" s="603">
        <f t="shared" si="6"/>
        <v>-2377.6193758044824</v>
      </c>
      <c r="J37" s="603">
        <f t="shared" si="6"/>
        <v>-269515.67511720362</v>
      </c>
      <c r="K37" s="603">
        <f t="shared" si="6"/>
        <v>0</v>
      </c>
      <c r="L37" s="603">
        <f t="shared" si="6"/>
        <v>146938.7607761893</v>
      </c>
      <c r="M37" s="603">
        <f t="shared" si="6"/>
        <v>-416455.43589339289</v>
      </c>
      <c r="N37" s="581" t="s">
        <v>633</v>
      </c>
      <c r="O37" s="595">
        <f t="shared" si="1"/>
        <v>23</v>
      </c>
      <c r="P37" s="580"/>
    </row>
    <row r="38" spans="1:16" ht="15" thickTop="1" x14ac:dyDescent="0.3">
      <c r="A38" s="614"/>
      <c r="B38" s="615"/>
      <c r="C38" s="615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80"/>
      <c r="O38" s="580"/>
      <c r="P38" s="580"/>
    </row>
    <row r="39" spans="1:16" x14ac:dyDescent="0.3">
      <c r="A39" s="614"/>
      <c r="B39" s="616" t="s">
        <v>634</v>
      </c>
      <c r="C39" s="617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80"/>
      <c r="O39" s="580"/>
      <c r="P39" s="580"/>
    </row>
    <row r="40" spans="1:16" x14ac:dyDescent="0.3">
      <c r="A40" s="614"/>
      <c r="B40" s="618" t="s">
        <v>635</v>
      </c>
      <c r="C40" s="597"/>
      <c r="D40" s="597"/>
      <c r="E40" s="597"/>
      <c r="F40" s="573"/>
      <c r="G40" s="573"/>
      <c r="H40" s="573"/>
      <c r="I40" s="573"/>
      <c r="J40" s="573"/>
      <c r="K40" s="573"/>
      <c r="L40" s="573"/>
      <c r="M40" s="573"/>
      <c r="N40" s="580"/>
      <c r="O40" s="580"/>
      <c r="P40" s="580"/>
    </row>
    <row r="41" spans="1:16" x14ac:dyDescent="0.3">
      <c r="A41" s="614"/>
      <c r="B41" s="618"/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80"/>
      <c r="O41" s="580"/>
      <c r="P41" s="580"/>
    </row>
    <row r="42" spans="1:16" x14ac:dyDescent="0.3">
      <c r="A42" s="614"/>
      <c r="B42" s="618"/>
      <c r="C42" s="573"/>
      <c r="D42" s="573"/>
      <c r="E42" s="573"/>
      <c r="F42" s="573"/>
      <c r="G42" s="573"/>
      <c r="H42" s="573"/>
      <c r="I42" s="573"/>
      <c r="J42" s="573"/>
      <c r="K42" s="573"/>
      <c r="L42" s="573"/>
      <c r="M42" s="573"/>
      <c r="N42" s="580"/>
      <c r="O42" s="580"/>
      <c r="P42" s="580"/>
    </row>
    <row r="43" spans="1:16" x14ac:dyDescent="0.3">
      <c r="A43" s="614"/>
      <c r="B43" s="597"/>
      <c r="C43" s="619"/>
      <c r="D43" s="576"/>
      <c r="E43" s="576"/>
      <c r="F43" s="573"/>
      <c r="G43" s="573"/>
      <c r="H43" s="573"/>
      <c r="I43" s="573"/>
      <c r="J43" s="573"/>
      <c r="K43" s="573"/>
      <c r="L43" s="573"/>
      <c r="M43" s="573"/>
      <c r="N43" s="580"/>
      <c r="O43" s="580"/>
      <c r="P43" s="580"/>
    </row>
    <row r="44" spans="1:16" x14ac:dyDescent="0.3">
      <c r="B44" s="597"/>
      <c r="C44" s="619"/>
      <c r="D44" s="576"/>
      <c r="E44" s="576"/>
    </row>
    <row r="45" spans="1:16" x14ac:dyDescent="0.3">
      <c r="B45" s="597"/>
      <c r="C45" s="619"/>
      <c r="D45" s="620"/>
      <c r="E45" s="620"/>
    </row>
    <row r="46" spans="1:16" x14ac:dyDescent="0.3">
      <c r="B46" s="618"/>
      <c r="C46" s="597"/>
      <c r="D46" s="597"/>
      <c r="E46" s="597"/>
    </row>
  </sheetData>
  <mergeCells count="1">
    <mergeCell ref="B7:N7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Roman,Bold"&amp;6AS FILED</oddHeader>
    <oddFooter>&amp;CPage 9.3&amp;R&amp;F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8005-CE8A-452C-9937-38BDD7085E27}">
  <sheetPr>
    <pageSetUpPr fitToPage="1"/>
  </sheetPr>
  <dimension ref="A1:H23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50.88671875" style="169" customWidth="1"/>
    <col min="3" max="3" width="21.1093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36.33203125" style="169" bestFit="1" customWidth="1"/>
    <col min="8" max="8" width="5.109375" style="169" customWidth="1"/>
    <col min="9" max="9" width="8.88671875" style="169"/>
    <col min="10" max="10" width="20.44140625" style="169" bestFit="1" customWidth="1"/>
    <col min="11" max="16384" width="8.88671875" style="169"/>
  </cols>
  <sheetData>
    <row r="1" spans="1:8" x14ac:dyDescent="0.3">
      <c r="E1" s="186"/>
      <c r="F1" s="186"/>
      <c r="G1" s="168"/>
      <c r="H1" s="168"/>
    </row>
    <row r="2" spans="1:8" x14ac:dyDescent="0.3">
      <c r="B2" s="861" t="s">
        <v>217</v>
      </c>
      <c r="C2" s="861"/>
      <c r="D2" s="861"/>
      <c r="E2" s="861"/>
      <c r="F2" s="861"/>
      <c r="G2" s="861"/>
      <c r="H2" s="168"/>
    </row>
    <row r="3" spans="1:8" x14ac:dyDescent="0.3">
      <c r="B3" s="861" t="s">
        <v>639</v>
      </c>
      <c r="C3" s="861"/>
      <c r="D3" s="861"/>
      <c r="E3" s="873"/>
      <c r="F3" s="873"/>
      <c r="G3" s="873"/>
      <c r="H3" s="168"/>
    </row>
    <row r="4" spans="1:8" x14ac:dyDescent="0.3">
      <c r="B4" s="862" t="s">
        <v>294</v>
      </c>
      <c r="C4" s="862"/>
      <c r="D4" s="862"/>
      <c r="E4" s="862"/>
      <c r="F4" s="862"/>
      <c r="G4" s="862"/>
      <c r="H4" s="168"/>
    </row>
    <row r="5" spans="1:8" x14ac:dyDescent="0.3">
      <c r="B5" s="863" t="s">
        <v>3</v>
      </c>
      <c r="C5" s="864"/>
      <c r="D5" s="864"/>
      <c r="E5" s="864"/>
      <c r="F5" s="864"/>
      <c r="G5" s="864"/>
      <c r="H5" s="168"/>
    </row>
    <row r="6" spans="1:8" x14ac:dyDescent="0.3">
      <c r="B6" s="168"/>
      <c r="C6" s="168"/>
      <c r="D6" s="168"/>
      <c r="E6" s="168"/>
      <c r="F6" s="168"/>
      <c r="G6" s="168"/>
      <c r="H6" s="168"/>
    </row>
    <row r="7" spans="1:8" x14ac:dyDescent="0.3">
      <c r="A7" s="168" t="s">
        <v>4</v>
      </c>
      <c r="B7" s="306"/>
      <c r="C7" s="168" t="s">
        <v>295</v>
      </c>
      <c r="D7" s="171"/>
      <c r="E7" s="171"/>
      <c r="F7" s="171"/>
      <c r="G7" s="168"/>
      <c r="H7" s="168" t="s">
        <v>4</v>
      </c>
    </row>
    <row r="8" spans="1:8" x14ac:dyDescent="0.3">
      <c r="A8" s="168" t="s">
        <v>8</v>
      </c>
      <c r="B8" s="168"/>
      <c r="C8" s="172" t="s">
        <v>299</v>
      </c>
      <c r="D8" s="171"/>
      <c r="E8" s="172" t="s">
        <v>6</v>
      </c>
      <c r="F8" s="171"/>
      <c r="G8" s="172" t="s">
        <v>7</v>
      </c>
      <c r="H8" s="168" t="s">
        <v>8</v>
      </c>
    </row>
    <row r="9" spans="1:8" x14ac:dyDescent="0.3">
      <c r="C9" s="168"/>
      <c r="D9" s="168"/>
      <c r="F9" s="171"/>
      <c r="H9" s="168"/>
    </row>
    <row r="10" spans="1:8" ht="18.600000000000001" thickBot="1" x14ac:dyDescent="0.35">
      <c r="A10" s="168">
        <v>1</v>
      </c>
      <c r="B10" s="175" t="s">
        <v>640</v>
      </c>
      <c r="E10" s="307">
        <v>0</v>
      </c>
      <c r="F10" s="171"/>
      <c r="G10" s="168"/>
      <c r="H10" s="168">
        <f>A10</f>
        <v>1</v>
      </c>
    </row>
    <row r="11" spans="1:8" ht="16.2" thickTop="1" x14ac:dyDescent="0.3">
      <c r="A11" s="168">
        <f>A10+1</f>
        <v>2</v>
      </c>
      <c r="F11" s="171"/>
      <c r="H11" s="168">
        <f>+H10+1</f>
        <v>2</v>
      </c>
    </row>
    <row r="12" spans="1:8" ht="18.600000000000001" thickBot="1" x14ac:dyDescent="0.35">
      <c r="A12" s="168">
        <f t="shared" ref="A12:A18" si="0">A11+1</f>
        <v>3</v>
      </c>
      <c r="B12" s="175" t="s">
        <v>641</v>
      </c>
      <c r="E12" s="307">
        <v>0</v>
      </c>
      <c r="F12" s="171"/>
      <c r="G12" s="168"/>
      <c r="H12" s="168">
        <f t="shared" ref="H12:H18" si="1">+H11+1</f>
        <v>3</v>
      </c>
    </row>
    <row r="13" spans="1:8" ht="16.2" thickTop="1" x14ac:dyDescent="0.3">
      <c r="A13" s="168">
        <f t="shared" si="0"/>
        <v>4</v>
      </c>
      <c r="F13" s="171"/>
      <c r="H13" s="168">
        <f t="shared" si="1"/>
        <v>4</v>
      </c>
    </row>
    <row r="14" spans="1:8" ht="18.600000000000001" thickBot="1" x14ac:dyDescent="0.35">
      <c r="A14" s="168">
        <f t="shared" si="0"/>
        <v>5</v>
      </c>
      <c r="B14" s="175" t="s">
        <v>642</v>
      </c>
      <c r="E14" s="307">
        <v>0</v>
      </c>
      <c r="F14" s="171"/>
      <c r="G14" s="168"/>
      <c r="H14" s="168">
        <f t="shared" si="1"/>
        <v>5</v>
      </c>
    </row>
    <row r="15" spans="1:8" ht="16.2" thickTop="1" x14ac:dyDescent="0.3">
      <c r="A15" s="168">
        <f t="shared" si="0"/>
        <v>6</v>
      </c>
      <c r="B15" s="175"/>
      <c r="E15" s="308"/>
      <c r="F15" s="171"/>
      <c r="G15" s="168"/>
      <c r="H15" s="168">
        <f t="shared" si="1"/>
        <v>6</v>
      </c>
    </row>
    <row r="16" spans="1:8" ht="16.2" thickBot="1" x14ac:dyDescent="0.35">
      <c r="A16" s="168">
        <f t="shared" si="0"/>
        <v>7</v>
      </c>
      <c r="B16" s="175" t="s">
        <v>166</v>
      </c>
      <c r="E16" s="309">
        <f>'Pg10.2 Rev Misc.-1'!G19</f>
        <v>-10867.384430895108</v>
      </c>
      <c r="F16" s="42" t="s">
        <v>42</v>
      </c>
      <c r="G16" s="302" t="s">
        <v>643</v>
      </c>
      <c r="H16" s="168">
        <f t="shared" si="1"/>
        <v>7</v>
      </c>
    </row>
    <row r="17" spans="1:8" ht="16.2" thickTop="1" x14ac:dyDescent="0.3">
      <c r="A17" s="168">
        <f t="shared" si="0"/>
        <v>8</v>
      </c>
      <c r="F17" s="171"/>
      <c r="H17" s="168">
        <f t="shared" si="1"/>
        <v>8</v>
      </c>
    </row>
    <row r="18" spans="1:8" ht="18.600000000000001" thickBot="1" x14ac:dyDescent="0.35">
      <c r="A18" s="168">
        <f t="shared" si="0"/>
        <v>9</v>
      </c>
      <c r="B18" s="175" t="s">
        <v>644</v>
      </c>
      <c r="E18" s="307">
        <v>0</v>
      </c>
      <c r="F18" s="171"/>
      <c r="G18" s="168"/>
      <c r="H18" s="168">
        <f t="shared" si="1"/>
        <v>9</v>
      </c>
    </row>
    <row r="19" spans="1:8" ht="16.2" thickTop="1" x14ac:dyDescent="0.3">
      <c r="H19" s="168"/>
    </row>
    <row r="20" spans="1:8" x14ac:dyDescent="0.3">
      <c r="H20" s="168"/>
    </row>
    <row r="21" spans="1:8" x14ac:dyDescent="0.3">
      <c r="A21" s="42" t="s">
        <v>42</v>
      </c>
      <c r="B21" s="188" t="s">
        <v>645</v>
      </c>
      <c r="H21" s="168"/>
    </row>
    <row r="22" spans="1:8" ht="18" x14ac:dyDescent="0.3">
      <c r="A22" s="187">
        <v>1</v>
      </c>
      <c r="B22" s="169" t="s">
        <v>646</v>
      </c>
      <c r="H22" s="168"/>
    </row>
    <row r="23" spans="1:8" x14ac:dyDescent="0.3">
      <c r="B23" s="169" t="s">
        <v>647</v>
      </c>
    </row>
  </sheetData>
  <mergeCells count="4">
    <mergeCell ref="B2:G2"/>
    <mergeCell ref="B3:G3"/>
    <mergeCell ref="B4:G4"/>
    <mergeCell ref="B5:G5"/>
  </mergeCells>
  <printOptions horizontalCentered="1"/>
  <pageMargins left="0.25" right="0.25" top="0.5" bottom="0.5" header="0.35" footer="0.25"/>
  <pageSetup scale="73" orientation="portrait" horizontalDpi="200" verticalDpi="200" r:id="rId1"/>
  <headerFooter scaleWithDoc="0" alignWithMargins="0">
    <oddHeader>&amp;C&amp;"Times New Roman,Bold"&amp;9REVISED</oddHeader>
    <oddFooter>&amp;CPage 10&amp;R&amp;F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5D57-B886-4CFB-A6D6-12697A60CF56}">
  <sheetPr>
    <pageSetUpPr fitToPage="1"/>
  </sheetPr>
  <dimension ref="A1:H23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50.88671875" style="169" customWidth="1"/>
    <col min="3" max="3" width="21.1093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34.5546875" style="169" customWidth="1"/>
    <col min="8" max="8" width="5.109375" style="169" customWidth="1"/>
    <col min="9" max="9" width="8.88671875" style="169"/>
    <col min="10" max="10" width="20.44140625" style="169" bestFit="1" customWidth="1"/>
    <col min="11" max="16384" width="8.88671875" style="169"/>
  </cols>
  <sheetData>
    <row r="1" spans="1:8" x14ac:dyDescent="0.3">
      <c r="A1" s="556" t="s">
        <v>283</v>
      </c>
      <c r="E1" s="186"/>
      <c r="F1" s="186"/>
      <c r="G1" s="168"/>
      <c r="H1" s="168"/>
    </row>
    <row r="2" spans="1:8" x14ac:dyDescent="0.3">
      <c r="A2" s="556"/>
      <c r="E2" s="186"/>
      <c r="F2" s="186"/>
      <c r="G2" s="168"/>
      <c r="H2" s="168"/>
    </row>
    <row r="3" spans="1:8" x14ac:dyDescent="0.3">
      <c r="B3" s="861" t="s">
        <v>217</v>
      </c>
      <c r="C3" s="861"/>
      <c r="D3" s="861"/>
      <c r="E3" s="861"/>
      <c r="F3" s="861"/>
      <c r="G3" s="861"/>
      <c r="H3" s="168"/>
    </row>
    <row r="4" spans="1:8" x14ac:dyDescent="0.3">
      <c r="B4" s="861" t="s">
        <v>639</v>
      </c>
      <c r="C4" s="861"/>
      <c r="D4" s="861"/>
      <c r="E4" s="873"/>
      <c r="F4" s="873"/>
      <c r="G4" s="873"/>
      <c r="H4" s="168"/>
    </row>
    <row r="5" spans="1:8" x14ac:dyDescent="0.3">
      <c r="B5" s="862" t="s">
        <v>294</v>
      </c>
      <c r="C5" s="862"/>
      <c r="D5" s="862"/>
      <c r="E5" s="862"/>
      <c r="F5" s="862"/>
      <c r="G5" s="862"/>
      <c r="H5" s="168"/>
    </row>
    <row r="6" spans="1:8" x14ac:dyDescent="0.3">
      <c r="B6" s="863" t="s">
        <v>3</v>
      </c>
      <c r="C6" s="864"/>
      <c r="D6" s="864"/>
      <c r="E6" s="864"/>
      <c r="F6" s="864"/>
      <c r="G6" s="864"/>
      <c r="H6" s="168"/>
    </row>
    <row r="7" spans="1:8" x14ac:dyDescent="0.3">
      <c r="B7" s="168"/>
      <c r="C7" s="168"/>
      <c r="D7" s="168"/>
      <c r="E7" s="168"/>
      <c r="F7" s="168"/>
      <c r="G7" s="168"/>
      <c r="H7" s="168"/>
    </row>
    <row r="8" spans="1:8" x14ac:dyDescent="0.3">
      <c r="A8" s="168" t="s">
        <v>4</v>
      </c>
      <c r="B8" s="306"/>
      <c r="C8" s="168" t="s">
        <v>295</v>
      </c>
      <c r="D8" s="171"/>
      <c r="E8" s="171"/>
      <c r="F8" s="171"/>
      <c r="G8" s="168"/>
      <c r="H8" s="168" t="s">
        <v>4</v>
      </c>
    </row>
    <row r="9" spans="1:8" x14ac:dyDescent="0.3">
      <c r="A9" s="168" t="s">
        <v>8</v>
      </c>
      <c r="B9" s="168"/>
      <c r="C9" s="172" t="s">
        <v>299</v>
      </c>
      <c r="D9" s="171"/>
      <c r="E9" s="172" t="s">
        <v>6</v>
      </c>
      <c r="F9" s="171"/>
      <c r="G9" s="172" t="s">
        <v>7</v>
      </c>
      <c r="H9" s="168" t="s">
        <v>8</v>
      </c>
    </row>
    <row r="10" spans="1:8" x14ac:dyDescent="0.3">
      <c r="C10" s="168"/>
      <c r="D10" s="168"/>
      <c r="F10" s="171"/>
      <c r="H10" s="168"/>
    </row>
    <row r="11" spans="1:8" ht="18.600000000000001" thickBot="1" x14ac:dyDescent="0.35">
      <c r="A11" s="168">
        <v>1</v>
      </c>
      <c r="B11" s="175" t="s">
        <v>640</v>
      </c>
      <c r="E11" s="307">
        <v>0</v>
      </c>
      <c r="F11" s="171"/>
      <c r="G11" s="168"/>
      <c r="H11" s="168">
        <f>A11</f>
        <v>1</v>
      </c>
    </row>
    <row r="12" spans="1:8" ht="16.2" thickTop="1" x14ac:dyDescent="0.3">
      <c r="A12" s="168">
        <f>A11+1</f>
        <v>2</v>
      </c>
      <c r="F12" s="171"/>
      <c r="H12" s="168">
        <f>+H11+1</f>
        <v>2</v>
      </c>
    </row>
    <row r="13" spans="1:8" ht="18.600000000000001" thickBot="1" x14ac:dyDescent="0.35">
      <c r="A13" s="168">
        <f t="shared" ref="A13:A19" si="0">A12+1</f>
        <v>3</v>
      </c>
      <c r="B13" s="175" t="s">
        <v>641</v>
      </c>
      <c r="E13" s="307">
        <v>0</v>
      </c>
      <c r="F13" s="171"/>
      <c r="G13" s="168"/>
      <c r="H13" s="168">
        <f t="shared" ref="H13:H19" si="1">+H12+1</f>
        <v>3</v>
      </c>
    </row>
    <row r="14" spans="1:8" ht="16.2" thickTop="1" x14ac:dyDescent="0.3">
      <c r="A14" s="168">
        <f t="shared" si="0"/>
        <v>4</v>
      </c>
      <c r="F14" s="171"/>
      <c r="H14" s="168">
        <f t="shared" si="1"/>
        <v>4</v>
      </c>
    </row>
    <row r="15" spans="1:8" ht="18.600000000000001" thickBot="1" x14ac:dyDescent="0.35">
      <c r="A15" s="168">
        <f t="shared" si="0"/>
        <v>5</v>
      </c>
      <c r="B15" s="175" t="s">
        <v>642</v>
      </c>
      <c r="E15" s="307">
        <v>0</v>
      </c>
      <c r="F15" s="171"/>
      <c r="G15" s="168"/>
      <c r="H15" s="168">
        <f t="shared" si="1"/>
        <v>5</v>
      </c>
    </row>
    <row r="16" spans="1:8" ht="16.2" thickTop="1" x14ac:dyDescent="0.3">
      <c r="A16" s="168">
        <f t="shared" si="0"/>
        <v>6</v>
      </c>
      <c r="B16" s="175"/>
      <c r="E16" s="308"/>
      <c r="F16" s="171"/>
      <c r="G16" s="168"/>
      <c r="H16" s="168">
        <f t="shared" si="1"/>
        <v>6</v>
      </c>
    </row>
    <row r="17" spans="1:8" ht="16.2" thickBot="1" x14ac:dyDescent="0.35">
      <c r="A17" s="168">
        <f t="shared" si="0"/>
        <v>7</v>
      </c>
      <c r="B17" s="175" t="s">
        <v>166</v>
      </c>
      <c r="E17" s="307">
        <f>'Pg10.2A As Filed Misc.-1'!G20</f>
        <v>-7015.6611016726329</v>
      </c>
      <c r="F17" s="171"/>
      <c r="G17" s="302" t="s">
        <v>648</v>
      </c>
      <c r="H17" s="168">
        <f t="shared" si="1"/>
        <v>7</v>
      </c>
    </row>
    <row r="18" spans="1:8" ht="16.2" thickTop="1" x14ac:dyDescent="0.3">
      <c r="A18" s="168">
        <f t="shared" si="0"/>
        <v>8</v>
      </c>
      <c r="F18" s="171"/>
      <c r="H18" s="168">
        <f t="shared" si="1"/>
        <v>8</v>
      </c>
    </row>
    <row r="19" spans="1:8" ht="18.600000000000001" thickBot="1" x14ac:dyDescent="0.35">
      <c r="A19" s="168">
        <f t="shared" si="0"/>
        <v>9</v>
      </c>
      <c r="B19" s="175" t="s">
        <v>644</v>
      </c>
      <c r="E19" s="307">
        <v>0</v>
      </c>
      <c r="F19" s="171"/>
      <c r="G19" s="168"/>
      <c r="H19" s="168">
        <f t="shared" si="1"/>
        <v>9</v>
      </c>
    </row>
    <row r="20" spans="1:8" ht="16.2" thickTop="1" x14ac:dyDescent="0.3">
      <c r="H20" s="168"/>
    </row>
    <row r="21" spans="1:8" x14ac:dyDescent="0.3">
      <c r="H21" s="168"/>
    </row>
    <row r="22" spans="1:8" ht="18" x14ac:dyDescent="0.3">
      <c r="A22" s="187">
        <v>1</v>
      </c>
      <c r="B22" s="169" t="s">
        <v>649</v>
      </c>
      <c r="H22" s="168"/>
    </row>
    <row r="23" spans="1:8" x14ac:dyDescent="0.3">
      <c r="B23" s="169" t="s">
        <v>647</v>
      </c>
    </row>
  </sheetData>
  <mergeCells count="4">
    <mergeCell ref="B3:G3"/>
    <mergeCell ref="B4:G4"/>
    <mergeCell ref="B5:G5"/>
    <mergeCell ref="B6:G6"/>
  </mergeCells>
  <pageMargins left="0.25" right="0.25" top="0.5" bottom="0.5" header="0.35" footer="0.25"/>
  <pageSetup scale="74" orientation="portrait" horizontalDpi="200" verticalDpi="200" r:id="rId1"/>
  <headerFooter scaleWithDoc="0" alignWithMargins="0">
    <oddHeader>&amp;C&amp;"Times New Roman,Bold"&amp;9AS FILED</oddHeader>
    <oddFooter>&amp;CPage 10.1&amp;R&amp;F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03ED-E638-4AE9-8F3F-4EA427B27F3D}">
  <sheetPr>
    <pageSetUpPr fitToPage="1"/>
  </sheetPr>
  <dimension ref="A2:J33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56.109375" style="169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18.44140625" style="169" customWidth="1"/>
    <col min="8" max="8" width="2.109375" style="169" bestFit="1" customWidth="1"/>
    <col min="9" max="9" width="42.88671875" style="169" customWidth="1"/>
    <col min="10" max="10" width="5.109375" style="168" customWidth="1"/>
    <col min="11" max="16384" width="8.88671875" style="169"/>
  </cols>
  <sheetData>
    <row r="2" spans="1:10" x14ac:dyDescent="0.3">
      <c r="B2" s="861" t="s">
        <v>217</v>
      </c>
      <c r="C2" s="861"/>
      <c r="D2" s="861"/>
      <c r="E2" s="861"/>
      <c r="F2" s="861"/>
      <c r="G2" s="861"/>
      <c r="H2" s="861"/>
      <c r="I2" s="861"/>
    </row>
    <row r="3" spans="1:10" x14ac:dyDescent="0.3">
      <c r="B3" s="861" t="s">
        <v>650</v>
      </c>
      <c r="C3" s="861"/>
      <c r="D3" s="861"/>
      <c r="E3" s="861"/>
      <c r="F3" s="861"/>
      <c r="G3" s="861"/>
      <c r="H3" s="861"/>
      <c r="I3" s="861"/>
    </row>
    <row r="4" spans="1:10" x14ac:dyDescent="0.3">
      <c r="B4" s="861" t="s">
        <v>651</v>
      </c>
      <c r="C4" s="861"/>
      <c r="D4" s="861"/>
      <c r="E4" s="861"/>
      <c r="F4" s="861"/>
      <c r="G4" s="861"/>
      <c r="H4" s="861"/>
      <c r="I4" s="861"/>
    </row>
    <row r="5" spans="1:10" x14ac:dyDescent="0.3">
      <c r="B5" s="861" t="s">
        <v>354</v>
      </c>
      <c r="C5" s="861"/>
      <c r="D5" s="861"/>
      <c r="E5" s="861"/>
      <c r="F5" s="861"/>
      <c r="G5" s="861"/>
      <c r="H5" s="861"/>
      <c r="I5" s="861"/>
    </row>
    <row r="6" spans="1:10" x14ac:dyDescent="0.3">
      <c r="B6" s="863" t="s">
        <v>3</v>
      </c>
      <c r="C6" s="863"/>
      <c r="D6" s="863"/>
      <c r="E6" s="863"/>
      <c r="F6" s="863"/>
      <c r="G6" s="863"/>
      <c r="H6" s="863"/>
      <c r="I6" s="863"/>
    </row>
    <row r="8" spans="1:10" x14ac:dyDescent="0.3">
      <c r="A8" s="168" t="s">
        <v>4</v>
      </c>
      <c r="C8" s="305" t="s">
        <v>296</v>
      </c>
      <c r="D8" s="305"/>
      <c r="E8" s="305" t="s">
        <v>297</v>
      </c>
      <c r="G8" s="305" t="s">
        <v>298</v>
      </c>
      <c r="H8" s="305"/>
      <c r="I8" s="305"/>
      <c r="J8" s="168" t="s">
        <v>4</v>
      </c>
    </row>
    <row r="9" spans="1:10" x14ac:dyDescent="0.3">
      <c r="A9" s="168" t="s">
        <v>8</v>
      </c>
      <c r="B9" s="190" t="s">
        <v>5</v>
      </c>
      <c r="C9" s="310">
        <v>43830</v>
      </c>
      <c r="D9" s="311"/>
      <c r="E9" s="310">
        <v>44196</v>
      </c>
      <c r="F9" s="312"/>
      <c r="G9" s="190" t="s">
        <v>300</v>
      </c>
      <c r="H9" s="190"/>
      <c r="I9" s="190" t="s">
        <v>7</v>
      </c>
      <c r="J9" s="168" t="s">
        <v>8</v>
      </c>
    </row>
    <row r="10" spans="1:10" x14ac:dyDescent="0.3">
      <c r="C10" s="179"/>
    </row>
    <row r="11" spans="1:10" x14ac:dyDescent="0.3">
      <c r="A11" s="168">
        <v>1</v>
      </c>
      <c r="B11" s="169" t="s">
        <v>652</v>
      </c>
      <c r="C11" s="330">
        <v>-86.724879038221474</v>
      </c>
      <c r="D11" s="330"/>
      <c r="E11" s="330">
        <v>-105.62197012140862</v>
      </c>
      <c r="F11" s="330"/>
      <c r="G11" s="330">
        <v>-96.194749286707079</v>
      </c>
      <c r="H11" s="330"/>
      <c r="I11" s="313" t="s">
        <v>653</v>
      </c>
      <c r="J11" s="168">
        <f>A11</f>
        <v>1</v>
      </c>
    </row>
    <row r="12" spans="1:10" x14ac:dyDescent="0.3">
      <c r="A12" s="168">
        <v>2</v>
      </c>
      <c r="C12" s="179"/>
      <c r="D12" s="330"/>
      <c r="E12" s="179"/>
      <c r="F12" s="179"/>
      <c r="G12" s="179"/>
      <c r="H12" s="179"/>
      <c r="I12" s="314"/>
      <c r="J12" s="168">
        <f t="shared" ref="J12:J19" si="0">A12</f>
        <v>2</v>
      </c>
    </row>
    <row r="13" spans="1:10" x14ac:dyDescent="0.3">
      <c r="A13" s="168">
        <v>3</v>
      </c>
      <c r="B13" s="175" t="s">
        <v>654</v>
      </c>
      <c r="C13" s="330">
        <v>-3083.2285145789392</v>
      </c>
      <c r="D13" s="330"/>
      <c r="E13" s="330">
        <v>-2894.7580624799621</v>
      </c>
      <c r="F13" s="330"/>
      <c r="G13" s="330">
        <v>-2988.7998429740728</v>
      </c>
      <c r="H13" s="330"/>
      <c r="I13" s="313" t="s">
        <v>655</v>
      </c>
      <c r="J13" s="168">
        <f t="shared" si="0"/>
        <v>3</v>
      </c>
    </row>
    <row r="14" spans="1:10" x14ac:dyDescent="0.3">
      <c r="A14" s="168">
        <v>4</v>
      </c>
      <c r="C14" s="330"/>
      <c r="D14" s="330"/>
      <c r="E14" s="330"/>
      <c r="F14" s="330"/>
      <c r="G14" s="330"/>
      <c r="H14" s="330"/>
      <c r="I14" s="313"/>
      <c r="J14" s="168">
        <f t="shared" si="0"/>
        <v>4</v>
      </c>
    </row>
    <row r="15" spans="1:10" x14ac:dyDescent="0.3">
      <c r="A15" s="168">
        <v>5</v>
      </c>
      <c r="B15" s="188" t="s">
        <v>656</v>
      </c>
      <c r="C15" s="334">
        <f>'Pg10.3 Rev Misc.-1.1'!C24</f>
        <v>-4698.6349935061935</v>
      </c>
      <c r="D15" s="42" t="s">
        <v>42</v>
      </c>
      <c r="E15" s="334">
        <f>'Pg10.3 Rev Misc.-1.1'!E24</f>
        <v>-3518.98803713491</v>
      </c>
      <c r="F15" s="42" t="s">
        <v>42</v>
      </c>
      <c r="G15" s="334">
        <f>'Pg10.3 Rev Misc.-1.1'!G24</f>
        <v>-4107.5295957976705</v>
      </c>
      <c r="H15" s="42" t="s">
        <v>42</v>
      </c>
      <c r="I15" s="313" t="s">
        <v>657</v>
      </c>
      <c r="J15" s="168">
        <f t="shared" si="0"/>
        <v>5</v>
      </c>
    </row>
    <row r="16" spans="1:10" x14ac:dyDescent="0.3">
      <c r="A16" s="168">
        <v>6</v>
      </c>
      <c r="C16" s="330"/>
      <c r="D16" s="330"/>
      <c r="E16" s="330"/>
      <c r="F16" s="330"/>
      <c r="G16" s="330"/>
      <c r="H16" s="330"/>
      <c r="I16" s="313"/>
      <c r="J16" s="168">
        <f t="shared" si="0"/>
        <v>6</v>
      </c>
    </row>
    <row r="17" spans="1:10" x14ac:dyDescent="0.3">
      <c r="A17" s="168">
        <v>7</v>
      </c>
      <c r="B17" s="169" t="s">
        <v>658</v>
      </c>
      <c r="C17" s="331">
        <v>-3253.0820256777206</v>
      </c>
      <c r="D17" s="330"/>
      <c r="E17" s="331">
        <v>-4094.7448260235797</v>
      </c>
      <c r="F17" s="330"/>
      <c r="G17" s="331">
        <v>-3674.8602428366567</v>
      </c>
      <c r="H17" s="330"/>
      <c r="I17" s="313" t="s">
        <v>659</v>
      </c>
      <c r="J17" s="168">
        <f t="shared" si="0"/>
        <v>7</v>
      </c>
    </row>
    <row r="18" spans="1:10" x14ac:dyDescent="0.3">
      <c r="A18" s="168">
        <v>8</v>
      </c>
      <c r="C18" s="330"/>
      <c r="D18" s="330"/>
      <c r="E18" s="330"/>
      <c r="F18" s="330"/>
      <c r="G18" s="330"/>
      <c r="H18" s="330"/>
      <c r="I18" s="313"/>
      <c r="J18" s="168">
        <f t="shared" si="0"/>
        <v>8</v>
      </c>
    </row>
    <row r="19" spans="1:10" ht="16.2" thickBot="1" x14ac:dyDescent="0.35">
      <c r="A19" s="168">
        <v>9</v>
      </c>
      <c r="B19" s="192" t="s">
        <v>660</v>
      </c>
      <c r="C19" s="335">
        <f>C11+C13+C15+C17</f>
        <v>-11121.670412801075</v>
      </c>
      <c r="D19" s="42" t="s">
        <v>42</v>
      </c>
      <c r="E19" s="335">
        <f>E11+E13+E15+E17</f>
        <v>-10614.112895759859</v>
      </c>
      <c r="F19" s="42" t="s">
        <v>42</v>
      </c>
      <c r="G19" s="335">
        <f>G11+G13+G15+G17</f>
        <v>-10867.384430895108</v>
      </c>
      <c r="H19" s="42" t="s">
        <v>42</v>
      </c>
      <c r="I19" s="28" t="s">
        <v>661</v>
      </c>
      <c r="J19" s="168">
        <f t="shared" si="0"/>
        <v>9</v>
      </c>
    </row>
    <row r="20" spans="1:10" ht="16.2" thickTop="1" x14ac:dyDescent="0.3">
      <c r="B20" s="192"/>
      <c r="C20" s="334"/>
      <c r="D20" s="42"/>
      <c r="E20" s="334"/>
      <c r="F20" s="42"/>
      <c r="G20" s="334"/>
      <c r="H20" s="42"/>
      <c r="I20" s="28"/>
    </row>
    <row r="21" spans="1:10" x14ac:dyDescent="0.3">
      <c r="C21" s="283"/>
      <c r="D21" s="170"/>
      <c r="E21" s="170"/>
      <c r="F21" s="170"/>
      <c r="G21" s="170"/>
      <c r="H21" s="170"/>
      <c r="I21" s="170"/>
    </row>
    <row r="22" spans="1:10" x14ac:dyDescent="0.3">
      <c r="A22" s="42" t="s">
        <v>42</v>
      </c>
      <c r="B22" s="188" t="str">
        <f>'Pg10 Rev Stmt Misc'!B21</f>
        <v>Items in BOLD have changed due to unfunded reserves error adjustment as compared to the original TO5 Cycle 4 filing per ER22-527.</v>
      </c>
      <c r="C22" s="179"/>
      <c r="D22" s="181"/>
      <c r="E22" s="181"/>
      <c r="F22" s="181"/>
      <c r="G22" s="181"/>
      <c r="H22" s="181"/>
      <c r="I22" s="181"/>
    </row>
    <row r="23" spans="1:10" x14ac:dyDescent="0.3">
      <c r="B23" s="315"/>
      <c r="C23" s="179"/>
      <c r="E23" s="181"/>
      <c r="F23" s="181"/>
      <c r="G23" s="181"/>
      <c r="H23" s="181"/>
      <c r="I23" s="181"/>
    </row>
    <row r="24" spans="1:10" x14ac:dyDescent="0.3">
      <c r="C24" s="333"/>
    </row>
    <row r="25" spans="1:10" x14ac:dyDescent="0.3">
      <c r="C25" s="333"/>
    </row>
    <row r="33" spans="2:2" x14ac:dyDescent="0.3">
      <c r="B33" s="316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61" orientation="portrait" horizontalDpi="200" verticalDpi="200" r:id="rId1"/>
  <headerFooter scaleWithDoc="0" alignWithMargins="0">
    <oddHeader>&amp;C&amp;"Times New Roman,Bold"&amp;8REVISED</oddHeader>
    <oddFooter>&amp;CPage 10.2&amp;R&amp;F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84CE-7D5A-4238-B349-60DD7B340348}">
  <sheetPr>
    <pageSetUpPr fitToPage="1"/>
  </sheetPr>
  <dimension ref="A1:I33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56.109375" style="169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18.44140625" style="169" customWidth="1"/>
    <col min="8" max="8" width="38.44140625" style="169" customWidth="1"/>
    <col min="9" max="9" width="5.109375" style="168" customWidth="1"/>
    <col min="10" max="16384" width="8.88671875" style="169"/>
  </cols>
  <sheetData>
    <row r="1" spans="1:9" x14ac:dyDescent="0.3">
      <c r="A1" s="556" t="s">
        <v>283</v>
      </c>
    </row>
    <row r="3" spans="1:9" x14ac:dyDescent="0.3">
      <c r="B3" s="861" t="s">
        <v>217</v>
      </c>
      <c r="C3" s="861"/>
      <c r="D3" s="861"/>
      <c r="E3" s="861"/>
      <c r="F3" s="861"/>
      <c r="G3" s="861"/>
      <c r="H3" s="861"/>
    </row>
    <row r="4" spans="1:9" x14ac:dyDescent="0.3">
      <c r="B4" s="861" t="s">
        <v>650</v>
      </c>
      <c r="C4" s="861"/>
      <c r="D4" s="861"/>
      <c r="E4" s="861"/>
      <c r="F4" s="861"/>
      <c r="G4" s="861"/>
      <c r="H4" s="861"/>
    </row>
    <row r="5" spans="1:9" x14ac:dyDescent="0.3">
      <c r="B5" s="861" t="s">
        <v>651</v>
      </c>
      <c r="C5" s="861"/>
      <c r="D5" s="861"/>
      <c r="E5" s="861"/>
      <c r="F5" s="861"/>
      <c r="G5" s="861"/>
      <c r="H5" s="861"/>
    </row>
    <row r="6" spans="1:9" x14ac:dyDescent="0.3">
      <c r="B6" s="861" t="s">
        <v>354</v>
      </c>
      <c r="C6" s="861"/>
      <c r="D6" s="861"/>
      <c r="E6" s="861"/>
      <c r="F6" s="861"/>
      <c r="G6" s="861"/>
      <c r="H6" s="861"/>
    </row>
    <row r="7" spans="1:9" x14ac:dyDescent="0.3">
      <c r="B7" s="863" t="s">
        <v>3</v>
      </c>
      <c r="C7" s="863"/>
      <c r="D7" s="863"/>
      <c r="E7" s="863"/>
      <c r="F7" s="863"/>
      <c r="G7" s="863"/>
      <c r="H7" s="863"/>
    </row>
    <row r="9" spans="1:9" x14ac:dyDescent="0.3">
      <c r="A9" s="168" t="s">
        <v>4</v>
      </c>
      <c r="C9" s="305" t="s">
        <v>296</v>
      </c>
      <c r="D9" s="305"/>
      <c r="E9" s="305" t="s">
        <v>297</v>
      </c>
      <c r="G9" s="305" t="s">
        <v>298</v>
      </c>
      <c r="H9" s="305"/>
      <c r="I9" s="168" t="s">
        <v>4</v>
      </c>
    </row>
    <row r="10" spans="1:9" x14ac:dyDescent="0.3">
      <c r="A10" s="168" t="s">
        <v>8</v>
      </c>
      <c r="B10" s="190" t="s">
        <v>5</v>
      </c>
      <c r="C10" s="310">
        <v>43830</v>
      </c>
      <c r="D10" s="311"/>
      <c r="E10" s="310">
        <v>44196</v>
      </c>
      <c r="F10" s="312"/>
      <c r="G10" s="190" t="s">
        <v>300</v>
      </c>
      <c r="H10" s="190" t="s">
        <v>7</v>
      </c>
      <c r="I10" s="168" t="s">
        <v>8</v>
      </c>
    </row>
    <row r="11" spans="1:9" x14ac:dyDescent="0.3">
      <c r="C11" s="179"/>
    </row>
    <row r="12" spans="1:9" x14ac:dyDescent="0.3">
      <c r="A12" s="168">
        <v>1</v>
      </c>
      <c r="B12" s="169" t="s">
        <v>652</v>
      </c>
      <c r="C12" s="330">
        <v>-86.724879038221474</v>
      </c>
      <c r="D12" s="330"/>
      <c r="E12" s="330">
        <v>-105.62197012140862</v>
      </c>
      <c r="F12" s="330"/>
      <c r="G12" s="330">
        <v>-96.194749286707079</v>
      </c>
      <c r="H12" s="313" t="s">
        <v>653</v>
      </c>
      <c r="I12" s="168">
        <f>A12</f>
        <v>1</v>
      </c>
    </row>
    <row r="13" spans="1:9" x14ac:dyDescent="0.3">
      <c r="A13" s="168">
        <v>2</v>
      </c>
      <c r="C13" s="179"/>
      <c r="D13" s="330"/>
      <c r="E13" s="179"/>
      <c r="F13" s="179"/>
      <c r="G13" s="179"/>
      <c r="H13" s="314"/>
      <c r="I13" s="168">
        <f t="shared" ref="I13:I20" si="0">A13</f>
        <v>2</v>
      </c>
    </row>
    <row r="14" spans="1:9" x14ac:dyDescent="0.3">
      <c r="A14" s="168">
        <v>3</v>
      </c>
      <c r="B14" s="175" t="s">
        <v>654</v>
      </c>
      <c r="C14" s="330">
        <v>-3083.2285145789392</v>
      </c>
      <c r="D14" s="330"/>
      <c r="E14" s="330">
        <v>-2894.7580624799621</v>
      </c>
      <c r="F14" s="330"/>
      <c r="G14" s="330">
        <v>-2988.7998429740728</v>
      </c>
      <c r="H14" s="313" t="s">
        <v>655</v>
      </c>
      <c r="I14" s="168">
        <f t="shared" si="0"/>
        <v>3</v>
      </c>
    </row>
    <row r="15" spans="1:9" x14ac:dyDescent="0.3">
      <c r="A15" s="168">
        <v>4</v>
      </c>
      <c r="C15" s="330"/>
      <c r="D15" s="330"/>
      <c r="E15" s="330"/>
      <c r="F15" s="330"/>
      <c r="G15" s="330"/>
      <c r="H15" s="313"/>
      <c r="I15" s="168">
        <f t="shared" si="0"/>
        <v>4</v>
      </c>
    </row>
    <row r="16" spans="1:9" x14ac:dyDescent="0.3">
      <c r="A16" s="168">
        <v>5</v>
      </c>
      <c r="B16" s="169" t="s">
        <v>656</v>
      </c>
      <c r="C16" s="330">
        <v>-1264.080812648016</v>
      </c>
      <c r="D16" s="330"/>
      <c r="E16" s="330">
        <v>748.02938943871141</v>
      </c>
      <c r="F16" s="330"/>
      <c r="G16" s="330">
        <v>-255.80626657519596</v>
      </c>
      <c r="H16" s="313" t="s">
        <v>662</v>
      </c>
      <c r="I16" s="168">
        <f t="shared" si="0"/>
        <v>5</v>
      </c>
    </row>
    <row r="17" spans="1:9" x14ac:dyDescent="0.3">
      <c r="A17" s="168">
        <v>6</v>
      </c>
      <c r="C17" s="330"/>
      <c r="D17" s="330"/>
      <c r="E17" s="330"/>
      <c r="F17" s="330"/>
      <c r="G17" s="330"/>
      <c r="H17" s="313"/>
      <c r="I17" s="168">
        <f t="shared" si="0"/>
        <v>6</v>
      </c>
    </row>
    <row r="18" spans="1:9" x14ac:dyDescent="0.3">
      <c r="A18" s="168">
        <v>7</v>
      </c>
      <c r="B18" s="169" t="s">
        <v>658</v>
      </c>
      <c r="C18" s="331">
        <v>-3253.0820256777206</v>
      </c>
      <c r="D18" s="330"/>
      <c r="E18" s="331">
        <v>-4094.7448260235797</v>
      </c>
      <c r="F18" s="330"/>
      <c r="G18" s="331">
        <v>-3674.8602428366567</v>
      </c>
      <c r="H18" s="313" t="s">
        <v>659</v>
      </c>
      <c r="I18" s="168">
        <f t="shared" si="0"/>
        <v>7</v>
      </c>
    </row>
    <row r="19" spans="1:9" x14ac:dyDescent="0.3">
      <c r="A19" s="168">
        <v>8</v>
      </c>
      <c r="C19" s="330"/>
      <c r="D19" s="330"/>
      <c r="E19" s="330"/>
      <c r="F19" s="330"/>
      <c r="G19" s="330"/>
      <c r="H19" s="313"/>
      <c r="I19" s="168">
        <f t="shared" si="0"/>
        <v>8</v>
      </c>
    </row>
    <row r="20" spans="1:9" ht="16.2" thickBot="1" x14ac:dyDescent="0.35">
      <c r="A20" s="168">
        <v>9</v>
      </c>
      <c r="B20" s="192" t="s">
        <v>660</v>
      </c>
      <c r="C20" s="332">
        <f>C12+C14+C16+C18</f>
        <v>-7687.1162319428968</v>
      </c>
      <c r="D20" s="330"/>
      <c r="E20" s="332">
        <f>E12+E14+E16+E18</f>
        <v>-6347.0954691862389</v>
      </c>
      <c r="F20" s="330"/>
      <c r="G20" s="332">
        <f>G12+G14+G16+G18</f>
        <v>-7015.6611016726329</v>
      </c>
      <c r="H20" s="28" t="s">
        <v>661</v>
      </c>
      <c r="I20" s="168">
        <f t="shared" si="0"/>
        <v>9</v>
      </c>
    </row>
    <row r="21" spans="1:9" ht="16.2" thickTop="1" x14ac:dyDescent="0.3">
      <c r="C21" s="283"/>
      <c r="D21" s="170"/>
      <c r="E21" s="170"/>
      <c r="F21" s="170"/>
      <c r="G21" s="170"/>
      <c r="H21" s="170"/>
    </row>
    <row r="22" spans="1:9" x14ac:dyDescent="0.3">
      <c r="C22" s="179"/>
      <c r="D22" s="181"/>
      <c r="E22" s="181"/>
      <c r="F22" s="181"/>
      <c r="G22" s="181"/>
      <c r="H22" s="181"/>
    </row>
    <row r="23" spans="1:9" x14ac:dyDescent="0.3">
      <c r="B23" s="315"/>
      <c r="C23" s="179"/>
      <c r="E23" s="181"/>
      <c r="F23" s="181"/>
      <c r="G23" s="181"/>
      <c r="H23" s="181"/>
    </row>
    <row r="24" spans="1:9" x14ac:dyDescent="0.3">
      <c r="C24" s="333"/>
    </row>
    <row r="25" spans="1:9" x14ac:dyDescent="0.3">
      <c r="C25" s="333"/>
    </row>
    <row r="33" spans="2:2" x14ac:dyDescent="0.3">
      <c r="B33" s="316"/>
    </row>
  </sheetData>
  <mergeCells count="5">
    <mergeCell ref="B3:H3"/>
    <mergeCell ref="B4:H4"/>
    <mergeCell ref="B5:H5"/>
    <mergeCell ref="B6:H6"/>
    <mergeCell ref="B7:H7"/>
  </mergeCells>
  <printOptions horizontalCentered="1"/>
  <pageMargins left="0.25" right="0.25" top="0.5" bottom="0.5" header="0.35" footer="0.25"/>
  <pageSetup scale="63" orientation="portrait" horizontalDpi="200" verticalDpi="200" r:id="rId1"/>
  <headerFooter scaleWithDoc="0" alignWithMargins="0">
    <oddHeader>&amp;C&amp;"Times New Roman,Bold"&amp;8AS FILED</oddHeader>
    <oddFooter>&amp;CPage 10.2A&amp;R&amp;F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8FE0-5264-4532-9568-51C4070EEB8B}">
  <sheetPr>
    <pageSetUpPr fitToPage="1"/>
  </sheetPr>
  <dimension ref="A2:J38"/>
  <sheetViews>
    <sheetView zoomScale="80" zoomScaleNormal="80" workbookViewId="0"/>
  </sheetViews>
  <sheetFormatPr defaultColWidth="8.88671875" defaultRowHeight="15.6" x14ac:dyDescent="0.3"/>
  <cols>
    <col min="1" max="1" width="5.88671875" style="168" customWidth="1"/>
    <col min="2" max="2" width="50.88671875" style="169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23.44140625" style="169" bestFit="1" customWidth="1"/>
    <col min="8" max="8" width="2.109375" style="169" bestFit="1" customWidth="1"/>
    <col min="9" max="9" width="63.5546875" style="169" bestFit="1" customWidth="1"/>
    <col min="10" max="10" width="5.109375" style="168" customWidth="1"/>
    <col min="11" max="16384" width="8.88671875" style="169"/>
  </cols>
  <sheetData>
    <row r="2" spans="1:10" x14ac:dyDescent="0.3">
      <c r="B2" s="861" t="s">
        <v>217</v>
      </c>
      <c r="C2" s="861"/>
      <c r="D2" s="861"/>
      <c r="E2" s="861"/>
      <c r="F2" s="861"/>
      <c r="G2" s="861"/>
      <c r="H2" s="861"/>
      <c r="I2" s="861"/>
    </row>
    <row r="3" spans="1:10" x14ac:dyDescent="0.3">
      <c r="B3" s="861" t="s">
        <v>650</v>
      </c>
      <c r="C3" s="861"/>
      <c r="D3" s="861"/>
      <c r="E3" s="861"/>
      <c r="F3" s="861"/>
      <c r="G3" s="861"/>
      <c r="H3" s="861"/>
      <c r="I3" s="861"/>
    </row>
    <row r="4" spans="1:10" x14ac:dyDescent="0.3">
      <c r="B4" s="861" t="s">
        <v>651</v>
      </c>
      <c r="C4" s="861"/>
      <c r="D4" s="861"/>
      <c r="E4" s="861"/>
      <c r="F4" s="861"/>
      <c r="G4" s="861"/>
      <c r="H4" s="861"/>
      <c r="I4" s="861"/>
    </row>
    <row r="5" spans="1:10" x14ac:dyDescent="0.3">
      <c r="B5" s="861" t="s">
        <v>354</v>
      </c>
      <c r="C5" s="861"/>
      <c r="D5" s="861"/>
      <c r="E5" s="861"/>
      <c r="F5" s="861"/>
      <c r="G5" s="861"/>
      <c r="H5" s="861"/>
      <c r="I5" s="861"/>
    </row>
    <row r="6" spans="1:10" ht="15.75" customHeight="1" x14ac:dyDescent="0.3">
      <c r="B6" s="863" t="s">
        <v>3</v>
      </c>
      <c r="C6" s="863"/>
      <c r="D6" s="863"/>
      <c r="E6" s="863"/>
      <c r="F6" s="863"/>
      <c r="G6" s="863"/>
      <c r="H6" s="863"/>
      <c r="I6" s="863"/>
    </row>
    <row r="8" spans="1:10" ht="18" x14ac:dyDescent="0.3">
      <c r="A8" s="168" t="s">
        <v>4</v>
      </c>
      <c r="B8" s="188"/>
      <c r="C8" s="305" t="s">
        <v>663</v>
      </c>
      <c r="D8" s="305"/>
      <c r="E8" s="305" t="s">
        <v>297</v>
      </c>
      <c r="G8" s="305" t="s">
        <v>298</v>
      </c>
      <c r="H8" s="305"/>
      <c r="I8" s="305"/>
      <c r="J8" s="168" t="s">
        <v>4</v>
      </c>
    </row>
    <row r="9" spans="1:10" x14ac:dyDescent="0.3">
      <c r="A9" s="168" t="s">
        <v>8</v>
      </c>
      <c r="B9" s="190" t="s">
        <v>5</v>
      </c>
      <c r="C9" s="310">
        <v>43830</v>
      </c>
      <c r="D9" s="310"/>
      <c r="E9" s="310">
        <v>44196</v>
      </c>
      <c r="F9" s="310"/>
      <c r="G9" s="190" t="s">
        <v>300</v>
      </c>
      <c r="H9" s="190"/>
      <c r="I9" s="190" t="s">
        <v>7</v>
      </c>
      <c r="J9" s="168" t="s">
        <v>8</v>
      </c>
    </row>
    <row r="10" spans="1:10" x14ac:dyDescent="0.3">
      <c r="B10" s="188"/>
      <c r="C10" s="317"/>
      <c r="D10" s="317"/>
      <c r="E10" s="317"/>
      <c r="F10" s="317"/>
      <c r="G10" s="180"/>
      <c r="H10" s="180"/>
      <c r="I10" s="180"/>
    </row>
    <row r="11" spans="1:10" x14ac:dyDescent="0.3">
      <c r="A11" s="168">
        <v>1</v>
      </c>
      <c r="B11" s="169" t="s">
        <v>652</v>
      </c>
      <c r="C11" s="318"/>
      <c r="D11" s="318"/>
      <c r="E11" s="318"/>
      <c r="F11" s="318"/>
      <c r="G11" s="180"/>
      <c r="H11" s="180"/>
      <c r="I11" s="180"/>
      <c r="J11" s="168">
        <f>A11</f>
        <v>1</v>
      </c>
    </row>
    <row r="12" spans="1:10" x14ac:dyDescent="0.3">
      <c r="A12" s="168">
        <f>A11+1</f>
        <v>2</v>
      </c>
      <c r="B12" s="175" t="s">
        <v>664</v>
      </c>
      <c r="C12" s="185">
        <v>-627</v>
      </c>
      <c r="D12" s="185"/>
      <c r="E12" s="185">
        <v>-767</v>
      </c>
      <c r="F12" s="185"/>
      <c r="G12" s="314">
        <f>(C12+E12)/2</f>
        <v>-697</v>
      </c>
      <c r="H12" s="314"/>
      <c r="I12" s="280" t="s">
        <v>345</v>
      </c>
      <c r="J12" s="168">
        <f>J11+1</f>
        <v>2</v>
      </c>
    </row>
    <row r="13" spans="1:10" x14ac:dyDescent="0.3">
      <c r="A13" s="168">
        <f t="shared" ref="A13:A29" si="0">A12+1</f>
        <v>3</v>
      </c>
      <c r="B13" s="175" t="s">
        <v>665</v>
      </c>
      <c r="C13" s="319">
        <f>C$35</f>
        <v>0.13831719144851909</v>
      </c>
      <c r="D13" s="215"/>
      <c r="E13" s="319">
        <v>0.13770791410874658</v>
      </c>
      <c r="F13" s="215"/>
      <c r="G13" s="237">
        <f>(C13+E13)/2</f>
        <v>0.13801255277863284</v>
      </c>
      <c r="H13" s="237"/>
      <c r="I13" s="280" t="s">
        <v>666</v>
      </c>
      <c r="J13" s="168">
        <f t="shared" ref="J13:J29" si="1">J12+1</f>
        <v>3</v>
      </c>
    </row>
    <row r="14" spans="1:10" ht="16.2" thickBot="1" x14ac:dyDescent="0.35">
      <c r="A14" s="168">
        <f t="shared" si="0"/>
        <v>4</v>
      </c>
      <c r="B14" s="184" t="s">
        <v>667</v>
      </c>
      <c r="C14" s="452">
        <f>C12*C13</f>
        <v>-86.724879038221474</v>
      </c>
      <c r="D14" s="179"/>
      <c r="E14" s="452">
        <f>E12*E13</f>
        <v>-105.62197012140862</v>
      </c>
      <c r="F14" s="193"/>
      <c r="G14" s="452">
        <f>G12*G13</f>
        <v>-96.194749286707079</v>
      </c>
      <c r="H14" s="178"/>
      <c r="I14" s="321" t="s">
        <v>668</v>
      </c>
      <c r="J14" s="168">
        <f t="shared" si="1"/>
        <v>4</v>
      </c>
    </row>
    <row r="15" spans="1:10" ht="16.2" thickTop="1" x14ac:dyDescent="0.3">
      <c r="A15" s="168">
        <f t="shared" si="0"/>
        <v>5</v>
      </c>
      <c r="C15" s="322"/>
      <c r="D15" s="322"/>
      <c r="E15" s="322"/>
      <c r="F15" s="322"/>
      <c r="G15" s="322"/>
      <c r="H15" s="322"/>
      <c r="I15" s="322"/>
      <c r="J15" s="168">
        <f t="shared" si="1"/>
        <v>5</v>
      </c>
    </row>
    <row r="16" spans="1:10" x14ac:dyDescent="0.3">
      <c r="A16" s="168">
        <f t="shared" si="0"/>
        <v>6</v>
      </c>
      <c r="B16" s="175" t="s">
        <v>654</v>
      </c>
      <c r="C16" s="318"/>
      <c r="D16" s="318"/>
      <c r="E16" s="318"/>
      <c r="F16" s="318"/>
      <c r="G16" s="180"/>
      <c r="H16" s="180"/>
      <c r="I16" s="180"/>
      <c r="J16" s="168">
        <f t="shared" si="1"/>
        <v>6</v>
      </c>
    </row>
    <row r="17" spans="1:10" x14ac:dyDescent="0.3">
      <c r="A17" s="168">
        <f t="shared" si="0"/>
        <v>7</v>
      </c>
      <c r="B17" s="175" t="s">
        <v>669</v>
      </c>
      <c r="C17" s="314">
        <v>-22291</v>
      </c>
      <c r="D17" s="314"/>
      <c r="E17" s="314">
        <v>-21021</v>
      </c>
      <c r="F17" s="314"/>
      <c r="G17" s="314">
        <f>(C17+E17)/2</f>
        <v>-21656</v>
      </c>
      <c r="H17" s="314"/>
      <c r="I17" s="280" t="s">
        <v>345</v>
      </c>
      <c r="J17" s="168">
        <f t="shared" si="1"/>
        <v>7</v>
      </c>
    </row>
    <row r="18" spans="1:10" x14ac:dyDescent="0.3">
      <c r="A18" s="168">
        <f t="shared" si="0"/>
        <v>8</v>
      </c>
      <c r="B18" s="175" t="s">
        <v>665</v>
      </c>
      <c r="C18" s="319">
        <f>C$35</f>
        <v>0.13831719144851909</v>
      </c>
      <c r="D18" s="179"/>
      <c r="E18" s="237">
        <v>0.13770791410874658</v>
      </c>
      <c r="F18" s="179"/>
      <c r="G18" s="237">
        <f>(C18+E18)/2</f>
        <v>0.13801255277863284</v>
      </c>
      <c r="H18" s="237"/>
      <c r="I18" s="280" t="s">
        <v>666</v>
      </c>
      <c r="J18" s="168">
        <f t="shared" si="1"/>
        <v>8</v>
      </c>
    </row>
    <row r="19" spans="1:10" ht="16.2" thickBot="1" x14ac:dyDescent="0.35">
      <c r="A19" s="168">
        <f t="shared" si="0"/>
        <v>9</v>
      </c>
      <c r="B19" s="184" t="s">
        <v>670</v>
      </c>
      <c r="C19" s="452">
        <f>(C17*C18)</f>
        <v>-3083.2285145789392</v>
      </c>
      <c r="D19" s="179"/>
      <c r="E19" s="452">
        <f>E17*E18</f>
        <v>-2894.7580624799621</v>
      </c>
      <c r="F19" s="193"/>
      <c r="G19" s="452">
        <f>G17*G18</f>
        <v>-2988.7998429740728</v>
      </c>
      <c r="H19" s="178"/>
      <c r="I19" s="321" t="s">
        <v>94</v>
      </c>
      <c r="J19" s="168">
        <f t="shared" si="1"/>
        <v>9</v>
      </c>
    </row>
    <row r="20" spans="1:10" ht="16.2" thickTop="1" x14ac:dyDescent="0.3">
      <c r="A20" s="168">
        <f t="shared" si="0"/>
        <v>10</v>
      </c>
      <c r="J20" s="168">
        <f t="shared" si="1"/>
        <v>10</v>
      </c>
    </row>
    <row r="21" spans="1:10" x14ac:dyDescent="0.3">
      <c r="A21" s="168">
        <f t="shared" si="0"/>
        <v>11</v>
      </c>
      <c r="B21" s="169" t="s">
        <v>656</v>
      </c>
      <c r="C21" s="318"/>
      <c r="D21" s="318"/>
      <c r="E21" s="318"/>
      <c r="F21" s="318"/>
      <c r="G21" s="180"/>
      <c r="H21" s="180"/>
      <c r="I21" s="168"/>
      <c r="J21" s="168">
        <f t="shared" si="1"/>
        <v>11</v>
      </c>
    </row>
    <row r="22" spans="1:10" x14ac:dyDescent="0.3">
      <c r="A22" s="168">
        <f t="shared" si="0"/>
        <v>12</v>
      </c>
      <c r="B22" s="184" t="s">
        <v>671</v>
      </c>
      <c r="C22" s="328">
        <v>-33970</v>
      </c>
      <c r="D22" s="42" t="s">
        <v>42</v>
      </c>
      <c r="E22" s="328">
        <v>-25554</v>
      </c>
      <c r="F22" s="42" t="s">
        <v>42</v>
      </c>
      <c r="G22" s="329">
        <f>(C22+E22)/2</f>
        <v>-29762</v>
      </c>
      <c r="H22" s="42" t="s">
        <v>42</v>
      </c>
      <c r="I22" s="280" t="s">
        <v>345</v>
      </c>
      <c r="J22" s="168">
        <f t="shared" si="1"/>
        <v>12</v>
      </c>
    </row>
    <row r="23" spans="1:10" x14ac:dyDescent="0.3">
      <c r="A23" s="168">
        <f t="shared" si="0"/>
        <v>13</v>
      </c>
      <c r="B23" s="175" t="s">
        <v>665</v>
      </c>
      <c r="C23" s="319">
        <f>C$35</f>
        <v>0.13831719144851909</v>
      </c>
      <c r="D23" s="179"/>
      <c r="E23" s="319">
        <v>0.13770791410874658</v>
      </c>
      <c r="F23" s="215"/>
      <c r="G23" s="237">
        <f>(C23+E23)/2</f>
        <v>0.13801255277863284</v>
      </c>
      <c r="H23" s="237"/>
      <c r="I23" s="280" t="s">
        <v>666</v>
      </c>
      <c r="J23" s="168">
        <f t="shared" si="1"/>
        <v>13</v>
      </c>
    </row>
    <row r="24" spans="1:10" ht="16.2" thickBot="1" x14ac:dyDescent="0.35">
      <c r="A24" s="168">
        <f t="shared" si="0"/>
        <v>14</v>
      </c>
      <c r="B24" s="184" t="s">
        <v>672</v>
      </c>
      <c r="C24" s="320">
        <f>C22*C23</f>
        <v>-4698.6349935061935</v>
      </c>
      <c r="D24" s="42" t="s">
        <v>42</v>
      </c>
      <c r="E24" s="320">
        <f>E22*E23</f>
        <v>-3518.98803713491</v>
      </c>
      <c r="F24" s="42" t="s">
        <v>42</v>
      </c>
      <c r="G24" s="320">
        <f>G22*G23</f>
        <v>-4107.5295957976705</v>
      </c>
      <c r="H24" s="42" t="s">
        <v>42</v>
      </c>
      <c r="I24" s="321" t="s">
        <v>673</v>
      </c>
      <c r="J24" s="168">
        <f t="shared" si="1"/>
        <v>14</v>
      </c>
    </row>
    <row r="25" spans="1:10" ht="16.2" thickTop="1" x14ac:dyDescent="0.3">
      <c r="A25" s="168">
        <f t="shared" si="0"/>
        <v>15</v>
      </c>
      <c r="J25" s="168">
        <f t="shared" si="1"/>
        <v>15</v>
      </c>
    </row>
    <row r="26" spans="1:10" x14ac:dyDescent="0.3">
      <c r="A26" s="168">
        <f t="shared" si="0"/>
        <v>16</v>
      </c>
      <c r="B26" s="169" t="s">
        <v>658</v>
      </c>
      <c r="C26" s="318"/>
      <c r="D26" s="318"/>
      <c r="E26" s="318"/>
      <c r="F26" s="318"/>
      <c r="G26" s="180"/>
      <c r="H26" s="180"/>
      <c r="I26" s="168"/>
      <c r="J26" s="168">
        <f t="shared" si="1"/>
        <v>16</v>
      </c>
    </row>
    <row r="27" spans="1:10" x14ac:dyDescent="0.3">
      <c r="A27" s="168">
        <f t="shared" si="0"/>
        <v>17</v>
      </c>
      <c r="B27" s="175" t="s">
        <v>674</v>
      </c>
      <c r="C27" s="185">
        <v>-23519</v>
      </c>
      <c r="D27" s="185"/>
      <c r="E27" s="185">
        <v>-29735</v>
      </c>
      <c r="F27" s="185"/>
      <c r="G27" s="314">
        <f>(C27+E27)/2</f>
        <v>-26627</v>
      </c>
      <c r="H27" s="314"/>
      <c r="I27" s="280" t="s">
        <v>345</v>
      </c>
      <c r="J27" s="168">
        <f t="shared" si="1"/>
        <v>17</v>
      </c>
    </row>
    <row r="28" spans="1:10" x14ac:dyDescent="0.3">
      <c r="A28" s="168">
        <f t="shared" si="0"/>
        <v>18</v>
      </c>
      <c r="B28" s="175" t="s">
        <v>665</v>
      </c>
      <c r="C28" s="319">
        <f>C$35</f>
        <v>0.13831719144851909</v>
      </c>
      <c r="D28" s="179"/>
      <c r="E28" s="319">
        <v>0.13770791410874658</v>
      </c>
      <c r="F28" s="215"/>
      <c r="G28" s="237">
        <f>(C28+E28)/2</f>
        <v>0.13801255277863284</v>
      </c>
      <c r="H28" s="237"/>
      <c r="I28" s="280" t="s">
        <v>666</v>
      </c>
      <c r="J28" s="168">
        <f t="shared" si="1"/>
        <v>18</v>
      </c>
    </row>
    <row r="29" spans="1:10" ht="16.2" thickBot="1" x14ac:dyDescent="0.35">
      <c r="A29" s="168">
        <f t="shared" si="0"/>
        <v>19</v>
      </c>
      <c r="B29" s="184" t="s">
        <v>675</v>
      </c>
      <c r="C29" s="452">
        <f>C27*C28</f>
        <v>-3253.0820256777206</v>
      </c>
      <c r="D29" s="179"/>
      <c r="E29" s="452">
        <f>E27*E28</f>
        <v>-4094.7448260235797</v>
      </c>
      <c r="F29" s="193"/>
      <c r="G29" s="452">
        <f>G27*G28</f>
        <v>-3674.8602428366567</v>
      </c>
      <c r="H29" s="178"/>
      <c r="I29" s="321" t="s">
        <v>63</v>
      </c>
      <c r="J29" s="168">
        <f t="shared" si="1"/>
        <v>19</v>
      </c>
    </row>
    <row r="30" spans="1:10" ht="16.2" thickTop="1" x14ac:dyDescent="0.3">
      <c r="B30" s="184"/>
      <c r="C30" s="178"/>
      <c r="D30" s="179"/>
      <c r="E30" s="178"/>
      <c r="F30" s="178"/>
      <c r="G30" s="178"/>
      <c r="H30" s="178"/>
      <c r="I30" s="321"/>
    </row>
    <row r="32" spans="1:10" ht="18" x14ac:dyDescent="0.3">
      <c r="A32" s="305" t="s">
        <v>676</v>
      </c>
      <c r="B32" s="169" t="s">
        <v>677</v>
      </c>
    </row>
    <row r="33" spans="1:10" x14ac:dyDescent="0.3">
      <c r="A33" s="168" t="s">
        <v>678</v>
      </c>
      <c r="B33" s="169" t="s">
        <v>679</v>
      </c>
      <c r="C33" s="237">
        <v>0.72219999999999995</v>
      </c>
      <c r="E33" s="182"/>
      <c r="I33" s="2" t="s">
        <v>680</v>
      </c>
      <c r="J33" s="168" t="s">
        <v>678</v>
      </c>
    </row>
    <row r="34" spans="1:10" x14ac:dyDescent="0.3">
      <c r="A34" s="168" t="s">
        <v>681</v>
      </c>
      <c r="B34" s="169" t="s">
        <v>412</v>
      </c>
      <c r="C34" s="237">
        <v>0.19152200422115631</v>
      </c>
      <c r="I34" s="168" t="s">
        <v>682</v>
      </c>
      <c r="J34" s="168" t="s">
        <v>681</v>
      </c>
    </row>
    <row r="35" spans="1:10" ht="16.2" thickBot="1" x14ac:dyDescent="0.35">
      <c r="A35" s="168" t="s">
        <v>683</v>
      </c>
      <c r="B35" s="169" t="s">
        <v>665</v>
      </c>
      <c r="C35" s="323">
        <f>C33*C34</f>
        <v>0.13831719144851909</v>
      </c>
      <c r="I35" s="168" t="s">
        <v>684</v>
      </c>
      <c r="J35" s="168" t="s">
        <v>683</v>
      </c>
    </row>
    <row r="36" spans="1:10" ht="16.2" thickTop="1" x14ac:dyDescent="0.3"/>
    <row r="37" spans="1:10" x14ac:dyDescent="0.3">
      <c r="A37" s="42" t="s">
        <v>42</v>
      </c>
      <c r="B37" s="188" t="str">
        <f>'Pg10 Rev Stmt Misc'!B21</f>
        <v>Items in BOLD have changed due to unfunded reserves error adjustment as compared to the original TO5 Cycle 4 filing per ER22-527.</v>
      </c>
    </row>
    <row r="38" spans="1:10" x14ac:dyDescent="0.3">
      <c r="I38" s="168"/>
      <c r="J38" s="169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71" orientation="landscape" horizontalDpi="200" verticalDpi="200" r:id="rId1"/>
  <headerFooter scaleWithDoc="0" alignWithMargins="0">
    <oddHeader>&amp;C&amp;"Times New Roman,Bold"&amp;8REVISED</oddHeader>
    <oddFooter>&amp;CPage 10.3&amp;R&amp;F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F9EB-FE92-40E3-9FE6-4DDB152F471D}">
  <sheetPr>
    <pageSetUpPr fitToPage="1"/>
  </sheetPr>
  <dimension ref="A1:I39"/>
  <sheetViews>
    <sheetView zoomScale="80" zoomScaleNormal="80" workbookViewId="0"/>
  </sheetViews>
  <sheetFormatPr defaultColWidth="8.88671875" defaultRowHeight="15.6" x14ac:dyDescent="0.3"/>
  <cols>
    <col min="1" max="1" width="5.88671875" style="168" customWidth="1"/>
    <col min="2" max="2" width="50.88671875" style="169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23.44140625" style="169" bestFit="1" customWidth="1"/>
    <col min="8" max="8" width="62.5546875" style="169" customWidth="1"/>
    <col min="9" max="9" width="5.109375" style="168" customWidth="1"/>
    <col min="10" max="16384" width="8.88671875" style="169"/>
  </cols>
  <sheetData>
    <row r="1" spans="1:9" x14ac:dyDescent="0.3">
      <c r="A1" s="556" t="s">
        <v>283</v>
      </c>
    </row>
    <row r="3" spans="1:9" x14ac:dyDescent="0.3">
      <c r="B3" s="861" t="s">
        <v>217</v>
      </c>
      <c r="C3" s="861"/>
      <c r="D3" s="861"/>
      <c r="E3" s="861"/>
      <c r="F3" s="861"/>
      <c r="G3" s="861"/>
      <c r="H3" s="861"/>
    </row>
    <row r="4" spans="1:9" x14ac:dyDescent="0.3">
      <c r="B4" s="861" t="s">
        <v>650</v>
      </c>
      <c r="C4" s="861"/>
      <c r="D4" s="861"/>
      <c r="E4" s="861"/>
      <c r="F4" s="861"/>
      <c r="G4" s="861"/>
      <c r="H4" s="861"/>
    </row>
    <row r="5" spans="1:9" x14ac:dyDescent="0.3">
      <c r="B5" s="861" t="s">
        <v>651</v>
      </c>
      <c r="C5" s="861"/>
      <c r="D5" s="861"/>
      <c r="E5" s="861"/>
      <c r="F5" s="861"/>
      <c r="G5" s="861"/>
      <c r="H5" s="861"/>
    </row>
    <row r="6" spans="1:9" x14ac:dyDescent="0.3">
      <c r="B6" s="861" t="s">
        <v>354</v>
      </c>
      <c r="C6" s="861"/>
      <c r="D6" s="861"/>
      <c r="E6" s="861"/>
      <c r="F6" s="861"/>
      <c r="G6" s="861"/>
      <c r="H6" s="861"/>
    </row>
    <row r="7" spans="1:9" ht="15.75" customHeight="1" x14ac:dyDescent="0.3">
      <c r="B7" s="863" t="s">
        <v>3</v>
      </c>
      <c r="C7" s="863"/>
      <c r="D7" s="863"/>
      <c r="E7" s="863"/>
      <c r="F7" s="863"/>
      <c r="G7" s="863"/>
      <c r="H7" s="863"/>
    </row>
    <row r="9" spans="1:9" ht="18" x14ac:dyDescent="0.3">
      <c r="A9" s="168" t="s">
        <v>4</v>
      </c>
      <c r="B9" s="188"/>
      <c r="C9" s="305" t="s">
        <v>663</v>
      </c>
      <c r="D9" s="305"/>
      <c r="E9" s="305" t="s">
        <v>297</v>
      </c>
      <c r="G9" s="305" t="s">
        <v>298</v>
      </c>
      <c r="H9" s="305"/>
      <c r="I9" s="168" t="s">
        <v>4</v>
      </c>
    </row>
    <row r="10" spans="1:9" x14ac:dyDescent="0.3">
      <c r="A10" s="168" t="s">
        <v>8</v>
      </c>
      <c r="B10" s="190" t="s">
        <v>5</v>
      </c>
      <c r="C10" s="310">
        <v>43830</v>
      </c>
      <c r="D10" s="310"/>
      <c r="E10" s="310">
        <v>44196</v>
      </c>
      <c r="F10" s="310"/>
      <c r="G10" s="190" t="s">
        <v>300</v>
      </c>
      <c r="H10" s="190" t="s">
        <v>7</v>
      </c>
      <c r="I10" s="168" t="s">
        <v>8</v>
      </c>
    </row>
    <row r="11" spans="1:9" x14ac:dyDescent="0.3">
      <c r="B11" s="188"/>
      <c r="C11" s="317"/>
      <c r="D11" s="317"/>
      <c r="E11" s="317"/>
      <c r="F11" s="317"/>
      <c r="G11" s="180"/>
      <c r="H11" s="180"/>
    </row>
    <row r="12" spans="1:9" x14ac:dyDescent="0.3">
      <c r="A12" s="168">
        <v>1</v>
      </c>
      <c r="B12" s="169" t="s">
        <v>652</v>
      </c>
      <c r="C12" s="318"/>
      <c r="D12" s="318"/>
      <c r="E12" s="318"/>
      <c r="F12" s="318"/>
      <c r="G12" s="180"/>
      <c r="H12" s="180"/>
      <c r="I12" s="168">
        <f>A12</f>
        <v>1</v>
      </c>
    </row>
    <row r="13" spans="1:9" x14ac:dyDescent="0.3">
      <c r="A13" s="168">
        <f>A12+1</f>
        <v>2</v>
      </c>
      <c r="B13" s="175" t="s">
        <v>664</v>
      </c>
      <c r="C13" s="185">
        <v>-627</v>
      </c>
      <c r="D13" s="185"/>
      <c r="E13" s="185">
        <v>-767</v>
      </c>
      <c r="F13" s="185"/>
      <c r="G13" s="314">
        <f>(C13+E13)/2</f>
        <v>-697</v>
      </c>
      <c r="H13" s="280" t="s">
        <v>345</v>
      </c>
      <c r="I13" s="168">
        <f>I12+1</f>
        <v>2</v>
      </c>
    </row>
    <row r="14" spans="1:9" x14ac:dyDescent="0.3">
      <c r="A14" s="168">
        <f t="shared" ref="A14:A30" si="0">A13+1</f>
        <v>3</v>
      </c>
      <c r="B14" s="175" t="s">
        <v>665</v>
      </c>
      <c r="C14" s="319">
        <f>C$36</f>
        <v>0.13831719144851909</v>
      </c>
      <c r="D14" s="215"/>
      <c r="E14" s="319">
        <v>0.13770791410874658</v>
      </c>
      <c r="F14" s="215"/>
      <c r="G14" s="237">
        <f>(C14+E14)/2</f>
        <v>0.13801255277863284</v>
      </c>
      <c r="H14" s="280" t="s">
        <v>666</v>
      </c>
      <c r="I14" s="168">
        <f t="shared" ref="I14:I30" si="1">I13+1</f>
        <v>3</v>
      </c>
    </row>
    <row r="15" spans="1:9" ht="16.2" thickBot="1" x14ac:dyDescent="0.35">
      <c r="A15" s="168">
        <f t="shared" si="0"/>
        <v>4</v>
      </c>
      <c r="B15" s="184" t="s">
        <v>667</v>
      </c>
      <c r="C15" s="320">
        <f>C13*C14</f>
        <v>-86.724879038221474</v>
      </c>
      <c r="D15" s="179"/>
      <c r="E15" s="320">
        <f>E13*E14</f>
        <v>-105.62197012140862</v>
      </c>
      <c r="F15" s="178"/>
      <c r="G15" s="320">
        <f>G13*G14</f>
        <v>-96.194749286707079</v>
      </c>
      <c r="H15" s="321" t="s">
        <v>668</v>
      </c>
      <c r="I15" s="168">
        <f t="shared" si="1"/>
        <v>4</v>
      </c>
    </row>
    <row r="16" spans="1:9" ht="16.2" thickTop="1" x14ac:dyDescent="0.3">
      <c r="A16" s="168">
        <f t="shared" si="0"/>
        <v>5</v>
      </c>
      <c r="C16" s="322"/>
      <c r="D16" s="322"/>
      <c r="E16" s="322"/>
      <c r="F16" s="322"/>
      <c r="G16" s="322"/>
      <c r="H16" s="322"/>
      <c r="I16" s="168">
        <f t="shared" si="1"/>
        <v>5</v>
      </c>
    </row>
    <row r="17" spans="1:9" x14ac:dyDescent="0.3">
      <c r="A17" s="168">
        <f t="shared" si="0"/>
        <v>6</v>
      </c>
      <c r="B17" s="175" t="s">
        <v>654</v>
      </c>
      <c r="C17" s="318"/>
      <c r="D17" s="318"/>
      <c r="E17" s="318"/>
      <c r="F17" s="318"/>
      <c r="G17" s="180"/>
      <c r="H17" s="180"/>
      <c r="I17" s="168">
        <f t="shared" si="1"/>
        <v>6</v>
      </c>
    </row>
    <row r="18" spans="1:9" x14ac:dyDescent="0.3">
      <c r="A18" s="168">
        <f t="shared" si="0"/>
        <v>7</v>
      </c>
      <c r="B18" s="175" t="s">
        <v>669</v>
      </c>
      <c r="C18" s="314">
        <v>-22291</v>
      </c>
      <c r="D18" s="314"/>
      <c r="E18" s="314">
        <v>-21021</v>
      </c>
      <c r="F18" s="314"/>
      <c r="G18" s="314">
        <f>(C18+E18)/2</f>
        <v>-21656</v>
      </c>
      <c r="H18" s="280" t="s">
        <v>345</v>
      </c>
      <c r="I18" s="168">
        <f t="shared" si="1"/>
        <v>7</v>
      </c>
    </row>
    <row r="19" spans="1:9" x14ac:dyDescent="0.3">
      <c r="A19" s="168">
        <f t="shared" si="0"/>
        <v>8</v>
      </c>
      <c r="B19" s="175" t="s">
        <v>665</v>
      </c>
      <c r="C19" s="319">
        <f>C$36</f>
        <v>0.13831719144851909</v>
      </c>
      <c r="D19" s="179"/>
      <c r="E19" s="237">
        <v>0.13770791410874658</v>
      </c>
      <c r="F19" s="179"/>
      <c r="G19" s="237">
        <f>(C19+E19)/2</f>
        <v>0.13801255277863284</v>
      </c>
      <c r="H19" s="280" t="s">
        <v>666</v>
      </c>
      <c r="I19" s="168">
        <f t="shared" si="1"/>
        <v>8</v>
      </c>
    </row>
    <row r="20" spans="1:9" ht="16.2" thickBot="1" x14ac:dyDescent="0.35">
      <c r="A20" s="168">
        <f t="shared" si="0"/>
        <v>9</v>
      </c>
      <c r="B20" s="184" t="s">
        <v>670</v>
      </c>
      <c r="C20" s="320">
        <f>(C18*C19)</f>
        <v>-3083.2285145789392</v>
      </c>
      <c r="D20" s="179"/>
      <c r="E20" s="320">
        <f>E18*E19</f>
        <v>-2894.7580624799621</v>
      </c>
      <c r="F20" s="178"/>
      <c r="G20" s="320">
        <f>G18*G19</f>
        <v>-2988.7998429740728</v>
      </c>
      <c r="H20" s="321" t="s">
        <v>94</v>
      </c>
      <c r="I20" s="168">
        <f t="shared" si="1"/>
        <v>9</v>
      </c>
    </row>
    <row r="21" spans="1:9" ht="16.2" thickTop="1" x14ac:dyDescent="0.3">
      <c r="A21" s="168">
        <f t="shared" si="0"/>
        <v>10</v>
      </c>
      <c r="I21" s="168">
        <f t="shared" si="1"/>
        <v>10</v>
      </c>
    </row>
    <row r="22" spans="1:9" x14ac:dyDescent="0.3">
      <c r="A22" s="168">
        <f t="shared" si="0"/>
        <v>11</v>
      </c>
      <c r="B22" s="169" t="s">
        <v>656</v>
      </c>
      <c r="C22" s="318"/>
      <c r="D22" s="318"/>
      <c r="E22" s="318"/>
      <c r="F22" s="318"/>
      <c r="G22" s="180"/>
      <c r="H22" s="168"/>
      <c r="I22" s="168">
        <f t="shared" si="1"/>
        <v>11</v>
      </c>
    </row>
    <row r="23" spans="1:9" x14ac:dyDescent="0.3">
      <c r="A23" s="168">
        <f t="shared" si="0"/>
        <v>12</v>
      </c>
      <c r="B23" s="175" t="s">
        <v>671</v>
      </c>
      <c r="C23" s="185">
        <v>-9139</v>
      </c>
      <c r="D23" s="185"/>
      <c r="E23" s="185">
        <v>5432</v>
      </c>
      <c r="F23" s="185"/>
      <c r="G23" s="314">
        <f>(C23+E23)/2</f>
        <v>-1853.5</v>
      </c>
      <c r="H23" s="280" t="s">
        <v>345</v>
      </c>
      <c r="I23" s="168">
        <f t="shared" si="1"/>
        <v>12</v>
      </c>
    </row>
    <row r="24" spans="1:9" x14ac:dyDescent="0.3">
      <c r="A24" s="168">
        <f t="shared" si="0"/>
        <v>13</v>
      </c>
      <c r="B24" s="175" t="s">
        <v>665</v>
      </c>
      <c r="C24" s="319">
        <f>C$36</f>
        <v>0.13831719144851909</v>
      </c>
      <c r="D24" s="179"/>
      <c r="E24" s="319">
        <v>0.13770791410874658</v>
      </c>
      <c r="F24" s="215"/>
      <c r="G24" s="237">
        <f>(C24+E24)/2</f>
        <v>0.13801255277863284</v>
      </c>
      <c r="H24" s="280" t="s">
        <v>666</v>
      </c>
      <c r="I24" s="168">
        <f t="shared" si="1"/>
        <v>13</v>
      </c>
    </row>
    <row r="25" spans="1:9" ht="16.2" thickBot="1" x14ac:dyDescent="0.35">
      <c r="A25" s="168">
        <f t="shared" si="0"/>
        <v>14</v>
      </c>
      <c r="B25" s="184" t="s">
        <v>672</v>
      </c>
      <c r="C25" s="320">
        <f>C23*C24</f>
        <v>-1264.080812648016</v>
      </c>
      <c r="D25" s="179"/>
      <c r="E25" s="320">
        <f>E23*E24</f>
        <v>748.02938943871141</v>
      </c>
      <c r="F25" s="178"/>
      <c r="G25" s="320">
        <f>G23*G24</f>
        <v>-255.80626657519596</v>
      </c>
      <c r="H25" s="321" t="s">
        <v>673</v>
      </c>
      <c r="I25" s="168">
        <f t="shared" si="1"/>
        <v>14</v>
      </c>
    </row>
    <row r="26" spans="1:9" ht="16.2" thickTop="1" x14ac:dyDescent="0.3">
      <c r="A26" s="168">
        <f t="shared" si="0"/>
        <v>15</v>
      </c>
      <c r="I26" s="168">
        <f t="shared" si="1"/>
        <v>15</v>
      </c>
    </row>
    <row r="27" spans="1:9" x14ac:dyDescent="0.3">
      <c r="A27" s="168">
        <f t="shared" si="0"/>
        <v>16</v>
      </c>
      <c r="B27" s="169" t="s">
        <v>658</v>
      </c>
      <c r="C27" s="318"/>
      <c r="D27" s="318"/>
      <c r="E27" s="318"/>
      <c r="F27" s="318"/>
      <c r="G27" s="180"/>
      <c r="H27" s="168"/>
      <c r="I27" s="168">
        <f t="shared" si="1"/>
        <v>16</v>
      </c>
    </row>
    <row r="28" spans="1:9" x14ac:dyDescent="0.3">
      <c r="A28" s="168">
        <f t="shared" si="0"/>
        <v>17</v>
      </c>
      <c r="B28" s="175" t="s">
        <v>674</v>
      </c>
      <c r="C28" s="185">
        <v>-23519</v>
      </c>
      <c r="D28" s="185"/>
      <c r="E28" s="185">
        <v>-29735</v>
      </c>
      <c r="F28" s="185"/>
      <c r="G28" s="314">
        <f>(C28+E28)/2</f>
        <v>-26627</v>
      </c>
      <c r="H28" s="280" t="s">
        <v>345</v>
      </c>
      <c r="I28" s="168">
        <f t="shared" si="1"/>
        <v>17</v>
      </c>
    </row>
    <row r="29" spans="1:9" x14ac:dyDescent="0.3">
      <c r="A29" s="168">
        <f t="shared" si="0"/>
        <v>18</v>
      </c>
      <c r="B29" s="175" t="s">
        <v>665</v>
      </c>
      <c r="C29" s="319">
        <f>C$36</f>
        <v>0.13831719144851909</v>
      </c>
      <c r="D29" s="179"/>
      <c r="E29" s="319">
        <v>0.13770791410874658</v>
      </c>
      <c r="F29" s="215"/>
      <c r="G29" s="237">
        <f>(C29+E29)/2</f>
        <v>0.13801255277863284</v>
      </c>
      <c r="H29" s="280" t="s">
        <v>666</v>
      </c>
      <c r="I29" s="168">
        <f t="shared" si="1"/>
        <v>18</v>
      </c>
    </row>
    <row r="30" spans="1:9" ht="16.2" thickBot="1" x14ac:dyDescent="0.35">
      <c r="A30" s="168">
        <f t="shared" si="0"/>
        <v>19</v>
      </c>
      <c r="B30" s="184" t="s">
        <v>675</v>
      </c>
      <c r="C30" s="320">
        <f>C28*C29</f>
        <v>-3253.0820256777206</v>
      </c>
      <c r="D30" s="179"/>
      <c r="E30" s="320">
        <f>E28*E29</f>
        <v>-4094.7448260235797</v>
      </c>
      <c r="F30" s="178"/>
      <c r="G30" s="320">
        <f>G28*G29</f>
        <v>-3674.8602428366567</v>
      </c>
      <c r="H30" s="321" t="s">
        <v>63</v>
      </c>
      <c r="I30" s="168">
        <f t="shared" si="1"/>
        <v>19</v>
      </c>
    </row>
    <row r="31" spans="1:9" ht="16.2" thickTop="1" x14ac:dyDescent="0.3">
      <c r="B31" s="184"/>
      <c r="C31" s="178"/>
      <c r="D31" s="179"/>
      <c r="E31" s="178"/>
      <c r="F31" s="178"/>
      <c r="G31" s="178"/>
      <c r="H31" s="321"/>
    </row>
    <row r="33" spans="1:9" ht="18" x14ac:dyDescent="0.3">
      <c r="A33" s="305" t="s">
        <v>676</v>
      </c>
      <c r="B33" s="169" t="s">
        <v>677</v>
      </c>
    </row>
    <row r="34" spans="1:9" x14ac:dyDescent="0.3">
      <c r="A34" s="168" t="s">
        <v>678</v>
      </c>
      <c r="B34" s="169" t="s">
        <v>679</v>
      </c>
      <c r="C34" s="237">
        <v>0.72219999999999995</v>
      </c>
      <c r="E34" s="182"/>
      <c r="H34" s="2" t="s">
        <v>680</v>
      </c>
      <c r="I34" s="168" t="s">
        <v>678</v>
      </c>
    </row>
    <row r="35" spans="1:9" x14ac:dyDescent="0.3">
      <c r="A35" s="168" t="s">
        <v>681</v>
      </c>
      <c r="B35" s="169" t="s">
        <v>412</v>
      </c>
      <c r="C35" s="237">
        <v>0.19152200422115631</v>
      </c>
      <c r="H35" s="168" t="s">
        <v>682</v>
      </c>
      <c r="I35" s="168" t="s">
        <v>681</v>
      </c>
    </row>
    <row r="36" spans="1:9" ht="16.2" thickBot="1" x14ac:dyDescent="0.35">
      <c r="A36" s="168" t="s">
        <v>683</v>
      </c>
      <c r="B36" s="169" t="s">
        <v>665</v>
      </c>
      <c r="C36" s="323">
        <f>C34*C35</f>
        <v>0.13831719144851909</v>
      </c>
      <c r="H36" s="168" t="s">
        <v>684</v>
      </c>
      <c r="I36" s="168" t="s">
        <v>683</v>
      </c>
    </row>
    <row r="37" spans="1:9" ht="16.2" thickTop="1" x14ac:dyDescent="0.3"/>
    <row r="39" spans="1:9" x14ac:dyDescent="0.3">
      <c r="H39" s="168"/>
      <c r="I39" s="169"/>
    </row>
  </sheetData>
  <mergeCells count="5">
    <mergeCell ref="B3:H3"/>
    <mergeCell ref="B4:H4"/>
    <mergeCell ref="B5:H5"/>
    <mergeCell ref="B6:H6"/>
    <mergeCell ref="B7:H7"/>
  </mergeCells>
  <printOptions horizontalCentered="1"/>
  <pageMargins left="0.25" right="0.25" top="0.5" bottom="0.5" header="0.35" footer="0.25"/>
  <pageSetup scale="72" orientation="landscape" horizontalDpi="200" verticalDpi="200" r:id="rId1"/>
  <headerFooter scaleWithDoc="0" alignWithMargins="0">
    <oddHeader>&amp;C&amp;"Times New Roman,Bold"&amp;8AS FILED</oddHeader>
    <oddFooter>&amp;CPage 10.3A&amp;R&amp;F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1AA7-7054-415F-B2F3-5875287A67F9}">
  <sheetPr codeName="Sheet10"/>
  <dimension ref="A1:L261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55.44140625" style="169" customWidth="1"/>
    <col min="3" max="3" width="18.109375" style="169" customWidth="1"/>
    <col min="4" max="5" width="15.5546875" style="169" customWidth="1"/>
    <col min="6" max="6" width="1.5546875" style="169" customWidth="1"/>
    <col min="7" max="7" width="18.109375" style="169" customWidth="1"/>
    <col min="8" max="8" width="1.5546875" style="169" customWidth="1"/>
    <col min="9" max="9" width="48.109375" style="227" customWidth="1"/>
    <col min="10" max="10" width="5.109375" style="169" customWidth="1"/>
    <col min="11" max="11" width="16.109375" style="169" bestFit="1" customWidth="1"/>
    <col min="12" max="12" width="10.44140625" style="169" bestFit="1" customWidth="1"/>
    <col min="13" max="16384" width="8.88671875" style="169"/>
  </cols>
  <sheetData>
    <row r="1" spans="1:10" x14ac:dyDescent="0.3">
      <c r="I1" s="101"/>
    </row>
    <row r="2" spans="1:10" x14ac:dyDescent="0.3">
      <c r="B2" s="861" t="s">
        <v>217</v>
      </c>
      <c r="C2" s="861"/>
      <c r="D2" s="861"/>
      <c r="E2" s="861"/>
      <c r="F2" s="861"/>
      <c r="G2" s="861"/>
      <c r="H2" s="861"/>
      <c r="I2" s="861"/>
      <c r="J2" s="168"/>
    </row>
    <row r="3" spans="1:10" x14ac:dyDescent="0.3">
      <c r="B3" s="861" t="s">
        <v>685</v>
      </c>
      <c r="C3" s="861"/>
      <c r="D3" s="861"/>
      <c r="E3" s="861"/>
      <c r="F3" s="861"/>
      <c r="G3" s="861"/>
      <c r="H3" s="861"/>
      <c r="I3" s="861"/>
      <c r="J3" s="168"/>
    </row>
    <row r="4" spans="1:10" x14ac:dyDescent="0.3">
      <c r="B4" s="861" t="s">
        <v>686</v>
      </c>
      <c r="C4" s="861"/>
      <c r="D4" s="861"/>
      <c r="E4" s="861"/>
      <c r="F4" s="861"/>
      <c r="G4" s="861"/>
      <c r="H4" s="861"/>
      <c r="I4" s="861"/>
      <c r="J4" s="168"/>
    </row>
    <row r="5" spans="1:10" x14ac:dyDescent="0.3">
      <c r="B5" s="862" t="s">
        <v>294</v>
      </c>
      <c r="C5" s="862"/>
      <c r="D5" s="862"/>
      <c r="E5" s="862"/>
      <c r="F5" s="862"/>
      <c r="G5" s="862"/>
      <c r="H5" s="862"/>
      <c r="I5" s="862"/>
      <c r="J5" s="168"/>
    </row>
    <row r="6" spans="1:10" x14ac:dyDescent="0.3">
      <c r="B6" s="863" t="s">
        <v>3</v>
      </c>
      <c r="C6" s="864"/>
      <c r="D6" s="864"/>
      <c r="E6" s="864"/>
      <c r="F6" s="864"/>
      <c r="G6" s="864"/>
      <c r="H6" s="864"/>
      <c r="I6" s="864"/>
      <c r="J6" s="168"/>
    </row>
    <row r="7" spans="1:10" x14ac:dyDescent="0.3">
      <c r="B7" s="168"/>
      <c r="C7" s="168"/>
      <c r="D7" s="168"/>
      <c r="E7" s="168"/>
      <c r="F7" s="168"/>
      <c r="G7" s="168"/>
      <c r="H7" s="168"/>
      <c r="I7" s="180"/>
      <c r="J7" s="168"/>
    </row>
    <row r="8" spans="1:10" x14ac:dyDescent="0.3">
      <c r="A8" s="168" t="s">
        <v>4</v>
      </c>
      <c r="B8" s="171"/>
      <c r="C8" s="171"/>
      <c r="D8" s="171"/>
      <c r="E8" s="168" t="s">
        <v>295</v>
      </c>
      <c r="F8" s="171"/>
      <c r="G8" s="171"/>
      <c r="H8" s="171"/>
      <c r="I8" s="180"/>
      <c r="J8" s="168" t="s">
        <v>4</v>
      </c>
    </row>
    <row r="9" spans="1:10" x14ac:dyDescent="0.3">
      <c r="A9" s="172" t="s">
        <v>8</v>
      </c>
      <c r="B9" s="168"/>
      <c r="C9" s="168"/>
      <c r="D9" s="168"/>
      <c r="E9" s="172" t="s">
        <v>299</v>
      </c>
      <c r="F9" s="168"/>
      <c r="G9" s="173" t="s">
        <v>6</v>
      </c>
      <c r="H9" s="171"/>
      <c r="I9" s="194" t="s">
        <v>7</v>
      </c>
      <c r="J9" s="172" t="s">
        <v>8</v>
      </c>
    </row>
    <row r="10" spans="1:10" x14ac:dyDescent="0.3">
      <c r="A10" s="168">
        <v>1</v>
      </c>
      <c r="B10" s="174" t="s">
        <v>687</v>
      </c>
      <c r="I10" s="180"/>
      <c r="J10" s="168">
        <f>A10</f>
        <v>1</v>
      </c>
    </row>
    <row r="11" spans="1:10" x14ac:dyDescent="0.3">
      <c r="A11" s="168">
        <f>A10+1</f>
        <v>2</v>
      </c>
      <c r="B11" s="169" t="s">
        <v>688</v>
      </c>
      <c r="E11" s="168" t="s">
        <v>689</v>
      </c>
      <c r="F11" s="195"/>
      <c r="G11" s="196">
        <v>6053573</v>
      </c>
      <c r="H11" s="171"/>
      <c r="I11" s="197"/>
      <c r="J11" s="168">
        <f>J10+1</f>
        <v>2</v>
      </c>
    </row>
    <row r="12" spans="1:10" x14ac:dyDescent="0.3">
      <c r="A12" s="168">
        <f t="shared" ref="A12:A51" si="0">A11+1</f>
        <v>3</v>
      </c>
      <c r="B12" s="169" t="s">
        <v>690</v>
      </c>
      <c r="E12" s="168" t="s">
        <v>691</v>
      </c>
      <c r="F12" s="195"/>
      <c r="G12" s="198">
        <v>0</v>
      </c>
      <c r="H12" s="171"/>
      <c r="I12" s="197"/>
      <c r="J12" s="168">
        <f t="shared" ref="J12:J51" si="1">J11+1</f>
        <v>3</v>
      </c>
    </row>
    <row r="13" spans="1:10" x14ac:dyDescent="0.3">
      <c r="A13" s="168">
        <f t="shared" si="0"/>
        <v>4</v>
      </c>
      <c r="B13" s="169" t="s">
        <v>692</v>
      </c>
      <c r="E13" s="168" t="s">
        <v>693</v>
      </c>
      <c r="F13" s="195"/>
      <c r="G13" s="177">
        <v>0</v>
      </c>
      <c r="H13" s="171"/>
      <c r="I13" s="197"/>
      <c r="J13" s="168">
        <f t="shared" si="1"/>
        <v>4</v>
      </c>
    </row>
    <row r="14" spans="1:10" x14ac:dyDescent="0.3">
      <c r="A14" s="168">
        <f t="shared" si="0"/>
        <v>5</v>
      </c>
      <c r="B14" s="169" t="s">
        <v>694</v>
      </c>
      <c r="E14" s="168" t="s">
        <v>695</v>
      </c>
      <c r="F14" s="195"/>
      <c r="G14" s="177">
        <v>0</v>
      </c>
      <c r="H14" s="171"/>
      <c r="I14" s="197"/>
      <c r="J14" s="168">
        <f t="shared" si="1"/>
        <v>5</v>
      </c>
    </row>
    <row r="15" spans="1:10" x14ac:dyDescent="0.3">
      <c r="A15" s="168">
        <f t="shared" si="0"/>
        <v>6</v>
      </c>
      <c r="B15" s="169" t="s">
        <v>696</v>
      </c>
      <c r="E15" s="168" t="s">
        <v>697</v>
      </c>
      <c r="F15" s="195"/>
      <c r="G15" s="183">
        <v>-13172.642</v>
      </c>
      <c r="H15" s="171"/>
      <c r="I15" s="197"/>
      <c r="J15" s="168">
        <f t="shared" si="1"/>
        <v>6</v>
      </c>
    </row>
    <row r="16" spans="1:10" x14ac:dyDescent="0.3">
      <c r="A16" s="168">
        <f t="shared" si="0"/>
        <v>7</v>
      </c>
      <c r="B16" s="169" t="s">
        <v>698</v>
      </c>
      <c r="G16" s="199">
        <f>SUM(G11:G15)</f>
        <v>6040400.358</v>
      </c>
      <c r="H16" s="193"/>
      <c r="I16" s="180" t="s">
        <v>342</v>
      </c>
      <c r="J16" s="168">
        <f t="shared" si="1"/>
        <v>7</v>
      </c>
    </row>
    <row r="17" spans="1:10" x14ac:dyDescent="0.3">
      <c r="A17" s="168">
        <f t="shared" si="0"/>
        <v>8</v>
      </c>
      <c r="I17" s="180"/>
      <c r="J17" s="168">
        <f t="shared" si="1"/>
        <v>8</v>
      </c>
    </row>
    <row r="18" spans="1:10" x14ac:dyDescent="0.3">
      <c r="A18" s="168">
        <f t="shared" si="0"/>
        <v>9</v>
      </c>
      <c r="B18" s="174" t="s">
        <v>699</v>
      </c>
      <c r="G18" s="179"/>
      <c r="H18" s="179"/>
      <c r="I18" s="180"/>
      <c r="J18" s="168">
        <f t="shared" si="1"/>
        <v>9</v>
      </c>
    </row>
    <row r="19" spans="1:10" x14ac:dyDescent="0.3">
      <c r="A19" s="168">
        <f t="shared" si="0"/>
        <v>10</v>
      </c>
      <c r="B19" s="169" t="s">
        <v>700</v>
      </c>
      <c r="E19" s="168" t="s">
        <v>701</v>
      </c>
      <c r="F19" s="195"/>
      <c r="G19" s="196">
        <v>233778.584</v>
      </c>
      <c r="H19" s="171"/>
      <c r="I19" s="200"/>
      <c r="J19" s="168">
        <f t="shared" si="1"/>
        <v>10</v>
      </c>
    </row>
    <row r="20" spans="1:10" x14ac:dyDescent="0.3">
      <c r="A20" s="168">
        <f t="shared" si="0"/>
        <v>11</v>
      </c>
      <c r="B20" s="169" t="s">
        <v>702</v>
      </c>
      <c r="E20" s="168" t="s">
        <v>703</v>
      </c>
      <c r="F20" s="195"/>
      <c r="G20" s="198">
        <v>4107.085</v>
      </c>
      <c r="H20" s="171"/>
      <c r="I20" s="200"/>
      <c r="J20" s="168">
        <f t="shared" si="1"/>
        <v>11</v>
      </c>
    </row>
    <row r="21" spans="1:10" x14ac:dyDescent="0.3">
      <c r="A21" s="168">
        <f t="shared" si="0"/>
        <v>12</v>
      </c>
      <c r="B21" s="169" t="s">
        <v>704</v>
      </c>
      <c r="E21" s="168" t="s">
        <v>705</v>
      </c>
      <c r="F21" s="195"/>
      <c r="G21" s="198">
        <v>1449.7840000000001</v>
      </c>
      <c r="H21" s="171"/>
      <c r="I21" s="200"/>
      <c r="J21" s="168">
        <f t="shared" si="1"/>
        <v>12</v>
      </c>
    </row>
    <row r="22" spans="1:10" ht="16.5" customHeight="1" x14ac:dyDescent="0.3">
      <c r="A22" s="168">
        <f t="shared" si="0"/>
        <v>13</v>
      </c>
      <c r="B22" s="169" t="s">
        <v>706</v>
      </c>
      <c r="E22" s="168" t="s">
        <v>707</v>
      </c>
      <c r="F22" s="195"/>
      <c r="G22" s="198">
        <v>0</v>
      </c>
      <c r="H22" s="171"/>
      <c r="I22" s="200"/>
      <c r="J22" s="168">
        <f t="shared" si="1"/>
        <v>13</v>
      </c>
    </row>
    <row r="23" spans="1:10" x14ac:dyDescent="0.3">
      <c r="A23" s="168">
        <f t="shared" si="0"/>
        <v>14</v>
      </c>
      <c r="B23" s="169" t="s">
        <v>708</v>
      </c>
      <c r="E23" s="168" t="s">
        <v>709</v>
      </c>
      <c r="F23" s="195"/>
      <c r="G23" s="183">
        <v>0</v>
      </c>
      <c r="H23" s="171"/>
      <c r="I23" s="200"/>
      <c r="J23" s="168">
        <f t="shared" si="1"/>
        <v>14</v>
      </c>
    </row>
    <row r="24" spans="1:10" x14ac:dyDescent="0.3">
      <c r="A24" s="168">
        <f t="shared" si="0"/>
        <v>15</v>
      </c>
      <c r="B24" s="169" t="s">
        <v>710</v>
      </c>
      <c r="G24" s="201">
        <f>SUM(G19:G23)</f>
        <v>239335.45300000001</v>
      </c>
      <c r="H24" s="202"/>
      <c r="I24" s="180" t="s">
        <v>711</v>
      </c>
      <c r="J24" s="168">
        <f t="shared" si="1"/>
        <v>15</v>
      </c>
    </row>
    <row r="25" spans="1:10" x14ac:dyDescent="0.3">
      <c r="A25" s="168">
        <f t="shared" si="0"/>
        <v>16</v>
      </c>
      <c r="I25" s="180"/>
      <c r="J25" s="168">
        <f t="shared" si="1"/>
        <v>16</v>
      </c>
    </row>
    <row r="26" spans="1:10" ht="16.2" thickBot="1" x14ac:dyDescent="0.35">
      <c r="A26" s="168">
        <f t="shared" si="0"/>
        <v>17</v>
      </c>
      <c r="B26" s="174" t="s">
        <v>712</v>
      </c>
      <c r="G26" s="203">
        <f>G24/G16</f>
        <v>3.9622448648295373E-2</v>
      </c>
      <c r="H26" s="204"/>
      <c r="I26" s="180" t="s">
        <v>713</v>
      </c>
      <c r="J26" s="168">
        <f t="shared" si="1"/>
        <v>17</v>
      </c>
    </row>
    <row r="27" spans="1:10" ht="16.2" thickTop="1" x14ac:dyDescent="0.3">
      <c r="A27" s="168">
        <f t="shared" si="0"/>
        <v>18</v>
      </c>
      <c r="I27" s="180"/>
      <c r="J27" s="168">
        <f t="shared" si="1"/>
        <v>18</v>
      </c>
    </row>
    <row r="28" spans="1:10" x14ac:dyDescent="0.3">
      <c r="A28" s="168">
        <f t="shared" si="0"/>
        <v>19</v>
      </c>
      <c r="B28" s="174" t="s">
        <v>714</v>
      </c>
      <c r="I28" s="180"/>
      <c r="J28" s="168">
        <f t="shared" si="1"/>
        <v>19</v>
      </c>
    </row>
    <row r="29" spans="1:10" x14ac:dyDescent="0.3">
      <c r="A29" s="168">
        <f t="shared" si="0"/>
        <v>20</v>
      </c>
      <c r="B29" s="169" t="s">
        <v>715</v>
      </c>
      <c r="E29" s="168" t="s">
        <v>716</v>
      </c>
      <c r="F29" s="195"/>
      <c r="G29" s="196">
        <v>0</v>
      </c>
      <c r="H29" s="171"/>
      <c r="I29" s="200"/>
      <c r="J29" s="168">
        <f t="shared" si="1"/>
        <v>20</v>
      </c>
    </row>
    <row r="30" spans="1:10" x14ac:dyDescent="0.3">
      <c r="A30" s="168">
        <f t="shared" si="0"/>
        <v>21</v>
      </c>
      <c r="B30" s="169" t="s">
        <v>717</v>
      </c>
      <c r="E30" s="168" t="s">
        <v>718</v>
      </c>
      <c r="F30" s="195"/>
      <c r="G30" s="205">
        <v>0</v>
      </c>
      <c r="H30" s="171"/>
      <c r="I30" s="200"/>
      <c r="J30" s="168">
        <f t="shared" si="1"/>
        <v>21</v>
      </c>
    </row>
    <row r="31" spans="1:10" ht="16.2" thickBot="1" x14ac:dyDescent="0.35">
      <c r="A31" s="168">
        <f t="shared" si="0"/>
        <v>22</v>
      </c>
      <c r="B31" s="169" t="s">
        <v>719</v>
      </c>
      <c r="G31" s="203">
        <f>IFERROR((G30/G29),0)</f>
        <v>0</v>
      </c>
      <c r="H31" s="204"/>
      <c r="I31" s="180" t="s">
        <v>720</v>
      </c>
      <c r="J31" s="168">
        <f t="shared" si="1"/>
        <v>22</v>
      </c>
    </row>
    <row r="32" spans="1:10" ht="16.2" thickTop="1" x14ac:dyDescent="0.3">
      <c r="A32" s="168">
        <f t="shared" si="0"/>
        <v>23</v>
      </c>
      <c r="I32" s="180"/>
      <c r="J32" s="168">
        <f t="shared" si="1"/>
        <v>23</v>
      </c>
    </row>
    <row r="33" spans="1:11" x14ac:dyDescent="0.3">
      <c r="A33" s="168">
        <f t="shared" si="0"/>
        <v>24</v>
      </c>
      <c r="B33" s="174" t="s">
        <v>721</v>
      </c>
      <c r="I33" s="180"/>
      <c r="J33" s="168">
        <f t="shared" si="1"/>
        <v>24</v>
      </c>
    </row>
    <row r="34" spans="1:11" x14ac:dyDescent="0.3">
      <c r="A34" s="168">
        <f t="shared" si="0"/>
        <v>25</v>
      </c>
      <c r="B34" s="169" t="s">
        <v>722</v>
      </c>
      <c r="E34" s="168" t="s">
        <v>723</v>
      </c>
      <c r="F34" s="195"/>
      <c r="G34" s="196">
        <v>7729413.6809999999</v>
      </c>
      <c r="H34" s="171"/>
      <c r="I34" s="200"/>
      <c r="J34" s="168">
        <f t="shared" si="1"/>
        <v>25</v>
      </c>
      <c r="K34" s="182"/>
    </row>
    <row r="35" spans="1:11" x14ac:dyDescent="0.3">
      <c r="A35" s="168">
        <f t="shared" si="0"/>
        <v>26</v>
      </c>
      <c r="B35" s="169" t="s">
        <v>724</v>
      </c>
      <c r="E35" s="168" t="s">
        <v>716</v>
      </c>
      <c r="G35" s="206">
        <f>-G29</f>
        <v>0</v>
      </c>
      <c r="H35" s="206"/>
      <c r="I35" s="180" t="s">
        <v>725</v>
      </c>
      <c r="J35" s="168">
        <f t="shared" si="1"/>
        <v>26</v>
      </c>
    </row>
    <row r="36" spans="1:11" x14ac:dyDescent="0.3">
      <c r="A36" s="168">
        <f t="shared" si="0"/>
        <v>27</v>
      </c>
      <c r="B36" s="169" t="s">
        <v>726</v>
      </c>
      <c r="E36" s="168" t="s">
        <v>727</v>
      </c>
      <c r="G36" s="177">
        <v>0</v>
      </c>
      <c r="H36" s="171"/>
      <c r="I36" s="200"/>
      <c r="J36" s="168">
        <f t="shared" si="1"/>
        <v>27</v>
      </c>
    </row>
    <row r="37" spans="1:11" x14ac:dyDescent="0.3">
      <c r="A37" s="168">
        <f t="shared" si="0"/>
        <v>28</v>
      </c>
      <c r="B37" s="169" t="s">
        <v>728</v>
      </c>
      <c r="E37" s="168" t="s">
        <v>729</v>
      </c>
      <c r="G37" s="177">
        <v>10034.102000000001</v>
      </c>
      <c r="H37" s="171"/>
      <c r="I37" s="200"/>
      <c r="J37" s="168">
        <f t="shared" si="1"/>
        <v>28</v>
      </c>
    </row>
    <row r="38" spans="1:11" ht="16.2" thickBot="1" x14ac:dyDescent="0.35">
      <c r="A38" s="168">
        <f t="shared" si="0"/>
        <v>29</v>
      </c>
      <c r="B38" s="169" t="s">
        <v>730</v>
      </c>
      <c r="G38" s="207">
        <f>SUM(G34:G37)</f>
        <v>7739447.7829999998</v>
      </c>
      <c r="H38" s="208"/>
      <c r="I38" s="180" t="s">
        <v>731</v>
      </c>
      <c r="J38" s="168">
        <f t="shared" si="1"/>
        <v>29</v>
      </c>
    </row>
    <row r="39" spans="1:11" ht="16.8" thickTop="1" thickBot="1" x14ac:dyDescent="0.35">
      <c r="A39" s="209">
        <f t="shared" si="0"/>
        <v>30</v>
      </c>
      <c r="B39" s="191"/>
      <c r="C39" s="191"/>
      <c r="D39" s="191"/>
      <c r="E39" s="191"/>
      <c r="F39" s="191"/>
      <c r="G39" s="191"/>
      <c r="H39" s="191"/>
      <c r="I39" s="210"/>
      <c r="J39" s="209">
        <f t="shared" si="1"/>
        <v>30</v>
      </c>
    </row>
    <row r="40" spans="1:11" x14ac:dyDescent="0.3">
      <c r="A40" s="168">
        <f>A39+1</f>
        <v>31</v>
      </c>
      <c r="I40" s="180"/>
      <c r="J40" s="168">
        <f>J39+1</f>
        <v>31</v>
      </c>
    </row>
    <row r="41" spans="1:11" ht="16.2" thickBot="1" x14ac:dyDescent="0.35">
      <c r="A41" s="168">
        <f>A40+1</f>
        <v>32</v>
      </c>
      <c r="B41" s="174" t="s">
        <v>732</v>
      </c>
      <c r="G41" s="211">
        <v>0.10100000000000001</v>
      </c>
      <c r="H41" s="171"/>
      <c r="I41" s="180" t="s">
        <v>733</v>
      </c>
      <c r="J41" s="168">
        <f>J40+1</f>
        <v>32</v>
      </c>
    </row>
    <row r="42" spans="1:11" ht="16.2" thickTop="1" x14ac:dyDescent="0.3">
      <c r="A42" s="168">
        <f t="shared" si="0"/>
        <v>33</v>
      </c>
      <c r="C42" s="189" t="s">
        <v>296</v>
      </c>
      <c r="D42" s="189" t="s">
        <v>297</v>
      </c>
      <c r="E42" s="189" t="s">
        <v>328</v>
      </c>
      <c r="F42" s="189"/>
      <c r="G42" s="189" t="s">
        <v>734</v>
      </c>
      <c r="H42" s="189"/>
      <c r="I42" s="180"/>
      <c r="J42" s="168">
        <f t="shared" si="1"/>
        <v>33</v>
      </c>
    </row>
    <row r="43" spans="1:11" x14ac:dyDescent="0.3">
      <c r="A43" s="168">
        <f t="shared" si="0"/>
        <v>34</v>
      </c>
      <c r="D43" s="168" t="s">
        <v>735</v>
      </c>
      <c r="E43" s="168" t="s">
        <v>736</v>
      </c>
      <c r="F43" s="168"/>
      <c r="G43" s="168" t="s">
        <v>737</v>
      </c>
      <c r="H43" s="168"/>
      <c r="I43" s="180"/>
      <c r="J43" s="168">
        <f t="shared" si="1"/>
        <v>34</v>
      </c>
    </row>
    <row r="44" spans="1:11" ht="18" x14ac:dyDescent="0.3">
      <c r="A44" s="168">
        <f t="shared" si="0"/>
        <v>35</v>
      </c>
      <c r="B44" s="174" t="s">
        <v>738</v>
      </c>
      <c r="C44" s="172" t="s">
        <v>739</v>
      </c>
      <c r="D44" s="172" t="s">
        <v>740</v>
      </c>
      <c r="E44" s="172" t="s">
        <v>741</v>
      </c>
      <c r="F44" s="172"/>
      <c r="G44" s="172" t="s">
        <v>742</v>
      </c>
      <c r="H44" s="168"/>
      <c r="I44" s="180"/>
      <c r="J44" s="168">
        <f t="shared" si="1"/>
        <v>35</v>
      </c>
    </row>
    <row r="45" spans="1:11" x14ac:dyDescent="0.3">
      <c r="A45" s="168">
        <f t="shared" si="0"/>
        <v>36</v>
      </c>
      <c r="I45" s="180"/>
      <c r="J45" s="168">
        <f t="shared" si="1"/>
        <v>36</v>
      </c>
    </row>
    <row r="46" spans="1:11" x14ac:dyDescent="0.3">
      <c r="A46" s="168">
        <f t="shared" si="0"/>
        <v>37</v>
      </c>
      <c r="B46" s="169" t="s">
        <v>743</v>
      </c>
      <c r="C46" s="185">
        <f>G16</f>
        <v>6040400.358</v>
      </c>
      <c r="D46" s="212">
        <f>C46/C$49</f>
        <v>0.43835028486472494</v>
      </c>
      <c r="E46" s="213">
        <f>G26</f>
        <v>3.9622448648295373E-2</v>
      </c>
      <c r="G46" s="214">
        <f>D46*E46</f>
        <v>1.7368511652018213E-2</v>
      </c>
      <c r="H46" s="214"/>
      <c r="I46" s="180" t="s">
        <v>744</v>
      </c>
      <c r="J46" s="168">
        <f t="shared" si="1"/>
        <v>37</v>
      </c>
    </row>
    <row r="47" spans="1:11" x14ac:dyDescent="0.3">
      <c r="A47" s="168">
        <f t="shared" si="0"/>
        <v>38</v>
      </c>
      <c r="B47" s="169" t="s">
        <v>745</v>
      </c>
      <c r="C47" s="215">
        <f>G29</f>
        <v>0</v>
      </c>
      <c r="D47" s="212">
        <f>C47/C$49</f>
        <v>0</v>
      </c>
      <c r="E47" s="213">
        <f>G31</f>
        <v>0</v>
      </c>
      <c r="G47" s="214">
        <f>D47*E47</f>
        <v>0</v>
      </c>
      <c r="H47" s="214"/>
      <c r="I47" s="180" t="s">
        <v>746</v>
      </c>
      <c r="J47" s="168">
        <f t="shared" si="1"/>
        <v>38</v>
      </c>
    </row>
    <row r="48" spans="1:11" x14ac:dyDescent="0.3">
      <c r="A48" s="168">
        <f t="shared" si="0"/>
        <v>39</v>
      </c>
      <c r="B48" s="169" t="s">
        <v>747</v>
      </c>
      <c r="C48" s="215">
        <f>G38</f>
        <v>7739447.7829999998</v>
      </c>
      <c r="D48" s="216">
        <f>C48/C$49</f>
        <v>0.56164971513527517</v>
      </c>
      <c r="E48" s="217">
        <f>G41</f>
        <v>0.10100000000000001</v>
      </c>
      <c r="G48" s="218">
        <f>D48*E48</f>
        <v>5.6726621228662795E-2</v>
      </c>
      <c r="H48" s="204"/>
      <c r="I48" s="180" t="s">
        <v>748</v>
      </c>
      <c r="J48" s="168">
        <f t="shared" si="1"/>
        <v>39</v>
      </c>
    </row>
    <row r="49" spans="1:10" ht="16.2" thickBot="1" x14ac:dyDescent="0.35">
      <c r="A49" s="168">
        <f t="shared" si="0"/>
        <v>40</v>
      </c>
      <c r="B49" s="169" t="s">
        <v>749</v>
      </c>
      <c r="C49" s="219">
        <f>SUM(C46:C48)</f>
        <v>13779848.140999999</v>
      </c>
      <c r="D49" s="220">
        <f>SUM(D46:D48)</f>
        <v>1</v>
      </c>
      <c r="G49" s="203">
        <f>SUM(G46:G48)</f>
        <v>7.4095132880681008E-2</v>
      </c>
      <c r="H49" s="204"/>
      <c r="I49" s="180" t="s">
        <v>750</v>
      </c>
      <c r="J49" s="168">
        <f t="shared" si="1"/>
        <v>40</v>
      </c>
    </row>
    <row r="50" spans="1:10" ht="16.2" thickTop="1" x14ac:dyDescent="0.3">
      <c r="A50" s="168">
        <f t="shared" si="0"/>
        <v>41</v>
      </c>
      <c r="I50" s="180"/>
      <c r="J50" s="168">
        <f t="shared" si="1"/>
        <v>41</v>
      </c>
    </row>
    <row r="51" spans="1:10" ht="16.2" thickBot="1" x14ac:dyDescent="0.35">
      <c r="A51" s="168">
        <f t="shared" si="0"/>
        <v>42</v>
      </c>
      <c r="B51" s="174" t="s">
        <v>751</v>
      </c>
      <c r="G51" s="203">
        <f>G47+G48</f>
        <v>5.6726621228662795E-2</v>
      </c>
      <c r="H51" s="204"/>
      <c r="I51" s="180" t="s">
        <v>752</v>
      </c>
      <c r="J51" s="168">
        <f t="shared" si="1"/>
        <v>42</v>
      </c>
    </row>
    <row r="52" spans="1:10" ht="16.8" thickTop="1" thickBot="1" x14ac:dyDescent="0.35">
      <c r="A52" s="209">
        <f>A51+1</f>
        <v>43</v>
      </c>
      <c r="B52" s="191"/>
      <c r="C52" s="191"/>
      <c r="D52" s="191"/>
      <c r="E52" s="191"/>
      <c r="F52" s="191"/>
      <c r="G52" s="191"/>
      <c r="H52" s="191"/>
      <c r="I52" s="210"/>
      <c r="J52" s="209">
        <f>J51+1</f>
        <v>43</v>
      </c>
    </row>
    <row r="53" spans="1:10" x14ac:dyDescent="0.3">
      <c r="A53" s="168">
        <f t="shared" ref="A53:A101" si="2">A52+1</f>
        <v>44</v>
      </c>
      <c r="I53" s="180"/>
      <c r="J53" s="168">
        <f t="shared" ref="J53:J101" si="3">J52+1</f>
        <v>44</v>
      </c>
    </row>
    <row r="54" spans="1:10" ht="16.2" thickBot="1" x14ac:dyDescent="0.35">
      <c r="A54" s="168">
        <f>A53+1</f>
        <v>45</v>
      </c>
      <c r="B54" s="174" t="s">
        <v>753</v>
      </c>
      <c r="G54" s="211">
        <v>5.0000000000000001E-3</v>
      </c>
      <c r="I54" s="180" t="s">
        <v>754</v>
      </c>
      <c r="J54" s="168">
        <f>J53+1</f>
        <v>45</v>
      </c>
    </row>
    <row r="55" spans="1:10" ht="16.2" thickTop="1" x14ac:dyDescent="0.3">
      <c r="A55" s="168">
        <f t="shared" si="2"/>
        <v>46</v>
      </c>
      <c r="C55" s="189" t="s">
        <v>296</v>
      </c>
      <c r="D55" s="189" t="s">
        <v>297</v>
      </c>
      <c r="E55" s="189" t="s">
        <v>328</v>
      </c>
      <c r="F55" s="189"/>
      <c r="G55" s="189" t="s">
        <v>734</v>
      </c>
      <c r="I55" s="180"/>
      <c r="J55" s="168">
        <f t="shared" si="3"/>
        <v>46</v>
      </c>
    </row>
    <row r="56" spans="1:10" x14ac:dyDescent="0.3">
      <c r="A56" s="168">
        <f t="shared" si="2"/>
        <v>47</v>
      </c>
      <c r="D56" s="168" t="s">
        <v>735</v>
      </c>
      <c r="E56" s="168" t="s">
        <v>736</v>
      </c>
      <c r="F56" s="168"/>
      <c r="G56" s="168" t="s">
        <v>737</v>
      </c>
      <c r="I56" s="180"/>
      <c r="J56" s="168">
        <f t="shared" si="3"/>
        <v>47</v>
      </c>
    </row>
    <row r="57" spans="1:10" ht="18" x14ac:dyDescent="0.3">
      <c r="A57" s="168">
        <f t="shared" si="2"/>
        <v>48</v>
      </c>
      <c r="B57" s="174" t="s">
        <v>738</v>
      </c>
      <c r="C57" s="172" t="s">
        <v>739</v>
      </c>
      <c r="D57" s="172" t="s">
        <v>740</v>
      </c>
      <c r="E57" s="172" t="s">
        <v>741</v>
      </c>
      <c r="F57" s="172"/>
      <c r="G57" s="172" t="s">
        <v>742</v>
      </c>
      <c r="I57" s="180"/>
      <c r="J57" s="168">
        <f t="shared" si="3"/>
        <v>48</v>
      </c>
    </row>
    <row r="58" spans="1:10" x14ac:dyDescent="0.3">
      <c r="A58" s="168">
        <f t="shared" si="2"/>
        <v>49</v>
      </c>
      <c r="I58" s="180"/>
      <c r="J58" s="168">
        <f t="shared" si="3"/>
        <v>49</v>
      </c>
    </row>
    <row r="59" spans="1:10" x14ac:dyDescent="0.3">
      <c r="A59" s="168">
        <f t="shared" si="2"/>
        <v>50</v>
      </c>
      <c r="B59" s="169" t="s">
        <v>743</v>
      </c>
      <c r="C59" s="185">
        <f>G16</f>
        <v>6040400.358</v>
      </c>
      <c r="D59" s="212">
        <f>C59/C$62</f>
        <v>0.43835028486472494</v>
      </c>
      <c r="E59" s="221">
        <v>0</v>
      </c>
      <c r="G59" s="214">
        <f>D59*E59</f>
        <v>0</v>
      </c>
      <c r="I59" s="180" t="s">
        <v>755</v>
      </c>
      <c r="J59" s="168">
        <f t="shared" si="3"/>
        <v>50</v>
      </c>
    </row>
    <row r="60" spans="1:10" x14ac:dyDescent="0.3">
      <c r="A60" s="168">
        <f t="shared" si="2"/>
        <v>51</v>
      </c>
      <c r="B60" s="169" t="s">
        <v>745</v>
      </c>
      <c r="C60" s="215">
        <f>G29</f>
        <v>0</v>
      </c>
      <c r="D60" s="212">
        <f>C60/C$62</f>
        <v>0</v>
      </c>
      <c r="E60" s="221">
        <v>0</v>
      </c>
      <c r="G60" s="214">
        <f>D60*E60</f>
        <v>0</v>
      </c>
      <c r="I60" s="180" t="s">
        <v>755</v>
      </c>
      <c r="J60" s="168">
        <f t="shared" si="3"/>
        <v>51</v>
      </c>
    </row>
    <row r="61" spans="1:10" x14ac:dyDescent="0.3">
      <c r="A61" s="168">
        <f t="shared" si="2"/>
        <v>52</v>
      </c>
      <c r="B61" s="169" t="s">
        <v>747</v>
      </c>
      <c r="C61" s="215">
        <f>G38</f>
        <v>7739447.7829999998</v>
      </c>
      <c r="D61" s="216">
        <f>C61/C$62</f>
        <v>0.56164971513527517</v>
      </c>
      <c r="E61" s="217">
        <f>G54</f>
        <v>5.0000000000000001E-3</v>
      </c>
      <c r="G61" s="218">
        <f>D61*E61</f>
        <v>2.8082485756763761E-3</v>
      </c>
      <c r="I61" s="180" t="s">
        <v>756</v>
      </c>
      <c r="J61" s="168">
        <f t="shared" si="3"/>
        <v>52</v>
      </c>
    </row>
    <row r="62" spans="1:10" ht="16.2" thickBot="1" x14ac:dyDescent="0.35">
      <c r="A62" s="168">
        <f t="shared" si="2"/>
        <v>53</v>
      </c>
      <c r="B62" s="169" t="s">
        <v>749</v>
      </c>
      <c r="C62" s="219">
        <f>SUM(C59:C61)</f>
        <v>13779848.140999999</v>
      </c>
      <c r="D62" s="220">
        <f>SUM(D59:D61)</f>
        <v>1</v>
      </c>
      <c r="G62" s="203">
        <f>SUM(G59:G61)</f>
        <v>2.8082485756763761E-3</v>
      </c>
      <c r="I62" s="180" t="s">
        <v>757</v>
      </c>
      <c r="J62" s="168">
        <f t="shared" si="3"/>
        <v>53</v>
      </c>
    </row>
    <row r="63" spans="1:10" ht="16.2" thickTop="1" x14ac:dyDescent="0.3">
      <c r="A63" s="168">
        <f t="shared" si="2"/>
        <v>54</v>
      </c>
      <c r="I63" s="180"/>
      <c r="J63" s="168">
        <f t="shared" si="3"/>
        <v>54</v>
      </c>
    </row>
    <row r="64" spans="1:10" ht="16.2" thickBot="1" x14ac:dyDescent="0.35">
      <c r="A64" s="168">
        <f t="shared" si="2"/>
        <v>55</v>
      </c>
      <c r="B64" s="174" t="s">
        <v>758</v>
      </c>
      <c r="G64" s="220">
        <f>G61</f>
        <v>2.8082485756763761E-3</v>
      </c>
      <c r="I64" s="180" t="s">
        <v>759</v>
      </c>
      <c r="J64" s="168">
        <f t="shared" si="3"/>
        <v>55</v>
      </c>
    </row>
    <row r="65" spans="1:10" ht="16.2" thickTop="1" x14ac:dyDescent="0.3">
      <c r="B65" s="174"/>
      <c r="G65" s="222"/>
      <c r="I65" s="180"/>
      <c r="J65" s="168"/>
    </row>
    <row r="66" spans="1:10" ht="18" x14ac:dyDescent="0.3">
      <c r="A66" s="187">
        <v>1</v>
      </c>
      <c r="B66" s="169" t="s">
        <v>760</v>
      </c>
      <c r="G66" s="222"/>
      <c r="I66" s="180"/>
      <c r="J66" s="168"/>
    </row>
    <row r="67" spans="1:10" x14ac:dyDescent="0.3">
      <c r="B67" s="174"/>
      <c r="G67" s="222"/>
      <c r="I67" s="180"/>
      <c r="J67" s="168"/>
    </row>
    <row r="68" spans="1:10" x14ac:dyDescent="0.3">
      <c r="B68" s="174"/>
      <c r="G68" s="222"/>
      <c r="I68" s="101"/>
      <c r="J68" s="168"/>
    </row>
    <row r="69" spans="1:10" x14ac:dyDescent="0.3">
      <c r="B69" s="861" t="s">
        <v>217</v>
      </c>
      <c r="C69" s="861"/>
      <c r="D69" s="861"/>
      <c r="E69" s="861"/>
      <c r="F69" s="861"/>
      <c r="G69" s="861"/>
      <c r="H69" s="861"/>
      <c r="I69" s="861"/>
      <c r="J69" s="168"/>
    </row>
    <row r="70" spans="1:10" x14ac:dyDescent="0.3">
      <c r="B70" s="861" t="s">
        <v>685</v>
      </c>
      <c r="C70" s="861"/>
      <c r="D70" s="861"/>
      <c r="E70" s="861"/>
      <c r="F70" s="861"/>
      <c r="G70" s="861"/>
      <c r="H70" s="861"/>
      <c r="I70" s="861"/>
      <c r="J70" s="168"/>
    </row>
    <row r="71" spans="1:10" x14ac:dyDescent="0.3">
      <c r="B71" s="861" t="s">
        <v>686</v>
      </c>
      <c r="C71" s="861"/>
      <c r="D71" s="861"/>
      <c r="E71" s="861"/>
      <c r="F71" s="861"/>
      <c r="G71" s="861"/>
      <c r="H71" s="861"/>
      <c r="I71" s="861"/>
      <c r="J71" s="168"/>
    </row>
    <row r="72" spans="1:10" x14ac:dyDescent="0.3">
      <c r="B72" s="862" t="str">
        <f>B5</f>
        <v>Base Period &amp; True-Up Period 12 - Months Ending December 31, 2020</v>
      </c>
      <c r="C72" s="862"/>
      <c r="D72" s="862"/>
      <c r="E72" s="862"/>
      <c r="F72" s="862"/>
      <c r="G72" s="862"/>
      <c r="H72" s="862"/>
      <c r="I72" s="862"/>
      <c r="J72" s="168"/>
    </row>
    <row r="73" spans="1:10" x14ac:dyDescent="0.3">
      <c r="B73" s="863" t="s">
        <v>3</v>
      </c>
      <c r="C73" s="864"/>
      <c r="D73" s="864"/>
      <c r="E73" s="864"/>
      <c r="F73" s="864"/>
      <c r="G73" s="864"/>
      <c r="H73" s="864"/>
      <c r="I73" s="864"/>
      <c r="J73" s="168"/>
    </row>
    <row r="74" spans="1:10" s="223" customFormat="1" x14ac:dyDescent="0.3">
      <c r="A74" s="168"/>
      <c r="B74" s="168"/>
      <c r="C74" s="168"/>
      <c r="D74" s="168"/>
      <c r="E74" s="168"/>
      <c r="F74" s="168"/>
      <c r="G74" s="168"/>
      <c r="H74" s="168"/>
      <c r="I74" s="180"/>
      <c r="J74" s="168"/>
    </row>
    <row r="75" spans="1:10" s="223" customFormat="1" x14ac:dyDescent="0.3">
      <c r="A75" s="168" t="s">
        <v>4</v>
      </c>
      <c r="B75" s="171"/>
      <c r="C75" s="171"/>
      <c r="D75" s="171"/>
      <c r="E75" s="168" t="s">
        <v>295</v>
      </c>
      <c r="F75" s="171"/>
      <c r="G75" s="171"/>
      <c r="H75" s="171"/>
      <c r="I75" s="180"/>
      <c r="J75" s="168" t="s">
        <v>4</v>
      </c>
    </row>
    <row r="76" spans="1:10" s="223" customFormat="1" x14ac:dyDescent="0.3">
      <c r="A76" s="168" t="s">
        <v>8</v>
      </c>
      <c r="B76" s="168"/>
      <c r="C76" s="168"/>
      <c r="D76" s="168"/>
      <c r="E76" s="172" t="s">
        <v>299</v>
      </c>
      <c r="F76" s="168"/>
      <c r="G76" s="173" t="s">
        <v>6</v>
      </c>
      <c r="H76" s="171"/>
      <c r="I76" s="194" t="s">
        <v>7</v>
      </c>
      <c r="J76" s="168" t="s">
        <v>8</v>
      </c>
    </row>
    <row r="77" spans="1:10" x14ac:dyDescent="0.3">
      <c r="I77" s="180"/>
      <c r="J77" s="168"/>
    </row>
    <row r="78" spans="1:10" ht="18.600000000000001" thickBot="1" x14ac:dyDescent="0.35">
      <c r="A78" s="168">
        <v>1</v>
      </c>
      <c r="B78" s="174" t="s">
        <v>761</v>
      </c>
      <c r="G78" s="211">
        <v>0</v>
      </c>
      <c r="H78" s="171"/>
      <c r="I78" s="224"/>
      <c r="J78" s="168">
        <f>A78</f>
        <v>1</v>
      </c>
    </row>
    <row r="79" spans="1:10" ht="16.2" thickTop="1" x14ac:dyDescent="0.3">
      <c r="A79" s="168">
        <f t="shared" si="2"/>
        <v>2</v>
      </c>
      <c r="C79" s="189" t="s">
        <v>296</v>
      </c>
      <c r="D79" s="189" t="s">
        <v>297</v>
      </c>
      <c r="E79" s="189" t="s">
        <v>328</v>
      </c>
      <c r="F79" s="189"/>
      <c r="G79" s="189" t="s">
        <v>734</v>
      </c>
      <c r="H79" s="189"/>
      <c r="I79" s="180"/>
      <c r="J79" s="168">
        <f t="shared" si="3"/>
        <v>2</v>
      </c>
    </row>
    <row r="80" spans="1:10" x14ac:dyDescent="0.3">
      <c r="A80" s="168">
        <f t="shared" si="2"/>
        <v>3</v>
      </c>
      <c r="D80" s="168" t="s">
        <v>735</v>
      </c>
      <c r="E80" s="168" t="s">
        <v>736</v>
      </c>
      <c r="F80" s="168"/>
      <c r="G80" s="168" t="s">
        <v>737</v>
      </c>
      <c r="H80" s="168"/>
      <c r="I80" s="180"/>
      <c r="J80" s="168">
        <f t="shared" si="3"/>
        <v>3</v>
      </c>
    </row>
    <row r="81" spans="1:10" ht="18" x14ac:dyDescent="0.3">
      <c r="A81" s="168">
        <f t="shared" si="2"/>
        <v>4</v>
      </c>
      <c r="B81" s="174" t="s">
        <v>762</v>
      </c>
      <c r="C81" s="172" t="s">
        <v>763</v>
      </c>
      <c r="D81" s="172" t="s">
        <v>740</v>
      </c>
      <c r="E81" s="172" t="s">
        <v>741</v>
      </c>
      <c r="F81" s="172"/>
      <c r="G81" s="172" t="s">
        <v>742</v>
      </c>
      <c r="H81" s="168"/>
      <c r="I81" s="180"/>
      <c r="J81" s="168">
        <f t="shared" si="3"/>
        <v>4</v>
      </c>
    </row>
    <row r="82" spans="1:10" x14ac:dyDescent="0.3">
      <c r="A82" s="168">
        <f t="shared" si="2"/>
        <v>5</v>
      </c>
      <c r="I82" s="180"/>
      <c r="J82" s="168">
        <f t="shared" si="3"/>
        <v>5</v>
      </c>
    </row>
    <row r="83" spans="1:10" x14ac:dyDescent="0.3">
      <c r="A83" s="168">
        <f t="shared" si="2"/>
        <v>6</v>
      </c>
      <c r="B83" s="169" t="s">
        <v>743</v>
      </c>
      <c r="C83" s="185">
        <f>G16</f>
        <v>6040400.358</v>
      </c>
      <c r="D83" s="212">
        <f>C83/C$86</f>
        <v>0.43835028486472494</v>
      </c>
      <c r="E83" s="213">
        <f>G26</f>
        <v>3.9622448648295373E-2</v>
      </c>
      <c r="G83" s="214">
        <f>D83*E83</f>
        <v>1.7368511652018213E-2</v>
      </c>
      <c r="H83" s="214"/>
      <c r="I83" s="180" t="s">
        <v>764</v>
      </c>
      <c r="J83" s="168">
        <f t="shared" si="3"/>
        <v>6</v>
      </c>
    </row>
    <row r="84" spans="1:10" x14ac:dyDescent="0.3">
      <c r="A84" s="168">
        <f t="shared" si="2"/>
        <v>7</v>
      </c>
      <c r="B84" s="169" t="s">
        <v>745</v>
      </c>
      <c r="C84" s="215">
        <f>G29</f>
        <v>0</v>
      </c>
      <c r="D84" s="212">
        <f>C84/C$86</f>
        <v>0</v>
      </c>
      <c r="E84" s="213">
        <f>G31</f>
        <v>0</v>
      </c>
      <c r="G84" s="214">
        <f>D84*E84</f>
        <v>0</v>
      </c>
      <c r="H84" s="214"/>
      <c r="I84" s="180" t="s">
        <v>765</v>
      </c>
      <c r="J84" s="168">
        <f t="shared" si="3"/>
        <v>7</v>
      </c>
    </row>
    <row r="85" spans="1:10" x14ac:dyDescent="0.3">
      <c r="A85" s="168">
        <f t="shared" si="2"/>
        <v>8</v>
      </c>
      <c r="B85" s="169" t="s">
        <v>747</v>
      </c>
      <c r="C85" s="215">
        <f>G38</f>
        <v>7739447.7829999998</v>
      </c>
      <c r="D85" s="216">
        <f>C85/C$86</f>
        <v>0.56164971513527517</v>
      </c>
      <c r="E85" s="217">
        <f>G78</f>
        <v>0</v>
      </c>
      <c r="G85" s="218">
        <f>D85*E85</f>
        <v>0</v>
      </c>
      <c r="H85" s="204"/>
      <c r="I85" s="180" t="s">
        <v>766</v>
      </c>
      <c r="J85" s="168">
        <f t="shared" si="3"/>
        <v>8</v>
      </c>
    </row>
    <row r="86" spans="1:10" ht="16.2" thickBot="1" x14ac:dyDescent="0.35">
      <c r="A86" s="168">
        <f t="shared" si="2"/>
        <v>9</v>
      </c>
      <c r="B86" s="169" t="s">
        <v>749</v>
      </c>
      <c r="C86" s="219">
        <f>SUM(C83:C85)</f>
        <v>13779848.140999999</v>
      </c>
      <c r="D86" s="220">
        <f>SUM(D83:D85)</f>
        <v>1</v>
      </c>
      <c r="G86" s="203">
        <f>SUM(G83:G85)</f>
        <v>1.7368511652018213E-2</v>
      </c>
      <c r="H86" s="204"/>
      <c r="I86" s="180" t="s">
        <v>767</v>
      </c>
      <c r="J86" s="168">
        <f t="shared" si="3"/>
        <v>9</v>
      </c>
    </row>
    <row r="87" spans="1:10" ht="16.2" thickTop="1" x14ac:dyDescent="0.3">
      <c r="A87" s="168">
        <f t="shared" si="2"/>
        <v>10</v>
      </c>
      <c r="I87" s="180"/>
      <c r="J87" s="168">
        <f t="shared" si="3"/>
        <v>10</v>
      </c>
    </row>
    <row r="88" spans="1:10" ht="16.2" thickBot="1" x14ac:dyDescent="0.35">
      <c r="A88" s="168">
        <f t="shared" si="2"/>
        <v>11</v>
      </c>
      <c r="B88" s="174" t="s">
        <v>768</v>
      </c>
      <c r="G88" s="203">
        <f>G84+G85</f>
        <v>0</v>
      </c>
      <c r="H88" s="204"/>
      <c r="I88" s="180" t="s">
        <v>769</v>
      </c>
      <c r="J88" s="168">
        <f t="shared" si="3"/>
        <v>11</v>
      </c>
    </row>
    <row r="89" spans="1:10" ht="16.8" thickTop="1" thickBot="1" x14ac:dyDescent="0.35">
      <c r="A89" s="209">
        <f t="shared" si="2"/>
        <v>12</v>
      </c>
      <c r="B89" s="225"/>
      <c r="C89" s="191"/>
      <c r="D89" s="191"/>
      <c r="E89" s="191"/>
      <c r="F89" s="191"/>
      <c r="G89" s="226"/>
      <c r="H89" s="226"/>
      <c r="I89" s="210"/>
      <c r="J89" s="209">
        <f t="shared" si="3"/>
        <v>12</v>
      </c>
    </row>
    <row r="90" spans="1:10" x14ac:dyDescent="0.3">
      <c r="A90" s="168">
        <f t="shared" si="2"/>
        <v>13</v>
      </c>
      <c r="I90" s="180"/>
      <c r="J90" s="168">
        <f t="shared" si="3"/>
        <v>13</v>
      </c>
    </row>
    <row r="91" spans="1:10" ht="16.2" thickBot="1" x14ac:dyDescent="0.35">
      <c r="A91" s="168">
        <f t="shared" si="2"/>
        <v>14</v>
      </c>
      <c r="B91" s="174" t="s">
        <v>753</v>
      </c>
      <c r="G91" s="211">
        <v>0</v>
      </c>
      <c r="I91" s="180" t="s">
        <v>754</v>
      </c>
      <c r="J91" s="168">
        <f t="shared" si="3"/>
        <v>14</v>
      </c>
    </row>
    <row r="92" spans="1:10" ht="16.2" thickTop="1" x14ac:dyDescent="0.3">
      <c r="A92" s="168">
        <f t="shared" si="2"/>
        <v>15</v>
      </c>
      <c r="C92" s="189" t="s">
        <v>296</v>
      </c>
      <c r="D92" s="189" t="s">
        <v>297</v>
      </c>
      <c r="E92" s="189" t="s">
        <v>328</v>
      </c>
      <c r="F92" s="189"/>
      <c r="G92" s="189" t="s">
        <v>734</v>
      </c>
      <c r="I92" s="180"/>
      <c r="J92" s="168">
        <f t="shared" si="3"/>
        <v>15</v>
      </c>
    </row>
    <row r="93" spans="1:10" x14ac:dyDescent="0.3">
      <c r="A93" s="168">
        <f t="shared" si="2"/>
        <v>16</v>
      </c>
      <c r="D93" s="168" t="s">
        <v>735</v>
      </c>
      <c r="E93" s="168" t="s">
        <v>736</v>
      </c>
      <c r="F93" s="168"/>
      <c r="G93" s="168" t="s">
        <v>737</v>
      </c>
      <c r="I93" s="180"/>
      <c r="J93" s="168">
        <f t="shared" si="3"/>
        <v>16</v>
      </c>
    </row>
    <row r="94" spans="1:10" ht="18" x14ac:dyDescent="0.3">
      <c r="A94" s="168">
        <f t="shared" si="2"/>
        <v>17</v>
      </c>
      <c r="B94" s="174" t="s">
        <v>738</v>
      </c>
      <c r="C94" s="172" t="s">
        <v>763</v>
      </c>
      <c r="D94" s="172" t="s">
        <v>740</v>
      </c>
      <c r="E94" s="172" t="s">
        <v>741</v>
      </c>
      <c r="F94" s="172"/>
      <c r="G94" s="172" t="s">
        <v>742</v>
      </c>
      <c r="I94" s="180"/>
      <c r="J94" s="168">
        <f t="shared" si="3"/>
        <v>17</v>
      </c>
    </row>
    <row r="95" spans="1:10" x14ac:dyDescent="0.3">
      <c r="A95" s="168">
        <f t="shared" si="2"/>
        <v>18</v>
      </c>
      <c r="I95" s="180"/>
      <c r="J95" s="168">
        <f t="shared" si="3"/>
        <v>18</v>
      </c>
    </row>
    <row r="96" spans="1:10" x14ac:dyDescent="0.3">
      <c r="A96" s="168">
        <f t="shared" si="2"/>
        <v>19</v>
      </c>
      <c r="B96" s="169" t="s">
        <v>743</v>
      </c>
      <c r="C96" s="185">
        <f>G16</f>
        <v>6040400.358</v>
      </c>
      <c r="D96" s="212">
        <f>C96/C$99</f>
        <v>0.43835028486472494</v>
      </c>
      <c r="E96" s="221">
        <v>0</v>
      </c>
      <c r="G96" s="214">
        <f>D96*E96</f>
        <v>0</v>
      </c>
      <c r="I96" s="180" t="s">
        <v>755</v>
      </c>
      <c r="J96" s="168">
        <f t="shared" si="3"/>
        <v>19</v>
      </c>
    </row>
    <row r="97" spans="1:10" x14ac:dyDescent="0.3">
      <c r="A97" s="168">
        <f t="shared" si="2"/>
        <v>20</v>
      </c>
      <c r="B97" s="169" t="s">
        <v>745</v>
      </c>
      <c r="C97" s="215">
        <f>G29</f>
        <v>0</v>
      </c>
      <c r="D97" s="212">
        <f>C97/C$99</f>
        <v>0</v>
      </c>
      <c r="E97" s="221">
        <v>0</v>
      </c>
      <c r="G97" s="214">
        <f>D97*E97</f>
        <v>0</v>
      </c>
      <c r="I97" s="180" t="s">
        <v>755</v>
      </c>
      <c r="J97" s="168">
        <f t="shared" si="3"/>
        <v>20</v>
      </c>
    </row>
    <row r="98" spans="1:10" x14ac:dyDescent="0.3">
      <c r="A98" s="168">
        <f t="shared" si="2"/>
        <v>21</v>
      </c>
      <c r="B98" s="169" t="s">
        <v>747</v>
      </c>
      <c r="C98" s="215">
        <f>G38</f>
        <v>7739447.7829999998</v>
      </c>
      <c r="D98" s="216">
        <f>C98/C$99</f>
        <v>0.56164971513527517</v>
      </c>
      <c r="E98" s="217">
        <f>G91</f>
        <v>0</v>
      </c>
      <c r="G98" s="218">
        <f>D98*E98</f>
        <v>0</v>
      </c>
      <c r="I98" s="180" t="s">
        <v>770</v>
      </c>
      <c r="J98" s="168">
        <f t="shared" si="3"/>
        <v>21</v>
      </c>
    </row>
    <row r="99" spans="1:10" ht="16.2" thickBot="1" x14ac:dyDescent="0.35">
      <c r="A99" s="168">
        <f t="shared" si="2"/>
        <v>22</v>
      </c>
      <c r="B99" s="169" t="s">
        <v>749</v>
      </c>
      <c r="C99" s="219">
        <f>SUM(C96:C98)</f>
        <v>13779848.140999999</v>
      </c>
      <c r="D99" s="220">
        <f>SUM(D96:D98)</f>
        <v>1</v>
      </c>
      <c r="G99" s="203">
        <f>SUM(G96:G98)</f>
        <v>0</v>
      </c>
      <c r="I99" s="180" t="s">
        <v>163</v>
      </c>
      <c r="J99" s="168">
        <f t="shared" si="3"/>
        <v>22</v>
      </c>
    </row>
    <row r="100" spans="1:10" ht="16.2" thickTop="1" x14ac:dyDescent="0.3">
      <c r="A100" s="168">
        <f t="shared" si="2"/>
        <v>23</v>
      </c>
      <c r="I100" s="180"/>
      <c r="J100" s="168">
        <f t="shared" si="3"/>
        <v>23</v>
      </c>
    </row>
    <row r="101" spans="1:10" ht="16.2" thickBot="1" x14ac:dyDescent="0.35">
      <c r="A101" s="168">
        <f t="shared" si="2"/>
        <v>24</v>
      </c>
      <c r="B101" s="174" t="s">
        <v>758</v>
      </c>
      <c r="G101" s="220">
        <f>G98</f>
        <v>0</v>
      </c>
      <c r="I101" s="180" t="s">
        <v>771</v>
      </c>
      <c r="J101" s="168">
        <f t="shared" si="3"/>
        <v>24</v>
      </c>
    </row>
    <row r="102" spans="1:10" ht="16.2" thickTop="1" x14ac:dyDescent="0.3">
      <c r="B102" s="174"/>
      <c r="G102" s="222"/>
      <c r="I102" s="180"/>
      <c r="J102" s="168"/>
    </row>
    <row r="103" spans="1:10" ht="18" x14ac:dyDescent="0.3">
      <c r="A103" s="187">
        <v>1</v>
      </c>
      <c r="B103" s="169" t="s">
        <v>772</v>
      </c>
      <c r="G103" s="222"/>
      <c r="I103" s="180"/>
      <c r="J103" s="168"/>
    </row>
    <row r="104" spans="1:10" ht="18" x14ac:dyDescent="0.3">
      <c r="A104" s="187">
        <v>2</v>
      </c>
      <c r="B104" s="169" t="s">
        <v>760</v>
      </c>
      <c r="G104" s="186"/>
      <c r="H104" s="186"/>
      <c r="J104" s="168" t="s">
        <v>26</v>
      </c>
    </row>
    <row r="105" spans="1:10" ht="18" x14ac:dyDescent="0.3">
      <c r="A105" s="228"/>
      <c r="B105" s="223"/>
      <c r="G105" s="186"/>
      <c r="H105" s="186"/>
      <c r="J105" s="168"/>
    </row>
    <row r="106" spans="1:10" ht="18" x14ac:dyDescent="0.3">
      <c r="A106" s="187"/>
      <c r="G106" s="186"/>
      <c r="H106" s="186"/>
      <c r="I106" s="101"/>
      <c r="J106" s="168"/>
    </row>
    <row r="107" spans="1:10" x14ac:dyDescent="0.3">
      <c r="B107" s="861" t="s">
        <v>217</v>
      </c>
      <c r="C107" s="861"/>
      <c r="D107" s="861"/>
      <c r="E107" s="861"/>
      <c r="F107" s="861"/>
      <c r="G107" s="861"/>
      <c r="H107" s="861"/>
      <c r="I107" s="861"/>
      <c r="J107" s="168"/>
    </row>
    <row r="108" spans="1:10" x14ac:dyDescent="0.3">
      <c r="B108" s="861" t="s">
        <v>685</v>
      </c>
      <c r="C108" s="861"/>
      <c r="D108" s="861"/>
      <c r="E108" s="861"/>
      <c r="F108" s="861"/>
      <c r="G108" s="861"/>
      <c r="H108" s="861"/>
      <c r="I108" s="861"/>
      <c r="J108" s="168"/>
    </row>
    <row r="109" spans="1:10" x14ac:dyDescent="0.3">
      <c r="B109" s="861" t="s">
        <v>686</v>
      </c>
      <c r="C109" s="861"/>
      <c r="D109" s="861"/>
      <c r="E109" s="861"/>
      <c r="F109" s="861"/>
      <c r="G109" s="861"/>
      <c r="H109" s="861"/>
      <c r="I109" s="861"/>
      <c r="J109" s="168"/>
    </row>
    <row r="110" spans="1:10" x14ac:dyDescent="0.3">
      <c r="B110" s="862" t="str">
        <f>B5</f>
        <v>Base Period &amp; True-Up Period 12 - Months Ending December 31, 2020</v>
      </c>
      <c r="C110" s="862"/>
      <c r="D110" s="862"/>
      <c r="E110" s="862"/>
      <c r="F110" s="862"/>
      <c r="G110" s="862"/>
      <c r="H110" s="862"/>
      <c r="I110" s="862"/>
      <c r="J110" s="168"/>
    </row>
    <row r="111" spans="1:10" x14ac:dyDescent="0.3">
      <c r="B111" s="863" t="s">
        <v>3</v>
      </c>
      <c r="C111" s="864"/>
      <c r="D111" s="864"/>
      <c r="E111" s="864"/>
      <c r="F111" s="864"/>
      <c r="G111" s="864"/>
      <c r="H111" s="864"/>
      <c r="I111" s="864"/>
      <c r="J111" s="168"/>
    </row>
    <row r="112" spans="1:10" x14ac:dyDescent="0.3">
      <c r="B112" s="168"/>
      <c r="C112" s="168"/>
      <c r="D112" s="168"/>
      <c r="E112" s="168"/>
      <c r="F112" s="168"/>
      <c r="G112" s="168"/>
      <c r="H112" s="168"/>
      <c r="I112" s="180"/>
      <c r="J112" s="168"/>
    </row>
    <row r="113" spans="1:12" x14ac:dyDescent="0.3">
      <c r="A113" s="168" t="s">
        <v>4</v>
      </c>
      <c r="B113" s="171"/>
      <c r="C113" s="171"/>
      <c r="D113" s="171"/>
      <c r="E113" s="171"/>
      <c r="F113" s="171"/>
      <c r="G113" s="171"/>
      <c r="H113" s="171"/>
      <c r="I113" s="180"/>
      <c r="J113" s="168" t="s">
        <v>4</v>
      </c>
    </row>
    <row r="114" spans="1:12" x14ac:dyDescent="0.3">
      <c r="A114" s="168" t="s">
        <v>8</v>
      </c>
      <c r="B114" s="168"/>
      <c r="C114" s="168"/>
      <c r="D114" s="168"/>
      <c r="E114" s="168"/>
      <c r="F114" s="168"/>
      <c r="G114" s="172" t="s">
        <v>6</v>
      </c>
      <c r="H114" s="171"/>
      <c r="I114" s="194" t="s">
        <v>7</v>
      </c>
      <c r="J114" s="168" t="s">
        <v>8</v>
      </c>
    </row>
    <row r="115" spans="1:12" x14ac:dyDescent="0.3">
      <c r="G115" s="168"/>
      <c r="H115" s="168"/>
      <c r="I115" s="180"/>
      <c r="J115" s="168"/>
    </row>
    <row r="116" spans="1:12" ht="18" x14ac:dyDescent="0.3">
      <c r="A116" s="168">
        <v>1</v>
      </c>
      <c r="B116" s="174" t="s">
        <v>773</v>
      </c>
      <c r="E116" s="171"/>
      <c r="F116" s="171"/>
      <c r="G116" s="229"/>
      <c r="H116" s="229"/>
      <c r="I116" s="180"/>
      <c r="J116" s="168">
        <v>1</v>
      </c>
    </row>
    <row r="117" spans="1:12" x14ac:dyDescent="0.3">
      <c r="A117" s="168">
        <f>A116+1</f>
        <v>2</v>
      </c>
      <c r="B117" s="230"/>
      <c r="E117" s="171"/>
      <c r="F117" s="171"/>
      <c r="G117" s="229"/>
      <c r="H117" s="229"/>
      <c r="I117" s="180"/>
      <c r="J117" s="168">
        <f>J116+1</f>
        <v>2</v>
      </c>
    </row>
    <row r="118" spans="1:12" x14ac:dyDescent="0.3">
      <c r="A118" s="168">
        <f>A117+1</f>
        <v>3</v>
      </c>
      <c r="B118" s="174" t="s">
        <v>774</v>
      </c>
      <c r="E118" s="171"/>
      <c r="F118" s="171"/>
      <c r="G118" s="229"/>
      <c r="H118" s="229"/>
      <c r="I118" s="180"/>
      <c r="J118" s="168">
        <f>J117+1</f>
        <v>3</v>
      </c>
    </row>
    <row r="119" spans="1:12" x14ac:dyDescent="0.3">
      <c r="A119" s="168">
        <f>A118+1</f>
        <v>4</v>
      </c>
      <c r="B119" s="171"/>
      <c r="C119" s="171"/>
      <c r="D119" s="171"/>
      <c r="E119" s="171"/>
      <c r="F119" s="171"/>
      <c r="G119" s="229"/>
      <c r="H119" s="229"/>
      <c r="I119" s="180"/>
      <c r="J119" s="168">
        <f>J118+1</f>
        <v>4</v>
      </c>
    </row>
    <row r="120" spans="1:12" x14ac:dyDescent="0.3">
      <c r="A120" s="168">
        <f t="shared" ref="A120:A179" si="4">A119+1</f>
        <v>5</v>
      </c>
      <c r="B120" s="175" t="s">
        <v>775</v>
      </c>
      <c r="C120" s="171"/>
      <c r="D120" s="171"/>
      <c r="E120" s="171"/>
      <c r="F120" s="171"/>
      <c r="G120" s="229"/>
      <c r="H120" s="229"/>
      <c r="I120" s="231"/>
      <c r="J120" s="168">
        <f t="shared" ref="J120:J179" si="5">J119+1</f>
        <v>5</v>
      </c>
    </row>
    <row r="121" spans="1:12" x14ac:dyDescent="0.3">
      <c r="A121" s="168">
        <f t="shared" si="4"/>
        <v>6</v>
      </c>
      <c r="B121" s="169" t="s">
        <v>776</v>
      </c>
      <c r="D121" s="171"/>
      <c r="E121" s="171"/>
      <c r="F121" s="171"/>
      <c r="G121" s="232">
        <f>G51</f>
        <v>5.6726621228662795E-2</v>
      </c>
      <c r="H121" s="171"/>
      <c r="I121" s="180" t="s">
        <v>777</v>
      </c>
      <c r="J121" s="168">
        <f t="shared" si="5"/>
        <v>6</v>
      </c>
      <c r="K121" s="168"/>
    </row>
    <row r="122" spans="1:12" x14ac:dyDescent="0.3">
      <c r="A122" s="168">
        <f t="shared" si="4"/>
        <v>7</v>
      </c>
      <c r="B122" s="169" t="s">
        <v>778</v>
      </c>
      <c r="D122" s="171"/>
      <c r="E122" s="171"/>
      <c r="F122" s="171"/>
      <c r="G122" s="637">
        <f>-'Pg8 Rev Stmt AR'!E19</f>
        <v>3299.4664590749462</v>
      </c>
      <c r="H122" s="42" t="s">
        <v>42</v>
      </c>
      <c r="I122" s="180" t="s">
        <v>779</v>
      </c>
      <c r="J122" s="168">
        <f t="shared" si="5"/>
        <v>7</v>
      </c>
      <c r="K122" s="168"/>
    </row>
    <row r="123" spans="1:12" x14ac:dyDescent="0.3">
      <c r="A123" s="168">
        <f t="shared" si="4"/>
        <v>8</v>
      </c>
      <c r="B123" s="169" t="s">
        <v>780</v>
      </c>
      <c r="D123" s="171"/>
      <c r="E123" s="171"/>
      <c r="F123" s="171"/>
      <c r="G123" s="234">
        <v>8011.4031624399995</v>
      </c>
      <c r="H123" s="171"/>
      <c r="I123" s="224" t="s">
        <v>781</v>
      </c>
      <c r="J123" s="168">
        <f t="shared" si="5"/>
        <v>8</v>
      </c>
      <c r="K123" s="171"/>
    </row>
    <row r="124" spans="1:12" x14ac:dyDescent="0.3">
      <c r="A124" s="168">
        <f t="shared" si="4"/>
        <v>9</v>
      </c>
      <c r="B124" s="169" t="s">
        <v>782</v>
      </c>
      <c r="D124" s="171"/>
      <c r="E124" s="235"/>
      <c r="F124" s="171"/>
      <c r="G124" s="236">
        <f>'Pg3 BK-1 Rev TO5 C4-Cost Adj '!E138</f>
        <v>4577996.2614806164</v>
      </c>
      <c r="H124" s="42" t="s">
        <v>42</v>
      </c>
      <c r="I124" s="180" t="s">
        <v>783</v>
      </c>
      <c r="J124" s="168">
        <f t="shared" si="5"/>
        <v>9</v>
      </c>
    </row>
    <row r="125" spans="1:12" x14ac:dyDescent="0.3">
      <c r="A125" s="168">
        <f t="shared" si="4"/>
        <v>10</v>
      </c>
      <c r="B125" s="169" t="s">
        <v>784</v>
      </c>
      <c r="D125" s="237"/>
      <c r="E125" s="171"/>
      <c r="F125" s="171"/>
      <c r="G125" s="238" t="s">
        <v>785</v>
      </c>
      <c r="H125" s="171"/>
      <c r="I125" s="180" t="s">
        <v>786</v>
      </c>
      <c r="J125" s="168">
        <f t="shared" si="5"/>
        <v>10</v>
      </c>
      <c r="L125" s="239"/>
    </row>
    <row r="126" spans="1:12" x14ac:dyDescent="0.3">
      <c r="A126" s="168">
        <f t="shared" si="4"/>
        <v>11</v>
      </c>
      <c r="G126" s="168"/>
      <c r="H126" s="168"/>
      <c r="J126" s="168">
        <f t="shared" si="5"/>
        <v>11</v>
      </c>
    </row>
    <row r="127" spans="1:12" x14ac:dyDescent="0.3">
      <c r="A127" s="168">
        <f t="shared" si="4"/>
        <v>12</v>
      </c>
      <c r="B127" s="169" t="s">
        <v>787</v>
      </c>
      <c r="D127" s="171"/>
      <c r="E127" s="171"/>
      <c r="F127" s="171"/>
      <c r="G127" s="638">
        <f>(((G121)+(G123/G124))*G125-(G122/G124))/(1-G125)</f>
        <v>1.4632105668083286E-2</v>
      </c>
      <c r="H127" s="42" t="s">
        <v>42</v>
      </c>
      <c r="I127" s="180" t="s">
        <v>788</v>
      </c>
      <c r="J127" s="168">
        <f t="shared" si="5"/>
        <v>12</v>
      </c>
      <c r="L127" s="241"/>
    </row>
    <row r="128" spans="1:12" x14ac:dyDescent="0.3">
      <c r="A128" s="168">
        <f t="shared" si="4"/>
        <v>13</v>
      </c>
      <c r="B128" s="242" t="s">
        <v>789</v>
      </c>
      <c r="G128" s="168"/>
      <c r="H128" s="168"/>
      <c r="J128" s="168">
        <f t="shared" si="5"/>
        <v>13</v>
      </c>
    </row>
    <row r="129" spans="1:11" x14ac:dyDescent="0.3">
      <c r="A129" s="168">
        <f t="shared" si="4"/>
        <v>14</v>
      </c>
      <c r="G129" s="168"/>
      <c r="H129" s="168"/>
      <c r="J129" s="168">
        <f t="shared" si="5"/>
        <v>14</v>
      </c>
    </row>
    <row r="130" spans="1:11" x14ac:dyDescent="0.3">
      <c r="A130" s="168">
        <f t="shared" si="4"/>
        <v>15</v>
      </c>
      <c r="B130" s="174" t="s">
        <v>790</v>
      </c>
      <c r="C130" s="171"/>
      <c r="D130" s="171"/>
      <c r="E130" s="171"/>
      <c r="F130" s="171"/>
      <c r="G130" s="243"/>
      <c r="H130" s="243"/>
      <c r="I130" s="244"/>
      <c r="J130" s="168">
        <f t="shared" si="5"/>
        <v>15</v>
      </c>
      <c r="K130" s="245"/>
    </row>
    <row r="131" spans="1:11" x14ac:dyDescent="0.3">
      <c r="A131" s="168">
        <f t="shared" si="4"/>
        <v>16</v>
      </c>
      <c r="B131" s="184"/>
      <c r="C131" s="171"/>
      <c r="D131" s="171"/>
      <c r="E131" s="171"/>
      <c r="F131" s="171"/>
      <c r="G131" s="243"/>
      <c r="H131" s="243"/>
      <c r="I131" s="246"/>
      <c r="J131" s="168">
        <f t="shared" si="5"/>
        <v>16</v>
      </c>
      <c r="K131" s="171"/>
    </row>
    <row r="132" spans="1:11" x14ac:dyDescent="0.3">
      <c r="A132" s="168">
        <f t="shared" si="4"/>
        <v>17</v>
      </c>
      <c r="B132" s="175" t="s">
        <v>775</v>
      </c>
      <c r="C132" s="171"/>
      <c r="D132" s="171"/>
      <c r="E132" s="171"/>
      <c r="F132" s="171"/>
      <c r="G132" s="243"/>
      <c r="H132" s="243"/>
      <c r="I132" s="246"/>
      <c r="J132" s="168">
        <f t="shared" si="5"/>
        <v>17</v>
      </c>
      <c r="K132" s="171"/>
    </row>
    <row r="133" spans="1:11" x14ac:dyDescent="0.3">
      <c r="A133" s="168">
        <f t="shared" si="4"/>
        <v>18</v>
      </c>
      <c r="B133" s="169" t="s">
        <v>776</v>
      </c>
      <c r="D133" s="171"/>
      <c r="E133" s="171"/>
      <c r="F133" s="171"/>
      <c r="G133" s="212">
        <f>G121</f>
        <v>5.6726621228662795E-2</v>
      </c>
      <c r="H133" s="212"/>
      <c r="I133" s="180" t="s">
        <v>791</v>
      </c>
      <c r="J133" s="168">
        <f t="shared" si="5"/>
        <v>18</v>
      </c>
      <c r="K133" s="168"/>
    </row>
    <row r="134" spans="1:11" x14ac:dyDescent="0.3">
      <c r="A134" s="168">
        <f t="shared" si="4"/>
        <v>19</v>
      </c>
      <c r="B134" s="169" t="s">
        <v>792</v>
      </c>
      <c r="D134" s="171"/>
      <c r="E134" s="171"/>
      <c r="F134" s="171"/>
      <c r="G134" s="247">
        <f>G123</f>
        <v>8011.4031624399995</v>
      </c>
      <c r="H134" s="247"/>
      <c r="I134" s="180" t="s">
        <v>793</v>
      </c>
      <c r="J134" s="168">
        <f t="shared" si="5"/>
        <v>19</v>
      </c>
      <c r="K134" s="168"/>
    </row>
    <row r="135" spans="1:11" x14ac:dyDescent="0.3">
      <c r="A135" s="168">
        <f t="shared" si="4"/>
        <v>20</v>
      </c>
      <c r="B135" s="169" t="s">
        <v>794</v>
      </c>
      <c r="D135" s="171"/>
      <c r="E135" s="171"/>
      <c r="F135" s="171"/>
      <c r="G135" s="248">
        <f>G124</f>
        <v>4577996.2614806164</v>
      </c>
      <c r="H135" s="42" t="s">
        <v>42</v>
      </c>
      <c r="I135" s="180" t="s">
        <v>795</v>
      </c>
      <c r="J135" s="168">
        <f t="shared" si="5"/>
        <v>20</v>
      </c>
      <c r="K135" s="168"/>
    </row>
    <row r="136" spans="1:11" x14ac:dyDescent="0.3">
      <c r="A136" s="168">
        <f t="shared" si="4"/>
        <v>21</v>
      </c>
      <c r="B136" s="169" t="s">
        <v>796</v>
      </c>
      <c r="D136" s="171"/>
      <c r="E136" s="171"/>
      <c r="F136" s="171"/>
      <c r="G136" s="639">
        <f>G127</f>
        <v>1.4632105668083286E-2</v>
      </c>
      <c r="H136" s="42" t="s">
        <v>42</v>
      </c>
      <c r="I136" s="180" t="s">
        <v>797</v>
      </c>
      <c r="J136" s="168">
        <f t="shared" si="5"/>
        <v>21</v>
      </c>
    </row>
    <row r="137" spans="1:11" x14ac:dyDescent="0.3">
      <c r="A137" s="168">
        <f t="shared" si="4"/>
        <v>22</v>
      </c>
      <c r="B137" s="169" t="s">
        <v>798</v>
      </c>
      <c r="D137" s="171"/>
      <c r="E137" s="171"/>
      <c r="F137" s="171"/>
      <c r="G137" s="238" t="s">
        <v>799</v>
      </c>
      <c r="H137" s="171"/>
      <c r="I137" s="180" t="s">
        <v>800</v>
      </c>
      <c r="J137" s="168">
        <f t="shared" si="5"/>
        <v>22</v>
      </c>
    </row>
    <row r="138" spans="1:11" x14ac:dyDescent="0.3">
      <c r="A138" s="168">
        <f t="shared" si="4"/>
        <v>23</v>
      </c>
      <c r="B138" s="188"/>
      <c r="D138" s="171"/>
      <c r="E138" s="171"/>
      <c r="F138" s="171"/>
      <c r="G138" s="250"/>
      <c r="H138" s="250"/>
      <c r="I138" s="246"/>
      <c r="J138" s="168">
        <f t="shared" si="5"/>
        <v>23</v>
      </c>
    </row>
    <row r="139" spans="1:11" x14ac:dyDescent="0.3">
      <c r="A139" s="168">
        <f t="shared" si="4"/>
        <v>24</v>
      </c>
      <c r="B139" s="169" t="s">
        <v>801</v>
      </c>
      <c r="C139" s="168"/>
      <c r="D139" s="168"/>
      <c r="E139" s="171"/>
      <c r="F139" s="171"/>
      <c r="G139" s="640">
        <f>((G133)+(G134/G135)+G127)*G137/(1-G137)</f>
        <v>7.0895236003673074E-3</v>
      </c>
      <c r="H139" s="42" t="s">
        <v>42</v>
      </c>
      <c r="I139" s="180" t="s">
        <v>802</v>
      </c>
      <c r="J139" s="168">
        <f t="shared" si="5"/>
        <v>24</v>
      </c>
    </row>
    <row r="140" spans="1:11" x14ac:dyDescent="0.3">
      <c r="A140" s="168">
        <f t="shared" si="4"/>
        <v>25</v>
      </c>
      <c r="B140" s="242" t="s">
        <v>803</v>
      </c>
      <c r="G140" s="168"/>
      <c r="H140" s="168"/>
      <c r="I140" s="180"/>
      <c r="J140" s="168">
        <f t="shared" si="5"/>
        <v>25</v>
      </c>
      <c r="K140" s="168"/>
    </row>
    <row r="141" spans="1:11" x14ac:dyDescent="0.3">
      <c r="A141" s="168">
        <f t="shared" si="4"/>
        <v>26</v>
      </c>
      <c r="G141" s="168"/>
      <c r="H141" s="168"/>
      <c r="I141" s="180"/>
      <c r="J141" s="168">
        <f t="shared" si="5"/>
        <v>26</v>
      </c>
      <c r="K141" s="168"/>
    </row>
    <row r="142" spans="1:11" x14ac:dyDescent="0.3">
      <c r="A142" s="168">
        <f t="shared" si="4"/>
        <v>27</v>
      </c>
      <c r="B142" s="174" t="s">
        <v>804</v>
      </c>
      <c r="G142" s="638">
        <f>G139+G127</f>
        <v>2.1721629268450594E-2</v>
      </c>
      <c r="H142" s="42" t="s">
        <v>42</v>
      </c>
      <c r="I142" s="180" t="s">
        <v>805</v>
      </c>
      <c r="J142" s="168">
        <f t="shared" si="5"/>
        <v>27</v>
      </c>
      <c r="K142" s="168"/>
    </row>
    <row r="143" spans="1:11" x14ac:dyDescent="0.3">
      <c r="A143" s="168">
        <f t="shared" si="4"/>
        <v>28</v>
      </c>
      <c r="G143" s="168"/>
      <c r="H143" s="168"/>
      <c r="I143" s="180"/>
      <c r="J143" s="168">
        <f t="shared" si="5"/>
        <v>28</v>
      </c>
      <c r="K143" s="168"/>
    </row>
    <row r="144" spans="1:11" x14ac:dyDescent="0.3">
      <c r="A144" s="168">
        <f t="shared" si="4"/>
        <v>29</v>
      </c>
      <c r="B144" s="174" t="s">
        <v>806</v>
      </c>
      <c r="G144" s="253">
        <f>G49</f>
        <v>7.4095132880681008E-2</v>
      </c>
      <c r="H144" s="171"/>
      <c r="I144" s="180" t="s">
        <v>807</v>
      </c>
      <c r="J144" s="168">
        <f t="shared" si="5"/>
        <v>29</v>
      </c>
      <c r="K144" s="168"/>
    </row>
    <row r="145" spans="1:12" x14ac:dyDescent="0.3">
      <c r="A145" s="168">
        <f t="shared" si="4"/>
        <v>30</v>
      </c>
      <c r="G145" s="212"/>
      <c r="H145" s="212"/>
      <c r="I145" s="180"/>
      <c r="J145" s="168">
        <f t="shared" si="5"/>
        <v>30</v>
      </c>
      <c r="K145" s="168"/>
    </row>
    <row r="146" spans="1:12" ht="18.600000000000001" thickBot="1" x14ac:dyDescent="0.35">
      <c r="A146" s="168">
        <f t="shared" si="4"/>
        <v>31</v>
      </c>
      <c r="B146" s="174" t="s">
        <v>808</v>
      </c>
      <c r="G146" s="641">
        <f>G142+G144</f>
        <v>9.5816762149131596E-2</v>
      </c>
      <c r="H146" s="42" t="s">
        <v>42</v>
      </c>
      <c r="I146" s="180" t="s">
        <v>809</v>
      </c>
      <c r="J146" s="168">
        <f t="shared" si="5"/>
        <v>31</v>
      </c>
      <c r="K146" s="255"/>
      <c r="L146" s="241"/>
    </row>
    <row r="147" spans="1:12" ht="16.8" thickTop="1" thickBot="1" x14ac:dyDescent="0.35">
      <c r="A147" s="209">
        <f t="shared" si="4"/>
        <v>32</v>
      </c>
      <c r="B147" s="191"/>
      <c r="C147" s="191"/>
      <c r="D147" s="191"/>
      <c r="E147" s="191"/>
      <c r="F147" s="191"/>
      <c r="G147" s="209"/>
      <c r="H147" s="209"/>
      <c r="I147" s="210"/>
      <c r="J147" s="209">
        <f t="shared" si="5"/>
        <v>32</v>
      </c>
    </row>
    <row r="148" spans="1:12" x14ac:dyDescent="0.3">
      <c r="A148" s="168">
        <f t="shared" si="4"/>
        <v>33</v>
      </c>
      <c r="G148" s="168"/>
      <c r="H148" s="168"/>
      <c r="I148" s="180"/>
      <c r="J148" s="168">
        <f t="shared" si="5"/>
        <v>33</v>
      </c>
    </row>
    <row r="149" spans="1:12" ht="18" x14ac:dyDescent="0.3">
      <c r="A149" s="168">
        <f t="shared" si="4"/>
        <v>34</v>
      </c>
      <c r="B149" s="174" t="s">
        <v>810</v>
      </c>
      <c r="E149" s="171"/>
      <c r="F149" s="171"/>
      <c r="G149" s="229"/>
      <c r="H149" s="229"/>
      <c r="I149" s="180"/>
      <c r="J149" s="168">
        <f t="shared" si="5"/>
        <v>34</v>
      </c>
    </row>
    <row r="150" spans="1:12" x14ac:dyDescent="0.3">
      <c r="A150" s="168">
        <f t="shared" si="4"/>
        <v>35</v>
      </c>
      <c r="B150" s="230"/>
      <c r="E150" s="171"/>
      <c r="F150" s="171"/>
      <c r="G150" s="229"/>
      <c r="H150" s="229"/>
      <c r="I150" s="180"/>
      <c r="J150" s="168">
        <f t="shared" si="5"/>
        <v>35</v>
      </c>
      <c r="L150" s="256"/>
    </row>
    <row r="151" spans="1:12" x14ac:dyDescent="0.3">
      <c r="A151" s="168">
        <f t="shared" si="4"/>
        <v>36</v>
      </c>
      <c r="B151" s="174" t="s">
        <v>774</v>
      </c>
      <c r="E151" s="171"/>
      <c r="F151" s="171"/>
      <c r="G151" s="229"/>
      <c r="H151" s="229"/>
      <c r="I151" s="180"/>
      <c r="J151" s="168">
        <f t="shared" si="5"/>
        <v>36</v>
      </c>
    </row>
    <row r="152" spans="1:12" x14ac:dyDescent="0.3">
      <c r="A152" s="168">
        <f t="shared" si="4"/>
        <v>37</v>
      </c>
      <c r="B152" s="171"/>
      <c r="C152" s="171"/>
      <c r="D152" s="171"/>
      <c r="E152" s="171"/>
      <c r="F152" s="171"/>
      <c r="G152" s="229"/>
      <c r="H152" s="229"/>
      <c r="I152" s="180"/>
      <c r="J152" s="168">
        <f t="shared" si="5"/>
        <v>37</v>
      </c>
    </row>
    <row r="153" spans="1:12" x14ac:dyDescent="0.3">
      <c r="A153" s="168">
        <f t="shared" si="4"/>
        <v>38</v>
      </c>
      <c r="B153" s="175" t="s">
        <v>775</v>
      </c>
      <c r="C153" s="171"/>
      <c r="D153" s="171"/>
      <c r="E153" s="171"/>
      <c r="F153" s="171"/>
      <c r="G153" s="229"/>
      <c r="H153" s="229"/>
      <c r="I153" s="231"/>
      <c r="J153" s="168">
        <f t="shared" si="5"/>
        <v>38</v>
      </c>
    </row>
    <row r="154" spans="1:12" x14ac:dyDescent="0.3">
      <c r="A154" s="168">
        <f t="shared" si="4"/>
        <v>39</v>
      </c>
      <c r="B154" s="169" t="s">
        <v>811</v>
      </c>
      <c r="D154" s="171"/>
      <c r="E154" s="171"/>
      <c r="F154" s="171"/>
      <c r="G154" s="232">
        <f>G64</f>
        <v>2.8082485756763761E-3</v>
      </c>
      <c r="H154" s="171"/>
      <c r="I154" s="180" t="s">
        <v>812</v>
      </c>
      <c r="J154" s="168">
        <f t="shared" si="5"/>
        <v>39</v>
      </c>
      <c r="K154" s="168"/>
    </row>
    <row r="155" spans="1:12" x14ac:dyDescent="0.3">
      <c r="A155" s="168">
        <f t="shared" si="4"/>
        <v>40</v>
      </c>
      <c r="B155" s="169" t="s">
        <v>778</v>
      </c>
      <c r="D155" s="171"/>
      <c r="E155" s="171"/>
      <c r="F155" s="171"/>
      <c r="G155" s="257">
        <v>0</v>
      </c>
      <c r="H155" s="171"/>
      <c r="I155" s="180" t="s">
        <v>755</v>
      </c>
      <c r="J155" s="168">
        <f t="shared" si="5"/>
        <v>40</v>
      </c>
      <c r="K155" s="168"/>
    </row>
    <row r="156" spans="1:12" x14ac:dyDescent="0.3">
      <c r="A156" s="168">
        <f t="shared" si="4"/>
        <v>41</v>
      </c>
      <c r="B156" s="169" t="s">
        <v>780</v>
      </c>
      <c r="D156" s="171"/>
      <c r="E156" s="171"/>
      <c r="F156" s="171"/>
      <c r="G156" s="257">
        <v>0</v>
      </c>
      <c r="H156" s="171"/>
      <c r="I156" s="180" t="s">
        <v>755</v>
      </c>
      <c r="J156" s="168">
        <f t="shared" si="5"/>
        <v>41</v>
      </c>
      <c r="K156" s="171"/>
    </row>
    <row r="157" spans="1:12" x14ac:dyDescent="0.3">
      <c r="A157" s="168">
        <f t="shared" si="4"/>
        <v>42</v>
      </c>
      <c r="B157" s="169" t="s">
        <v>782</v>
      </c>
      <c r="D157" s="171"/>
      <c r="E157" s="235"/>
      <c r="F157" s="171"/>
      <c r="G157" s="236">
        <f>'Pg3 BK-1 Rev TO5 C4-Cost Adj '!E138</f>
        <v>4577996.2614806164</v>
      </c>
      <c r="H157" s="42" t="s">
        <v>42</v>
      </c>
      <c r="I157" s="180" t="s">
        <v>783</v>
      </c>
      <c r="J157" s="168">
        <f t="shared" si="5"/>
        <v>42</v>
      </c>
    </row>
    <row r="158" spans="1:12" x14ac:dyDescent="0.3">
      <c r="A158" s="168">
        <f t="shared" si="4"/>
        <v>43</v>
      </c>
      <c r="B158" s="169" t="s">
        <v>784</v>
      </c>
      <c r="D158" s="237"/>
      <c r="E158" s="171"/>
      <c r="F158" s="171"/>
      <c r="G158" s="238" t="s">
        <v>785</v>
      </c>
      <c r="H158" s="171"/>
      <c r="I158" s="180" t="s">
        <v>786</v>
      </c>
      <c r="J158" s="168">
        <f t="shared" si="5"/>
        <v>43</v>
      </c>
      <c r="L158" s="239"/>
    </row>
    <row r="159" spans="1:12" x14ac:dyDescent="0.3">
      <c r="A159" s="168">
        <f t="shared" si="4"/>
        <v>44</v>
      </c>
      <c r="G159" s="168"/>
      <c r="H159" s="168"/>
      <c r="J159" s="168">
        <f t="shared" si="5"/>
        <v>44</v>
      </c>
    </row>
    <row r="160" spans="1:12" x14ac:dyDescent="0.3">
      <c r="A160" s="168">
        <f t="shared" si="4"/>
        <v>45</v>
      </c>
      <c r="B160" s="169" t="s">
        <v>787</v>
      </c>
      <c r="D160" s="171"/>
      <c r="E160" s="171"/>
      <c r="F160" s="171"/>
      <c r="G160" s="240">
        <f>(((G154)+(G156/G157))*G158-(G155/G157))/(1-G158)</f>
        <v>7.4649645682536576E-4</v>
      </c>
      <c r="H160" s="240"/>
      <c r="I160" s="180" t="s">
        <v>788</v>
      </c>
      <c r="J160" s="168">
        <f t="shared" si="5"/>
        <v>45</v>
      </c>
      <c r="L160" s="241"/>
    </row>
    <row r="161" spans="1:11" x14ac:dyDescent="0.3">
      <c r="A161" s="168">
        <f t="shared" si="4"/>
        <v>46</v>
      </c>
      <c r="B161" s="242" t="s">
        <v>789</v>
      </c>
      <c r="G161" s="168"/>
      <c r="H161" s="168"/>
      <c r="J161" s="168">
        <f t="shared" si="5"/>
        <v>46</v>
      </c>
    </row>
    <row r="162" spans="1:11" x14ac:dyDescent="0.3">
      <c r="A162" s="168">
        <f t="shared" si="4"/>
        <v>47</v>
      </c>
      <c r="G162" s="168"/>
      <c r="H162" s="168"/>
      <c r="J162" s="168">
        <f t="shared" si="5"/>
        <v>47</v>
      </c>
    </row>
    <row r="163" spans="1:11" x14ac:dyDescent="0.3">
      <c r="A163" s="168">
        <f t="shared" si="4"/>
        <v>48</v>
      </c>
      <c r="B163" s="174" t="s">
        <v>790</v>
      </c>
      <c r="C163" s="171"/>
      <c r="D163" s="171"/>
      <c r="E163" s="171"/>
      <c r="F163" s="171"/>
      <c r="G163" s="243"/>
      <c r="H163" s="243"/>
      <c r="I163" s="244"/>
      <c r="J163" s="168">
        <f t="shared" si="5"/>
        <v>48</v>
      </c>
      <c r="K163" s="245"/>
    </row>
    <row r="164" spans="1:11" x14ac:dyDescent="0.3">
      <c r="A164" s="168">
        <f t="shared" si="4"/>
        <v>49</v>
      </c>
      <c r="B164" s="184"/>
      <c r="C164" s="171"/>
      <c r="D164" s="171"/>
      <c r="E164" s="171"/>
      <c r="F164" s="171"/>
      <c r="G164" s="243"/>
      <c r="H164" s="243"/>
      <c r="I164" s="246"/>
      <c r="J164" s="168">
        <f t="shared" si="5"/>
        <v>49</v>
      </c>
      <c r="K164" s="171"/>
    </row>
    <row r="165" spans="1:11" x14ac:dyDescent="0.3">
      <c r="A165" s="168">
        <f t="shared" si="4"/>
        <v>50</v>
      </c>
      <c r="B165" s="175" t="s">
        <v>775</v>
      </c>
      <c r="C165" s="171"/>
      <c r="D165" s="171"/>
      <c r="E165" s="171"/>
      <c r="F165" s="171"/>
      <c r="G165" s="243"/>
      <c r="H165" s="243"/>
      <c r="I165" s="246"/>
      <c r="J165" s="168">
        <f t="shared" si="5"/>
        <v>50</v>
      </c>
      <c r="K165" s="171"/>
    </row>
    <row r="166" spans="1:11" x14ac:dyDescent="0.3">
      <c r="A166" s="168">
        <f t="shared" si="4"/>
        <v>51</v>
      </c>
      <c r="B166" s="169" t="s">
        <v>811</v>
      </c>
      <c r="D166" s="171"/>
      <c r="E166" s="171"/>
      <c r="F166" s="171"/>
      <c r="G166" s="212">
        <f>G154</f>
        <v>2.8082485756763761E-3</v>
      </c>
      <c r="H166" s="212"/>
      <c r="I166" s="180" t="s">
        <v>813</v>
      </c>
      <c r="J166" s="168">
        <f t="shared" si="5"/>
        <v>51</v>
      </c>
      <c r="K166" s="168"/>
    </row>
    <row r="167" spans="1:11" x14ac:dyDescent="0.3">
      <c r="A167" s="168">
        <f t="shared" si="4"/>
        <v>52</v>
      </c>
      <c r="B167" s="169" t="s">
        <v>792</v>
      </c>
      <c r="D167" s="171"/>
      <c r="E167" s="171"/>
      <c r="F167" s="171"/>
      <c r="G167" s="247">
        <f>G156</f>
        <v>0</v>
      </c>
      <c r="H167" s="247"/>
      <c r="I167" s="180" t="s">
        <v>814</v>
      </c>
      <c r="J167" s="168">
        <f t="shared" si="5"/>
        <v>52</v>
      </c>
      <c r="K167" s="168"/>
    </row>
    <row r="168" spans="1:11" x14ac:dyDescent="0.3">
      <c r="A168" s="168">
        <f t="shared" si="4"/>
        <v>53</v>
      </c>
      <c r="B168" s="169" t="s">
        <v>794</v>
      </c>
      <c r="D168" s="171"/>
      <c r="E168" s="171"/>
      <c r="F168" s="171"/>
      <c r="G168" s="248">
        <f>G157</f>
        <v>4577996.2614806164</v>
      </c>
      <c r="H168" s="42" t="s">
        <v>42</v>
      </c>
      <c r="I168" s="180" t="s">
        <v>815</v>
      </c>
      <c r="J168" s="168">
        <f t="shared" si="5"/>
        <v>53</v>
      </c>
      <c r="K168" s="168"/>
    </row>
    <row r="169" spans="1:11" x14ac:dyDescent="0.3">
      <c r="A169" s="168">
        <f t="shared" si="4"/>
        <v>54</v>
      </c>
      <c r="B169" s="169" t="s">
        <v>796</v>
      </c>
      <c r="D169" s="171"/>
      <c r="E169" s="171"/>
      <c r="F169" s="171"/>
      <c r="G169" s="249">
        <f>G160</f>
        <v>7.4649645682536576E-4</v>
      </c>
      <c r="H169" s="249"/>
      <c r="I169" s="180" t="s">
        <v>816</v>
      </c>
      <c r="J169" s="168">
        <f t="shared" si="5"/>
        <v>54</v>
      </c>
    </row>
    <row r="170" spans="1:11" x14ac:dyDescent="0.3">
      <c r="A170" s="168">
        <f t="shared" si="4"/>
        <v>55</v>
      </c>
      <c r="B170" s="169" t="s">
        <v>798</v>
      </c>
      <c r="D170" s="171"/>
      <c r="E170" s="171"/>
      <c r="F170" s="171"/>
      <c r="G170" s="238" t="s">
        <v>799</v>
      </c>
      <c r="H170" s="171"/>
      <c r="I170" s="180" t="s">
        <v>800</v>
      </c>
      <c r="J170" s="168">
        <f t="shared" si="5"/>
        <v>55</v>
      </c>
    </row>
    <row r="171" spans="1:11" x14ac:dyDescent="0.3">
      <c r="A171" s="168">
        <f t="shared" si="4"/>
        <v>56</v>
      </c>
      <c r="B171" s="188"/>
      <c r="D171" s="171"/>
      <c r="E171" s="171"/>
      <c r="F171" s="171"/>
      <c r="G171" s="250"/>
      <c r="H171" s="250"/>
      <c r="I171" s="246"/>
      <c r="J171" s="168">
        <f t="shared" si="5"/>
        <v>56</v>
      </c>
      <c r="K171" s="258"/>
    </row>
    <row r="172" spans="1:11" x14ac:dyDescent="0.3">
      <c r="A172" s="168">
        <f t="shared" si="4"/>
        <v>57</v>
      </c>
      <c r="B172" s="169" t="s">
        <v>801</v>
      </c>
      <c r="C172" s="168"/>
      <c r="D172" s="168"/>
      <c r="E172" s="171"/>
      <c r="F172" s="171"/>
      <c r="G172" s="251">
        <f>((G166)+(G167/G168)+G160)*G170/(1-G170)</f>
        <v>3.4471200183540368E-4</v>
      </c>
      <c r="H172" s="252"/>
      <c r="I172" s="180" t="s">
        <v>802</v>
      </c>
      <c r="J172" s="168">
        <f t="shared" si="5"/>
        <v>57</v>
      </c>
    </row>
    <row r="173" spans="1:11" x14ac:dyDescent="0.3">
      <c r="A173" s="168">
        <f t="shared" si="4"/>
        <v>58</v>
      </c>
      <c r="B173" s="242" t="s">
        <v>803</v>
      </c>
      <c r="G173" s="168"/>
      <c r="H173" s="168"/>
      <c r="I173" s="180"/>
      <c r="J173" s="168">
        <f t="shared" si="5"/>
        <v>58</v>
      </c>
      <c r="K173" s="168"/>
    </row>
    <row r="174" spans="1:11" x14ac:dyDescent="0.3">
      <c r="A174" s="168">
        <f t="shared" si="4"/>
        <v>59</v>
      </c>
      <c r="G174" s="168"/>
      <c r="H174" s="168"/>
      <c r="I174" s="180"/>
      <c r="J174" s="168">
        <f t="shared" si="5"/>
        <v>59</v>
      </c>
      <c r="K174" s="168"/>
    </row>
    <row r="175" spans="1:11" x14ac:dyDescent="0.3">
      <c r="A175" s="168">
        <f t="shared" si="4"/>
        <v>60</v>
      </c>
      <c r="B175" s="174" t="s">
        <v>804</v>
      </c>
      <c r="G175" s="240">
        <f>G172+G160</f>
        <v>1.0912084586607695E-3</v>
      </c>
      <c r="H175" s="240"/>
      <c r="I175" s="180" t="s">
        <v>817</v>
      </c>
      <c r="J175" s="168">
        <f t="shared" si="5"/>
        <v>60</v>
      </c>
      <c r="K175" s="168"/>
    </row>
    <row r="176" spans="1:11" x14ac:dyDescent="0.3">
      <c r="A176" s="168">
        <f t="shared" si="4"/>
        <v>61</v>
      </c>
      <c r="G176" s="168"/>
      <c r="H176" s="168"/>
      <c r="I176" s="180"/>
      <c r="J176" s="168">
        <f t="shared" si="5"/>
        <v>61</v>
      </c>
      <c r="K176" s="168"/>
    </row>
    <row r="177" spans="1:12" x14ac:dyDescent="0.3">
      <c r="A177" s="168">
        <f t="shared" si="4"/>
        <v>62</v>
      </c>
      <c r="B177" s="174" t="s">
        <v>818</v>
      </c>
      <c r="G177" s="259">
        <f>G62</f>
        <v>2.8082485756763761E-3</v>
      </c>
      <c r="H177" s="171"/>
      <c r="I177" s="180" t="s">
        <v>819</v>
      </c>
      <c r="J177" s="168">
        <f t="shared" si="5"/>
        <v>62</v>
      </c>
      <c r="K177" s="168"/>
    </row>
    <row r="178" spans="1:12" x14ac:dyDescent="0.3">
      <c r="A178" s="168">
        <f t="shared" si="4"/>
        <v>63</v>
      </c>
      <c r="G178" s="212"/>
      <c r="H178" s="212"/>
      <c r="I178" s="180"/>
      <c r="J178" s="168">
        <f t="shared" si="5"/>
        <v>63</v>
      </c>
      <c r="K178" s="168"/>
    </row>
    <row r="179" spans="1:12" ht="18.600000000000001" thickBot="1" x14ac:dyDescent="0.35">
      <c r="A179" s="168">
        <f t="shared" si="4"/>
        <v>64</v>
      </c>
      <c r="B179" s="174" t="s">
        <v>820</v>
      </c>
      <c r="G179" s="254">
        <f>G175+G177</f>
        <v>3.8994570343371454E-3</v>
      </c>
      <c r="H179" s="252"/>
      <c r="I179" s="180" t="s">
        <v>821</v>
      </c>
      <c r="J179" s="168">
        <f t="shared" si="5"/>
        <v>64</v>
      </c>
      <c r="K179" s="255"/>
      <c r="L179" s="241"/>
    </row>
    <row r="180" spans="1:12" ht="16.2" thickTop="1" x14ac:dyDescent="0.3">
      <c r="B180" s="174"/>
      <c r="G180" s="260"/>
      <c r="H180" s="260"/>
      <c r="I180" s="180"/>
      <c r="J180" s="168"/>
      <c r="K180" s="255"/>
      <c r="L180" s="241"/>
    </row>
    <row r="181" spans="1:12" x14ac:dyDescent="0.3">
      <c r="A181" s="42" t="s">
        <v>42</v>
      </c>
      <c r="B181" s="188" t="str">
        <f>'Pg2 BK-1 Comparison'!B42</f>
        <v xml:space="preserve">Items in BOLD have changed due to unfunded reserves error, A&amp;G adjustments, transmission revenue credits error,  and removal of CIAC related ADIT per TO5 Cycle 4 Letter Order </v>
      </c>
      <c r="C181" s="261"/>
      <c r="D181" s="261"/>
      <c r="E181" s="261"/>
      <c r="F181" s="261"/>
      <c r="G181" s="262"/>
      <c r="H181" s="262"/>
      <c r="I181" s="263"/>
      <c r="J181" s="168"/>
    </row>
    <row r="182" spans="1:12" x14ac:dyDescent="0.3">
      <c r="A182" s="42"/>
      <c r="B182" s="188" t="str">
        <f>'Pg2 BK-1 Comparison'!B43</f>
        <v>determination in ER22-527 as compared to the original TO5 Cycle 4 filing.</v>
      </c>
      <c r="C182" s="261"/>
      <c r="D182" s="261"/>
      <c r="E182" s="261"/>
      <c r="F182" s="261"/>
      <c r="G182" s="262"/>
      <c r="H182" s="262"/>
      <c r="I182" s="263"/>
      <c r="J182" s="168"/>
    </row>
    <row r="183" spans="1:12" x14ac:dyDescent="0.3">
      <c r="A183" s="42"/>
      <c r="B183" s="188"/>
      <c r="C183" s="261"/>
      <c r="D183" s="261"/>
      <c r="E183" s="261"/>
      <c r="F183" s="261"/>
      <c r="G183" s="262"/>
      <c r="H183" s="262"/>
      <c r="I183" s="263"/>
      <c r="J183" s="168"/>
    </row>
    <row r="184" spans="1:12" x14ac:dyDescent="0.3">
      <c r="A184" s="42"/>
      <c r="B184" s="12"/>
      <c r="C184" s="261"/>
      <c r="D184" s="261"/>
      <c r="E184" s="261"/>
      <c r="F184" s="261"/>
      <c r="G184" s="262"/>
      <c r="H184" s="262"/>
      <c r="I184" s="101"/>
      <c r="J184" s="168"/>
    </row>
    <row r="185" spans="1:12" x14ac:dyDescent="0.3">
      <c r="B185" s="861" t="s">
        <v>217</v>
      </c>
      <c r="C185" s="861"/>
      <c r="D185" s="861"/>
      <c r="E185" s="861"/>
      <c r="F185" s="861"/>
      <c r="G185" s="861"/>
      <c r="H185" s="861"/>
      <c r="I185" s="861"/>
      <c r="J185" s="168"/>
    </row>
    <row r="186" spans="1:12" x14ac:dyDescent="0.3">
      <c r="B186" s="861" t="s">
        <v>685</v>
      </c>
      <c r="C186" s="861"/>
      <c r="D186" s="861"/>
      <c r="E186" s="861"/>
      <c r="F186" s="861"/>
      <c r="G186" s="861"/>
      <c r="H186" s="861"/>
      <c r="I186" s="861"/>
      <c r="J186" s="168"/>
    </row>
    <row r="187" spans="1:12" x14ac:dyDescent="0.3">
      <c r="B187" s="861" t="s">
        <v>686</v>
      </c>
      <c r="C187" s="861"/>
      <c r="D187" s="861"/>
      <c r="E187" s="861"/>
      <c r="F187" s="861"/>
      <c r="G187" s="861"/>
      <c r="H187" s="861"/>
      <c r="I187" s="861"/>
      <c r="J187" s="168"/>
    </row>
    <row r="188" spans="1:12" x14ac:dyDescent="0.3">
      <c r="B188" s="862" t="str">
        <f>B5</f>
        <v>Base Period &amp; True-Up Period 12 - Months Ending December 31, 2020</v>
      </c>
      <c r="C188" s="862"/>
      <c r="D188" s="862"/>
      <c r="E188" s="862"/>
      <c r="F188" s="862"/>
      <c r="G188" s="862"/>
      <c r="H188" s="862"/>
      <c r="I188" s="862"/>
      <c r="J188" s="168"/>
    </row>
    <row r="189" spans="1:12" x14ac:dyDescent="0.3">
      <c r="B189" s="863" t="s">
        <v>3</v>
      </c>
      <c r="C189" s="864"/>
      <c r="D189" s="864"/>
      <c r="E189" s="864"/>
      <c r="F189" s="864"/>
      <c r="G189" s="864"/>
      <c r="H189" s="864"/>
      <c r="I189" s="864"/>
      <c r="J189" s="168"/>
    </row>
    <row r="190" spans="1:12" x14ac:dyDescent="0.3">
      <c r="B190" s="168"/>
      <c r="C190" s="168"/>
      <c r="D190" s="168"/>
      <c r="E190" s="168"/>
      <c r="F190" s="168"/>
      <c r="G190" s="171"/>
      <c r="H190" s="171"/>
      <c r="I190" s="180"/>
      <c r="J190" s="168"/>
    </row>
    <row r="191" spans="1:12" x14ac:dyDescent="0.3">
      <c r="A191" s="168" t="s">
        <v>4</v>
      </c>
      <c r="B191" s="171"/>
      <c r="C191" s="171"/>
      <c r="D191" s="171"/>
      <c r="E191" s="171"/>
      <c r="F191" s="171"/>
      <c r="G191" s="171"/>
      <c r="H191" s="171"/>
      <c r="I191" s="180"/>
      <c r="J191" s="168" t="s">
        <v>4</v>
      </c>
    </row>
    <row r="192" spans="1:12" x14ac:dyDescent="0.3">
      <c r="A192" s="168" t="s">
        <v>8</v>
      </c>
      <c r="B192" s="168"/>
      <c r="C192" s="168"/>
      <c r="D192" s="168"/>
      <c r="E192" s="168"/>
      <c r="F192" s="168"/>
      <c r="G192" s="172" t="s">
        <v>6</v>
      </c>
      <c r="H192" s="171"/>
      <c r="I192" s="194" t="s">
        <v>7</v>
      </c>
      <c r="J192" s="168" t="s">
        <v>8</v>
      </c>
    </row>
    <row r="193" spans="1:10" x14ac:dyDescent="0.3">
      <c r="G193" s="168"/>
      <c r="H193" s="168"/>
      <c r="I193" s="180"/>
      <c r="J193" s="168"/>
    </row>
    <row r="194" spans="1:10" ht="18" x14ac:dyDescent="0.3">
      <c r="A194" s="168">
        <v>1</v>
      </c>
      <c r="B194" s="174" t="s">
        <v>822</v>
      </c>
      <c r="E194" s="171"/>
      <c r="F194" s="171"/>
      <c r="G194" s="229"/>
      <c r="H194" s="229"/>
      <c r="I194" s="180"/>
      <c r="J194" s="168">
        <v>1</v>
      </c>
    </row>
    <row r="195" spans="1:10" x14ac:dyDescent="0.3">
      <c r="A195" s="168">
        <f>A194+1</f>
        <v>2</v>
      </c>
      <c r="B195" s="230"/>
      <c r="E195" s="171"/>
      <c r="F195" s="171"/>
      <c r="G195" s="229"/>
      <c r="H195" s="229"/>
      <c r="I195" s="180"/>
      <c r="J195" s="168">
        <f>J194+1</f>
        <v>2</v>
      </c>
    </row>
    <row r="196" spans="1:10" x14ac:dyDescent="0.3">
      <c r="A196" s="168">
        <f>A195+1</f>
        <v>3</v>
      </c>
      <c r="B196" s="174" t="s">
        <v>774</v>
      </c>
      <c r="E196" s="171"/>
      <c r="F196" s="171"/>
      <c r="G196" s="229"/>
      <c r="H196" s="229"/>
      <c r="I196" s="180"/>
      <c r="J196" s="168">
        <f>J195+1</f>
        <v>3</v>
      </c>
    </row>
    <row r="197" spans="1:10" x14ac:dyDescent="0.3">
      <c r="A197" s="168">
        <f>A196+1</f>
        <v>4</v>
      </c>
      <c r="B197" s="171"/>
      <c r="C197" s="171"/>
      <c r="D197" s="171"/>
      <c r="E197" s="171"/>
      <c r="F197" s="171"/>
      <c r="G197" s="229"/>
      <c r="H197" s="229"/>
      <c r="I197" s="180"/>
      <c r="J197" s="168">
        <f>J196+1</f>
        <v>4</v>
      </c>
    </row>
    <row r="198" spans="1:10" x14ac:dyDescent="0.3">
      <c r="A198" s="168">
        <f t="shared" ref="A198:A257" si="6">A197+1</f>
        <v>5</v>
      </c>
      <c r="B198" s="175" t="s">
        <v>775</v>
      </c>
      <c r="C198" s="171"/>
      <c r="D198" s="171"/>
      <c r="E198" s="171"/>
      <c r="F198" s="171"/>
      <c r="G198" s="229"/>
      <c r="H198" s="229"/>
      <c r="I198" s="231"/>
      <c r="J198" s="168">
        <f t="shared" ref="J198:J257" si="7">J197+1</f>
        <v>5</v>
      </c>
    </row>
    <row r="199" spans="1:10" x14ac:dyDescent="0.3">
      <c r="A199" s="168">
        <f t="shared" si="6"/>
        <v>6</v>
      </c>
      <c r="B199" s="169" t="s">
        <v>776</v>
      </c>
      <c r="D199" s="171"/>
      <c r="E199" s="171"/>
      <c r="F199" s="171"/>
      <c r="G199" s="232">
        <f>G88</f>
        <v>0</v>
      </c>
      <c r="H199" s="171"/>
      <c r="I199" s="180" t="s">
        <v>823</v>
      </c>
      <c r="J199" s="168">
        <f t="shared" si="7"/>
        <v>6</v>
      </c>
    </row>
    <row r="200" spans="1:10" x14ac:dyDescent="0.3">
      <c r="A200" s="168">
        <f t="shared" si="6"/>
        <v>7</v>
      </c>
      <c r="B200" s="169" t="s">
        <v>778</v>
      </c>
      <c r="D200" s="171"/>
      <c r="E200" s="171"/>
      <c r="F200" s="171"/>
      <c r="G200" s="257">
        <v>0</v>
      </c>
      <c r="H200" s="171"/>
      <c r="I200" s="180" t="s">
        <v>824</v>
      </c>
      <c r="J200" s="168">
        <f t="shared" si="7"/>
        <v>7</v>
      </c>
    </row>
    <row r="201" spans="1:10" x14ac:dyDescent="0.3">
      <c r="A201" s="168">
        <f t="shared" si="6"/>
        <v>8</v>
      </c>
      <c r="B201" s="169" t="s">
        <v>780</v>
      </c>
      <c r="D201" s="171"/>
      <c r="E201" s="171"/>
      <c r="F201" s="171"/>
      <c r="G201" s="234">
        <v>0</v>
      </c>
      <c r="H201" s="171"/>
      <c r="I201" s="224"/>
      <c r="J201" s="168">
        <f t="shared" si="7"/>
        <v>8</v>
      </c>
    </row>
    <row r="202" spans="1:10" x14ac:dyDescent="0.3">
      <c r="A202" s="168">
        <f t="shared" si="6"/>
        <v>9</v>
      </c>
      <c r="B202" s="169" t="s">
        <v>825</v>
      </c>
      <c r="D202" s="171"/>
      <c r="E202" s="171"/>
      <c r="F202" s="171"/>
      <c r="G202" s="233">
        <v>0</v>
      </c>
      <c r="H202" s="171"/>
      <c r="I202" s="180" t="s">
        <v>826</v>
      </c>
      <c r="J202" s="168">
        <f t="shared" si="7"/>
        <v>9</v>
      </c>
    </row>
    <row r="203" spans="1:10" x14ac:dyDescent="0.3">
      <c r="A203" s="168">
        <f t="shared" si="6"/>
        <v>10</v>
      </c>
      <c r="B203" s="169" t="s">
        <v>784</v>
      </c>
      <c r="D203" s="171"/>
      <c r="E203" s="171"/>
      <c r="F203" s="171"/>
      <c r="G203" s="264" t="str">
        <f>G125</f>
        <v>21%</v>
      </c>
      <c r="H203" s="171"/>
      <c r="I203" s="180" t="s">
        <v>827</v>
      </c>
      <c r="J203" s="168">
        <f t="shared" si="7"/>
        <v>10</v>
      </c>
    </row>
    <row r="204" spans="1:10" x14ac:dyDescent="0.3">
      <c r="A204" s="168">
        <f t="shared" si="6"/>
        <v>11</v>
      </c>
      <c r="G204" s="168"/>
      <c r="H204" s="168"/>
      <c r="J204" s="168">
        <f t="shared" si="7"/>
        <v>11</v>
      </c>
    </row>
    <row r="205" spans="1:10" x14ac:dyDescent="0.3">
      <c r="A205" s="168">
        <f t="shared" si="6"/>
        <v>12</v>
      </c>
      <c r="B205" s="169" t="s">
        <v>828</v>
      </c>
      <c r="D205" s="171"/>
      <c r="E205" s="171"/>
      <c r="F205" s="171"/>
      <c r="G205" s="240">
        <f>IFERROR((((G199)+(G201/G202))*G203-(G200/G202))/(1-G203),0)</f>
        <v>0</v>
      </c>
      <c r="H205" s="240"/>
      <c r="I205" s="180" t="s">
        <v>829</v>
      </c>
      <c r="J205" s="168">
        <f t="shared" si="7"/>
        <v>12</v>
      </c>
    </row>
    <row r="206" spans="1:10" x14ac:dyDescent="0.3">
      <c r="A206" s="168">
        <f t="shared" si="6"/>
        <v>13</v>
      </c>
      <c r="B206" s="242" t="s">
        <v>789</v>
      </c>
      <c r="D206" s="242"/>
      <c r="G206" s="222"/>
      <c r="H206" s="222"/>
      <c r="J206" s="168">
        <f t="shared" si="7"/>
        <v>13</v>
      </c>
    </row>
    <row r="207" spans="1:10" x14ac:dyDescent="0.3">
      <c r="A207" s="168">
        <f t="shared" si="6"/>
        <v>14</v>
      </c>
      <c r="G207" s="168"/>
      <c r="H207" s="168"/>
      <c r="J207" s="168">
        <f t="shared" si="7"/>
        <v>14</v>
      </c>
    </row>
    <row r="208" spans="1:10" x14ac:dyDescent="0.3">
      <c r="A208" s="168">
        <f t="shared" si="6"/>
        <v>15</v>
      </c>
      <c r="B208" s="174" t="s">
        <v>790</v>
      </c>
      <c r="C208" s="171"/>
      <c r="D208" s="171"/>
      <c r="E208" s="171"/>
      <c r="F208" s="171"/>
      <c r="G208" s="243"/>
      <c r="H208" s="243"/>
      <c r="I208" s="244"/>
      <c r="J208" s="168">
        <f t="shared" si="7"/>
        <v>15</v>
      </c>
    </row>
    <row r="209" spans="1:10" x14ac:dyDescent="0.3">
      <c r="A209" s="168">
        <f t="shared" si="6"/>
        <v>16</v>
      </c>
      <c r="B209" s="184"/>
      <c r="C209" s="171"/>
      <c r="D209" s="171"/>
      <c r="E209" s="171"/>
      <c r="F209" s="171"/>
      <c r="G209" s="243"/>
      <c r="H209" s="243"/>
      <c r="I209" s="231"/>
      <c r="J209" s="168">
        <f t="shared" si="7"/>
        <v>16</v>
      </c>
    </row>
    <row r="210" spans="1:10" x14ac:dyDescent="0.3">
      <c r="A210" s="168">
        <f t="shared" si="6"/>
        <v>17</v>
      </c>
      <c r="B210" s="175" t="s">
        <v>775</v>
      </c>
      <c r="C210" s="171"/>
      <c r="D210" s="171"/>
      <c r="E210" s="171"/>
      <c r="F210" s="171"/>
      <c r="G210" s="243"/>
      <c r="H210" s="243"/>
      <c r="I210" s="231"/>
      <c r="J210" s="168">
        <f t="shared" si="7"/>
        <v>17</v>
      </c>
    </row>
    <row r="211" spans="1:10" x14ac:dyDescent="0.3">
      <c r="A211" s="168">
        <f t="shared" si="6"/>
        <v>18</v>
      </c>
      <c r="B211" s="169" t="s">
        <v>776</v>
      </c>
      <c r="D211" s="171"/>
      <c r="E211" s="171"/>
      <c r="F211" s="171"/>
      <c r="G211" s="212">
        <f>G199</f>
        <v>0</v>
      </c>
      <c r="H211" s="212"/>
      <c r="I211" s="180" t="s">
        <v>791</v>
      </c>
      <c r="J211" s="168">
        <f t="shared" si="7"/>
        <v>18</v>
      </c>
    </row>
    <row r="212" spans="1:10" x14ac:dyDescent="0.3">
      <c r="A212" s="168">
        <f t="shared" si="6"/>
        <v>19</v>
      </c>
      <c r="B212" s="169" t="s">
        <v>792</v>
      </c>
      <c r="D212" s="171"/>
      <c r="E212" s="171"/>
      <c r="F212" s="171"/>
      <c r="G212" s="247">
        <f>G201</f>
        <v>0</v>
      </c>
      <c r="H212" s="247"/>
      <c r="I212" s="180" t="s">
        <v>793</v>
      </c>
      <c r="J212" s="168">
        <f t="shared" si="7"/>
        <v>19</v>
      </c>
    </row>
    <row r="213" spans="1:10" x14ac:dyDescent="0.3">
      <c r="A213" s="168">
        <f t="shared" si="6"/>
        <v>20</v>
      </c>
      <c r="B213" s="169" t="s">
        <v>830</v>
      </c>
      <c r="D213" s="171"/>
      <c r="E213" s="171"/>
      <c r="F213" s="171"/>
      <c r="G213" s="247">
        <f>G202</f>
        <v>0</v>
      </c>
      <c r="H213" s="247"/>
      <c r="I213" s="180" t="s">
        <v>795</v>
      </c>
      <c r="J213" s="168">
        <f t="shared" si="7"/>
        <v>20</v>
      </c>
    </row>
    <row r="214" spans="1:10" x14ac:dyDescent="0.3">
      <c r="A214" s="168">
        <f t="shared" si="6"/>
        <v>21</v>
      </c>
      <c r="B214" s="169" t="s">
        <v>796</v>
      </c>
      <c r="D214" s="171"/>
      <c r="E214" s="171"/>
      <c r="F214" s="171"/>
      <c r="G214" s="249">
        <f>G205</f>
        <v>0</v>
      </c>
      <c r="H214" s="249"/>
      <c r="I214" s="180" t="s">
        <v>797</v>
      </c>
      <c r="J214" s="168">
        <f t="shared" si="7"/>
        <v>21</v>
      </c>
    </row>
    <row r="215" spans="1:10" x14ac:dyDescent="0.3">
      <c r="A215" s="168">
        <f t="shared" si="6"/>
        <v>22</v>
      </c>
      <c r="B215" s="169" t="s">
        <v>798</v>
      </c>
      <c r="D215" s="171"/>
      <c r="E215" s="171"/>
      <c r="F215" s="171"/>
      <c r="G215" s="265" t="str">
        <f>G137</f>
        <v>8.84%</v>
      </c>
      <c r="H215" s="171"/>
      <c r="I215" s="180" t="s">
        <v>831</v>
      </c>
      <c r="J215" s="168">
        <f t="shared" si="7"/>
        <v>22</v>
      </c>
    </row>
    <row r="216" spans="1:10" x14ac:dyDescent="0.3">
      <c r="A216" s="168">
        <f t="shared" si="6"/>
        <v>23</v>
      </c>
      <c r="B216" s="188"/>
      <c r="D216" s="171"/>
      <c r="E216" s="171"/>
      <c r="F216" s="171"/>
      <c r="G216" s="250"/>
      <c r="H216" s="250"/>
      <c r="I216" s="246"/>
      <c r="J216" s="168">
        <f t="shared" si="7"/>
        <v>23</v>
      </c>
    </row>
    <row r="217" spans="1:10" x14ac:dyDescent="0.3">
      <c r="A217" s="168">
        <f t="shared" si="6"/>
        <v>24</v>
      </c>
      <c r="B217" s="169" t="s">
        <v>801</v>
      </c>
      <c r="C217" s="168"/>
      <c r="D217" s="168"/>
      <c r="E217" s="171"/>
      <c r="F217" s="171"/>
      <c r="G217" s="251">
        <f>IFERROR(((G211)+(G212/G213)+G205)*G215/(1-G215),0)</f>
        <v>0</v>
      </c>
      <c r="H217" s="252"/>
      <c r="I217" s="180" t="s">
        <v>802</v>
      </c>
      <c r="J217" s="168">
        <f t="shared" si="7"/>
        <v>24</v>
      </c>
    </row>
    <row r="218" spans="1:10" x14ac:dyDescent="0.3">
      <c r="A218" s="168">
        <f t="shared" si="6"/>
        <v>25</v>
      </c>
      <c r="B218" s="242" t="s">
        <v>803</v>
      </c>
      <c r="D218" s="242"/>
      <c r="G218" s="168"/>
      <c r="H218" s="168"/>
      <c r="I218" s="180"/>
      <c r="J218" s="168">
        <f t="shared" si="7"/>
        <v>25</v>
      </c>
    </row>
    <row r="219" spans="1:10" x14ac:dyDescent="0.3">
      <c r="A219" s="168">
        <f t="shared" si="6"/>
        <v>26</v>
      </c>
      <c r="G219" s="168"/>
      <c r="H219" s="168"/>
      <c r="I219" s="180"/>
      <c r="J219" s="168">
        <f t="shared" si="7"/>
        <v>26</v>
      </c>
    </row>
    <row r="220" spans="1:10" x14ac:dyDescent="0.3">
      <c r="A220" s="168">
        <f t="shared" si="6"/>
        <v>27</v>
      </c>
      <c r="B220" s="174" t="s">
        <v>804</v>
      </c>
      <c r="G220" s="240">
        <f>G217+G205</f>
        <v>0</v>
      </c>
      <c r="H220" s="240"/>
      <c r="I220" s="180" t="s">
        <v>805</v>
      </c>
      <c r="J220" s="168">
        <f t="shared" si="7"/>
        <v>27</v>
      </c>
    </row>
    <row r="221" spans="1:10" x14ac:dyDescent="0.3">
      <c r="A221" s="168">
        <f t="shared" si="6"/>
        <v>28</v>
      </c>
      <c r="G221" s="168"/>
      <c r="H221" s="168"/>
      <c r="I221" s="180"/>
      <c r="J221" s="168">
        <f t="shared" si="7"/>
        <v>28</v>
      </c>
    </row>
    <row r="222" spans="1:10" x14ac:dyDescent="0.3">
      <c r="A222" s="168">
        <f t="shared" si="6"/>
        <v>29</v>
      </c>
      <c r="B222" s="174" t="s">
        <v>832</v>
      </c>
      <c r="G222" s="266">
        <f>G86</f>
        <v>1.7368511652018213E-2</v>
      </c>
      <c r="H222" s="171"/>
      <c r="I222" s="180" t="s">
        <v>833</v>
      </c>
      <c r="J222" s="168">
        <f t="shared" si="7"/>
        <v>29</v>
      </c>
    </row>
    <row r="223" spans="1:10" x14ac:dyDescent="0.3">
      <c r="A223" s="168">
        <f t="shared" si="6"/>
        <v>30</v>
      </c>
      <c r="G223" s="168"/>
      <c r="H223" s="168"/>
      <c r="I223" s="180"/>
      <c r="J223" s="168">
        <f t="shared" si="7"/>
        <v>30</v>
      </c>
    </row>
    <row r="224" spans="1:10" ht="18.600000000000001" thickBot="1" x14ac:dyDescent="0.35">
      <c r="A224" s="168">
        <f t="shared" si="6"/>
        <v>31</v>
      </c>
      <c r="B224" s="174" t="s">
        <v>834</v>
      </c>
      <c r="G224" s="267">
        <f>G220+G222</f>
        <v>1.7368511652018213E-2</v>
      </c>
      <c r="H224" s="268"/>
      <c r="I224" s="180" t="s">
        <v>809</v>
      </c>
      <c r="J224" s="168">
        <f t="shared" si="7"/>
        <v>31</v>
      </c>
    </row>
    <row r="225" spans="1:10" ht="16.8" thickTop="1" thickBot="1" x14ac:dyDescent="0.35">
      <c r="A225" s="209">
        <f t="shared" si="6"/>
        <v>32</v>
      </c>
      <c r="B225" s="225"/>
      <c r="C225" s="191"/>
      <c r="D225" s="191"/>
      <c r="E225" s="191"/>
      <c r="F225" s="191"/>
      <c r="G225" s="269"/>
      <c r="H225" s="269"/>
      <c r="I225" s="210"/>
      <c r="J225" s="209">
        <f t="shared" si="7"/>
        <v>32</v>
      </c>
    </row>
    <row r="226" spans="1:10" x14ac:dyDescent="0.3">
      <c r="A226" s="168">
        <f t="shared" si="6"/>
        <v>33</v>
      </c>
      <c r="B226" s="174"/>
      <c r="G226" s="268"/>
      <c r="H226" s="268"/>
      <c r="I226" s="180"/>
      <c r="J226" s="168">
        <f t="shared" si="7"/>
        <v>33</v>
      </c>
    </row>
    <row r="227" spans="1:10" ht="18" x14ac:dyDescent="0.3">
      <c r="A227" s="168">
        <f t="shared" si="6"/>
        <v>34</v>
      </c>
      <c r="B227" s="174" t="s">
        <v>810</v>
      </c>
      <c r="E227" s="171"/>
      <c r="F227" s="171"/>
      <c r="G227" s="229"/>
      <c r="H227" s="229"/>
      <c r="I227" s="180"/>
      <c r="J227" s="168">
        <f t="shared" si="7"/>
        <v>34</v>
      </c>
    </row>
    <row r="228" spans="1:10" x14ac:dyDescent="0.3">
      <c r="A228" s="168">
        <f t="shared" si="6"/>
        <v>35</v>
      </c>
      <c r="B228" s="230"/>
      <c r="E228" s="171"/>
      <c r="F228" s="171"/>
      <c r="G228" s="229"/>
      <c r="H228" s="229"/>
      <c r="I228" s="180"/>
      <c r="J228" s="168">
        <f t="shared" si="7"/>
        <v>35</v>
      </c>
    </row>
    <row r="229" spans="1:10" x14ac:dyDescent="0.3">
      <c r="A229" s="168">
        <f t="shared" si="6"/>
        <v>36</v>
      </c>
      <c r="B229" s="174" t="s">
        <v>774</v>
      </c>
      <c r="E229" s="171"/>
      <c r="F229" s="171"/>
      <c r="G229" s="229"/>
      <c r="H229" s="229"/>
      <c r="I229" s="180"/>
      <c r="J229" s="168">
        <f t="shared" si="7"/>
        <v>36</v>
      </c>
    </row>
    <row r="230" spans="1:10" x14ac:dyDescent="0.3">
      <c r="A230" s="168">
        <f t="shared" si="6"/>
        <v>37</v>
      </c>
      <c r="B230" s="171"/>
      <c r="C230" s="171"/>
      <c r="D230" s="171"/>
      <c r="E230" s="171"/>
      <c r="F230" s="171"/>
      <c r="G230" s="229"/>
      <c r="H230" s="229"/>
      <c r="I230" s="180"/>
      <c r="J230" s="168">
        <f t="shared" si="7"/>
        <v>37</v>
      </c>
    </row>
    <row r="231" spans="1:10" x14ac:dyDescent="0.3">
      <c r="A231" s="168">
        <f t="shared" si="6"/>
        <v>38</v>
      </c>
      <c r="B231" s="175" t="s">
        <v>775</v>
      </c>
      <c r="C231" s="171"/>
      <c r="D231" s="171"/>
      <c r="E231" s="171"/>
      <c r="F231" s="171"/>
      <c r="G231" s="229"/>
      <c r="H231" s="229"/>
      <c r="I231" s="231"/>
      <c r="J231" s="168">
        <f t="shared" si="7"/>
        <v>38</v>
      </c>
    </row>
    <row r="232" spans="1:10" x14ac:dyDescent="0.3">
      <c r="A232" s="168">
        <f t="shared" si="6"/>
        <v>39</v>
      </c>
      <c r="B232" s="169" t="s">
        <v>811</v>
      </c>
      <c r="D232" s="171"/>
      <c r="E232" s="171"/>
      <c r="F232" s="171"/>
      <c r="G232" s="232">
        <f>G101</f>
        <v>0</v>
      </c>
      <c r="H232" s="171"/>
      <c r="I232" s="180" t="s">
        <v>835</v>
      </c>
      <c r="J232" s="168">
        <f t="shared" si="7"/>
        <v>39</v>
      </c>
    </row>
    <row r="233" spans="1:10" x14ac:dyDescent="0.3">
      <c r="A233" s="168">
        <f t="shared" si="6"/>
        <v>40</v>
      </c>
      <c r="B233" s="169" t="s">
        <v>778</v>
      </c>
      <c r="D233" s="171"/>
      <c r="E233" s="171"/>
      <c r="F233" s="171"/>
      <c r="G233" s="257">
        <v>0</v>
      </c>
      <c r="H233" s="171"/>
      <c r="I233" s="180" t="s">
        <v>824</v>
      </c>
      <c r="J233" s="168">
        <f t="shared" si="7"/>
        <v>40</v>
      </c>
    </row>
    <row r="234" spans="1:10" x14ac:dyDescent="0.3">
      <c r="A234" s="168">
        <f t="shared" si="6"/>
        <v>41</v>
      </c>
      <c r="B234" s="169" t="s">
        <v>780</v>
      </c>
      <c r="D234" s="171"/>
      <c r="E234" s="171"/>
      <c r="F234" s="171"/>
      <c r="G234" s="234">
        <v>0</v>
      </c>
      <c r="H234" s="171"/>
      <c r="I234" s="224"/>
      <c r="J234" s="168">
        <f t="shared" si="7"/>
        <v>41</v>
      </c>
    </row>
    <row r="235" spans="1:10" x14ac:dyDescent="0.3">
      <c r="A235" s="168">
        <f t="shared" si="6"/>
        <v>42</v>
      </c>
      <c r="B235" s="169" t="s">
        <v>836</v>
      </c>
      <c r="D235" s="171"/>
      <c r="E235" s="171"/>
      <c r="F235" s="171"/>
      <c r="G235" s="233">
        <v>0</v>
      </c>
      <c r="H235" s="171"/>
      <c r="I235" s="180" t="s">
        <v>826</v>
      </c>
      <c r="J235" s="168">
        <f t="shared" si="7"/>
        <v>42</v>
      </c>
    </row>
    <row r="236" spans="1:10" x14ac:dyDescent="0.3">
      <c r="A236" s="168">
        <f t="shared" si="6"/>
        <v>43</v>
      </c>
      <c r="B236" s="169" t="s">
        <v>784</v>
      </c>
      <c r="D236" s="171"/>
      <c r="E236" s="171"/>
      <c r="F236" s="171"/>
      <c r="G236" s="264" t="str">
        <f>G158</f>
        <v>21%</v>
      </c>
      <c r="H236" s="171"/>
      <c r="I236" s="180" t="s">
        <v>827</v>
      </c>
      <c r="J236" s="168">
        <f t="shared" si="7"/>
        <v>43</v>
      </c>
    </row>
    <row r="237" spans="1:10" x14ac:dyDescent="0.3">
      <c r="A237" s="168">
        <f t="shared" si="6"/>
        <v>44</v>
      </c>
      <c r="G237" s="168"/>
      <c r="H237" s="168"/>
      <c r="J237" s="168">
        <f t="shared" si="7"/>
        <v>44</v>
      </c>
    </row>
    <row r="238" spans="1:10" x14ac:dyDescent="0.3">
      <c r="A238" s="168">
        <f t="shared" si="6"/>
        <v>45</v>
      </c>
      <c r="B238" s="169" t="s">
        <v>787</v>
      </c>
      <c r="D238" s="171"/>
      <c r="E238" s="171"/>
      <c r="F238" s="171"/>
      <c r="G238" s="240">
        <f>IFERROR((((G232)+(G234/G235))*G236-(G233/G235))/(1-G236),0)</f>
        <v>0</v>
      </c>
      <c r="H238" s="240"/>
      <c r="I238" s="180" t="s">
        <v>829</v>
      </c>
      <c r="J238" s="168">
        <f t="shared" si="7"/>
        <v>45</v>
      </c>
    </row>
    <row r="239" spans="1:10" x14ac:dyDescent="0.3">
      <c r="A239" s="168">
        <f t="shared" si="6"/>
        <v>46</v>
      </c>
      <c r="B239" s="242" t="s">
        <v>789</v>
      </c>
      <c r="D239" s="242"/>
      <c r="G239" s="222"/>
      <c r="H239" s="222"/>
      <c r="J239" s="168">
        <f t="shared" si="7"/>
        <v>46</v>
      </c>
    </row>
    <row r="240" spans="1:10" x14ac:dyDescent="0.3">
      <c r="A240" s="168">
        <f t="shared" si="6"/>
        <v>47</v>
      </c>
      <c r="G240" s="168"/>
      <c r="H240" s="168"/>
      <c r="J240" s="168">
        <f t="shared" si="7"/>
        <v>47</v>
      </c>
    </row>
    <row r="241" spans="1:10" x14ac:dyDescent="0.3">
      <c r="A241" s="168">
        <f t="shared" si="6"/>
        <v>48</v>
      </c>
      <c r="B241" s="174" t="s">
        <v>790</v>
      </c>
      <c r="C241" s="171"/>
      <c r="D241" s="171"/>
      <c r="E241" s="171"/>
      <c r="F241" s="171"/>
      <c r="G241" s="243"/>
      <c r="H241" s="243"/>
      <c r="I241" s="244"/>
      <c r="J241" s="168">
        <f t="shared" si="7"/>
        <v>48</v>
      </c>
    </row>
    <row r="242" spans="1:10" x14ac:dyDescent="0.3">
      <c r="A242" s="168">
        <f t="shared" si="6"/>
        <v>49</v>
      </c>
      <c r="B242" s="184"/>
      <c r="C242" s="171"/>
      <c r="D242" s="171"/>
      <c r="E242" s="171"/>
      <c r="F242" s="171"/>
      <c r="G242" s="243"/>
      <c r="H242" s="243"/>
      <c r="I242" s="231"/>
      <c r="J242" s="168">
        <f t="shared" si="7"/>
        <v>49</v>
      </c>
    </row>
    <row r="243" spans="1:10" x14ac:dyDescent="0.3">
      <c r="A243" s="168">
        <f t="shared" si="6"/>
        <v>50</v>
      </c>
      <c r="B243" s="175" t="s">
        <v>775</v>
      </c>
      <c r="C243" s="171"/>
      <c r="D243" s="171"/>
      <c r="E243" s="171"/>
      <c r="F243" s="171"/>
      <c r="G243" s="243"/>
      <c r="H243" s="243"/>
      <c r="I243" s="231"/>
      <c r="J243" s="168">
        <f t="shared" si="7"/>
        <v>50</v>
      </c>
    </row>
    <row r="244" spans="1:10" x14ac:dyDescent="0.3">
      <c r="A244" s="168">
        <f t="shared" si="6"/>
        <v>51</v>
      </c>
      <c r="B244" s="169" t="s">
        <v>811</v>
      </c>
      <c r="D244" s="171"/>
      <c r="E244" s="171"/>
      <c r="F244" s="171"/>
      <c r="G244" s="212">
        <f>G232</f>
        <v>0</v>
      </c>
      <c r="H244" s="212"/>
      <c r="I244" s="180" t="s">
        <v>813</v>
      </c>
      <c r="J244" s="168">
        <f t="shared" si="7"/>
        <v>51</v>
      </c>
    </row>
    <row r="245" spans="1:10" x14ac:dyDescent="0.3">
      <c r="A245" s="168">
        <f t="shared" si="6"/>
        <v>52</v>
      </c>
      <c r="B245" s="169" t="s">
        <v>792</v>
      </c>
      <c r="D245" s="171"/>
      <c r="E245" s="171"/>
      <c r="F245" s="171"/>
      <c r="G245" s="247">
        <f>G234</f>
        <v>0</v>
      </c>
      <c r="H245" s="247"/>
      <c r="I245" s="180" t="s">
        <v>814</v>
      </c>
      <c r="J245" s="168">
        <f t="shared" si="7"/>
        <v>52</v>
      </c>
    </row>
    <row r="246" spans="1:10" x14ac:dyDescent="0.3">
      <c r="A246" s="168">
        <f t="shared" si="6"/>
        <v>53</v>
      </c>
      <c r="B246" s="169" t="s">
        <v>837</v>
      </c>
      <c r="D246" s="171"/>
      <c r="E246" s="171"/>
      <c r="F246" s="171"/>
      <c r="G246" s="247">
        <f>G235</f>
        <v>0</v>
      </c>
      <c r="H246" s="247"/>
      <c r="I246" s="180" t="s">
        <v>815</v>
      </c>
      <c r="J246" s="168">
        <f t="shared" si="7"/>
        <v>53</v>
      </c>
    </row>
    <row r="247" spans="1:10" x14ac:dyDescent="0.3">
      <c r="A247" s="168">
        <f t="shared" si="6"/>
        <v>54</v>
      </c>
      <c r="B247" s="169" t="s">
        <v>796</v>
      </c>
      <c r="D247" s="171"/>
      <c r="E247" s="171"/>
      <c r="F247" s="171"/>
      <c r="G247" s="249">
        <f>G238</f>
        <v>0</v>
      </c>
      <c r="H247" s="249"/>
      <c r="I247" s="180" t="s">
        <v>816</v>
      </c>
      <c r="J247" s="168">
        <f t="shared" si="7"/>
        <v>54</v>
      </c>
    </row>
    <row r="248" spans="1:10" x14ac:dyDescent="0.3">
      <c r="A248" s="168">
        <f t="shared" si="6"/>
        <v>55</v>
      </c>
      <c r="B248" s="169" t="s">
        <v>798</v>
      </c>
      <c r="D248" s="171"/>
      <c r="E248" s="171"/>
      <c r="F248" s="171"/>
      <c r="G248" s="265" t="str">
        <f>G170</f>
        <v>8.84%</v>
      </c>
      <c r="H248" s="171"/>
      <c r="I248" s="180" t="s">
        <v>838</v>
      </c>
      <c r="J248" s="168">
        <f t="shared" si="7"/>
        <v>55</v>
      </c>
    </row>
    <row r="249" spans="1:10" x14ac:dyDescent="0.3">
      <c r="A249" s="168">
        <f t="shared" si="6"/>
        <v>56</v>
      </c>
      <c r="B249" s="188"/>
      <c r="D249" s="171"/>
      <c r="E249" s="171"/>
      <c r="F249" s="171"/>
      <c r="G249" s="250"/>
      <c r="H249" s="250"/>
      <c r="I249" s="246"/>
      <c r="J249" s="168">
        <f t="shared" si="7"/>
        <v>56</v>
      </c>
    </row>
    <row r="250" spans="1:10" x14ac:dyDescent="0.3">
      <c r="A250" s="168">
        <f t="shared" si="6"/>
        <v>57</v>
      </c>
      <c r="B250" s="169" t="s">
        <v>801</v>
      </c>
      <c r="C250" s="168"/>
      <c r="D250" s="168"/>
      <c r="E250" s="171"/>
      <c r="F250" s="171"/>
      <c r="G250" s="251">
        <f>IFERROR(((G244)+(G245/G246)+G238)*G248/(1-G248),0)</f>
        <v>0</v>
      </c>
      <c r="H250" s="252"/>
      <c r="I250" s="180" t="s">
        <v>802</v>
      </c>
      <c r="J250" s="168">
        <f t="shared" si="7"/>
        <v>57</v>
      </c>
    </row>
    <row r="251" spans="1:10" x14ac:dyDescent="0.3">
      <c r="A251" s="168">
        <f t="shared" si="6"/>
        <v>58</v>
      </c>
      <c r="B251" s="242" t="s">
        <v>803</v>
      </c>
      <c r="D251" s="242"/>
      <c r="G251" s="168"/>
      <c r="H251" s="168"/>
      <c r="I251" s="180"/>
      <c r="J251" s="168">
        <f t="shared" si="7"/>
        <v>58</v>
      </c>
    </row>
    <row r="252" spans="1:10" x14ac:dyDescent="0.3">
      <c r="A252" s="168">
        <f t="shared" si="6"/>
        <v>59</v>
      </c>
      <c r="G252" s="168"/>
      <c r="H252" s="168"/>
      <c r="I252" s="180"/>
      <c r="J252" s="168">
        <f t="shared" si="7"/>
        <v>59</v>
      </c>
    </row>
    <row r="253" spans="1:10" x14ac:dyDescent="0.3">
      <c r="A253" s="168">
        <f t="shared" si="6"/>
        <v>60</v>
      </c>
      <c r="B253" s="174" t="s">
        <v>804</v>
      </c>
      <c r="G253" s="240">
        <f>G250+G238</f>
        <v>0</v>
      </c>
      <c r="H253" s="240"/>
      <c r="I253" s="180" t="s">
        <v>817</v>
      </c>
      <c r="J253" s="168">
        <f t="shared" si="7"/>
        <v>60</v>
      </c>
    </row>
    <row r="254" spans="1:10" x14ac:dyDescent="0.3">
      <c r="A254" s="168">
        <f t="shared" si="6"/>
        <v>61</v>
      </c>
      <c r="G254" s="168"/>
      <c r="H254" s="168"/>
      <c r="I254" s="180"/>
      <c r="J254" s="168">
        <f t="shared" si="7"/>
        <v>61</v>
      </c>
    </row>
    <row r="255" spans="1:10" x14ac:dyDescent="0.3">
      <c r="A255" s="168">
        <f t="shared" si="6"/>
        <v>62</v>
      </c>
      <c r="B255" s="174" t="s">
        <v>818</v>
      </c>
      <c r="G255" s="266">
        <f>G99</f>
        <v>0</v>
      </c>
      <c r="H255" s="171"/>
      <c r="I255" s="180" t="s">
        <v>839</v>
      </c>
      <c r="J255" s="168">
        <f t="shared" si="7"/>
        <v>62</v>
      </c>
    </row>
    <row r="256" spans="1:10" x14ac:dyDescent="0.3">
      <c r="A256" s="168">
        <f t="shared" si="6"/>
        <v>63</v>
      </c>
      <c r="G256" s="168"/>
      <c r="H256" s="168"/>
      <c r="I256" s="180"/>
      <c r="J256" s="168">
        <f t="shared" si="7"/>
        <v>63</v>
      </c>
    </row>
    <row r="257" spans="1:10" ht="18.600000000000001" thickBot="1" x14ac:dyDescent="0.35">
      <c r="A257" s="168">
        <f t="shared" si="6"/>
        <v>64</v>
      </c>
      <c r="B257" s="174" t="s">
        <v>820</v>
      </c>
      <c r="G257" s="267">
        <f>G253+G255</f>
        <v>0</v>
      </c>
      <c r="H257" s="268"/>
      <c r="I257" s="180" t="s">
        <v>821</v>
      </c>
      <c r="J257" s="168">
        <f t="shared" si="7"/>
        <v>64</v>
      </c>
    </row>
    <row r="258" spans="1:10" ht="16.2" thickTop="1" x14ac:dyDescent="0.3">
      <c r="A258" s="176"/>
      <c r="B258" s="223"/>
      <c r="C258" s="223"/>
      <c r="D258" s="223"/>
      <c r="E258" s="223"/>
      <c r="F258" s="223"/>
      <c r="G258" s="223"/>
      <c r="H258" s="223"/>
      <c r="I258" s="270"/>
      <c r="J258" s="223"/>
    </row>
    <row r="259" spans="1:10" ht="18" x14ac:dyDescent="0.3">
      <c r="A259" s="187">
        <v>1</v>
      </c>
      <c r="B259" s="169" t="s">
        <v>840</v>
      </c>
      <c r="C259" s="223"/>
      <c r="D259" s="223"/>
      <c r="E259" s="223"/>
      <c r="F259" s="223"/>
      <c r="G259" s="223"/>
      <c r="H259" s="223"/>
      <c r="I259" s="270"/>
      <c r="J259" s="223"/>
    </row>
    <row r="260" spans="1:10" x14ac:dyDescent="0.3">
      <c r="A260" s="176"/>
      <c r="B260" s="223"/>
      <c r="C260" s="223"/>
      <c r="D260" s="223"/>
      <c r="E260" s="223"/>
      <c r="F260" s="223"/>
      <c r="G260" s="223"/>
      <c r="H260" s="223"/>
      <c r="I260" s="270"/>
      <c r="J260" s="223"/>
    </row>
    <row r="261" spans="1:10" ht="18" x14ac:dyDescent="0.3">
      <c r="A261" s="187"/>
    </row>
  </sheetData>
  <mergeCells count="20">
    <mergeCell ref="B188:I188"/>
    <mergeCell ref="B189:I189"/>
    <mergeCell ref="B109:I109"/>
    <mergeCell ref="B110:I110"/>
    <mergeCell ref="B111:I111"/>
    <mergeCell ref="B185:I185"/>
    <mergeCell ref="B186:I186"/>
    <mergeCell ref="B187:I187"/>
    <mergeCell ref="B108:I108"/>
    <mergeCell ref="B2:I2"/>
    <mergeCell ref="B3:I3"/>
    <mergeCell ref="B4:I4"/>
    <mergeCell ref="B5:I5"/>
    <mergeCell ref="B6:I6"/>
    <mergeCell ref="B69:I69"/>
    <mergeCell ref="B70:I70"/>
    <mergeCell ref="B71:I71"/>
    <mergeCell ref="B72:I72"/>
    <mergeCell ref="B73:I73"/>
    <mergeCell ref="B107:I10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Roman,Bold"&amp;8REVISED</oddHeader>
    <oddFooter>&amp;CPage 11.&amp;P&amp;R&amp;F</oddFooter>
  </headerFooter>
  <rowBreaks count="3" manualBreakCount="3">
    <brk id="67" max="16383" man="1"/>
    <brk id="105" max="16383" man="1"/>
    <brk id="1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482D-14B9-4E58-AB41-34151054DBB2}">
  <sheetPr codeName="Sheet4"/>
  <dimension ref="A1:J194"/>
  <sheetViews>
    <sheetView zoomScale="80" zoomScaleNormal="80" workbookViewId="0"/>
  </sheetViews>
  <sheetFormatPr defaultColWidth="9.109375" defaultRowHeight="15.6" x14ac:dyDescent="0.3"/>
  <cols>
    <col min="1" max="1" width="5.109375" style="27" customWidth="1"/>
    <col min="2" max="2" width="88.109375" style="27" customWidth="1"/>
    <col min="3" max="3" width="10.44140625" style="27" customWidth="1"/>
    <col min="4" max="4" width="1.5546875" style="27" customWidth="1"/>
    <col min="5" max="5" width="18.44140625" style="27" customWidth="1"/>
    <col min="6" max="6" width="1.5546875" style="27" customWidth="1"/>
    <col min="7" max="7" width="53.88671875" style="27" customWidth="1"/>
    <col min="8" max="8" width="5.109375" style="28" customWidth="1"/>
    <col min="9" max="9" width="22.44140625" style="27" customWidth="1"/>
    <col min="10" max="10" width="20.109375" style="27" bestFit="1" customWidth="1"/>
    <col min="11" max="16384" width="9.109375" style="27"/>
  </cols>
  <sheetData>
    <row r="1" spans="1:10" x14ac:dyDescent="0.3">
      <c r="G1" s="101"/>
    </row>
    <row r="2" spans="1:10" x14ac:dyDescent="0.3">
      <c r="A2" s="28"/>
      <c r="B2" s="854" t="s">
        <v>217</v>
      </c>
      <c r="C2" s="855"/>
      <c r="D2" s="855"/>
      <c r="E2" s="855"/>
      <c r="F2" s="855"/>
      <c r="G2" s="855"/>
    </row>
    <row r="3" spans="1:10" x14ac:dyDescent="0.3">
      <c r="A3" s="28" t="s">
        <v>26</v>
      </c>
      <c r="B3" s="854" t="s">
        <v>218</v>
      </c>
      <c r="C3" s="855"/>
      <c r="D3" s="855"/>
      <c r="E3" s="855"/>
      <c r="F3" s="855"/>
      <c r="G3" s="855"/>
    </row>
    <row r="4" spans="1:10" ht="18" x14ac:dyDescent="0.3">
      <c r="A4" s="28"/>
      <c r="B4" s="854" t="s">
        <v>219</v>
      </c>
      <c r="C4" s="856"/>
      <c r="D4" s="856"/>
      <c r="E4" s="856"/>
      <c r="F4" s="856"/>
      <c r="G4" s="856"/>
    </row>
    <row r="5" spans="1:10" x14ac:dyDescent="0.3">
      <c r="A5" s="28"/>
      <c r="B5" s="857" t="s">
        <v>220</v>
      </c>
      <c r="C5" s="857"/>
      <c r="D5" s="857"/>
      <c r="E5" s="857"/>
      <c r="F5" s="857"/>
      <c r="G5" s="857"/>
    </row>
    <row r="6" spans="1:10" x14ac:dyDescent="0.3">
      <c r="A6" s="28"/>
      <c r="B6" s="858" t="s">
        <v>3</v>
      </c>
      <c r="C6" s="855"/>
      <c r="D6" s="855"/>
      <c r="E6" s="855"/>
      <c r="F6" s="855"/>
      <c r="G6" s="855"/>
    </row>
    <row r="7" spans="1:10" x14ac:dyDescent="0.3">
      <c r="A7" s="28"/>
      <c r="B7" s="102"/>
      <c r="C7" s="97"/>
      <c r="D7" s="97"/>
      <c r="E7" s="97"/>
      <c r="F7" s="97"/>
      <c r="G7" s="97"/>
    </row>
    <row r="8" spans="1:10" x14ac:dyDescent="0.3">
      <c r="A8" s="28" t="s">
        <v>4</v>
      </c>
      <c r="E8" s="103"/>
      <c r="G8" s="28"/>
      <c r="H8" s="28" t="s">
        <v>4</v>
      </c>
    </row>
    <row r="9" spans="1:10" ht="15.75" customHeight="1" x14ac:dyDescent="0.3">
      <c r="A9" s="105" t="s">
        <v>8</v>
      </c>
      <c r="B9" s="97" t="s">
        <v>26</v>
      </c>
      <c r="E9" s="104" t="s">
        <v>6</v>
      </c>
      <c r="G9" s="105" t="s">
        <v>7</v>
      </c>
      <c r="H9" s="105" t="s">
        <v>8</v>
      </c>
    </row>
    <row r="10" spans="1:10" x14ac:dyDescent="0.3">
      <c r="A10" s="106"/>
      <c r="B10" s="44" t="s">
        <v>38</v>
      </c>
      <c r="E10" s="107"/>
      <c r="G10" s="28"/>
      <c r="H10" s="106"/>
    </row>
    <row r="11" spans="1:10" x14ac:dyDescent="0.3">
      <c r="A11" s="28">
        <v>1</v>
      </c>
      <c r="B11" s="32" t="s">
        <v>39</v>
      </c>
      <c r="C11" s="108"/>
      <c r="D11" s="108"/>
      <c r="E11" s="324">
        <v>95535.541019356009</v>
      </c>
      <c r="F11" s="42"/>
      <c r="G11" s="28" t="s">
        <v>221</v>
      </c>
      <c r="H11" s="28">
        <f>A11</f>
        <v>1</v>
      </c>
      <c r="I11" s="109"/>
    </row>
    <row r="12" spans="1:10" x14ac:dyDescent="0.3">
      <c r="A12" s="28">
        <f t="shared" ref="A12:A40" si="0">A11+1</f>
        <v>2</v>
      </c>
      <c r="B12" s="32" t="s">
        <v>26</v>
      </c>
      <c r="C12" s="108"/>
      <c r="D12" s="108"/>
      <c r="E12" s="110" t="s">
        <v>26</v>
      </c>
      <c r="G12" s="28"/>
      <c r="H12" s="28">
        <f t="shared" ref="H12:H40" si="1">H11+1</f>
        <v>2</v>
      </c>
      <c r="I12" s="109"/>
    </row>
    <row r="13" spans="1:10" x14ac:dyDescent="0.3">
      <c r="A13" s="28">
        <f t="shared" si="0"/>
        <v>3</v>
      </c>
      <c r="B13" s="32" t="s">
        <v>41</v>
      </c>
      <c r="C13" s="108"/>
      <c r="D13" s="108"/>
      <c r="E13" s="459">
        <f>'Pg6 Rev Stmt AH'!E42</f>
        <v>81351.457442747444</v>
      </c>
      <c r="F13" s="42" t="s">
        <v>42</v>
      </c>
      <c r="G13" s="28" t="s">
        <v>222</v>
      </c>
      <c r="H13" s="28">
        <f t="shared" si="1"/>
        <v>3</v>
      </c>
      <c r="I13" s="109"/>
    </row>
    <row r="14" spans="1:10" x14ac:dyDescent="0.3">
      <c r="A14" s="28">
        <f t="shared" si="0"/>
        <v>4</v>
      </c>
      <c r="B14" s="32"/>
      <c r="C14" s="108"/>
      <c r="D14" s="108"/>
      <c r="E14" s="111"/>
      <c r="F14" s="97"/>
      <c r="G14" s="28"/>
      <c r="H14" s="28">
        <f t="shared" si="1"/>
        <v>4</v>
      </c>
      <c r="J14" s="112"/>
    </row>
    <row r="15" spans="1:10" x14ac:dyDescent="0.3">
      <c r="A15" s="28">
        <f t="shared" si="0"/>
        <v>5</v>
      </c>
      <c r="B15" s="32" t="s">
        <v>44</v>
      </c>
      <c r="C15" s="108"/>
      <c r="D15" s="108"/>
      <c r="E15" s="113">
        <v>0</v>
      </c>
      <c r="G15" s="28" t="s">
        <v>223</v>
      </c>
      <c r="H15" s="28">
        <f t="shared" si="1"/>
        <v>5</v>
      </c>
      <c r="J15" s="112"/>
    </row>
    <row r="16" spans="1:10" x14ac:dyDescent="0.3">
      <c r="A16" s="28">
        <f t="shared" si="0"/>
        <v>6</v>
      </c>
      <c r="B16" s="32" t="s">
        <v>46</v>
      </c>
      <c r="C16" s="108"/>
      <c r="D16" s="108"/>
      <c r="E16" s="460">
        <f>E11+E13+E15</f>
        <v>176886.99846210345</v>
      </c>
      <c r="F16" s="42" t="s">
        <v>42</v>
      </c>
      <c r="G16" s="28" t="s">
        <v>47</v>
      </c>
      <c r="H16" s="28">
        <f t="shared" si="1"/>
        <v>6</v>
      </c>
      <c r="I16" s="114"/>
      <c r="J16" s="112"/>
    </row>
    <row r="17" spans="1:9" x14ac:dyDescent="0.3">
      <c r="A17" s="28">
        <f t="shared" si="0"/>
        <v>7</v>
      </c>
      <c r="E17" s="115"/>
      <c r="G17" s="28"/>
      <c r="H17" s="28">
        <f t="shared" si="1"/>
        <v>7</v>
      </c>
    </row>
    <row r="18" spans="1:9" x14ac:dyDescent="0.3">
      <c r="A18" s="28">
        <f t="shared" si="0"/>
        <v>8</v>
      </c>
      <c r="B18" s="27" t="s">
        <v>48</v>
      </c>
      <c r="C18" s="108"/>
      <c r="D18" s="108"/>
      <c r="E18" s="116">
        <v>225950.77038593692</v>
      </c>
      <c r="F18" s="117"/>
      <c r="G18" s="28" t="s">
        <v>224</v>
      </c>
      <c r="H18" s="28">
        <f t="shared" si="1"/>
        <v>8</v>
      </c>
    </row>
    <row r="19" spans="1:9" x14ac:dyDescent="0.3">
      <c r="A19" s="28">
        <f t="shared" si="0"/>
        <v>9</v>
      </c>
      <c r="E19" s="118" t="s">
        <v>26</v>
      </c>
      <c r="G19" s="28"/>
      <c r="H19" s="28">
        <f t="shared" si="1"/>
        <v>9</v>
      </c>
    </row>
    <row r="20" spans="1:9" ht="18" x14ac:dyDescent="0.3">
      <c r="A20" s="28">
        <f t="shared" si="0"/>
        <v>10</v>
      </c>
      <c r="B20" s="27" t="s">
        <v>50</v>
      </c>
      <c r="E20" s="119">
        <v>0</v>
      </c>
      <c r="G20" s="28" t="s">
        <v>225</v>
      </c>
      <c r="H20" s="28">
        <f t="shared" si="1"/>
        <v>10</v>
      </c>
      <c r="I20" s="109"/>
    </row>
    <row r="21" spans="1:9" x14ac:dyDescent="0.3">
      <c r="A21" s="28">
        <f t="shared" si="0"/>
        <v>11</v>
      </c>
      <c r="E21" s="118"/>
      <c r="G21" s="28"/>
      <c r="H21" s="28">
        <f t="shared" si="1"/>
        <v>11</v>
      </c>
    </row>
    <row r="22" spans="1:9" x14ac:dyDescent="0.3">
      <c r="A22" s="28">
        <f t="shared" si="0"/>
        <v>12</v>
      </c>
      <c r="B22" s="27" t="s">
        <v>52</v>
      </c>
      <c r="C22" s="108"/>
      <c r="D22" s="108"/>
      <c r="E22" s="120">
        <v>57780.481143755853</v>
      </c>
      <c r="F22" s="97"/>
      <c r="G22" s="28" t="s">
        <v>226</v>
      </c>
      <c r="H22" s="28">
        <f t="shared" si="1"/>
        <v>12</v>
      </c>
      <c r="I22" s="109"/>
    </row>
    <row r="23" spans="1:9" x14ac:dyDescent="0.3">
      <c r="A23" s="28">
        <f t="shared" si="0"/>
        <v>13</v>
      </c>
      <c r="B23" s="32"/>
      <c r="C23" s="108"/>
      <c r="D23" s="108"/>
      <c r="E23" s="121"/>
      <c r="G23" s="28"/>
      <c r="H23" s="28">
        <f t="shared" si="1"/>
        <v>13</v>
      </c>
    </row>
    <row r="24" spans="1:9" x14ac:dyDescent="0.3">
      <c r="A24" s="28">
        <f t="shared" si="0"/>
        <v>14</v>
      </c>
      <c r="B24" s="27" t="s">
        <v>54</v>
      </c>
      <c r="C24" s="108"/>
      <c r="D24" s="108"/>
      <c r="E24" s="122">
        <v>3104.6015779338113</v>
      </c>
      <c r="F24" s="97"/>
      <c r="G24" s="28" t="s">
        <v>227</v>
      </c>
      <c r="H24" s="28">
        <f t="shared" si="1"/>
        <v>14</v>
      </c>
      <c r="I24" s="109"/>
    </row>
    <row r="25" spans="1:9" x14ac:dyDescent="0.3">
      <c r="A25" s="28">
        <f t="shared" si="0"/>
        <v>15</v>
      </c>
      <c r="B25" s="32" t="s">
        <v>56</v>
      </c>
      <c r="C25" s="108"/>
      <c r="D25" s="108"/>
      <c r="E25" s="463">
        <f>SUM(E16+E18+E20+E22+E24)</f>
        <v>463722.85156973003</v>
      </c>
      <c r="F25" s="42" t="s">
        <v>42</v>
      </c>
      <c r="G25" s="28" t="s">
        <v>57</v>
      </c>
      <c r="H25" s="28">
        <f t="shared" si="1"/>
        <v>15</v>
      </c>
    </row>
    <row r="26" spans="1:9" x14ac:dyDescent="0.3">
      <c r="A26" s="28">
        <f t="shared" si="0"/>
        <v>16</v>
      </c>
      <c r="B26" s="32"/>
      <c r="C26" s="108"/>
      <c r="D26" s="108"/>
      <c r="E26" s="123"/>
      <c r="G26" s="28"/>
      <c r="H26" s="28">
        <f t="shared" si="1"/>
        <v>16</v>
      </c>
    </row>
    <row r="27" spans="1:9" ht="18" x14ac:dyDescent="0.3">
      <c r="A27" s="28">
        <f t="shared" si="0"/>
        <v>17</v>
      </c>
      <c r="B27" s="32" t="s">
        <v>58</v>
      </c>
      <c r="C27" s="108"/>
      <c r="D27" s="108"/>
      <c r="E27" s="643">
        <f>'Pg11 Rev Stmt AV'!G146</f>
        <v>9.5816762149131596E-2</v>
      </c>
      <c r="F27" s="42" t="s">
        <v>42</v>
      </c>
      <c r="G27" s="28" t="s">
        <v>228</v>
      </c>
      <c r="H27" s="28">
        <f t="shared" si="1"/>
        <v>17</v>
      </c>
    </row>
    <row r="28" spans="1:9" x14ac:dyDescent="0.3">
      <c r="A28" s="28">
        <f t="shared" si="0"/>
        <v>18</v>
      </c>
      <c r="B28" s="32" t="s">
        <v>60</v>
      </c>
      <c r="C28" s="108"/>
      <c r="D28" s="108"/>
      <c r="E28" s="125">
        <f>E138</f>
        <v>4577996.2614806164</v>
      </c>
      <c r="F28" s="42" t="s">
        <v>42</v>
      </c>
      <c r="G28" s="28" t="s">
        <v>229</v>
      </c>
      <c r="H28" s="28">
        <f t="shared" si="1"/>
        <v>18</v>
      </c>
    </row>
    <row r="29" spans="1:9" x14ac:dyDescent="0.3">
      <c r="A29" s="28">
        <f t="shared" si="0"/>
        <v>19</v>
      </c>
      <c r="B29" s="27" t="s">
        <v>62</v>
      </c>
      <c r="C29" s="108"/>
      <c r="D29" s="108"/>
      <c r="E29" s="126">
        <f>E28*E27</f>
        <v>438648.77890590188</v>
      </c>
      <c r="F29" s="42" t="s">
        <v>42</v>
      </c>
      <c r="G29" s="28" t="s">
        <v>63</v>
      </c>
      <c r="H29" s="28">
        <f t="shared" si="1"/>
        <v>19</v>
      </c>
    </row>
    <row r="30" spans="1:9" x14ac:dyDescent="0.3">
      <c r="A30" s="28">
        <f t="shared" si="0"/>
        <v>20</v>
      </c>
      <c r="C30" s="108"/>
      <c r="D30" s="108"/>
      <c r="E30" s="123"/>
      <c r="G30" s="28"/>
      <c r="H30" s="28">
        <f t="shared" si="1"/>
        <v>20</v>
      </c>
    </row>
    <row r="31" spans="1:9" ht="18" x14ac:dyDescent="0.3">
      <c r="A31" s="28">
        <f t="shared" si="0"/>
        <v>21</v>
      </c>
      <c r="B31" s="32" t="s">
        <v>64</v>
      </c>
      <c r="C31" s="108"/>
      <c r="D31" s="111"/>
      <c r="E31" s="124">
        <f>'Pg11 Rev Stmt AV'!G179</f>
        <v>3.8994570343371454E-3</v>
      </c>
      <c r="F31" s="97"/>
      <c r="G31" s="28" t="s">
        <v>230</v>
      </c>
      <c r="H31" s="28">
        <f t="shared" si="1"/>
        <v>21</v>
      </c>
      <c r="I31" s="109"/>
    </row>
    <row r="32" spans="1:9" x14ac:dyDescent="0.3">
      <c r="A32" s="28">
        <f t="shared" si="0"/>
        <v>22</v>
      </c>
      <c r="B32" s="32" t="s">
        <v>60</v>
      </c>
      <c r="C32" s="108"/>
      <c r="D32" s="108"/>
      <c r="E32" s="125">
        <f>E138-E121</f>
        <v>4577996.2614806164</v>
      </c>
      <c r="F32" s="42" t="s">
        <v>42</v>
      </c>
      <c r="G32" s="28" t="s">
        <v>231</v>
      </c>
      <c r="H32" s="28">
        <f t="shared" si="1"/>
        <v>22</v>
      </c>
    </row>
    <row r="33" spans="1:9" x14ac:dyDescent="0.3">
      <c r="A33" s="28">
        <f t="shared" si="0"/>
        <v>23</v>
      </c>
      <c r="B33" s="27" t="s">
        <v>67</v>
      </c>
      <c r="E33" s="126">
        <f>E32*E31</f>
        <v>17851.699724999744</v>
      </c>
      <c r="F33" s="42" t="s">
        <v>42</v>
      </c>
      <c r="G33" s="28" t="s">
        <v>68</v>
      </c>
      <c r="H33" s="28">
        <f t="shared" si="1"/>
        <v>23</v>
      </c>
    </row>
    <row r="34" spans="1:9" x14ac:dyDescent="0.3">
      <c r="A34" s="28">
        <f t="shared" si="0"/>
        <v>24</v>
      </c>
      <c r="E34" s="127"/>
      <c r="G34" s="28"/>
      <c r="H34" s="28">
        <f t="shared" si="1"/>
        <v>24</v>
      </c>
    </row>
    <row r="35" spans="1:9" x14ac:dyDescent="0.3">
      <c r="A35" s="28">
        <f t="shared" si="0"/>
        <v>25</v>
      </c>
      <c r="B35" s="27" t="s">
        <v>69</v>
      </c>
      <c r="E35" s="128">
        <v>1304.0991895338727</v>
      </c>
      <c r="G35" s="28" t="s">
        <v>232</v>
      </c>
      <c r="H35" s="28">
        <f t="shared" si="1"/>
        <v>25</v>
      </c>
      <c r="I35" s="109"/>
    </row>
    <row r="36" spans="1:9" x14ac:dyDescent="0.3">
      <c r="A36" s="28">
        <f t="shared" si="0"/>
        <v>26</v>
      </c>
      <c r="B36" s="27" t="s">
        <v>71</v>
      </c>
      <c r="E36" s="846">
        <f>'Pg13 Rev Stmt AU'!E23</f>
        <v>-4408.3500000000004</v>
      </c>
      <c r="F36" s="42" t="s">
        <v>42</v>
      </c>
      <c r="G36" s="28" t="s">
        <v>233</v>
      </c>
      <c r="H36" s="28">
        <f t="shared" si="1"/>
        <v>26</v>
      </c>
      <c r="I36" s="109"/>
    </row>
    <row r="37" spans="1:9" x14ac:dyDescent="0.3">
      <c r="A37" s="28">
        <f t="shared" si="0"/>
        <v>27</v>
      </c>
      <c r="B37" s="27" t="s">
        <v>73</v>
      </c>
      <c r="E37" s="130">
        <v>0</v>
      </c>
      <c r="G37" s="28" t="s">
        <v>234</v>
      </c>
      <c r="H37" s="28">
        <f t="shared" si="1"/>
        <v>27</v>
      </c>
    </row>
    <row r="38" spans="1:9" x14ac:dyDescent="0.3">
      <c r="A38" s="28">
        <f t="shared" si="0"/>
        <v>28</v>
      </c>
      <c r="B38" s="37" t="s">
        <v>75</v>
      </c>
      <c r="E38" s="131">
        <v>0</v>
      </c>
      <c r="G38" s="28" t="s">
        <v>235</v>
      </c>
      <c r="H38" s="28">
        <f t="shared" si="1"/>
        <v>28</v>
      </c>
      <c r="I38" s="109"/>
    </row>
    <row r="39" spans="1:9" x14ac:dyDescent="0.3">
      <c r="A39" s="28">
        <f t="shared" si="0"/>
        <v>29</v>
      </c>
      <c r="E39" s="118" t="s">
        <v>26</v>
      </c>
      <c r="G39" s="28"/>
      <c r="H39" s="28">
        <f t="shared" si="1"/>
        <v>29</v>
      </c>
      <c r="I39" s="109"/>
    </row>
    <row r="40" spans="1:9" ht="18.600000000000001" thickBot="1" x14ac:dyDescent="0.35">
      <c r="A40" s="28">
        <f t="shared" si="0"/>
        <v>30</v>
      </c>
      <c r="B40" s="27" t="s">
        <v>77</v>
      </c>
      <c r="C40" s="108"/>
      <c r="D40" s="108"/>
      <c r="E40" s="66">
        <f>E29+E33+E25+SUM(E35:E38)</f>
        <v>917119.07939016551</v>
      </c>
      <c r="F40" s="325" t="s">
        <v>42</v>
      </c>
      <c r="G40" s="95" t="s">
        <v>78</v>
      </c>
      <c r="H40" s="28">
        <f t="shared" si="1"/>
        <v>30</v>
      </c>
      <c r="I40" s="109"/>
    </row>
    <row r="41" spans="1:9" ht="16.2" thickTop="1" x14ac:dyDescent="0.3">
      <c r="A41" s="106"/>
      <c r="C41" s="108"/>
      <c r="D41" s="108"/>
      <c r="E41" s="132"/>
      <c r="F41" s="97"/>
      <c r="G41" s="106"/>
      <c r="H41" s="106"/>
      <c r="I41" s="109"/>
    </row>
    <row r="42" spans="1:9" x14ac:dyDescent="0.3">
      <c r="A42" s="42" t="s">
        <v>42</v>
      </c>
      <c r="B42" s="188" t="str">
        <f>'Pg2 BK-1 Comparison'!B42</f>
        <v xml:space="preserve">Items in BOLD have changed due to unfunded reserves error, A&amp;G adjustments, transmission revenue credits error,  and removal of CIAC related ADIT per TO5 Cycle 4 Letter Order </v>
      </c>
      <c r="C42" s="108"/>
      <c r="D42" s="108"/>
      <c r="E42" s="132"/>
      <c r="F42" s="97"/>
      <c r="G42" s="106"/>
      <c r="H42" s="106"/>
      <c r="I42" s="109"/>
    </row>
    <row r="43" spans="1:9" x14ac:dyDescent="0.3">
      <c r="A43" s="42"/>
      <c r="B43" s="188" t="str">
        <f>'Pg2 BK-1 Comparison'!B43</f>
        <v>determination in ER22-527 as compared to the original TO5 Cycle 4 filing.</v>
      </c>
      <c r="C43" s="108"/>
      <c r="D43" s="108"/>
      <c r="E43" s="132"/>
      <c r="F43" s="97"/>
      <c r="G43" s="106"/>
      <c r="H43" s="106"/>
      <c r="I43" s="109"/>
    </row>
    <row r="44" spans="1:9" ht="18" x14ac:dyDescent="0.3">
      <c r="A44" s="43">
        <v>1</v>
      </c>
      <c r="B44" s="27" t="s">
        <v>81</v>
      </c>
      <c r="C44" s="108"/>
      <c r="D44" s="108"/>
      <c r="E44" s="132"/>
      <c r="F44" s="97"/>
      <c r="G44" s="106"/>
      <c r="H44" s="106"/>
      <c r="I44" s="109"/>
    </row>
    <row r="45" spans="1:9" ht="18" x14ac:dyDescent="0.3">
      <c r="A45" s="43"/>
      <c r="C45" s="108"/>
      <c r="D45" s="108"/>
      <c r="E45" s="132"/>
      <c r="F45" s="97"/>
      <c r="G45" s="106"/>
      <c r="H45" s="106"/>
      <c r="I45" s="109"/>
    </row>
    <row r="46" spans="1:9" x14ac:dyDescent="0.3">
      <c r="A46" s="106"/>
      <c r="C46" s="108"/>
      <c r="D46" s="108"/>
      <c r="E46" s="132"/>
      <c r="F46" s="97"/>
      <c r="G46" s="101"/>
      <c r="H46" s="106"/>
      <c r="I46" s="109"/>
    </row>
    <row r="47" spans="1:9" x14ac:dyDescent="0.3">
      <c r="A47" s="106"/>
      <c r="B47" s="854" t="s">
        <v>217</v>
      </c>
      <c r="C47" s="855"/>
      <c r="D47" s="855"/>
      <c r="E47" s="855"/>
      <c r="F47" s="855"/>
      <c r="G47" s="855"/>
      <c r="H47" s="106"/>
      <c r="I47" s="109"/>
    </row>
    <row r="48" spans="1:9" x14ac:dyDescent="0.3">
      <c r="A48" s="106"/>
      <c r="B48" s="854" t="s">
        <v>218</v>
      </c>
      <c r="C48" s="855"/>
      <c r="D48" s="855"/>
      <c r="E48" s="855"/>
      <c r="F48" s="855"/>
      <c r="G48" s="855"/>
      <c r="H48" s="106"/>
      <c r="I48" s="109"/>
    </row>
    <row r="49" spans="1:9" ht="18" x14ac:dyDescent="0.3">
      <c r="A49" s="106"/>
      <c r="B49" s="854" t="s">
        <v>219</v>
      </c>
      <c r="C49" s="856"/>
      <c r="D49" s="856"/>
      <c r="E49" s="856"/>
      <c r="F49" s="856"/>
      <c r="G49" s="856"/>
      <c r="H49" s="106"/>
      <c r="I49" s="109"/>
    </row>
    <row r="50" spans="1:9" x14ac:dyDescent="0.3">
      <c r="A50" s="106"/>
      <c r="B50" s="859" t="str">
        <f>B5</f>
        <v>For the Base Period &amp; True-Up Period Ending December 31, 2020</v>
      </c>
      <c r="C50" s="860"/>
      <c r="D50" s="860"/>
      <c r="E50" s="860"/>
      <c r="F50" s="860"/>
      <c r="G50" s="860"/>
      <c r="H50" s="106"/>
      <c r="I50" s="109"/>
    </row>
    <row r="51" spans="1:9" x14ac:dyDescent="0.3">
      <c r="A51" s="106"/>
      <c r="B51" s="858" t="s">
        <v>3</v>
      </c>
      <c r="C51" s="855"/>
      <c r="D51" s="855"/>
      <c r="E51" s="855"/>
      <c r="F51" s="855"/>
      <c r="G51" s="855"/>
      <c r="H51" s="106"/>
      <c r="I51" s="109"/>
    </row>
    <row r="52" spans="1:9" x14ac:dyDescent="0.3">
      <c r="A52" s="106"/>
      <c r="C52" s="108"/>
      <c r="D52" s="108"/>
      <c r="E52" s="132"/>
      <c r="F52" s="97"/>
      <c r="G52" s="106"/>
      <c r="H52" s="106"/>
      <c r="I52" s="109"/>
    </row>
    <row r="53" spans="1:9" x14ac:dyDescent="0.3">
      <c r="A53" s="28" t="s">
        <v>4</v>
      </c>
      <c r="E53" s="103"/>
      <c r="G53" s="28"/>
      <c r="H53" s="28" t="s">
        <v>4</v>
      </c>
      <c r="I53" s="109"/>
    </row>
    <row r="54" spans="1:9" x14ac:dyDescent="0.3">
      <c r="A54" s="28" t="s">
        <v>8</v>
      </c>
      <c r="B54" s="97" t="s">
        <v>26</v>
      </c>
      <c r="E54" s="104" t="s">
        <v>6</v>
      </c>
      <c r="G54" s="105" t="s">
        <v>7</v>
      </c>
      <c r="H54" s="28" t="s">
        <v>8</v>
      </c>
      <c r="I54" s="109"/>
    </row>
    <row r="55" spans="1:9" ht="18" x14ac:dyDescent="0.3">
      <c r="A55" s="106"/>
      <c r="B55" s="44" t="s">
        <v>83</v>
      </c>
      <c r="E55" s="28"/>
      <c r="G55" s="28"/>
      <c r="H55" s="106"/>
      <c r="I55" s="109"/>
    </row>
    <row r="56" spans="1:9" x14ac:dyDescent="0.3">
      <c r="A56" s="28">
        <v>1</v>
      </c>
      <c r="B56" s="32" t="s">
        <v>84</v>
      </c>
      <c r="C56" s="108"/>
      <c r="D56" s="108"/>
      <c r="E56" s="133">
        <v>0</v>
      </c>
      <c r="G56" s="28" t="s">
        <v>236</v>
      </c>
      <c r="H56" s="28">
        <f>A56</f>
        <v>1</v>
      </c>
      <c r="I56" s="109"/>
    </row>
    <row r="57" spans="1:9" x14ac:dyDescent="0.3">
      <c r="A57" s="28">
        <f t="shared" ref="A57:A94" si="2">A56+1</f>
        <v>2</v>
      </c>
      <c r="B57" s="32"/>
      <c r="C57" s="108"/>
      <c r="D57" s="108"/>
      <c r="E57" s="60"/>
      <c r="G57" s="28"/>
      <c r="H57" s="28">
        <f t="shared" ref="H57:H94" si="3">H56+1</f>
        <v>2</v>
      </c>
    </row>
    <row r="58" spans="1:9" ht="18" x14ac:dyDescent="0.3">
      <c r="A58" s="28">
        <f t="shared" si="2"/>
        <v>3</v>
      </c>
      <c r="B58" s="32" t="s">
        <v>86</v>
      </c>
      <c r="C58" s="108"/>
      <c r="D58" s="108"/>
      <c r="E58" s="124">
        <f>'Pg11 Rev Stmt AV'!G224</f>
        <v>1.7368511652018213E-2</v>
      </c>
      <c r="F58" s="134"/>
      <c r="G58" s="28" t="s">
        <v>237</v>
      </c>
      <c r="H58" s="28">
        <f t="shared" si="3"/>
        <v>3</v>
      </c>
    </row>
    <row r="59" spans="1:9" x14ac:dyDescent="0.3">
      <c r="A59" s="28">
        <f t="shared" si="2"/>
        <v>4</v>
      </c>
      <c r="B59" s="27" t="s">
        <v>88</v>
      </c>
      <c r="C59" s="108"/>
      <c r="D59" s="108"/>
      <c r="E59" s="135">
        <f>E143</f>
        <v>0</v>
      </c>
      <c r="G59" s="28" t="s">
        <v>238</v>
      </c>
      <c r="H59" s="28">
        <f t="shared" si="3"/>
        <v>4</v>
      </c>
    </row>
    <row r="60" spans="1:9" x14ac:dyDescent="0.3">
      <c r="A60" s="28">
        <f t="shared" si="2"/>
        <v>5</v>
      </c>
      <c r="B60" s="27" t="s">
        <v>90</v>
      </c>
      <c r="E60" s="48">
        <f>E59*E58</f>
        <v>0</v>
      </c>
      <c r="G60" s="28" t="s">
        <v>91</v>
      </c>
      <c r="H60" s="28">
        <f t="shared" si="3"/>
        <v>5</v>
      </c>
    </row>
    <row r="61" spans="1:9" x14ac:dyDescent="0.3">
      <c r="A61" s="28">
        <f t="shared" si="2"/>
        <v>6</v>
      </c>
      <c r="E61" s="49"/>
      <c r="G61" s="28"/>
      <c r="H61" s="28">
        <f t="shared" si="3"/>
        <v>6</v>
      </c>
    </row>
    <row r="62" spans="1:9" ht="18" x14ac:dyDescent="0.3">
      <c r="A62" s="28">
        <f t="shared" si="2"/>
        <v>7</v>
      </c>
      <c r="B62" s="32" t="s">
        <v>64</v>
      </c>
      <c r="E62" s="124">
        <f>'Pg11 Rev Stmt AV'!G257</f>
        <v>0</v>
      </c>
      <c r="G62" s="28" t="s">
        <v>239</v>
      </c>
      <c r="H62" s="28">
        <f t="shared" si="3"/>
        <v>7</v>
      </c>
    </row>
    <row r="63" spans="1:9" x14ac:dyDescent="0.3">
      <c r="A63" s="28">
        <f t="shared" si="2"/>
        <v>8</v>
      </c>
      <c r="B63" s="27" t="s">
        <v>88</v>
      </c>
      <c r="E63" s="135">
        <f>E143</f>
        <v>0</v>
      </c>
      <c r="G63" s="28" t="s">
        <v>238</v>
      </c>
      <c r="H63" s="28">
        <f t="shared" si="3"/>
        <v>8</v>
      </c>
    </row>
    <row r="64" spans="1:9" x14ac:dyDescent="0.3">
      <c r="A64" s="28">
        <f t="shared" si="2"/>
        <v>9</v>
      </c>
      <c r="B64" s="27" t="s">
        <v>67</v>
      </c>
      <c r="E64" s="48">
        <f>E63*E62</f>
        <v>0</v>
      </c>
      <c r="G64" s="28" t="s">
        <v>94</v>
      </c>
      <c r="H64" s="28">
        <f t="shared" si="3"/>
        <v>9</v>
      </c>
    </row>
    <row r="65" spans="1:9" x14ac:dyDescent="0.3">
      <c r="A65" s="28">
        <f t="shared" si="2"/>
        <v>10</v>
      </c>
      <c r="E65" s="49"/>
      <c r="G65" s="28"/>
      <c r="H65" s="28">
        <f t="shared" si="3"/>
        <v>10</v>
      </c>
    </row>
    <row r="66" spans="1:9" ht="16.2" thickBot="1" x14ac:dyDescent="0.35">
      <c r="A66" s="28">
        <f t="shared" si="2"/>
        <v>11</v>
      </c>
      <c r="B66" s="27" t="s">
        <v>95</v>
      </c>
      <c r="E66" s="51">
        <f>E56+E60+E64</f>
        <v>0</v>
      </c>
      <c r="G66" s="28" t="s">
        <v>96</v>
      </c>
      <c r="H66" s="28">
        <f t="shared" si="3"/>
        <v>11</v>
      </c>
    </row>
    <row r="67" spans="1:9" ht="16.2" thickTop="1" x14ac:dyDescent="0.3">
      <c r="A67" s="28">
        <f t="shared" si="2"/>
        <v>12</v>
      </c>
      <c r="E67" s="53"/>
      <c r="G67" s="28"/>
      <c r="H67" s="28">
        <f t="shared" si="3"/>
        <v>12</v>
      </c>
    </row>
    <row r="68" spans="1:9" ht="18" x14ac:dyDescent="0.3">
      <c r="A68" s="28">
        <f t="shared" si="2"/>
        <v>13</v>
      </c>
      <c r="B68" s="54" t="s">
        <v>97</v>
      </c>
      <c r="E68" s="53"/>
      <c r="G68" s="28"/>
      <c r="H68" s="28">
        <f t="shared" si="3"/>
        <v>13</v>
      </c>
    </row>
    <row r="69" spans="1:9" x14ac:dyDescent="0.3">
      <c r="A69" s="28">
        <f t="shared" si="2"/>
        <v>14</v>
      </c>
      <c r="B69" s="32" t="s">
        <v>98</v>
      </c>
      <c r="E69" s="136">
        <v>0</v>
      </c>
      <c r="G69" s="28" t="s">
        <v>240</v>
      </c>
      <c r="H69" s="28">
        <f t="shared" si="3"/>
        <v>14</v>
      </c>
    </row>
    <row r="70" spans="1:9" x14ac:dyDescent="0.3">
      <c r="A70" s="28">
        <f t="shared" si="2"/>
        <v>15</v>
      </c>
      <c r="B70" s="32"/>
      <c r="E70" s="55"/>
      <c r="G70" s="28"/>
      <c r="H70" s="28">
        <f t="shared" si="3"/>
        <v>15</v>
      </c>
    </row>
    <row r="71" spans="1:9" x14ac:dyDescent="0.3">
      <c r="A71" s="28">
        <f t="shared" si="2"/>
        <v>16</v>
      </c>
      <c r="B71" s="32" t="s">
        <v>100</v>
      </c>
      <c r="E71" s="136">
        <f>E148</f>
        <v>0</v>
      </c>
      <c r="G71" s="28" t="s">
        <v>241</v>
      </c>
      <c r="H71" s="28">
        <f t="shared" si="3"/>
        <v>16</v>
      </c>
    </row>
    <row r="72" spans="1:9" ht="18" x14ac:dyDescent="0.3">
      <c r="A72" s="28">
        <f t="shared" si="2"/>
        <v>17</v>
      </c>
      <c r="B72" s="32" t="s">
        <v>58</v>
      </c>
      <c r="C72" s="108"/>
      <c r="D72" s="111"/>
      <c r="E72" s="644">
        <f>'Pg11 Rev Stmt AV'!G146</f>
        <v>9.5816762149131596E-2</v>
      </c>
      <c r="F72" s="42" t="s">
        <v>42</v>
      </c>
      <c r="G72" s="28" t="s">
        <v>242</v>
      </c>
      <c r="H72" s="28">
        <f t="shared" si="3"/>
        <v>17</v>
      </c>
    </row>
    <row r="73" spans="1:9" x14ac:dyDescent="0.3">
      <c r="A73" s="28">
        <f t="shared" si="2"/>
        <v>18</v>
      </c>
      <c r="B73" s="27" t="s">
        <v>103</v>
      </c>
      <c r="E73" s="48">
        <f>E71*E72</f>
        <v>0</v>
      </c>
      <c r="G73" s="28" t="s">
        <v>104</v>
      </c>
      <c r="H73" s="28">
        <f t="shared" si="3"/>
        <v>18</v>
      </c>
    </row>
    <row r="74" spans="1:9" x14ac:dyDescent="0.3">
      <c r="A74" s="28">
        <f t="shared" si="2"/>
        <v>19</v>
      </c>
      <c r="E74" s="49"/>
      <c r="G74" s="28"/>
      <c r="H74" s="28">
        <f t="shared" si="3"/>
        <v>19</v>
      </c>
    </row>
    <row r="75" spans="1:9" x14ac:dyDescent="0.3">
      <c r="A75" s="28">
        <f t="shared" si="2"/>
        <v>20</v>
      </c>
      <c r="B75" s="32" t="s">
        <v>100</v>
      </c>
      <c r="E75" s="136">
        <f>E148</f>
        <v>0</v>
      </c>
      <c r="G75" s="28" t="s">
        <v>241</v>
      </c>
      <c r="H75" s="28">
        <f t="shared" si="3"/>
        <v>20</v>
      </c>
    </row>
    <row r="76" spans="1:9" ht="18" x14ac:dyDescent="0.3">
      <c r="A76" s="28">
        <f t="shared" si="2"/>
        <v>21</v>
      </c>
      <c r="B76" s="32" t="s">
        <v>64</v>
      </c>
      <c r="C76" s="138"/>
      <c r="D76" s="111"/>
      <c r="E76" s="139">
        <v>0</v>
      </c>
      <c r="F76" s="97"/>
      <c r="G76" s="28" t="s">
        <v>243</v>
      </c>
      <c r="H76" s="28">
        <f t="shared" si="3"/>
        <v>21</v>
      </c>
      <c r="I76" s="138"/>
    </row>
    <row r="77" spans="1:9" x14ac:dyDescent="0.3">
      <c r="A77" s="28">
        <f t="shared" si="2"/>
        <v>22</v>
      </c>
      <c r="B77" s="27" t="s">
        <v>107</v>
      </c>
      <c r="E77" s="48">
        <f>E75*E76</f>
        <v>0</v>
      </c>
      <c r="G77" s="28" t="s">
        <v>108</v>
      </c>
      <c r="H77" s="28">
        <f t="shared" si="3"/>
        <v>22</v>
      </c>
    </row>
    <row r="78" spans="1:9" x14ac:dyDescent="0.3">
      <c r="A78" s="28">
        <f t="shared" si="2"/>
        <v>23</v>
      </c>
      <c r="E78" s="53"/>
      <c r="G78" s="28"/>
      <c r="H78" s="28">
        <f t="shared" si="3"/>
        <v>23</v>
      </c>
    </row>
    <row r="79" spans="1:9" ht="16.2" thickBot="1" x14ac:dyDescent="0.35">
      <c r="A79" s="28">
        <f t="shared" si="2"/>
        <v>24</v>
      </c>
      <c r="B79" s="27" t="s">
        <v>109</v>
      </c>
      <c r="E79" s="51">
        <f>E69+E73+E77</f>
        <v>0</v>
      </c>
      <c r="G79" s="28" t="s">
        <v>110</v>
      </c>
      <c r="H79" s="28">
        <f t="shared" si="3"/>
        <v>24</v>
      </c>
    </row>
    <row r="80" spans="1:9" ht="16.2" thickTop="1" x14ac:dyDescent="0.3">
      <c r="A80" s="28">
        <f t="shared" si="2"/>
        <v>25</v>
      </c>
      <c r="E80" s="53"/>
      <c r="G80" s="28"/>
      <c r="H80" s="28">
        <f t="shared" si="3"/>
        <v>25</v>
      </c>
    </row>
    <row r="81" spans="1:8" ht="18" x14ac:dyDescent="0.3">
      <c r="A81" s="28">
        <f t="shared" si="2"/>
        <v>26</v>
      </c>
      <c r="B81" s="54" t="s">
        <v>111</v>
      </c>
      <c r="C81" s="108"/>
      <c r="D81" s="108"/>
      <c r="E81" s="60"/>
      <c r="G81" s="28"/>
      <c r="H81" s="28">
        <f t="shared" si="3"/>
        <v>26</v>
      </c>
    </row>
    <row r="82" spans="1:8" x14ac:dyDescent="0.3">
      <c r="A82" s="28">
        <f t="shared" si="2"/>
        <v>27</v>
      </c>
      <c r="B82" s="27" t="s">
        <v>112</v>
      </c>
      <c r="C82" s="108"/>
      <c r="D82" s="108"/>
      <c r="E82" s="133">
        <f>E150</f>
        <v>0</v>
      </c>
      <c r="G82" s="28" t="s">
        <v>244</v>
      </c>
      <c r="H82" s="28">
        <f t="shared" si="3"/>
        <v>27</v>
      </c>
    </row>
    <row r="83" spans="1:8" ht="18" x14ac:dyDescent="0.3">
      <c r="A83" s="28">
        <f t="shared" si="2"/>
        <v>28</v>
      </c>
      <c r="B83" s="32" t="s">
        <v>58</v>
      </c>
      <c r="C83" s="108"/>
      <c r="D83" s="108"/>
      <c r="E83" s="645">
        <f>'Pg11 Rev Stmt AV'!G146</f>
        <v>9.5816762149131596E-2</v>
      </c>
      <c r="F83" s="42" t="s">
        <v>42</v>
      </c>
      <c r="G83" s="28" t="s">
        <v>242</v>
      </c>
      <c r="H83" s="28">
        <f t="shared" si="3"/>
        <v>28</v>
      </c>
    </row>
    <row r="84" spans="1:8" x14ac:dyDescent="0.3">
      <c r="A84" s="28">
        <f t="shared" si="2"/>
        <v>29</v>
      </c>
      <c r="B84" s="27" t="s">
        <v>115</v>
      </c>
      <c r="C84" s="108"/>
      <c r="D84" s="108"/>
      <c r="E84" s="63">
        <f>E82*E83</f>
        <v>0</v>
      </c>
      <c r="G84" s="28" t="s">
        <v>116</v>
      </c>
      <c r="H84" s="28">
        <f t="shared" si="3"/>
        <v>29</v>
      </c>
    </row>
    <row r="85" spans="1:8" x14ac:dyDescent="0.3">
      <c r="A85" s="28">
        <f t="shared" si="2"/>
        <v>30</v>
      </c>
      <c r="C85" s="108"/>
      <c r="D85" s="108"/>
      <c r="E85" s="61"/>
      <c r="G85" s="28"/>
      <c r="H85" s="28">
        <f t="shared" si="3"/>
        <v>30</v>
      </c>
    </row>
    <row r="86" spans="1:8" x14ac:dyDescent="0.3">
      <c r="A86" s="28">
        <f t="shared" si="2"/>
        <v>31</v>
      </c>
      <c r="B86" s="27" t="s">
        <v>112</v>
      </c>
      <c r="C86" s="108"/>
      <c r="D86" s="108"/>
      <c r="E86" s="133">
        <f>E150</f>
        <v>0</v>
      </c>
      <c r="G86" s="28" t="s">
        <v>244</v>
      </c>
      <c r="H86" s="28">
        <f t="shared" si="3"/>
        <v>31</v>
      </c>
    </row>
    <row r="87" spans="1:8" ht="18" x14ac:dyDescent="0.3">
      <c r="A87" s="28">
        <f t="shared" si="2"/>
        <v>32</v>
      </c>
      <c r="B87" s="32" t="s">
        <v>64</v>
      </c>
      <c r="C87" s="108"/>
      <c r="D87" s="108"/>
      <c r="E87" s="140">
        <f>'Pg11 Rev Stmt AV'!G179</f>
        <v>3.8994570343371454E-3</v>
      </c>
      <c r="F87" s="97"/>
      <c r="G87" s="28" t="s">
        <v>230</v>
      </c>
      <c r="H87" s="28">
        <f t="shared" si="3"/>
        <v>32</v>
      </c>
    </row>
    <row r="88" spans="1:8" x14ac:dyDescent="0.3">
      <c r="A88" s="28">
        <f t="shared" si="2"/>
        <v>33</v>
      </c>
      <c r="B88" s="27" t="s">
        <v>119</v>
      </c>
      <c r="C88" s="108"/>
      <c r="D88" s="108"/>
      <c r="E88" s="63">
        <f>E86*E87</f>
        <v>0</v>
      </c>
      <c r="G88" s="28" t="s">
        <v>120</v>
      </c>
      <c r="H88" s="28">
        <f t="shared" si="3"/>
        <v>33</v>
      </c>
    </row>
    <row r="89" spans="1:8" x14ac:dyDescent="0.3">
      <c r="A89" s="28">
        <f t="shared" si="2"/>
        <v>34</v>
      </c>
      <c r="C89" s="108"/>
      <c r="D89" s="108"/>
      <c r="E89" s="61"/>
      <c r="G89" s="28"/>
      <c r="H89" s="28">
        <f t="shared" si="3"/>
        <v>34</v>
      </c>
    </row>
    <row r="90" spans="1:8" ht="16.2" thickBot="1" x14ac:dyDescent="0.35">
      <c r="A90" s="28">
        <f t="shared" si="2"/>
        <v>35</v>
      </c>
      <c r="B90" s="27" t="s">
        <v>121</v>
      </c>
      <c r="C90" s="108"/>
      <c r="D90" s="108"/>
      <c r="E90" s="51">
        <f>E84+E88</f>
        <v>0</v>
      </c>
      <c r="G90" s="28" t="s">
        <v>122</v>
      </c>
      <c r="H90" s="28">
        <f t="shared" si="3"/>
        <v>35</v>
      </c>
    </row>
    <row r="91" spans="1:8" ht="16.2" thickTop="1" x14ac:dyDescent="0.3">
      <c r="A91" s="28">
        <f t="shared" si="2"/>
        <v>36</v>
      </c>
      <c r="C91" s="108"/>
      <c r="D91" s="108"/>
      <c r="E91" s="60"/>
      <c r="G91" s="28"/>
      <c r="H91" s="28">
        <f t="shared" si="3"/>
        <v>36</v>
      </c>
    </row>
    <row r="92" spans="1:8" ht="18.600000000000001" thickBot="1" x14ac:dyDescent="0.35">
      <c r="A92" s="28">
        <f t="shared" si="2"/>
        <v>37</v>
      </c>
      <c r="B92" s="27" t="s">
        <v>123</v>
      </c>
      <c r="E92" s="65">
        <f>E66+E79+E90</f>
        <v>0</v>
      </c>
      <c r="G92" s="28" t="s">
        <v>124</v>
      </c>
      <c r="H92" s="28">
        <f t="shared" si="3"/>
        <v>37</v>
      </c>
    </row>
    <row r="93" spans="1:8" ht="16.2" thickTop="1" x14ac:dyDescent="0.3">
      <c r="A93" s="28">
        <f t="shared" si="2"/>
        <v>38</v>
      </c>
      <c r="C93" s="108"/>
      <c r="D93" s="108"/>
      <c r="E93" s="60"/>
      <c r="G93" s="28"/>
      <c r="H93" s="28">
        <f t="shared" si="3"/>
        <v>38</v>
      </c>
    </row>
    <row r="94" spans="1:8" ht="18.600000000000001" thickBot="1" x14ac:dyDescent="0.35">
      <c r="A94" s="28">
        <f t="shared" si="2"/>
        <v>39</v>
      </c>
      <c r="B94" s="54" t="s">
        <v>125</v>
      </c>
      <c r="C94" s="108"/>
      <c r="D94" s="108"/>
      <c r="E94" s="66">
        <f>+E40+E92</f>
        <v>917119.07939016551</v>
      </c>
      <c r="F94" s="42" t="s">
        <v>42</v>
      </c>
      <c r="G94" s="28" t="s">
        <v>126</v>
      </c>
      <c r="H94" s="28">
        <f t="shared" si="3"/>
        <v>39</v>
      </c>
    </row>
    <row r="95" spans="1:8" ht="16.2" thickTop="1" x14ac:dyDescent="0.3">
      <c r="A95" s="28"/>
      <c r="B95" s="54"/>
      <c r="C95" s="108"/>
      <c r="D95" s="108"/>
      <c r="E95" s="60"/>
      <c r="F95" s="97"/>
      <c r="G95" s="28"/>
    </row>
    <row r="96" spans="1:8" x14ac:dyDescent="0.3">
      <c r="A96" s="42" t="s">
        <v>42</v>
      </c>
      <c r="B96" s="12" t="str">
        <f>B42</f>
        <v xml:space="preserve">Items in BOLD have changed due to unfunded reserves error, A&amp;G adjustments, transmission revenue credits error,  and removal of CIAC related ADIT per TO5 Cycle 4 Letter Order </v>
      </c>
      <c r="C96" s="108"/>
      <c r="D96" s="108"/>
      <c r="E96" s="60"/>
      <c r="F96" s="97"/>
      <c r="G96" s="28"/>
    </row>
    <row r="97" spans="1:8" x14ac:dyDescent="0.3">
      <c r="A97" s="42"/>
      <c r="B97" s="12" t="str">
        <f>B43</f>
        <v>determination in ER22-527 as compared to the original TO5 Cycle 4 filing.</v>
      </c>
      <c r="C97" s="108"/>
      <c r="D97" s="108"/>
      <c r="E97" s="60"/>
      <c r="F97" s="97"/>
      <c r="G97" s="28"/>
    </row>
    <row r="98" spans="1:8" ht="18" x14ac:dyDescent="0.3">
      <c r="A98" s="43">
        <v>1</v>
      </c>
      <c r="B98" s="27" t="s">
        <v>81</v>
      </c>
      <c r="C98" s="108"/>
      <c r="D98" s="108"/>
      <c r="E98" s="60"/>
      <c r="G98" s="28"/>
    </row>
    <row r="99" spans="1:8" ht="18" x14ac:dyDescent="0.3">
      <c r="A99" s="43">
        <v>2</v>
      </c>
      <c r="B99" s="27" t="s">
        <v>127</v>
      </c>
      <c r="C99" s="108"/>
      <c r="D99" s="108"/>
      <c r="E99" s="141"/>
      <c r="F99" s="117"/>
      <c r="G99" s="28"/>
    </row>
    <row r="100" spans="1:8" ht="18" x14ac:dyDescent="0.3">
      <c r="A100" s="43">
        <v>3</v>
      </c>
      <c r="B100" s="27" t="s">
        <v>128</v>
      </c>
      <c r="C100" s="108"/>
      <c r="D100" s="108"/>
      <c r="E100" s="60"/>
      <c r="G100" s="28"/>
    </row>
    <row r="101" spans="1:8" x14ac:dyDescent="0.3">
      <c r="A101" s="28"/>
      <c r="B101" s="97"/>
      <c r="C101" s="108"/>
      <c r="D101" s="108"/>
      <c r="E101" s="60"/>
      <c r="G101" s="28"/>
    </row>
    <row r="102" spans="1:8" x14ac:dyDescent="0.3">
      <c r="A102" s="28"/>
      <c r="C102" s="108"/>
      <c r="D102" s="108"/>
      <c r="E102" s="60"/>
      <c r="G102" s="101"/>
    </row>
    <row r="103" spans="1:8" x14ac:dyDescent="0.3">
      <c r="A103" s="28"/>
      <c r="B103" s="854" t="s">
        <v>217</v>
      </c>
      <c r="C103" s="855"/>
      <c r="D103" s="855"/>
      <c r="E103" s="855"/>
      <c r="F103" s="855"/>
      <c r="G103" s="855"/>
    </row>
    <row r="104" spans="1:8" x14ac:dyDescent="0.3">
      <c r="A104" s="28"/>
      <c r="B104" s="854" t="s">
        <v>218</v>
      </c>
      <c r="C104" s="855"/>
      <c r="D104" s="855"/>
      <c r="E104" s="855"/>
      <c r="F104" s="855"/>
      <c r="G104" s="855"/>
    </row>
    <row r="105" spans="1:8" ht="18" x14ac:dyDescent="0.3">
      <c r="A105" s="28" t="s">
        <v>26</v>
      </c>
      <c r="B105" s="854" t="s">
        <v>219</v>
      </c>
      <c r="C105" s="856"/>
      <c r="D105" s="856"/>
      <c r="E105" s="856"/>
      <c r="F105" s="856"/>
      <c r="G105" s="856"/>
      <c r="H105" s="28" t="s">
        <v>26</v>
      </c>
    </row>
    <row r="106" spans="1:8" x14ac:dyDescent="0.3">
      <c r="A106" s="28"/>
      <c r="B106" s="859" t="str">
        <f>B5</f>
        <v>For the Base Period &amp; True-Up Period Ending December 31, 2020</v>
      </c>
      <c r="C106" s="860"/>
      <c r="D106" s="860"/>
      <c r="E106" s="860"/>
      <c r="F106" s="860"/>
      <c r="G106" s="860"/>
    </row>
    <row r="107" spans="1:8" x14ac:dyDescent="0.3">
      <c r="A107" s="28"/>
      <c r="B107" s="858" t="s">
        <v>3</v>
      </c>
      <c r="C107" s="855"/>
      <c r="D107" s="855"/>
      <c r="E107" s="855"/>
      <c r="F107" s="855"/>
      <c r="G107" s="855"/>
    </row>
    <row r="108" spans="1:8" x14ac:dyDescent="0.3">
      <c r="A108" s="28"/>
      <c r="B108" s="102"/>
      <c r="C108" s="97"/>
      <c r="D108" s="97"/>
      <c r="E108" s="97"/>
      <c r="F108" s="97"/>
      <c r="G108" s="97"/>
    </row>
    <row r="109" spans="1:8" x14ac:dyDescent="0.3">
      <c r="A109" s="28" t="s">
        <v>4</v>
      </c>
      <c r="E109" s="103"/>
      <c r="G109" s="28"/>
      <c r="H109" s="28" t="s">
        <v>4</v>
      </c>
    </row>
    <row r="110" spans="1:8" x14ac:dyDescent="0.3">
      <c r="A110" s="28" t="s">
        <v>8</v>
      </c>
      <c r="B110" s="97" t="s">
        <v>26</v>
      </c>
      <c r="E110" s="104" t="s">
        <v>6</v>
      </c>
      <c r="G110" s="105" t="s">
        <v>7</v>
      </c>
      <c r="H110" s="28" t="s">
        <v>8</v>
      </c>
    </row>
    <row r="111" spans="1:8" x14ac:dyDescent="0.3">
      <c r="A111" s="106"/>
      <c r="B111" s="44" t="s">
        <v>245</v>
      </c>
      <c r="C111" s="142"/>
      <c r="D111" s="142"/>
      <c r="E111" s="142"/>
      <c r="G111" s="28"/>
      <c r="H111" s="106"/>
    </row>
    <row r="112" spans="1:8" x14ac:dyDescent="0.3">
      <c r="A112" s="28">
        <v>1</v>
      </c>
      <c r="B112" s="143" t="s">
        <v>130</v>
      </c>
      <c r="C112" s="142"/>
      <c r="D112" s="142"/>
      <c r="E112" s="142"/>
      <c r="G112" s="28"/>
      <c r="H112" s="28">
        <f>A112</f>
        <v>1</v>
      </c>
    </row>
    <row r="113" spans="1:8" x14ac:dyDescent="0.3">
      <c r="A113" s="28">
        <f t="shared" ref="A113:A150" si="4">A112+1</f>
        <v>2</v>
      </c>
      <c r="B113" s="32" t="s">
        <v>131</v>
      </c>
      <c r="C113" s="142"/>
      <c r="D113" s="142"/>
      <c r="E113" s="144">
        <f>E181</f>
        <v>5246121.1315707676</v>
      </c>
      <c r="F113" s="117"/>
      <c r="G113" s="28" t="s">
        <v>246</v>
      </c>
      <c r="H113" s="28">
        <f t="shared" ref="H113:H150" si="5">H112+1</f>
        <v>2</v>
      </c>
    </row>
    <row r="114" spans="1:8" x14ac:dyDescent="0.3">
      <c r="A114" s="28">
        <f t="shared" si="4"/>
        <v>3</v>
      </c>
      <c r="B114" s="32" t="s">
        <v>133</v>
      </c>
      <c r="C114" s="142"/>
      <c r="D114" s="142"/>
      <c r="E114" s="145">
        <f>E182</f>
        <v>6185.413608726165</v>
      </c>
      <c r="F114" s="117"/>
      <c r="G114" s="28" t="s">
        <v>247</v>
      </c>
      <c r="H114" s="28">
        <f t="shared" si="5"/>
        <v>3</v>
      </c>
    </row>
    <row r="115" spans="1:8" x14ac:dyDescent="0.3">
      <c r="A115" s="28">
        <f t="shared" si="4"/>
        <v>4</v>
      </c>
      <c r="B115" s="32" t="s">
        <v>135</v>
      </c>
      <c r="C115" s="142"/>
      <c r="D115" s="142"/>
      <c r="E115" s="145">
        <f>E183</f>
        <v>51220.11925408426</v>
      </c>
      <c r="G115" s="28" t="s">
        <v>248</v>
      </c>
      <c r="H115" s="28">
        <f t="shared" si="5"/>
        <v>4</v>
      </c>
    </row>
    <row r="116" spans="1:8" x14ac:dyDescent="0.3">
      <c r="A116" s="28">
        <f t="shared" si="4"/>
        <v>5</v>
      </c>
      <c r="B116" s="32" t="s">
        <v>137</v>
      </c>
      <c r="C116" s="142"/>
      <c r="D116" s="142"/>
      <c r="E116" s="146">
        <f>E184</f>
        <v>107749.97527197437</v>
      </c>
      <c r="G116" s="28" t="s">
        <v>249</v>
      </c>
      <c r="H116" s="28">
        <f t="shared" si="5"/>
        <v>5</v>
      </c>
    </row>
    <row r="117" spans="1:8" x14ac:dyDescent="0.3">
      <c r="A117" s="28">
        <f t="shared" si="4"/>
        <v>6</v>
      </c>
      <c r="B117" s="32" t="s">
        <v>139</v>
      </c>
      <c r="C117" s="28"/>
      <c r="D117" s="28"/>
      <c r="E117" s="147">
        <f>SUM(E113:E116)</f>
        <v>5411276.6397055527</v>
      </c>
      <c r="F117" s="117"/>
      <c r="G117" s="28" t="s">
        <v>140</v>
      </c>
      <c r="H117" s="28">
        <f t="shared" si="5"/>
        <v>6</v>
      </c>
    </row>
    <row r="118" spans="1:8" x14ac:dyDescent="0.3">
      <c r="A118" s="28">
        <f t="shared" si="4"/>
        <v>7</v>
      </c>
      <c r="C118" s="28"/>
      <c r="D118" s="28"/>
      <c r="E118" s="118"/>
      <c r="G118" s="28"/>
      <c r="H118" s="28">
        <f t="shared" si="5"/>
        <v>7</v>
      </c>
    </row>
    <row r="119" spans="1:8" x14ac:dyDescent="0.3">
      <c r="A119" s="28">
        <f t="shared" si="4"/>
        <v>8</v>
      </c>
      <c r="B119" s="143" t="s">
        <v>141</v>
      </c>
      <c r="C119" s="28"/>
      <c r="D119" s="28"/>
      <c r="E119" s="118"/>
      <c r="G119" s="28"/>
      <c r="H119" s="28">
        <f t="shared" si="5"/>
        <v>8</v>
      </c>
    </row>
    <row r="120" spans="1:8" x14ac:dyDescent="0.3">
      <c r="A120" s="28">
        <f t="shared" si="4"/>
        <v>9</v>
      </c>
      <c r="B120" s="32" t="s">
        <v>250</v>
      </c>
      <c r="C120" s="28"/>
      <c r="D120" s="28"/>
      <c r="E120" s="148">
        <v>0</v>
      </c>
      <c r="F120" s="117"/>
      <c r="G120" s="28" t="s">
        <v>251</v>
      </c>
      <c r="H120" s="28">
        <f t="shared" si="5"/>
        <v>9</v>
      </c>
    </row>
    <row r="121" spans="1:8" x14ac:dyDescent="0.3">
      <c r="A121" s="28">
        <f t="shared" si="4"/>
        <v>10</v>
      </c>
      <c r="B121" s="32" t="s">
        <v>144</v>
      </c>
      <c r="C121" s="28"/>
      <c r="D121" s="28"/>
      <c r="E121" s="149">
        <v>0</v>
      </c>
      <c r="G121" s="28" t="s">
        <v>252</v>
      </c>
      <c r="H121" s="28">
        <f t="shared" si="5"/>
        <v>10</v>
      </c>
    </row>
    <row r="122" spans="1:8" x14ac:dyDescent="0.3">
      <c r="A122" s="28">
        <f t="shared" si="4"/>
        <v>11</v>
      </c>
      <c r="B122" s="32" t="s">
        <v>146</v>
      </c>
      <c r="C122" s="28"/>
      <c r="D122" s="28"/>
      <c r="E122" s="150">
        <f>SUM(E120:E121)</f>
        <v>0</v>
      </c>
      <c r="F122" s="117"/>
      <c r="G122" s="28" t="s">
        <v>147</v>
      </c>
      <c r="H122" s="28">
        <f t="shared" si="5"/>
        <v>11</v>
      </c>
    </row>
    <row r="123" spans="1:8" x14ac:dyDescent="0.3">
      <c r="A123" s="28">
        <f t="shared" si="4"/>
        <v>12</v>
      </c>
      <c r="B123" s="32"/>
      <c r="C123" s="28"/>
      <c r="D123" s="28"/>
      <c r="E123" s="60"/>
      <c r="G123" s="28"/>
      <c r="H123" s="28">
        <f t="shared" si="5"/>
        <v>12</v>
      </c>
    </row>
    <row r="124" spans="1:8" x14ac:dyDescent="0.3">
      <c r="A124" s="28">
        <f t="shared" si="4"/>
        <v>13</v>
      </c>
      <c r="B124" s="143" t="s">
        <v>148</v>
      </c>
      <c r="E124" s="118"/>
      <c r="G124" s="28"/>
      <c r="H124" s="28">
        <f t="shared" si="5"/>
        <v>13</v>
      </c>
    </row>
    <row r="125" spans="1:8" x14ac:dyDescent="0.3">
      <c r="A125" s="28">
        <f t="shared" si="4"/>
        <v>14</v>
      </c>
      <c r="B125" s="27" t="s">
        <v>149</v>
      </c>
      <c r="C125" s="28"/>
      <c r="D125" s="28"/>
      <c r="E125" s="636">
        <f>'Pg5 Rev Stmt AF'!I17</f>
        <v>-934308.51593694778</v>
      </c>
      <c r="F125" s="42" t="s">
        <v>42</v>
      </c>
      <c r="G125" s="28" t="s">
        <v>253</v>
      </c>
      <c r="H125" s="28">
        <f t="shared" si="5"/>
        <v>14</v>
      </c>
    </row>
    <row r="126" spans="1:8" x14ac:dyDescent="0.3">
      <c r="A126" s="28">
        <f t="shared" si="4"/>
        <v>15</v>
      </c>
      <c r="B126" s="27" t="s">
        <v>151</v>
      </c>
      <c r="C126" s="28"/>
      <c r="D126" s="28"/>
      <c r="E126" s="130">
        <v>0</v>
      </c>
      <c r="G126" s="28" t="s">
        <v>254</v>
      </c>
      <c r="H126" s="28">
        <f t="shared" si="5"/>
        <v>15</v>
      </c>
    </row>
    <row r="127" spans="1:8" x14ac:dyDescent="0.3">
      <c r="A127" s="28">
        <f t="shared" si="4"/>
        <v>16</v>
      </c>
      <c r="B127" s="32" t="s">
        <v>153</v>
      </c>
      <c r="C127" s="28"/>
      <c r="D127" s="28"/>
      <c r="E127" s="126">
        <f>SUM(E125:E126)</f>
        <v>-934308.51593694778</v>
      </c>
      <c r="F127" s="42" t="s">
        <v>42</v>
      </c>
      <c r="G127" s="28" t="s">
        <v>154</v>
      </c>
      <c r="H127" s="28">
        <f t="shared" si="5"/>
        <v>16</v>
      </c>
    </row>
    <row r="128" spans="1:8" x14ac:dyDescent="0.3">
      <c r="A128" s="28">
        <f t="shared" si="4"/>
        <v>17</v>
      </c>
      <c r="C128" s="28"/>
      <c r="D128" s="28"/>
      <c r="E128" s="152"/>
      <c r="G128" s="28"/>
      <c r="H128" s="28">
        <f t="shared" si="5"/>
        <v>17</v>
      </c>
    </row>
    <row r="129" spans="1:8" x14ac:dyDescent="0.3">
      <c r="A129" s="28">
        <f t="shared" si="4"/>
        <v>18</v>
      </c>
      <c r="B129" s="143" t="s">
        <v>155</v>
      </c>
      <c r="C129" s="28"/>
      <c r="D129" s="28"/>
      <c r="E129" s="152"/>
      <c r="G129" s="28"/>
      <c r="H129" s="28">
        <f t="shared" si="5"/>
        <v>18</v>
      </c>
    </row>
    <row r="130" spans="1:8" x14ac:dyDescent="0.3">
      <c r="A130" s="28">
        <f t="shared" si="4"/>
        <v>19</v>
      </c>
      <c r="B130" s="32" t="s">
        <v>255</v>
      </c>
      <c r="C130" s="28"/>
      <c r="D130" s="28"/>
      <c r="E130" s="144">
        <v>51967.715833331946</v>
      </c>
      <c r="F130" s="117"/>
      <c r="G130" s="28" t="s">
        <v>256</v>
      </c>
      <c r="H130" s="28">
        <f t="shared" si="5"/>
        <v>19</v>
      </c>
    </row>
    <row r="131" spans="1:8" x14ac:dyDescent="0.3">
      <c r="A131" s="28">
        <f t="shared" si="4"/>
        <v>20</v>
      </c>
      <c r="B131" s="32" t="s">
        <v>158</v>
      </c>
      <c r="C131" s="28"/>
      <c r="D131" s="28"/>
      <c r="E131" s="145">
        <v>37816.931501811814</v>
      </c>
      <c r="F131" s="117"/>
      <c r="G131" s="28" t="s">
        <v>257</v>
      </c>
      <c r="H131" s="28">
        <f t="shared" si="5"/>
        <v>20</v>
      </c>
    </row>
    <row r="132" spans="1:8" x14ac:dyDescent="0.3">
      <c r="A132" s="28">
        <f t="shared" si="4"/>
        <v>21</v>
      </c>
      <c r="B132" s="32" t="s">
        <v>160</v>
      </c>
      <c r="C132" s="28"/>
      <c r="D132" s="28"/>
      <c r="E132" s="502">
        <f>'Pg7 Rev Stmt AL'!E29</f>
        <v>22110.874807762932</v>
      </c>
      <c r="F132" s="42" t="s">
        <v>42</v>
      </c>
      <c r="G132" s="28" t="s">
        <v>258</v>
      </c>
      <c r="H132" s="28">
        <f t="shared" si="5"/>
        <v>21</v>
      </c>
    </row>
    <row r="133" spans="1:8" x14ac:dyDescent="0.3">
      <c r="A133" s="28">
        <f t="shared" si="4"/>
        <v>22</v>
      </c>
      <c r="B133" s="32" t="s">
        <v>259</v>
      </c>
      <c r="E133" s="126">
        <f>SUM(E130:E132)</f>
        <v>111895.52214290669</v>
      </c>
      <c r="F133" s="42" t="s">
        <v>42</v>
      </c>
      <c r="G133" s="28" t="s">
        <v>163</v>
      </c>
      <c r="H133" s="28">
        <f t="shared" si="5"/>
        <v>22</v>
      </c>
    </row>
    <row r="134" spans="1:8" x14ac:dyDescent="0.3">
      <c r="A134" s="28">
        <f t="shared" si="4"/>
        <v>23</v>
      </c>
      <c r="B134" s="32"/>
      <c r="E134" s="153"/>
      <c r="G134" s="28"/>
      <c r="H134" s="28">
        <f t="shared" si="5"/>
        <v>23</v>
      </c>
    </row>
    <row r="135" spans="1:8" x14ac:dyDescent="0.3">
      <c r="A135" s="28">
        <f t="shared" si="4"/>
        <v>24</v>
      </c>
      <c r="B135" s="32" t="s">
        <v>164</v>
      </c>
      <c r="E135" s="154">
        <v>0</v>
      </c>
      <c r="G135" s="28" t="s">
        <v>260</v>
      </c>
      <c r="H135" s="28">
        <f t="shared" si="5"/>
        <v>24</v>
      </c>
    </row>
    <row r="136" spans="1:8" x14ac:dyDescent="0.3">
      <c r="A136" s="28">
        <f t="shared" si="4"/>
        <v>25</v>
      </c>
      <c r="B136" s="32" t="s">
        <v>166</v>
      </c>
      <c r="E136" s="125">
        <f>'Pg10 Rev Stmt Misc'!E16</f>
        <v>-10867.384430895108</v>
      </c>
      <c r="F136" s="42" t="s">
        <v>42</v>
      </c>
      <c r="G136" s="28" t="s">
        <v>261</v>
      </c>
      <c r="H136" s="28">
        <f t="shared" si="5"/>
        <v>25</v>
      </c>
    </row>
    <row r="137" spans="1:8" x14ac:dyDescent="0.3">
      <c r="A137" s="28">
        <f t="shared" si="4"/>
        <v>26</v>
      </c>
      <c r="B137" s="32"/>
      <c r="E137" s="153"/>
      <c r="G137" s="28"/>
      <c r="H137" s="28">
        <f t="shared" si="5"/>
        <v>26</v>
      </c>
    </row>
    <row r="138" spans="1:8" ht="16.2" thickBot="1" x14ac:dyDescent="0.35">
      <c r="A138" s="28">
        <f t="shared" si="4"/>
        <v>27</v>
      </c>
      <c r="B138" s="32" t="s">
        <v>168</v>
      </c>
      <c r="E138" s="155">
        <f>E135+E133+E127+E122+E117+E136</f>
        <v>4577996.2614806164</v>
      </c>
      <c r="F138" s="42" t="s">
        <v>42</v>
      </c>
      <c r="G138" s="28" t="s">
        <v>169</v>
      </c>
      <c r="H138" s="28">
        <f t="shared" si="5"/>
        <v>27</v>
      </c>
    </row>
    <row r="139" spans="1:8" ht="16.2" thickTop="1" x14ac:dyDescent="0.3">
      <c r="A139" s="28">
        <f t="shared" si="4"/>
        <v>28</v>
      </c>
      <c r="B139" s="32"/>
      <c r="E139" s="53"/>
      <c r="G139" s="28"/>
      <c r="H139" s="28">
        <f t="shared" si="5"/>
        <v>28</v>
      </c>
    </row>
    <row r="140" spans="1:8" ht="18" x14ac:dyDescent="0.3">
      <c r="A140" s="28">
        <f t="shared" si="4"/>
        <v>29</v>
      </c>
      <c r="B140" s="44" t="s">
        <v>170</v>
      </c>
      <c r="E140" s="53"/>
      <c r="G140" s="28"/>
      <c r="H140" s="28">
        <f t="shared" si="5"/>
        <v>29</v>
      </c>
    </row>
    <row r="141" spans="1:8" x14ac:dyDescent="0.3">
      <c r="A141" s="28">
        <f t="shared" si="4"/>
        <v>30</v>
      </c>
      <c r="B141" s="32" t="s">
        <v>171</v>
      </c>
      <c r="E141" s="136">
        <f>E190</f>
        <v>0</v>
      </c>
      <c r="G141" s="28" t="s">
        <v>262</v>
      </c>
      <c r="H141" s="28">
        <f t="shared" si="5"/>
        <v>30</v>
      </c>
    </row>
    <row r="142" spans="1:8" x14ac:dyDescent="0.3">
      <c r="A142" s="28">
        <f t="shared" si="4"/>
        <v>31</v>
      </c>
      <c r="B142" s="32" t="s">
        <v>173</v>
      </c>
      <c r="E142" s="130">
        <v>0</v>
      </c>
      <c r="G142" s="28" t="s">
        <v>263</v>
      </c>
      <c r="H142" s="28">
        <f t="shared" si="5"/>
        <v>31</v>
      </c>
    </row>
    <row r="143" spans="1:8" x14ac:dyDescent="0.3">
      <c r="A143" s="28">
        <f t="shared" si="4"/>
        <v>32</v>
      </c>
      <c r="B143" s="27" t="s">
        <v>175</v>
      </c>
      <c r="E143" s="48">
        <f>SUM(E141:E142)</f>
        <v>0</v>
      </c>
      <c r="G143" s="28" t="s">
        <v>176</v>
      </c>
      <c r="H143" s="28">
        <f t="shared" si="5"/>
        <v>32</v>
      </c>
    </row>
    <row r="144" spans="1:8" x14ac:dyDescent="0.3">
      <c r="A144" s="28">
        <f t="shared" si="4"/>
        <v>33</v>
      </c>
      <c r="B144" s="32"/>
      <c r="E144" s="53"/>
      <c r="G144" s="28"/>
      <c r="H144" s="28">
        <f t="shared" si="5"/>
        <v>33</v>
      </c>
    </row>
    <row r="145" spans="1:8" ht="18" x14ac:dyDescent="0.3">
      <c r="A145" s="28">
        <f t="shared" si="4"/>
        <v>34</v>
      </c>
      <c r="B145" s="44" t="s">
        <v>177</v>
      </c>
      <c r="E145" s="53"/>
      <c r="G145" s="28"/>
      <c r="H145" s="28">
        <f t="shared" si="5"/>
        <v>34</v>
      </c>
    </row>
    <row r="146" spans="1:8" x14ac:dyDescent="0.3">
      <c r="A146" s="28">
        <f t="shared" si="4"/>
        <v>35</v>
      </c>
      <c r="B146" s="32" t="s">
        <v>178</v>
      </c>
      <c r="E146" s="136">
        <v>0</v>
      </c>
      <c r="G146" s="28" t="s">
        <v>264</v>
      </c>
      <c r="H146" s="28">
        <f t="shared" si="5"/>
        <v>35</v>
      </c>
    </row>
    <row r="147" spans="1:8" x14ac:dyDescent="0.3">
      <c r="A147" s="28">
        <f t="shared" si="4"/>
        <v>36</v>
      </c>
      <c r="B147" s="27" t="s">
        <v>180</v>
      </c>
      <c r="E147" s="131">
        <v>0</v>
      </c>
      <c r="G147" s="28" t="s">
        <v>265</v>
      </c>
      <c r="H147" s="28">
        <f t="shared" si="5"/>
        <v>36</v>
      </c>
    </row>
    <row r="148" spans="1:8" x14ac:dyDescent="0.3">
      <c r="A148" s="28">
        <f t="shared" si="4"/>
        <v>37</v>
      </c>
      <c r="B148" s="27" t="s">
        <v>182</v>
      </c>
      <c r="E148" s="48">
        <f>SUM(E146:E147)</f>
        <v>0</v>
      </c>
      <c r="G148" s="28" t="s">
        <v>183</v>
      </c>
      <c r="H148" s="28">
        <f t="shared" si="5"/>
        <v>37</v>
      </c>
    </row>
    <row r="149" spans="1:8" x14ac:dyDescent="0.3">
      <c r="A149" s="28">
        <f t="shared" si="4"/>
        <v>38</v>
      </c>
      <c r="B149" s="32"/>
      <c r="E149" s="53"/>
      <c r="G149" s="28"/>
      <c r="H149" s="28">
        <f t="shared" si="5"/>
        <v>38</v>
      </c>
    </row>
    <row r="150" spans="1:8" ht="18" x14ac:dyDescent="0.3">
      <c r="A150" s="28">
        <f t="shared" si="4"/>
        <v>39</v>
      </c>
      <c r="B150" s="44" t="s">
        <v>184</v>
      </c>
      <c r="E150" s="136">
        <v>0</v>
      </c>
      <c r="G150" s="28" t="s">
        <v>266</v>
      </c>
      <c r="H150" s="28">
        <f t="shared" si="5"/>
        <v>39</v>
      </c>
    </row>
    <row r="151" spans="1:8" x14ac:dyDescent="0.3">
      <c r="A151" s="28"/>
      <c r="B151" s="32"/>
      <c r="E151" s="53"/>
      <c r="G151" s="28"/>
    </row>
    <row r="152" spans="1:8" x14ac:dyDescent="0.3">
      <c r="A152" s="42" t="s">
        <v>42</v>
      </c>
      <c r="B152" s="12" t="str">
        <f>B96</f>
        <v xml:space="preserve">Items in BOLD have changed due to unfunded reserves error, A&amp;G adjustments, transmission revenue credits error,  and removal of CIAC related ADIT per TO5 Cycle 4 Letter Order </v>
      </c>
      <c r="E152" s="53"/>
      <c r="G152" s="28"/>
    </row>
    <row r="153" spans="1:8" x14ac:dyDescent="0.3">
      <c r="A153" s="42"/>
      <c r="B153" s="12" t="str">
        <f>B97</f>
        <v>determination in ER22-527 as compared to the original TO5 Cycle 4 filing.</v>
      </c>
      <c r="E153" s="53"/>
      <c r="G153" s="28"/>
    </row>
    <row r="154" spans="1:8" ht="18" x14ac:dyDescent="0.3">
      <c r="A154" s="43">
        <v>1</v>
      </c>
      <c r="B154" s="27" t="s">
        <v>127</v>
      </c>
      <c r="E154" s="53"/>
      <c r="G154" s="28"/>
    </row>
    <row r="155" spans="1:8" x14ac:dyDescent="0.3">
      <c r="A155" s="28"/>
      <c r="B155" s="97"/>
      <c r="E155" s="53"/>
      <c r="G155" s="28"/>
    </row>
    <row r="156" spans="1:8" x14ac:dyDescent="0.3">
      <c r="A156" s="28"/>
      <c r="B156" s="97"/>
      <c r="E156" s="53"/>
      <c r="G156" s="28"/>
    </row>
    <row r="157" spans="1:8" x14ac:dyDescent="0.3">
      <c r="A157" s="28"/>
      <c r="B157" s="854" t="s">
        <v>217</v>
      </c>
      <c r="C157" s="855"/>
      <c r="D157" s="855"/>
      <c r="E157" s="855"/>
      <c r="F157" s="855"/>
      <c r="G157" s="855"/>
    </row>
    <row r="158" spans="1:8" x14ac:dyDescent="0.3">
      <c r="A158" s="28" t="s">
        <v>26</v>
      </c>
      <c r="B158" s="854" t="s">
        <v>218</v>
      </c>
      <c r="C158" s="855"/>
      <c r="D158" s="855"/>
      <c r="E158" s="855"/>
      <c r="F158" s="855"/>
      <c r="G158" s="855"/>
    </row>
    <row r="159" spans="1:8" ht="18" x14ac:dyDescent="0.3">
      <c r="A159" s="28"/>
      <c r="B159" s="854" t="s">
        <v>219</v>
      </c>
      <c r="C159" s="856"/>
      <c r="D159" s="856"/>
      <c r="E159" s="856"/>
      <c r="F159" s="856"/>
      <c r="G159" s="856"/>
    </row>
    <row r="160" spans="1:8" x14ac:dyDescent="0.3">
      <c r="A160" s="28"/>
      <c r="B160" s="859" t="str">
        <f>B5</f>
        <v>For the Base Period &amp; True-Up Period Ending December 31, 2020</v>
      </c>
      <c r="C160" s="860"/>
      <c r="D160" s="860"/>
      <c r="E160" s="860"/>
      <c r="F160" s="860"/>
      <c r="G160" s="860"/>
    </row>
    <row r="161" spans="1:10" x14ac:dyDescent="0.3">
      <c r="A161" s="28"/>
      <c r="B161" s="858" t="s">
        <v>3</v>
      </c>
      <c r="C161" s="855"/>
      <c r="D161" s="855"/>
      <c r="E161" s="855"/>
      <c r="F161" s="855"/>
      <c r="G161" s="855"/>
    </row>
    <row r="162" spans="1:10" x14ac:dyDescent="0.3">
      <c r="A162" s="28"/>
      <c r="B162" s="156"/>
    </row>
    <row r="163" spans="1:10" x14ac:dyDescent="0.3">
      <c r="A163" s="28" t="s">
        <v>4</v>
      </c>
      <c r="E163" s="103"/>
      <c r="G163" s="28"/>
      <c r="H163" s="28" t="s">
        <v>4</v>
      </c>
    </row>
    <row r="164" spans="1:10" x14ac:dyDescent="0.3">
      <c r="A164" s="28" t="s">
        <v>8</v>
      </c>
      <c r="B164" s="97" t="s">
        <v>26</v>
      </c>
      <c r="E164" s="104" t="s">
        <v>6</v>
      </c>
      <c r="G164" s="105" t="s">
        <v>7</v>
      </c>
      <c r="H164" s="28" t="s">
        <v>8</v>
      </c>
    </row>
    <row r="165" spans="1:10" x14ac:dyDescent="0.3">
      <c r="A165" s="106"/>
      <c r="B165" s="44" t="s">
        <v>267</v>
      </c>
      <c r="E165" s="103"/>
      <c r="G165" s="28"/>
      <c r="H165" s="106"/>
    </row>
    <row r="166" spans="1:10" x14ac:dyDescent="0.3">
      <c r="A166" s="28">
        <v>1</v>
      </c>
      <c r="B166" s="143" t="s">
        <v>187</v>
      </c>
      <c r="E166" s="103"/>
      <c r="G166" s="28"/>
      <c r="H166" s="28">
        <f>A166</f>
        <v>1</v>
      </c>
    </row>
    <row r="167" spans="1:10" x14ac:dyDescent="0.3">
      <c r="A167" s="28">
        <f t="shared" ref="A167:A190" si="6">A166+1</f>
        <v>2</v>
      </c>
      <c r="B167" s="32" t="s">
        <v>131</v>
      </c>
      <c r="E167" s="128">
        <v>6632410.4084030753</v>
      </c>
      <c r="F167" s="117"/>
      <c r="G167" s="28" t="s">
        <v>268</v>
      </c>
      <c r="H167" s="28">
        <f t="shared" ref="H167:H190" si="7">H166+1</f>
        <v>2</v>
      </c>
      <c r="I167" s="157"/>
    </row>
    <row r="168" spans="1:10" x14ac:dyDescent="0.3">
      <c r="A168" s="28">
        <f t="shared" si="6"/>
        <v>3</v>
      </c>
      <c r="B168" s="32" t="s">
        <v>269</v>
      </c>
      <c r="E168" s="158">
        <v>34627.403972329441</v>
      </c>
      <c r="F168" s="117"/>
      <c r="G168" s="28" t="s">
        <v>270</v>
      </c>
      <c r="H168" s="28">
        <f t="shared" si="7"/>
        <v>3</v>
      </c>
      <c r="I168" s="159"/>
    </row>
    <row r="169" spans="1:10" x14ac:dyDescent="0.3">
      <c r="A169" s="28">
        <f t="shared" si="6"/>
        <v>4</v>
      </c>
      <c r="B169" s="32" t="s">
        <v>135</v>
      </c>
      <c r="E169" s="158">
        <v>86594.311561361523</v>
      </c>
      <c r="F169" s="97"/>
      <c r="G169" s="28" t="s">
        <v>271</v>
      </c>
      <c r="H169" s="28">
        <f t="shared" si="7"/>
        <v>4</v>
      </c>
      <c r="J169" s="160"/>
    </row>
    <row r="170" spans="1:10" x14ac:dyDescent="0.3">
      <c r="A170" s="28">
        <f t="shared" si="6"/>
        <v>5</v>
      </c>
      <c r="B170" s="32" t="s">
        <v>137</v>
      </c>
      <c r="C170" s="28"/>
      <c r="D170" s="28"/>
      <c r="E170" s="122">
        <v>214262.5076566372</v>
      </c>
      <c r="F170" s="97"/>
      <c r="G170" s="28" t="s">
        <v>272</v>
      </c>
      <c r="H170" s="28">
        <f t="shared" si="7"/>
        <v>5</v>
      </c>
    </row>
    <row r="171" spans="1:10" x14ac:dyDescent="0.3">
      <c r="A171" s="28">
        <f t="shared" si="6"/>
        <v>6</v>
      </c>
      <c r="B171" s="32" t="s">
        <v>192</v>
      </c>
      <c r="E171" s="147">
        <f>SUM(E167:E170)</f>
        <v>6967894.6315934043</v>
      </c>
      <c r="F171" s="117"/>
      <c r="G171" s="28" t="s">
        <v>140</v>
      </c>
      <c r="H171" s="28">
        <f t="shared" si="7"/>
        <v>6</v>
      </c>
      <c r="I171" s="159"/>
    </row>
    <row r="172" spans="1:10" x14ac:dyDescent="0.3">
      <c r="A172" s="28">
        <f t="shared" si="6"/>
        <v>7</v>
      </c>
      <c r="C172" s="28"/>
      <c r="D172" s="28"/>
      <c r="E172" s="103"/>
      <c r="G172" s="28"/>
      <c r="H172" s="28">
        <f t="shared" si="7"/>
        <v>7</v>
      </c>
    </row>
    <row r="173" spans="1:10" x14ac:dyDescent="0.3">
      <c r="A173" s="28">
        <f t="shared" si="6"/>
        <v>8</v>
      </c>
      <c r="B173" s="96" t="s">
        <v>193</v>
      </c>
      <c r="E173" s="103"/>
      <c r="G173" s="28"/>
      <c r="H173" s="28">
        <f t="shared" si="7"/>
        <v>8</v>
      </c>
    </row>
    <row r="174" spans="1:10" x14ac:dyDescent="0.3">
      <c r="A174" s="28">
        <f t="shared" si="6"/>
        <v>9</v>
      </c>
      <c r="B174" s="27" t="s">
        <v>194</v>
      </c>
      <c r="E174" s="128">
        <v>1386289.2768323075</v>
      </c>
      <c r="F174" s="117"/>
      <c r="G174" s="28" t="s">
        <v>273</v>
      </c>
      <c r="H174" s="28">
        <f t="shared" si="7"/>
        <v>9</v>
      </c>
    </row>
    <row r="175" spans="1:10" x14ac:dyDescent="0.3">
      <c r="A175" s="28">
        <f t="shared" si="6"/>
        <v>10</v>
      </c>
      <c r="B175" s="27" t="s">
        <v>196</v>
      </c>
      <c r="E175" s="158">
        <v>28441.990363603276</v>
      </c>
      <c r="F175" s="117"/>
      <c r="G175" s="28" t="s">
        <v>274</v>
      </c>
      <c r="H175" s="28">
        <f t="shared" si="7"/>
        <v>10</v>
      </c>
    </row>
    <row r="176" spans="1:10" x14ac:dyDescent="0.3">
      <c r="A176" s="28">
        <f t="shared" si="6"/>
        <v>11</v>
      </c>
      <c r="B176" s="27" t="s">
        <v>198</v>
      </c>
      <c r="E176" s="158">
        <v>35374.192307277262</v>
      </c>
      <c r="F176" s="97"/>
      <c r="G176" s="28" t="s">
        <v>275</v>
      </c>
      <c r="H176" s="28">
        <f t="shared" si="7"/>
        <v>11</v>
      </c>
    </row>
    <row r="177" spans="1:8" x14ac:dyDescent="0.3">
      <c r="A177" s="28">
        <f t="shared" si="6"/>
        <v>12</v>
      </c>
      <c r="B177" s="27" t="s">
        <v>200</v>
      </c>
      <c r="E177" s="122">
        <v>106512.53238466283</v>
      </c>
      <c r="F177" s="97"/>
      <c r="G177" s="28" t="s">
        <v>276</v>
      </c>
      <c r="H177" s="28">
        <f t="shared" si="7"/>
        <v>12</v>
      </c>
    </row>
    <row r="178" spans="1:8" x14ac:dyDescent="0.3">
      <c r="A178" s="28">
        <f t="shared" si="6"/>
        <v>13</v>
      </c>
      <c r="B178" s="159" t="s">
        <v>202</v>
      </c>
      <c r="C178" s="159"/>
      <c r="D178" s="159"/>
      <c r="E178" s="161">
        <f>SUM(E174:E177)</f>
        <v>1556617.9918878509</v>
      </c>
      <c r="F178" s="117"/>
      <c r="G178" s="28" t="s">
        <v>203</v>
      </c>
      <c r="H178" s="28">
        <f t="shared" si="7"/>
        <v>13</v>
      </c>
    </row>
    <row r="179" spans="1:8" x14ac:dyDescent="0.3">
      <c r="A179" s="28">
        <f t="shared" si="6"/>
        <v>14</v>
      </c>
      <c r="B179" s="159"/>
      <c r="C179" s="159"/>
      <c r="D179" s="159"/>
      <c r="E179" s="152"/>
      <c r="G179" s="28"/>
      <c r="H179" s="28">
        <f t="shared" si="7"/>
        <v>14</v>
      </c>
    </row>
    <row r="180" spans="1:8" x14ac:dyDescent="0.3">
      <c r="A180" s="28">
        <f t="shared" si="6"/>
        <v>15</v>
      </c>
      <c r="B180" s="143" t="s">
        <v>130</v>
      </c>
      <c r="C180" s="159"/>
      <c r="D180" s="159"/>
      <c r="E180" s="152"/>
      <c r="G180" s="28"/>
      <c r="H180" s="28">
        <f t="shared" si="7"/>
        <v>15</v>
      </c>
    </row>
    <row r="181" spans="1:8" x14ac:dyDescent="0.3">
      <c r="A181" s="28">
        <f t="shared" si="6"/>
        <v>16</v>
      </c>
      <c r="B181" s="32" t="s">
        <v>131</v>
      </c>
      <c r="E181" s="53">
        <f>+E167-E174</f>
        <v>5246121.1315707676</v>
      </c>
      <c r="F181" s="117"/>
      <c r="G181" s="28" t="s">
        <v>277</v>
      </c>
      <c r="H181" s="28">
        <f t="shared" si="7"/>
        <v>16</v>
      </c>
    </row>
    <row r="182" spans="1:8" x14ac:dyDescent="0.3">
      <c r="A182" s="28">
        <f t="shared" si="6"/>
        <v>17</v>
      </c>
      <c r="B182" s="32" t="s">
        <v>133</v>
      </c>
      <c r="E182" s="121">
        <f>+E168-E175</f>
        <v>6185.413608726165</v>
      </c>
      <c r="F182" s="117"/>
      <c r="G182" s="28" t="s">
        <v>278</v>
      </c>
      <c r="H182" s="28">
        <f t="shared" si="7"/>
        <v>17</v>
      </c>
    </row>
    <row r="183" spans="1:8" x14ac:dyDescent="0.3">
      <c r="A183" s="28">
        <f t="shared" si="6"/>
        <v>18</v>
      </c>
      <c r="B183" s="32" t="s">
        <v>135</v>
      </c>
      <c r="E183" s="121">
        <f>+E169-E176</f>
        <v>51220.11925408426</v>
      </c>
      <c r="G183" s="28" t="s">
        <v>279</v>
      </c>
      <c r="H183" s="28">
        <f t="shared" si="7"/>
        <v>18</v>
      </c>
    </row>
    <row r="184" spans="1:8" x14ac:dyDescent="0.3">
      <c r="A184" s="28">
        <f t="shared" si="6"/>
        <v>19</v>
      </c>
      <c r="B184" s="32" t="s">
        <v>137</v>
      </c>
      <c r="E184" s="162">
        <f>+E170-E177</f>
        <v>107749.97527197437</v>
      </c>
      <c r="G184" s="28" t="s">
        <v>280</v>
      </c>
      <c r="H184" s="28">
        <f t="shared" si="7"/>
        <v>19</v>
      </c>
    </row>
    <row r="185" spans="1:8" ht="16.2" thickBot="1" x14ac:dyDescent="0.35">
      <c r="A185" s="28">
        <f t="shared" si="6"/>
        <v>20</v>
      </c>
      <c r="B185" s="27" t="s">
        <v>139</v>
      </c>
      <c r="E185" s="163">
        <f>SUM(E181:E184)</f>
        <v>5411276.6397055527</v>
      </c>
      <c r="F185" s="117"/>
      <c r="G185" s="28" t="s">
        <v>208</v>
      </c>
      <c r="H185" s="28">
        <f t="shared" si="7"/>
        <v>20</v>
      </c>
    </row>
    <row r="186" spans="1:8" ht="16.2" thickTop="1" x14ac:dyDescent="0.3">
      <c r="A186" s="28">
        <f t="shared" si="6"/>
        <v>21</v>
      </c>
      <c r="E186" s="53"/>
      <c r="G186" s="28"/>
      <c r="H186" s="28">
        <f t="shared" si="7"/>
        <v>21</v>
      </c>
    </row>
    <row r="187" spans="1:8" ht="18" x14ac:dyDescent="0.3">
      <c r="A187" s="28">
        <f t="shared" si="6"/>
        <v>22</v>
      </c>
      <c r="B187" s="44" t="s">
        <v>209</v>
      </c>
      <c r="E187" s="53"/>
      <c r="G187" s="28"/>
      <c r="H187" s="28">
        <f t="shared" si="7"/>
        <v>22</v>
      </c>
    </row>
    <row r="188" spans="1:8" x14ac:dyDescent="0.3">
      <c r="A188" s="28">
        <f t="shared" si="6"/>
        <v>23</v>
      </c>
      <c r="B188" s="32" t="s">
        <v>210</v>
      </c>
      <c r="E188" s="136">
        <v>0</v>
      </c>
      <c r="G188" s="28" t="s">
        <v>281</v>
      </c>
      <c r="H188" s="28">
        <f t="shared" si="7"/>
        <v>23</v>
      </c>
    </row>
    <row r="189" spans="1:8" x14ac:dyDescent="0.3">
      <c r="A189" s="28">
        <f t="shared" si="6"/>
        <v>24</v>
      </c>
      <c r="B189" s="27" t="s">
        <v>212</v>
      </c>
      <c r="E189" s="131">
        <v>0</v>
      </c>
      <c r="G189" s="28" t="s">
        <v>282</v>
      </c>
      <c r="H189" s="28">
        <f t="shared" si="7"/>
        <v>24</v>
      </c>
    </row>
    <row r="190" spans="1:8" ht="16.2" thickBot="1" x14ac:dyDescent="0.35">
      <c r="A190" s="28">
        <f t="shared" si="6"/>
        <v>25</v>
      </c>
      <c r="B190" s="32" t="s">
        <v>214</v>
      </c>
      <c r="E190" s="164">
        <f>E188-E189</f>
        <v>0</v>
      </c>
      <c r="G190" s="28" t="s">
        <v>215</v>
      </c>
      <c r="H190" s="28">
        <f t="shared" si="7"/>
        <v>25</v>
      </c>
    </row>
    <row r="191" spans="1:8" ht="16.2" thickTop="1" x14ac:dyDescent="0.3">
      <c r="A191" s="28"/>
      <c r="B191" s="32"/>
      <c r="E191" s="53"/>
      <c r="G191" s="28"/>
    </row>
    <row r="192" spans="1:8" ht="18" x14ac:dyDescent="0.3">
      <c r="A192" s="43">
        <v>1</v>
      </c>
      <c r="B192" s="27" t="s">
        <v>216</v>
      </c>
      <c r="E192" s="53"/>
      <c r="G192" s="28"/>
    </row>
    <row r="194" spans="5:5" x14ac:dyDescent="0.3">
      <c r="E194" s="165"/>
    </row>
  </sheetData>
  <mergeCells count="20">
    <mergeCell ref="B160:G160"/>
    <mergeCell ref="B161:G161"/>
    <mergeCell ref="B159:G159"/>
    <mergeCell ref="B48:G48"/>
    <mergeCell ref="B49:G49"/>
    <mergeCell ref="B50:G50"/>
    <mergeCell ref="B51:G51"/>
    <mergeCell ref="B103:G103"/>
    <mergeCell ref="B104:G104"/>
    <mergeCell ref="B105:G105"/>
    <mergeCell ref="B106:G106"/>
    <mergeCell ref="B107:G107"/>
    <mergeCell ref="B157:G157"/>
    <mergeCell ref="B158:G158"/>
    <mergeCell ref="B47:G47"/>
    <mergeCell ref="B2:G2"/>
    <mergeCell ref="B3:G3"/>
    <mergeCell ref="B4:G4"/>
    <mergeCell ref="B5:G5"/>
    <mergeCell ref="B6:G6"/>
  </mergeCells>
  <printOptions horizontalCentered="1"/>
  <pageMargins left="0" right="0" top="0.35" bottom="0.5" header="0.25" footer="0.25"/>
  <pageSetup scale="55" orientation="portrait" r:id="rId1"/>
  <headerFooter scaleWithDoc="0" alignWithMargins="0">
    <oddHeader>&amp;C&amp;"Times New Roman,Bold"&amp;8REVISED</oddHeader>
    <oddFooter>&amp;CPage 3.&amp;P&amp;R&amp;F</oddFooter>
  </headerFooter>
  <rowBreaks count="3" manualBreakCount="3">
    <brk id="45" max="16383" man="1"/>
    <brk id="101" max="16383" man="1"/>
    <brk id="155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8E803-5ED1-47EB-87A4-8C59A6C5CF43}">
  <sheetPr codeName="Sheet12"/>
  <dimension ref="A1:L260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55.44140625" style="169" customWidth="1"/>
    <col min="3" max="5" width="15.5546875" style="169" customWidth="1"/>
    <col min="6" max="6" width="1.5546875" style="169" customWidth="1"/>
    <col min="7" max="7" width="16.88671875" style="169" customWidth="1"/>
    <col min="8" max="8" width="1.5546875" style="169" customWidth="1"/>
    <col min="9" max="9" width="38.88671875" style="227" customWidth="1"/>
    <col min="10" max="10" width="5.109375" style="169" customWidth="1"/>
    <col min="11" max="11" width="16.109375" style="169" bestFit="1" customWidth="1"/>
    <col min="12" max="12" width="10.44140625" style="169" bestFit="1" customWidth="1"/>
    <col min="13" max="16384" width="8.88671875" style="169"/>
  </cols>
  <sheetData>
    <row r="1" spans="1:10" x14ac:dyDescent="0.3">
      <c r="A1" s="556" t="s">
        <v>283</v>
      </c>
    </row>
    <row r="3" spans="1:10" x14ac:dyDescent="0.3">
      <c r="B3" s="861" t="s">
        <v>217</v>
      </c>
      <c r="C3" s="861"/>
      <c r="D3" s="861"/>
      <c r="E3" s="861"/>
      <c r="F3" s="861"/>
      <c r="G3" s="861"/>
      <c r="H3" s="861"/>
      <c r="I3" s="861"/>
      <c r="J3" s="168"/>
    </row>
    <row r="4" spans="1:10" x14ac:dyDescent="0.3">
      <c r="B4" s="861" t="s">
        <v>685</v>
      </c>
      <c r="C4" s="861"/>
      <c r="D4" s="861"/>
      <c r="E4" s="861"/>
      <c r="F4" s="861"/>
      <c r="G4" s="861"/>
      <c r="H4" s="861"/>
      <c r="I4" s="861"/>
      <c r="J4" s="168"/>
    </row>
    <row r="5" spans="1:10" x14ac:dyDescent="0.3">
      <c r="B5" s="861" t="s">
        <v>686</v>
      </c>
      <c r="C5" s="861"/>
      <c r="D5" s="861"/>
      <c r="E5" s="861"/>
      <c r="F5" s="861"/>
      <c r="G5" s="861"/>
      <c r="H5" s="861"/>
      <c r="I5" s="861"/>
      <c r="J5" s="168"/>
    </row>
    <row r="6" spans="1:10" x14ac:dyDescent="0.3">
      <c r="B6" s="862" t="s">
        <v>294</v>
      </c>
      <c r="C6" s="862"/>
      <c r="D6" s="862"/>
      <c r="E6" s="862"/>
      <c r="F6" s="862"/>
      <c r="G6" s="862"/>
      <c r="H6" s="862"/>
      <c r="I6" s="862"/>
      <c r="J6" s="168"/>
    </row>
    <row r="7" spans="1:10" x14ac:dyDescent="0.3">
      <c r="B7" s="863" t="s">
        <v>3</v>
      </c>
      <c r="C7" s="864"/>
      <c r="D7" s="864"/>
      <c r="E7" s="864"/>
      <c r="F7" s="864"/>
      <c r="G7" s="864"/>
      <c r="H7" s="864"/>
      <c r="I7" s="864"/>
      <c r="J7" s="168"/>
    </row>
    <row r="8" spans="1:10" x14ac:dyDescent="0.3">
      <c r="B8" s="168"/>
      <c r="C8" s="168"/>
      <c r="D8" s="168"/>
      <c r="E8" s="168"/>
      <c r="F8" s="168"/>
      <c r="G8" s="168"/>
      <c r="H8" s="168"/>
      <c r="I8" s="180"/>
      <c r="J8" s="168"/>
    </row>
    <row r="9" spans="1:10" x14ac:dyDescent="0.3">
      <c r="A9" s="168" t="s">
        <v>4</v>
      </c>
      <c r="B9" s="171"/>
      <c r="C9" s="171"/>
      <c r="D9" s="171"/>
      <c r="E9" s="168" t="s">
        <v>295</v>
      </c>
      <c r="F9" s="171"/>
      <c r="G9" s="171"/>
      <c r="H9" s="171"/>
      <c r="I9" s="180"/>
      <c r="J9" s="168" t="s">
        <v>4</v>
      </c>
    </row>
    <row r="10" spans="1:10" x14ac:dyDescent="0.3">
      <c r="A10" s="168" t="s">
        <v>8</v>
      </c>
      <c r="B10" s="168"/>
      <c r="C10" s="168"/>
      <c r="D10" s="168"/>
      <c r="E10" s="172" t="s">
        <v>299</v>
      </c>
      <c r="F10" s="168"/>
      <c r="G10" s="173" t="s">
        <v>6</v>
      </c>
      <c r="H10" s="171"/>
      <c r="I10" s="194" t="s">
        <v>7</v>
      </c>
      <c r="J10" s="168" t="s">
        <v>8</v>
      </c>
    </row>
    <row r="11" spans="1:10" x14ac:dyDescent="0.3">
      <c r="B11" s="168"/>
      <c r="C11" s="168"/>
      <c r="D11" s="168"/>
      <c r="E11" s="168"/>
      <c r="F11" s="168"/>
      <c r="G11" s="168"/>
      <c r="H11" s="168"/>
      <c r="I11" s="180"/>
      <c r="J11" s="168"/>
    </row>
    <row r="12" spans="1:10" x14ac:dyDescent="0.3">
      <c r="A12" s="168">
        <v>1</v>
      </c>
      <c r="B12" s="174" t="s">
        <v>687</v>
      </c>
      <c r="I12" s="180"/>
      <c r="J12" s="168">
        <f>A12</f>
        <v>1</v>
      </c>
    </row>
    <row r="13" spans="1:10" x14ac:dyDescent="0.3">
      <c r="A13" s="168">
        <f>A12+1</f>
        <v>2</v>
      </c>
      <c r="B13" s="169" t="s">
        <v>688</v>
      </c>
      <c r="E13" s="168" t="s">
        <v>689</v>
      </c>
      <c r="F13" s="195"/>
      <c r="G13" s="196">
        <v>6053573</v>
      </c>
      <c r="H13" s="171"/>
      <c r="I13" s="197"/>
      <c r="J13" s="168">
        <f>J12+1</f>
        <v>2</v>
      </c>
    </row>
    <row r="14" spans="1:10" x14ac:dyDescent="0.3">
      <c r="A14" s="168">
        <f t="shared" ref="A14:A53" si="0">A13+1</f>
        <v>3</v>
      </c>
      <c r="B14" s="169" t="s">
        <v>690</v>
      </c>
      <c r="E14" s="168" t="s">
        <v>691</v>
      </c>
      <c r="F14" s="195"/>
      <c r="G14" s="198">
        <v>0</v>
      </c>
      <c r="H14" s="171"/>
      <c r="I14" s="197"/>
      <c r="J14" s="168">
        <f t="shared" ref="J14:J53" si="1">J13+1</f>
        <v>3</v>
      </c>
    </row>
    <row r="15" spans="1:10" x14ac:dyDescent="0.3">
      <c r="A15" s="168">
        <f t="shared" si="0"/>
        <v>4</v>
      </c>
      <c r="B15" s="169" t="s">
        <v>692</v>
      </c>
      <c r="E15" s="168" t="s">
        <v>693</v>
      </c>
      <c r="F15" s="195"/>
      <c r="G15" s="177">
        <v>0</v>
      </c>
      <c r="H15" s="171"/>
      <c r="I15" s="197"/>
      <c r="J15" s="168">
        <f t="shared" si="1"/>
        <v>4</v>
      </c>
    </row>
    <row r="16" spans="1:10" x14ac:dyDescent="0.3">
      <c r="A16" s="168">
        <f t="shared" si="0"/>
        <v>5</v>
      </c>
      <c r="B16" s="169" t="s">
        <v>694</v>
      </c>
      <c r="E16" s="168" t="s">
        <v>695</v>
      </c>
      <c r="F16" s="195"/>
      <c r="G16" s="177">
        <v>0</v>
      </c>
      <c r="H16" s="171"/>
      <c r="I16" s="197"/>
      <c r="J16" s="168">
        <f t="shared" si="1"/>
        <v>5</v>
      </c>
    </row>
    <row r="17" spans="1:10" x14ac:dyDescent="0.3">
      <c r="A17" s="168">
        <f t="shared" si="0"/>
        <v>6</v>
      </c>
      <c r="B17" s="169" t="s">
        <v>696</v>
      </c>
      <c r="E17" s="168" t="s">
        <v>697</v>
      </c>
      <c r="F17" s="195"/>
      <c r="G17" s="183">
        <v>-13172.642</v>
      </c>
      <c r="H17" s="171"/>
      <c r="I17" s="197"/>
      <c r="J17" s="168">
        <f t="shared" si="1"/>
        <v>6</v>
      </c>
    </row>
    <row r="18" spans="1:10" x14ac:dyDescent="0.3">
      <c r="A18" s="168">
        <f t="shared" si="0"/>
        <v>7</v>
      </c>
      <c r="B18" s="169" t="s">
        <v>698</v>
      </c>
      <c r="G18" s="199">
        <f>SUM(G13:G17)</f>
        <v>6040400.358</v>
      </c>
      <c r="H18" s="193"/>
      <c r="I18" s="180" t="s">
        <v>342</v>
      </c>
      <c r="J18" s="168">
        <f t="shared" si="1"/>
        <v>7</v>
      </c>
    </row>
    <row r="19" spans="1:10" x14ac:dyDescent="0.3">
      <c r="A19" s="168">
        <f t="shared" si="0"/>
        <v>8</v>
      </c>
      <c r="I19" s="180"/>
      <c r="J19" s="168">
        <f t="shared" si="1"/>
        <v>8</v>
      </c>
    </row>
    <row r="20" spans="1:10" x14ac:dyDescent="0.3">
      <c r="A20" s="168">
        <f t="shared" si="0"/>
        <v>9</v>
      </c>
      <c r="B20" s="174" t="s">
        <v>699</v>
      </c>
      <c r="G20" s="179"/>
      <c r="H20" s="179"/>
      <c r="I20" s="180"/>
      <c r="J20" s="168">
        <f t="shared" si="1"/>
        <v>9</v>
      </c>
    </row>
    <row r="21" spans="1:10" x14ac:dyDescent="0.3">
      <c r="A21" s="168">
        <f t="shared" si="0"/>
        <v>10</v>
      </c>
      <c r="B21" s="169" t="s">
        <v>700</v>
      </c>
      <c r="E21" s="168" t="s">
        <v>701</v>
      </c>
      <c r="F21" s="195"/>
      <c r="G21" s="196">
        <v>233778.584</v>
      </c>
      <c r="H21" s="171"/>
      <c r="I21" s="200"/>
      <c r="J21" s="168">
        <f t="shared" si="1"/>
        <v>10</v>
      </c>
    </row>
    <row r="22" spans="1:10" x14ac:dyDescent="0.3">
      <c r="A22" s="168">
        <f t="shared" si="0"/>
        <v>11</v>
      </c>
      <c r="B22" s="169" t="s">
        <v>702</v>
      </c>
      <c r="E22" s="168" t="s">
        <v>703</v>
      </c>
      <c r="F22" s="195"/>
      <c r="G22" s="198">
        <v>4107.085</v>
      </c>
      <c r="H22" s="171"/>
      <c r="I22" s="200"/>
      <c r="J22" s="168">
        <f t="shared" si="1"/>
        <v>11</v>
      </c>
    </row>
    <row r="23" spans="1:10" x14ac:dyDescent="0.3">
      <c r="A23" s="168">
        <f t="shared" si="0"/>
        <v>12</v>
      </c>
      <c r="B23" s="169" t="s">
        <v>704</v>
      </c>
      <c r="E23" s="168" t="s">
        <v>705</v>
      </c>
      <c r="F23" s="195"/>
      <c r="G23" s="198">
        <v>1449.7840000000001</v>
      </c>
      <c r="H23" s="171"/>
      <c r="I23" s="200"/>
      <c r="J23" s="168">
        <f t="shared" si="1"/>
        <v>12</v>
      </c>
    </row>
    <row r="24" spans="1:10" x14ac:dyDescent="0.3">
      <c r="A24" s="168">
        <f t="shared" si="0"/>
        <v>13</v>
      </c>
      <c r="B24" s="169" t="s">
        <v>706</v>
      </c>
      <c r="E24" s="168" t="s">
        <v>707</v>
      </c>
      <c r="F24" s="195"/>
      <c r="G24" s="198">
        <v>0</v>
      </c>
      <c r="H24" s="171"/>
      <c r="I24" s="200"/>
      <c r="J24" s="168">
        <f t="shared" si="1"/>
        <v>13</v>
      </c>
    </row>
    <row r="25" spans="1:10" x14ac:dyDescent="0.3">
      <c r="A25" s="168">
        <f t="shared" si="0"/>
        <v>14</v>
      </c>
      <c r="B25" s="169" t="s">
        <v>708</v>
      </c>
      <c r="E25" s="168" t="s">
        <v>709</v>
      </c>
      <c r="F25" s="195"/>
      <c r="G25" s="183">
        <v>0</v>
      </c>
      <c r="H25" s="171"/>
      <c r="I25" s="200"/>
      <c r="J25" s="168">
        <f t="shared" si="1"/>
        <v>14</v>
      </c>
    </row>
    <row r="26" spans="1:10" x14ac:dyDescent="0.3">
      <c r="A26" s="168">
        <f t="shared" si="0"/>
        <v>15</v>
      </c>
      <c r="B26" s="169" t="s">
        <v>710</v>
      </c>
      <c r="G26" s="201">
        <f>SUM(G21:G25)</f>
        <v>239335.45300000001</v>
      </c>
      <c r="H26" s="202"/>
      <c r="I26" s="180" t="s">
        <v>711</v>
      </c>
      <c r="J26" s="168">
        <f t="shared" si="1"/>
        <v>15</v>
      </c>
    </row>
    <row r="27" spans="1:10" x14ac:dyDescent="0.3">
      <c r="A27" s="168">
        <f t="shared" si="0"/>
        <v>16</v>
      </c>
      <c r="I27" s="180"/>
      <c r="J27" s="168">
        <f t="shared" si="1"/>
        <v>16</v>
      </c>
    </row>
    <row r="28" spans="1:10" ht="16.2" thickBot="1" x14ac:dyDescent="0.35">
      <c r="A28" s="168">
        <f t="shared" si="0"/>
        <v>17</v>
      </c>
      <c r="B28" s="174" t="s">
        <v>712</v>
      </c>
      <c r="G28" s="203">
        <f>G26/G18</f>
        <v>3.9622448648295373E-2</v>
      </c>
      <c r="H28" s="204"/>
      <c r="I28" s="180" t="s">
        <v>713</v>
      </c>
      <c r="J28" s="168">
        <f t="shared" si="1"/>
        <v>17</v>
      </c>
    </row>
    <row r="29" spans="1:10" ht="16.2" thickTop="1" x14ac:dyDescent="0.3">
      <c r="A29" s="168">
        <f t="shared" si="0"/>
        <v>18</v>
      </c>
      <c r="I29" s="180"/>
      <c r="J29" s="168">
        <f t="shared" si="1"/>
        <v>18</v>
      </c>
    </row>
    <row r="30" spans="1:10" x14ac:dyDescent="0.3">
      <c r="A30" s="168">
        <f t="shared" si="0"/>
        <v>19</v>
      </c>
      <c r="B30" s="174" t="s">
        <v>714</v>
      </c>
      <c r="I30" s="180"/>
      <c r="J30" s="168">
        <f t="shared" si="1"/>
        <v>19</v>
      </c>
    </row>
    <row r="31" spans="1:10" x14ac:dyDescent="0.3">
      <c r="A31" s="168">
        <f t="shared" si="0"/>
        <v>20</v>
      </c>
      <c r="B31" s="169" t="s">
        <v>715</v>
      </c>
      <c r="E31" s="168" t="s">
        <v>716</v>
      </c>
      <c r="F31" s="195"/>
      <c r="G31" s="196">
        <v>0</v>
      </c>
      <c r="H31" s="171"/>
      <c r="I31" s="200"/>
      <c r="J31" s="168">
        <f t="shared" si="1"/>
        <v>20</v>
      </c>
    </row>
    <row r="32" spans="1:10" x14ac:dyDescent="0.3">
      <c r="A32" s="168">
        <f t="shared" si="0"/>
        <v>21</v>
      </c>
      <c r="B32" s="169" t="s">
        <v>717</v>
      </c>
      <c r="E32" s="168" t="s">
        <v>718</v>
      </c>
      <c r="F32" s="195"/>
      <c r="G32" s="205">
        <v>0</v>
      </c>
      <c r="H32" s="171"/>
      <c r="I32" s="200"/>
      <c r="J32" s="168">
        <f t="shared" si="1"/>
        <v>21</v>
      </c>
    </row>
    <row r="33" spans="1:11" ht="16.2" thickBot="1" x14ac:dyDescent="0.35">
      <c r="A33" s="168">
        <f t="shared" si="0"/>
        <v>22</v>
      </c>
      <c r="B33" s="169" t="s">
        <v>719</v>
      </c>
      <c r="G33" s="203">
        <f>IFERROR((G32/G31),0)</f>
        <v>0</v>
      </c>
      <c r="H33" s="204"/>
      <c r="I33" s="180" t="s">
        <v>720</v>
      </c>
      <c r="J33" s="168">
        <f t="shared" si="1"/>
        <v>22</v>
      </c>
    </row>
    <row r="34" spans="1:11" ht="16.2" thickTop="1" x14ac:dyDescent="0.3">
      <c r="A34" s="168">
        <f t="shared" si="0"/>
        <v>23</v>
      </c>
      <c r="I34" s="180"/>
      <c r="J34" s="168">
        <f t="shared" si="1"/>
        <v>23</v>
      </c>
    </row>
    <row r="35" spans="1:11" x14ac:dyDescent="0.3">
      <c r="A35" s="168">
        <f t="shared" si="0"/>
        <v>24</v>
      </c>
      <c r="B35" s="174" t="s">
        <v>721</v>
      </c>
      <c r="I35" s="180"/>
      <c r="J35" s="168">
        <f t="shared" si="1"/>
        <v>24</v>
      </c>
    </row>
    <row r="36" spans="1:11" x14ac:dyDescent="0.3">
      <c r="A36" s="168">
        <f t="shared" si="0"/>
        <v>25</v>
      </c>
      <c r="B36" s="169" t="s">
        <v>722</v>
      </c>
      <c r="E36" s="168" t="s">
        <v>723</v>
      </c>
      <c r="F36" s="195"/>
      <c r="G36" s="196">
        <v>7729413.6809999999</v>
      </c>
      <c r="H36" s="171"/>
      <c r="I36" s="200"/>
      <c r="J36" s="168">
        <f t="shared" si="1"/>
        <v>25</v>
      </c>
      <c r="K36" s="182"/>
    </row>
    <row r="37" spans="1:11" x14ac:dyDescent="0.3">
      <c r="A37" s="168">
        <f t="shared" si="0"/>
        <v>26</v>
      </c>
      <c r="B37" s="169" t="s">
        <v>724</v>
      </c>
      <c r="E37" s="168" t="s">
        <v>716</v>
      </c>
      <c r="G37" s="206">
        <f>-G31</f>
        <v>0</v>
      </c>
      <c r="H37" s="206"/>
      <c r="I37" s="180" t="s">
        <v>725</v>
      </c>
      <c r="J37" s="168">
        <f t="shared" si="1"/>
        <v>26</v>
      </c>
    </row>
    <row r="38" spans="1:11" x14ac:dyDescent="0.3">
      <c r="A38" s="168">
        <f t="shared" si="0"/>
        <v>27</v>
      </c>
      <c r="B38" s="169" t="s">
        <v>726</v>
      </c>
      <c r="E38" s="168" t="s">
        <v>727</v>
      </c>
      <c r="G38" s="177">
        <v>0</v>
      </c>
      <c r="H38" s="171"/>
      <c r="I38" s="200"/>
      <c r="J38" s="168">
        <f t="shared" si="1"/>
        <v>27</v>
      </c>
    </row>
    <row r="39" spans="1:11" x14ac:dyDescent="0.3">
      <c r="A39" s="168">
        <f t="shared" si="0"/>
        <v>28</v>
      </c>
      <c r="B39" s="169" t="s">
        <v>728</v>
      </c>
      <c r="E39" s="168" t="s">
        <v>729</v>
      </c>
      <c r="G39" s="177">
        <v>10034.102000000001</v>
      </c>
      <c r="H39" s="171"/>
      <c r="I39" s="200"/>
      <c r="J39" s="168">
        <f t="shared" si="1"/>
        <v>28</v>
      </c>
    </row>
    <row r="40" spans="1:11" ht="16.2" thickBot="1" x14ac:dyDescent="0.35">
      <c r="A40" s="168">
        <f t="shared" si="0"/>
        <v>29</v>
      </c>
      <c r="B40" s="169" t="s">
        <v>730</v>
      </c>
      <c r="G40" s="207">
        <f>SUM(G36:G39)</f>
        <v>7739447.7829999998</v>
      </c>
      <c r="H40" s="208"/>
      <c r="I40" s="180" t="s">
        <v>731</v>
      </c>
      <c r="J40" s="168">
        <f t="shared" si="1"/>
        <v>29</v>
      </c>
    </row>
    <row r="41" spans="1:11" ht="16.8" thickTop="1" thickBot="1" x14ac:dyDescent="0.35">
      <c r="A41" s="209">
        <f t="shared" si="0"/>
        <v>30</v>
      </c>
      <c r="B41" s="191"/>
      <c r="C41" s="191"/>
      <c r="D41" s="191"/>
      <c r="E41" s="191"/>
      <c r="F41" s="191"/>
      <c r="G41" s="191"/>
      <c r="H41" s="191"/>
      <c r="I41" s="210"/>
      <c r="J41" s="209">
        <f t="shared" si="1"/>
        <v>30</v>
      </c>
    </row>
    <row r="42" spans="1:11" x14ac:dyDescent="0.3">
      <c r="A42" s="168">
        <f>A41+1</f>
        <v>31</v>
      </c>
      <c r="I42" s="180"/>
      <c r="J42" s="168">
        <f>J41+1</f>
        <v>31</v>
      </c>
    </row>
    <row r="43" spans="1:11" ht="16.2" thickBot="1" x14ac:dyDescent="0.35">
      <c r="A43" s="168">
        <f>A42+1</f>
        <v>32</v>
      </c>
      <c r="B43" s="174" t="s">
        <v>732</v>
      </c>
      <c r="G43" s="211">
        <v>0.10100000000000001</v>
      </c>
      <c r="H43" s="171"/>
      <c r="I43" s="180" t="s">
        <v>733</v>
      </c>
      <c r="J43" s="168">
        <f>J42+1</f>
        <v>32</v>
      </c>
    </row>
    <row r="44" spans="1:11" ht="16.2" thickTop="1" x14ac:dyDescent="0.3">
      <c r="A44" s="168">
        <f t="shared" si="0"/>
        <v>33</v>
      </c>
      <c r="C44" s="189" t="s">
        <v>296</v>
      </c>
      <c r="D44" s="189" t="s">
        <v>297</v>
      </c>
      <c r="E44" s="189" t="s">
        <v>328</v>
      </c>
      <c r="F44" s="189"/>
      <c r="G44" s="189" t="s">
        <v>734</v>
      </c>
      <c r="H44" s="189"/>
      <c r="I44" s="180"/>
      <c r="J44" s="168">
        <f t="shared" si="1"/>
        <v>33</v>
      </c>
    </row>
    <row r="45" spans="1:11" x14ac:dyDescent="0.3">
      <c r="A45" s="168">
        <f t="shared" si="0"/>
        <v>34</v>
      </c>
      <c r="D45" s="168" t="s">
        <v>735</v>
      </c>
      <c r="E45" s="168" t="s">
        <v>736</v>
      </c>
      <c r="F45" s="168"/>
      <c r="G45" s="168" t="s">
        <v>737</v>
      </c>
      <c r="H45" s="168"/>
      <c r="I45" s="180"/>
      <c r="J45" s="168">
        <f t="shared" si="1"/>
        <v>34</v>
      </c>
    </row>
    <row r="46" spans="1:11" ht="18" x14ac:dyDescent="0.3">
      <c r="A46" s="168">
        <f t="shared" si="0"/>
        <v>35</v>
      </c>
      <c r="B46" s="174" t="s">
        <v>738</v>
      </c>
      <c r="C46" s="172" t="s">
        <v>739</v>
      </c>
      <c r="D46" s="172" t="s">
        <v>740</v>
      </c>
      <c r="E46" s="172" t="s">
        <v>741</v>
      </c>
      <c r="F46" s="172"/>
      <c r="G46" s="172" t="s">
        <v>742</v>
      </c>
      <c r="H46" s="168"/>
      <c r="I46" s="180"/>
      <c r="J46" s="168">
        <f t="shared" si="1"/>
        <v>35</v>
      </c>
    </row>
    <row r="47" spans="1:11" x14ac:dyDescent="0.3">
      <c r="A47" s="168">
        <f t="shared" si="0"/>
        <v>36</v>
      </c>
      <c r="I47" s="180"/>
      <c r="J47" s="168">
        <f t="shared" si="1"/>
        <v>36</v>
      </c>
    </row>
    <row r="48" spans="1:11" x14ac:dyDescent="0.3">
      <c r="A48" s="168">
        <f t="shared" si="0"/>
        <v>37</v>
      </c>
      <c r="B48" s="169" t="s">
        <v>743</v>
      </c>
      <c r="C48" s="185">
        <f>G18</f>
        <v>6040400.358</v>
      </c>
      <c r="D48" s="212">
        <f>C48/C$51</f>
        <v>0.43835028486472494</v>
      </c>
      <c r="E48" s="213">
        <f>G28</f>
        <v>3.9622448648295373E-2</v>
      </c>
      <c r="G48" s="214">
        <f>D48*E48</f>
        <v>1.7368511652018213E-2</v>
      </c>
      <c r="H48" s="214"/>
      <c r="I48" s="180" t="s">
        <v>744</v>
      </c>
      <c r="J48" s="168">
        <f t="shared" si="1"/>
        <v>37</v>
      </c>
    </row>
    <row r="49" spans="1:10" x14ac:dyDescent="0.3">
      <c r="A49" s="168">
        <f t="shared" si="0"/>
        <v>38</v>
      </c>
      <c r="B49" s="169" t="s">
        <v>745</v>
      </c>
      <c r="C49" s="215">
        <f>G31</f>
        <v>0</v>
      </c>
      <c r="D49" s="212">
        <f>C49/C$51</f>
        <v>0</v>
      </c>
      <c r="E49" s="213">
        <f>G33</f>
        <v>0</v>
      </c>
      <c r="G49" s="214">
        <f>D49*E49</f>
        <v>0</v>
      </c>
      <c r="H49" s="214"/>
      <c r="I49" s="180" t="s">
        <v>746</v>
      </c>
      <c r="J49" s="168">
        <f t="shared" si="1"/>
        <v>38</v>
      </c>
    </row>
    <row r="50" spans="1:10" x14ac:dyDescent="0.3">
      <c r="A50" s="168">
        <f t="shared" si="0"/>
        <v>39</v>
      </c>
      <c r="B50" s="169" t="s">
        <v>747</v>
      </c>
      <c r="C50" s="215">
        <f>G40</f>
        <v>7739447.7829999998</v>
      </c>
      <c r="D50" s="216">
        <f>C50/C$51</f>
        <v>0.56164971513527517</v>
      </c>
      <c r="E50" s="217">
        <f>G43</f>
        <v>0.10100000000000001</v>
      </c>
      <c r="G50" s="218">
        <f>D50*E50</f>
        <v>5.6726621228662795E-2</v>
      </c>
      <c r="H50" s="204"/>
      <c r="I50" s="180" t="s">
        <v>748</v>
      </c>
      <c r="J50" s="168">
        <f t="shared" si="1"/>
        <v>39</v>
      </c>
    </row>
    <row r="51" spans="1:10" ht="16.2" thickBot="1" x14ac:dyDescent="0.35">
      <c r="A51" s="168">
        <f t="shared" si="0"/>
        <v>40</v>
      </c>
      <c r="B51" s="169" t="s">
        <v>749</v>
      </c>
      <c r="C51" s="219">
        <f>SUM(C48:C50)</f>
        <v>13779848.140999999</v>
      </c>
      <c r="D51" s="220">
        <f>SUM(D48:D50)</f>
        <v>1</v>
      </c>
      <c r="G51" s="203">
        <f>SUM(G48:G50)</f>
        <v>7.4095132880681008E-2</v>
      </c>
      <c r="H51" s="204"/>
      <c r="I51" s="180" t="s">
        <v>750</v>
      </c>
      <c r="J51" s="168">
        <f t="shared" si="1"/>
        <v>40</v>
      </c>
    </row>
    <row r="52" spans="1:10" ht="16.2" thickTop="1" x14ac:dyDescent="0.3">
      <c r="A52" s="168">
        <f t="shared" si="0"/>
        <v>41</v>
      </c>
      <c r="I52" s="180"/>
      <c r="J52" s="168">
        <f t="shared" si="1"/>
        <v>41</v>
      </c>
    </row>
    <row r="53" spans="1:10" ht="16.2" thickBot="1" x14ac:dyDescent="0.35">
      <c r="A53" s="168">
        <f t="shared" si="0"/>
        <v>42</v>
      </c>
      <c r="B53" s="174" t="s">
        <v>751</v>
      </c>
      <c r="G53" s="203">
        <f>G49+G50</f>
        <v>5.6726621228662795E-2</v>
      </c>
      <c r="H53" s="204"/>
      <c r="I53" s="180" t="s">
        <v>752</v>
      </c>
      <c r="J53" s="168">
        <f t="shared" si="1"/>
        <v>42</v>
      </c>
    </row>
    <row r="54" spans="1:10" ht="16.8" thickTop="1" thickBot="1" x14ac:dyDescent="0.35">
      <c r="A54" s="209">
        <f>A53+1</f>
        <v>43</v>
      </c>
      <c r="B54" s="191"/>
      <c r="C54" s="191"/>
      <c r="D54" s="191"/>
      <c r="E54" s="191"/>
      <c r="F54" s="191"/>
      <c r="G54" s="191"/>
      <c r="H54" s="191"/>
      <c r="I54" s="210"/>
      <c r="J54" s="209">
        <f>J53+1</f>
        <v>43</v>
      </c>
    </row>
    <row r="55" spans="1:10" x14ac:dyDescent="0.3">
      <c r="A55" s="168">
        <f t="shared" ref="A55:A103" si="2">A54+1</f>
        <v>44</v>
      </c>
      <c r="I55" s="180"/>
      <c r="J55" s="168">
        <f t="shared" ref="J55:J103" si="3">J54+1</f>
        <v>44</v>
      </c>
    </row>
    <row r="56" spans="1:10" ht="31.8" thickBot="1" x14ac:dyDescent="0.35">
      <c r="A56" s="168">
        <f>A55+1</f>
        <v>45</v>
      </c>
      <c r="B56" s="174" t="s">
        <v>753</v>
      </c>
      <c r="G56" s="211">
        <v>5.0000000000000001E-3</v>
      </c>
      <c r="I56" s="180" t="s">
        <v>754</v>
      </c>
      <c r="J56" s="168">
        <f>J55+1</f>
        <v>45</v>
      </c>
    </row>
    <row r="57" spans="1:10" ht="16.2" thickTop="1" x14ac:dyDescent="0.3">
      <c r="A57" s="168">
        <f t="shared" si="2"/>
        <v>46</v>
      </c>
      <c r="C57" s="189" t="s">
        <v>296</v>
      </c>
      <c r="D57" s="189" t="s">
        <v>297</v>
      </c>
      <c r="E57" s="189" t="s">
        <v>328</v>
      </c>
      <c r="F57" s="189"/>
      <c r="G57" s="189" t="s">
        <v>734</v>
      </c>
      <c r="I57" s="180"/>
      <c r="J57" s="168">
        <f t="shared" si="3"/>
        <v>46</v>
      </c>
    </row>
    <row r="58" spans="1:10" x14ac:dyDescent="0.3">
      <c r="A58" s="168">
        <f t="shared" si="2"/>
        <v>47</v>
      </c>
      <c r="D58" s="168" t="s">
        <v>735</v>
      </c>
      <c r="E58" s="168" t="s">
        <v>736</v>
      </c>
      <c r="F58" s="168"/>
      <c r="G58" s="168" t="s">
        <v>737</v>
      </c>
      <c r="I58" s="180"/>
      <c r="J58" s="168">
        <f t="shared" si="3"/>
        <v>47</v>
      </c>
    </row>
    <row r="59" spans="1:10" ht="18" x14ac:dyDescent="0.3">
      <c r="A59" s="168">
        <f t="shared" si="2"/>
        <v>48</v>
      </c>
      <c r="B59" s="174" t="s">
        <v>738</v>
      </c>
      <c r="C59" s="172" t="s">
        <v>739</v>
      </c>
      <c r="D59" s="172" t="s">
        <v>740</v>
      </c>
      <c r="E59" s="172" t="s">
        <v>741</v>
      </c>
      <c r="F59" s="172"/>
      <c r="G59" s="172" t="s">
        <v>742</v>
      </c>
      <c r="I59" s="180"/>
      <c r="J59" s="168">
        <f t="shared" si="3"/>
        <v>48</v>
      </c>
    </row>
    <row r="60" spans="1:10" x14ac:dyDescent="0.3">
      <c r="A60" s="168">
        <f t="shared" si="2"/>
        <v>49</v>
      </c>
      <c r="I60" s="180"/>
      <c r="J60" s="168">
        <f t="shared" si="3"/>
        <v>49</v>
      </c>
    </row>
    <row r="61" spans="1:10" x14ac:dyDescent="0.3">
      <c r="A61" s="168">
        <f t="shared" si="2"/>
        <v>50</v>
      </c>
      <c r="B61" s="169" t="s">
        <v>743</v>
      </c>
      <c r="C61" s="185">
        <f>G18</f>
        <v>6040400.358</v>
      </c>
      <c r="D61" s="212">
        <f>C61/C$64</f>
        <v>0.43835028486472494</v>
      </c>
      <c r="E61" s="221">
        <v>0</v>
      </c>
      <c r="G61" s="214">
        <f>D61*E61</f>
        <v>0</v>
      </c>
      <c r="I61" s="180" t="s">
        <v>755</v>
      </c>
      <c r="J61" s="168">
        <f t="shared" si="3"/>
        <v>50</v>
      </c>
    </row>
    <row r="62" spans="1:10" x14ac:dyDescent="0.3">
      <c r="A62" s="168">
        <f t="shared" si="2"/>
        <v>51</v>
      </c>
      <c r="B62" s="169" t="s">
        <v>745</v>
      </c>
      <c r="C62" s="215">
        <f>G31</f>
        <v>0</v>
      </c>
      <c r="D62" s="212">
        <f>C62/C$64</f>
        <v>0</v>
      </c>
      <c r="E62" s="221">
        <v>0</v>
      </c>
      <c r="G62" s="214">
        <f>D62*E62</f>
        <v>0</v>
      </c>
      <c r="I62" s="180" t="s">
        <v>755</v>
      </c>
      <c r="J62" s="168">
        <f t="shared" si="3"/>
        <v>51</v>
      </c>
    </row>
    <row r="63" spans="1:10" x14ac:dyDescent="0.3">
      <c r="A63" s="168">
        <f t="shared" si="2"/>
        <v>52</v>
      </c>
      <c r="B63" s="169" t="s">
        <v>747</v>
      </c>
      <c r="C63" s="215">
        <f>G40</f>
        <v>7739447.7829999998</v>
      </c>
      <c r="D63" s="216">
        <f>C63/C$64</f>
        <v>0.56164971513527517</v>
      </c>
      <c r="E63" s="217">
        <f>G56</f>
        <v>5.0000000000000001E-3</v>
      </c>
      <c r="G63" s="218">
        <f>D63*E63</f>
        <v>2.8082485756763761E-3</v>
      </c>
      <c r="I63" s="180" t="s">
        <v>756</v>
      </c>
      <c r="J63" s="168">
        <f t="shared" si="3"/>
        <v>52</v>
      </c>
    </row>
    <row r="64" spans="1:10" ht="16.2" thickBot="1" x14ac:dyDescent="0.35">
      <c r="A64" s="168">
        <f t="shared" si="2"/>
        <v>53</v>
      </c>
      <c r="B64" s="169" t="s">
        <v>749</v>
      </c>
      <c r="C64" s="219">
        <f>SUM(C61:C63)</f>
        <v>13779848.140999999</v>
      </c>
      <c r="D64" s="220">
        <f>SUM(D61:D63)</f>
        <v>1</v>
      </c>
      <c r="G64" s="203">
        <f>SUM(G61:G63)</f>
        <v>2.8082485756763761E-3</v>
      </c>
      <c r="I64" s="180" t="s">
        <v>757</v>
      </c>
      <c r="J64" s="168">
        <f t="shared" si="3"/>
        <v>53</v>
      </c>
    </row>
    <row r="65" spans="1:10" ht="16.2" thickTop="1" x14ac:dyDescent="0.3">
      <c r="A65" s="168">
        <f t="shared" si="2"/>
        <v>54</v>
      </c>
      <c r="I65" s="180"/>
      <c r="J65" s="168">
        <f t="shared" si="3"/>
        <v>54</v>
      </c>
    </row>
    <row r="66" spans="1:10" ht="16.2" thickBot="1" x14ac:dyDescent="0.35">
      <c r="A66" s="168">
        <f t="shared" si="2"/>
        <v>55</v>
      </c>
      <c r="B66" s="174" t="s">
        <v>758</v>
      </c>
      <c r="G66" s="220">
        <f>G63</f>
        <v>2.8082485756763761E-3</v>
      </c>
      <c r="I66" s="180" t="s">
        <v>759</v>
      </c>
      <c r="J66" s="168">
        <f t="shared" si="3"/>
        <v>55</v>
      </c>
    </row>
    <row r="67" spans="1:10" ht="16.2" thickTop="1" x14ac:dyDescent="0.3">
      <c r="B67" s="174"/>
      <c r="G67" s="222"/>
      <c r="I67" s="180"/>
      <c r="J67" s="168"/>
    </row>
    <row r="68" spans="1:10" ht="18" x14ac:dyDescent="0.3">
      <c r="A68" s="187">
        <v>1</v>
      </c>
      <c r="B68" s="169" t="s">
        <v>760</v>
      </c>
      <c r="G68" s="222"/>
      <c r="I68" s="180"/>
      <c r="J68" s="168"/>
    </row>
    <row r="69" spans="1:10" x14ac:dyDescent="0.3">
      <c r="B69" s="174"/>
      <c r="G69" s="222"/>
      <c r="I69" s="180"/>
      <c r="J69" s="168"/>
    </row>
    <row r="70" spans="1:10" x14ac:dyDescent="0.3">
      <c r="B70" s="174"/>
      <c r="G70" s="222"/>
      <c r="I70" s="180"/>
      <c r="J70" s="168"/>
    </row>
    <row r="71" spans="1:10" x14ac:dyDescent="0.3">
      <c r="B71" s="861" t="s">
        <v>217</v>
      </c>
      <c r="C71" s="861"/>
      <c r="D71" s="861"/>
      <c r="E71" s="861"/>
      <c r="F71" s="861"/>
      <c r="G71" s="861"/>
      <c r="H71" s="861"/>
      <c r="I71" s="861"/>
      <c r="J71" s="168"/>
    </row>
    <row r="72" spans="1:10" x14ac:dyDescent="0.3">
      <c r="B72" s="861" t="s">
        <v>685</v>
      </c>
      <c r="C72" s="861"/>
      <c r="D72" s="861"/>
      <c r="E72" s="861"/>
      <c r="F72" s="861"/>
      <c r="G72" s="861"/>
      <c r="H72" s="861"/>
      <c r="I72" s="861"/>
      <c r="J72" s="168"/>
    </row>
    <row r="73" spans="1:10" x14ac:dyDescent="0.3">
      <c r="B73" s="861" t="s">
        <v>686</v>
      </c>
      <c r="C73" s="861"/>
      <c r="D73" s="861"/>
      <c r="E73" s="861"/>
      <c r="F73" s="861"/>
      <c r="G73" s="861"/>
      <c r="H73" s="861"/>
      <c r="I73" s="861"/>
      <c r="J73" s="168"/>
    </row>
    <row r="74" spans="1:10" x14ac:dyDescent="0.3">
      <c r="B74" s="862" t="str">
        <f>B6</f>
        <v>Base Period &amp; True-Up Period 12 - Months Ending December 31, 2020</v>
      </c>
      <c r="C74" s="862"/>
      <c r="D74" s="862"/>
      <c r="E74" s="862"/>
      <c r="F74" s="862"/>
      <c r="G74" s="862"/>
      <c r="H74" s="862"/>
      <c r="I74" s="862"/>
      <c r="J74" s="168"/>
    </row>
    <row r="75" spans="1:10" x14ac:dyDescent="0.3">
      <c r="B75" s="863" t="s">
        <v>3</v>
      </c>
      <c r="C75" s="864"/>
      <c r="D75" s="864"/>
      <c r="E75" s="864"/>
      <c r="F75" s="864"/>
      <c r="G75" s="864"/>
      <c r="H75" s="864"/>
      <c r="I75" s="864"/>
      <c r="J75" s="168"/>
    </row>
    <row r="76" spans="1:10" s="223" customFormat="1" x14ac:dyDescent="0.3">
      <c r="A76" s="168"/>
      <c r="B76" s="168"/>
      <c r="C76" s="168"/>
      <c r="D76" s="168"/>
      <c r="E76" s="168"/>
      <c r="F76" s="168"/>
      <c r="G76" s="168"/>
      <c r="H76" s="168"/>
      <c r="I76" s="180"/>
      <c r="J76" s="168"/>
    </row>
    <row r="77" spans="1:10" s="223" customFormat="1" x14ac:dyDescent="0.3">
      <c r="A77" s="168" t="s">
        <v>4</v>
      </c>
      <c r="B77" s="171"/>
      <c r="C77" s="171"/>
      <c r="D77" s="171"/>
      <c r="E77" s="168" t="s">
        <v>295</v>
      </c>
      <c r="F77" s="171"/>
      <c r="G77" s="171"/>
      <c r="H77" s="171"/>
      <c r="I77" s="180"/>
      <c r="J77" s="168" t="s">
        <v>4</v>
      </c>
    </row>
    <row r="78" spans="1:10" s="223" customFormat="1" x14ac:dyDescent="0.3">
      <c r="A78" s="168" t="s">
        <v>8</v>
      </c>
      <c r="B78" s="168"/>
      <c r="C78" s="168"/>
      <c r="D78" s="168"/>
      <c r="E78" s="172" t="s">
        <v>299</v>
      </c>
      <c r="F78" s="168"/>
      <c r="G78" s="173" t="s">
        <v>6</v>
      </c>
      <c r="H78" s="171"/>
      <c r="I78" s="194" t="s">
        <v>7</v>
      </c>
      <c r="J78" s="168" t="s">
        <v>8</v>
      </c>
    </row>
    <row r="79" spans="1:10" x14ac:dyDescent="0.3">
      <c r="I79" s="180"/>
      <c r="J79" s="168"/>
    </row>
    <row r="80" spans="1:10" ht="18.600000000000001" thickBot="1" x14ac:dyDescent="0.35">
      <c r="A80" s="168">
        <v>1</v>
      </c>
      <c r="B80" s="174" t="s">
        <v>761</v>
      </c>
      <c r="G80" s="211">
        <v>0</v>
      </c>
      <c r="H80" s="171"/>
      <c r="I80" s="224"/>
      <c r="J80" s="168">
        <f>A80</f>
        <v>1</v>
      </c>
    </row>
    <row r="81" spans="1:10" ht="16.2" thickTop="1" x14ac:dyDescent="0.3">
      <c r="A81" s="168">
        <f t="shared" si="2"/>
        <v>2</v>
      </c>
      <c r="C81" s="189" t="s">
        <v>296</v>
      </c>
      <c r="D81" s="189" t="s">
        <v>297</v>
      </c>
      <c r="E81" s="189" t="s">
        <v>328</v>
      </c>
      <c r="F81" s="189"/>
      <c r="G81" s="189" t="s">
        <v>734</v>
      </c>
      <c r="H81" s="189"/>
      <c r="I81" s="180"/>
      <c r="J81" s="168">
        <f t="shared" si="3"/>
        <v>2</v>
      </c>
    </row>
    <row r="82" spans="1:10" x14ac:dyDescent="0.3">
      <c r="A82" s="168">
        <f t="shared" si="2"/>
        <v>3</v>
      </c>
      <c r="D82" s="168" t="s">
        <v>735</v>
      </c>
      <c r="E82" s="168" t="s">
        <v>736</v>
      </c>
      <c r="F82" s="168"/>
      <c r="G82" s="168" t="s">
        <v>737</v>
      </c>
      <c r="H82" s="168"/>
      <c r="I82" s="180"/>
      <c r="J82" s="168">
        <f t="shared" si="3"/>
        <v>3</v>
      </c>
    </row>
    <row r="83" spans="1:10" ht="18" x14ac:dyDescent="0.3">
      <c r="A83" s="168">
        <f t="shared" si="2"/>
        <v>4</v>
      </c>
      <c r="B83" s="174" t="s">
        <v>762</v>
      </c>
      <c r="C83" s="172" t="s">
        <v>763</v>
      </c>
      <c r="D83" s="172" t="s">
        <v>740</v>
      </c>
      <c r="E83" s="172" t="s">
        <v>741</v>
      </c>
      <c r="F83" s="172"/>
      <c r="G83" s="172" t="s">
        <v>742</v>
      </c>
      <c r="H83" s="168"/>
      <c r="I83" s="180"/>
      <c r="J83" s="168">
        <f t="shared" si="3"/>
        <v>4</v>
      </c>
    </row>
    <row r="84" spans="1:10" x14ac:dyDescent="0.3">
      <c r="A84" s="168">
        <f t="shared" si="2"/>
        <v>5</v>
      </c>
      <c r="I84" s="180"/>
      <c r="J84" s="168">
        <f t="shared" si="3"/>
        <v>5</v>
      </c>
    </row>
    <row r="85" spans="1:10" x14ac:dyDescent="0.3">
      <c r="A85" s="168">
        <f t="shared" si="2"/>
        <v>6</v>
      </c>
      <c r="B85" s="169" t="s">
        <v>743</v>
      </c>
      <c r="C85" s="185">
        <f>G18</f>
        <v>6040400.358</v>
      </c>
      <c r="D85" s="212">
        <f>C85/C$88</f>
        <v>0.43835028486472494</v>
      </c>
      <c r="E85" s="213">
        <f>G28</f>
        <v>3.9622448648295373E-2</v>
      </c>
      <c r="G85" s="214">
        <f>D85*E85</f>
        <v>1.7368511652018213E-2</v>
      </c>
      <c r="H85" s="214"/>
      <c r="I85" s="180" t="s">
        <v>764</v>
      </c>
      <c r="J85" s="168">
        <f t="shared" si="3"/>
        <v>6</v>
      </c>
    </row>
    <row r="86" spans="1:10" x14ac:dyDescent="0.3">
      <c r="A86" s="168">
        <f t="shared" si="2"/>
        <v>7</v>
      </c>
      <c r="B86" s="169" t="s">
        <v>745</v>
      </c>
      <c r="C86" s="215">
        <f>G31</f>
        <v>0</v>
      </c>
      <c r="D86" s="212">
        <f>C86/C$88</f>
        <v>0</v>
      </c>
      <c r="E86" s="213">
        <f>G33</f>
        <v>0</v>
      </c>
      <c r="G86" s="214">
        <f>D86*E86</f>
        <v>0</v>
      </c>
      <c r="H86" s="214"/>
      <c r="I86" s="180" t="s">
        <v>765</v>
      </c>
      <c r="J86" s="168">
        <f t="shared" si="3"/>
        <v>7</v>
      </c>
    </row>
    <row r="87" spans="1:10" x14ac:dyDescent="0.3">
      <c r="A87" s="168">
        <f t="shared" si="2"/>
        <v>8</v>
      </c>
      <c r="B87" s="169" t="s">
        <v>747</v>
      </c>
      <c r="C87" s="215">
        <f>G40</f>
        <v>7739447.7829999998</v>
      </c>
      <c r="D87" s="216">
        <f>C87/C$88</f>
        <v>0.56164971513527517</v>
      </c>
      <c r="E87" s="217">
        <f>G80</f>
        <v>0</v>
      </c>
      <c r="G87" s="218">
        <f>D87*E87</f>
        <v>0</v>
      </c>
      <c r="H87" s="204"/>
      <c r="I87" s="180" t="s">
        <v>766</v>
      </c>
      <c r="J87" s="168">
        <f t="shared" si="3"/>
        <v>8</v>
      </c>
    </row>
    <row r="88" spans="1:10" ht="16.2" thickBot="1" x14ac:dyDescent="0.35">
      <c r="A88" s="168">
        <f t="shared" si="2"/>
        <v>9</v>
      </c>
      <c r="B88" s="169" t="s">
        <v>749</v>
      </c>
      <c r="C88" s="219">
        <f>SUM(C85:C87)</f>
        <v>13779848.140999999</v>
      </c>
      <c r="D88" s="220">
        <f>SUM(D85:D87)</f>
        <v>1</v>
      </c>
      <c r="G88" s="203">
        <f>SUM(G85:G87)</f>
        <v>1.7368511652018213E-2</v>
      </c>
      <c r="H88" s="204"/>
      <c r="I88" s="180" t="s">
        <v>767</v>
      </c>
      <c r="J88" s="168">
        <f t="shared" si="3"/>
        <v>9</v>
      </c>
    </row>
    <row r="89" spans="1:10" ht="16.2" thickTop="1" x14ac:dyDescent="0.3">
      <c r="A89" s="168">
        <f t="shared" si="2"/>
        <v>10</v>
      </c>
      <c r="I89" s="180"/>
      <c r="J89" s="168">
        <f t="shared" si="3"/>
        <v>10</v>
      </c>
    </row>
    <row r="90" spans="1:10" ht="16.2" thickBot="1" x14ac:dyDescent="0.35">
      <c r="A90" s="168">
        <f t="shared" si="2"/>
        <v>11</v>
      </c>
      <c r="B90" s="174" t="s">
        <v>768</v>
      </c>
      <c r="G90" s="203">
        <f>G86+G87</f>
        <v>0</v>
      </c>
      <c r="H90" s="204"/>
      <c r="I90" s="180" t="s">
        <v>769</v>
      </c>
      <c r="J90" s="168">
        <f t="shared" si="3"/>
        <v>11</v>
      </c>
    </row>
    <row r="91" spans="1:10" ht="16.8" thickTop="1" thickBot="1" x14ac:dyDescent="0.35">
      <c r="A91" s="209">
        <f t="shared" si="2"/>
        <v>12</v>
      </c>
      <c r="B91" s="225"/>
      <c r="C91" s="191"/>
      <c r="D91" s="191"/>
      <c r="E91" s="191"/>
      <c r="F91" s="191"/>
      <c r="G91" s="226"/>
      <c r="H91" s="226"/>
      <c r="I91" s="210"/>
      <c r="J91" s="209">
        <f t="shared" si="3"/>
        <v>12</v>
      </c>
    </row>
    <row r="92" spans="1:10" x14ac:dyDescent="0.3">
      <c r="A92" s="168">
        <f t="shared" si="2"/>
        <v>13</v>
      </c>
      <c r="I92" s="180"/>
      <c r="J92" s="168">
        <f t="shared" si="3"/>
        <v>13</v>
      </c>
    </row>
    <row r="93" spans="1:10" ht="31.8" thickBot="1" x14ac:dyDescent="0.35">
      <c r="A93" s="168">
        <f t="shared" si="2"/>
        <v>14</v>
      </c>
      <c r="B93" s="174" t="s">
        <v>753</v>
      </c>
      <c r="G93" s="211">
        <v>0</v>
      </c>
      <c r="I93" s="180" t="s">
        <v>754</v>
      </c>
      <c r="J93" s="168">
        <f t="shared" si="3"/>
        <v>14</v>
      </c>
    </row>
    <row r="94" spans="1:10" ht="16.2" thickTop="1" x14ac:dyDescent="0.3">
      <c r="A94" s="168">
        <f t="shared" si="2"/>
        <v>15</v>
      </c>
      <c r="C94" s="189" t="s">
        <v>296</v>
      </c>
      <c r="D94" s="189" t="s">
        <v>297</v>
      </c>
      <c r="E94" s="189" t="s">
        <v>328</v>
      </c>
      <c r="F94" s="189"/>
      <c r="G94" s="189" t="s">
        <v>734</v>
      </c>
      <c r="I94" s="180"/>
      <c r="J94" s="168">
        <f t="shared" si="3"/>
        <v>15</v>
      </c>
    </row>
    <row r="95" spans="1:10" x14ac:dyDescent="0.3">
      <c r="A95" s="168">
        <f t="shared" si="2"/>
        <v>16</v>
      </c>
      <c r="D95" s="168" t="s">
        <v>735</v>
      </c>
      <c r="E95" s="168" t="s">
        <v>736</v>
      </c>
      <c r="F95" s="168"/>
      <c r="G95" s="168" t="s">
        <v>737</v>
      </c>
      <c r="I95" s="180"/>
      <c r="J95" s="168">
        <f t="shared" si="3"/>
        <v>16</v>
      </c>
    </row>
    <row r="96" spans="1:10" ht="18" x14ac:dyDescent="0.3">
      <c r="A96" s="168">
        <f t="shared" si="2"/>
        <v>17</v>
      </c>
      <c r="B96" s="174" t="s">
        <v>738</v>
      </c>
      <c r="C96" s="172" t="s">
        <v>763</v>
      </c>
      <c r="D96" s="172" t="s">
        <v>740</v>
      </c>
      <c r="E96" s="172" t="s">
        <v>741</v>
      </c>
      <c r="F96" s="172"/>
      <c r="G96" s="172" t="s">
        <v>742</v>
      </c>
      <c r="I96" s="180"/>
      <c r="J96" s="168">
        <f t="shared" si="3"/>
        <v>17</v>
      </c>
    </row>
    <row r="97" spans="1:10" x14ac:dyDescent="0.3">
      <c r="A97" s="168">
        <f t="shared" si="2"/>
        <v>18</v>
      </c>
      <c r="I97" s="180"/>
      <c r="J97" s="168">
        <f t="shared" si="3"/>
        <v>18</v>
      </c>
    </row>
    <row r="98" spans="1:10" x14ac:dyDescent="0.3">
      <c r="A98" s="168">
        <f t="shared" si="2"/>
        <v>19</v>
      </c>
      <c r="B98" s="169" t="s">
        <v>743</v>
      </c>
      <c r="C98" s="185">
        <f>G18</f>
        <v>6040400.358</v>
      </c>
      <c r="D98" s="212">
        <f>C98/C$101</f>
        <v>0.43835028486472494</v>
      </c>
      <c r="E98" s="221">
        <v>0</v>
      </c>
      <c r="G98" s="214">
        <f>D98*E98</f>
        <v>0</v>
      </c>
      <c r="I98" s="180" t="s">
        <v>755</v>
      </c>
      <c r="J98" s="168">
        <f t="shared" si="3"/>
        <v>19</v>
      </c>
    </row>
    <row r="99" spans="1:10" x14ac:dyDescent="0.3">
      <c r="A99" s="168">
        <f t="shared" si="2"/>
        <v>20</v>
      </c>
      <c r="B99" s="169" t="s">
        <v>745</v>
      </c>
      <c r="C99" s="215">
        <f>G31</f>
        <v>0</v>
      </c>
      <c r="D99" s="212">
        <f>C99/C$101</f>
        <v>0</v>
      </c>
      <c r="E99" s="221">
        <v>0</v>
      </c>
      <c r="G99" s="214">
        <f>D99*E99</f>
        <v>0</v>
      </c>
      <c r="I99" s="180" t="s">
        <v>755</v>
      </c>
      <c r="J99" s="168">
        <f t="shared" si="3"/>
        <v>20</v>
      </c>
    </row>
    <row r="100" spans="1:10" x14ac:dyDescent="0.3">
      <c r="A100" s="168">
        <f t="shared" si="2"/>
        <v>21</v>
      </c>
      <c r="B100" s="169" t="s">
        <v>747</v>
      </c>
      <c r="C100" s="215">
        <f>G40</f>
        <v>7739447.7829999998</v>
      </c>
      <c r="D100" s="216">
        <f>C100/C$101</f>
        <v>0.56164971513527517</v>
      </c>
      <c r="E100" s="217">
        <f>G93</f>
        <v>0</v>
      </c>
      <c r="G100" s="218">
        <f>D100*E100</f>
        <v>0</v>
      </c>
      <c r="I100" s="180" t="s">
        <v>770</v>
      </c>
      <c r="J100" s="168">
        <f t="shared" si="3"/>
        <v>21</v>
      </c>
    </row>
    <row r="101" spans="1:10" ht="16.2" thickBot="1" x14ac:dyDescent="0.35">
      <c r="A101" s="168">
        <f t="shared" si="2"/>
        <v>22</v>
      </c>
      <c r="B101" s="169" t="s">
        <v>749</v>
      </c>
      <c r="C101" s="219">
        <f>SUM(C98:C100)</f>
        <v>13779848.140999999</v>
      </c>
      <c r="D101" s="220">
        <f>SUM(D98:D100)</f>
        <v>1</v>
      </c>
      <c r="G101" s="203">
        <f>SUM(G98:G100)</f>
        <v>0</v>
      </c>
      <c r="I101" s="180" t="s">
        <v>163</v>
      </c>
      <c r="J101" s="168">
        <f t="shared" si="3"/>
        <v>22</v>
      </c>
    </row>
    <row r="102" spans="1:10" ht="16.2" thickTop="1" x14ac:dyDescent="0.3">
      <c r="A102" s="168">
        <f t="shared" si="2"/>
        <v>23</v>
      </c>
      <c r="I102" s="180"/>
      <c r="J102" s="168">
        <f t="shared" si="3"/>
        <v>23</v>
      </c>
    </row>
    <row r="103" spans="1:10" ht="16.2" thickBot="1" x14ac:dyDescent="0.35">
      <c r="A103" s="168">
        <f t="shared" si="2"/>
        <v>24</v>
      </c>
      <c r="B103" s="174" t="s">
        <v>758</v>
      </c>
      <c r="G103" s="220">
        <f>G100</f>
        <v>0</v>
      </c>
      <c r="I103" s="180" t="s">
        <v>771</v>
      </c>
      <c r="J103" s="168">
        <f t="shared" si="3"/>
        <v>24</v>
      </c>
    </row>
    <row r="104" spans="1:10" ht="16.2" thickTop="1" x14ac:dyDescent="0.3">
      <c r="B104" s="174"/>
      <c r="G104" s="222"/>
      <c r="I104" s="180"/>
      <c r="J104" s="168"/>
    </row>
    <row r="105" spans="1:10" ht="18" x14ac:dyDescent="0.3">
      <c r="A105" s="187">
        <v>1</v>
      </c>
      <c r="B105" s="169" t="s">
        <v>772</v>
      </c>
      <c r="G105" s="222"/>
      <c r="I105" s="180"/>
      <c r="J105" s="168"/>
    </row>
    <row r="106" spans="1:10" ht="18" x14ac:dyDescent="0.3">
      <c r="A106" s="187">
        <v>2</v>
      </c>
      <c r="B106" s="169" t="s">
        <v>760</v>
      </c>
      <c r="G106" s="186"/>
      <c r="H106" s="186"/>
      <c r="J106" s="168" t="s">
        <v>26</v>
      </c>
    </row>
    <row r="107" spans="1:10" ht="18" x14ac:dyDescent="0.3">
      <c r="A107" s="228"/>
      <c r="B107" s="223"/>
      <c r="G107" s="186"/>
      <c r="H107" s="186"/>
      <c r="J107" s="168"/>
    </row>
    <row r="108" spans="1:10" ht="18" x14ac:dyDescent="0.3">
      <c r="A108" s="187"/>
      <c r="G108" s="186"/>
      <c r="H108" s="186"/>
      <c r="J108" s="168"/>
    </row>
    <row r="109" spans="1:10" x14ac:dyDescent="0.3">
      <c r="B109" s="861" t="s">
        <v>217</v>
      </c>
      <c r="C109" s="861"/>
      <c r="D109" s="861"/>
      <c r="E109" s="861"/>
      <c r="F109" s="861"/>
      <c r="G109" s="861"/>
      <c r="H109" s="861"/>
      <c r="I109" s="861"/>
      <c r="J109" s="168"/>
    </row>
    <row r="110" spans="1:10" x14ac:dyDescent="0.3">
      <c r="B110" s="861" t="s">
        <v>685</v>
      </c>
      <c r="C110" s="861"/>
      <c r="D110" s="861"/>
      <c r="E110" s="861"/>
      <c r="F110" s="861"/>
      <c r="G110" s="861"/>
      <c r="H110" s="861"/>
      <c r="I110" s="861"/>
      <c r="J110" s="168"/>
    </row>
    <row r="111" spans="1:10" x14ac:dyDescent="0.3">
      <c r="B111" s="861" t="s">
        <v>686</v>
      </c>
      <c r="C111" s="861"/>
      <c r="D111" s="861"/>
      <c r="E111" s="861"/>
      <c r="F111" s="861"/>
      <c r="G111" s="861"/>
      <c r="H111" s="861"/>
      <c r="I111" s="861"/>
      <c r="J111" s="168"/>
    </row>
    <row r="112" spans="1:10" x14ac:dyDescent="0.3">
      <c r="B112" s="862" t="str">
        <f>B6</f>
        <v>Base Period &amp; True-Up Period 12 - Months Ending December 31, 2020</v>
      </c>
      <c r="C112" s="862"/>
      <c r="D112" s="862"/>
      <c r="E112" s="862"/>
      <c r="F112" s="862"/>
      <c r="G112" s="862"/>
      <c r="H112" s="862"/>
      <c r="I112" s="862"/>
      <c r="J112" s="168"/>
    </row>
    <row r="113" spans="1:12" x14ac:dyDescent="0.3">
      <c r="B113" s="863" t="s">
        <v>3</v>
      </c>
      <c r="C113" s="864"/>
      <c r="D113" s="864"/>
      <c r="E113" s="864"/>
      <c r="F113" s="864"/>
      <c r="G113" s="864"/>
      <c r="H113" s="864"/>
      <c r="I113" s="864"/>
      <c r="J113" s="168"/>
    </row>
    <row r="114" spans="1:12" x14ac:dyDescent="0.3">
      <c r="B114" s="168"/>
      <c r="C114" s="168"/>
      <c r="D114" s="168"/>
      <c r="E114" s="168"/>
      <c r="F114" s="168"/>
      <c r="G114" s="168"/>
      <c r="H114" s="168"/>
      <c r="I114" s="180"/>
      <c r="J114" s="168"/>
    </row>
    <row r="115" spans="1:12" x14ac:dyDescent="0.3">
      <c r="A115" s="168" t="s">
        <v>4</v>
      </c>
      <c r="B115" s="171"/>
      <c r="C115" s="171"/>
      <c r="D115" s="171"/>
      <c r="E115" s="171"/>
      <c r="F115" s="171"/>
      <c r="G115" s="171"/>
      <c r="H115" s="171"/>
      <c r="I115" s="180"/>
      <c r="J115" s="168" t="s">
        <v>4</v>
      </c>
    </row>
    <row r="116" spans="1:12" x14ac:dyDescent="0.3">
      <c r="A116" s="168" t="s">
        <v>8</v>
      </c>
      <c r="B116" s="168"/>
      <c r="C116" s="168"/>
      <c r="D116" s="168"/>
      <c r="E116" s="168"/>
      <c r="F116" s="168"/>
      <c r="G116" s="172" t="s">
        <v>6</v>
      </c>
      <c r="H116" s="171"/>
      <c r="I116" s="194" t="s">
        <v>7</v>
      </c>
      <c r="J116" s="168" t="s">
        <v>8</v>
      </c>
    </row>
    <row r="117" spans="1:12" x14ac:dyDescent="0.3">
      <c r="G117" s="168"/>
      <c r="H117" s="168"/>
      <c r="I117" s="180"/>
      <c r="J117" s="168"/>
    </row>
    <row r="118" spans="1:12" ht="18" x14ac:dyDescent="0.3">
      <c r="A118" s="168">
        <v>1</v>
      </c>
      <c r="B118" s="174" t="s">
        <v>773</v>
      </c>
      <c r="E118" s="171"/>
      <c r="F118" s="171"/>
      <c r="G118" s="229"/>
      <c r="H118" s="229"/>
      <c r="I118" s="180"/>
      <c r="J118" s="168">
        <v>1</v>
      </c>
    </row>
    <row r="119" spans="1:12" x14ac:dyDescent="0.3">
      <c r="A119" s="168">
        <f>A118+1</f>
        <v>2</v>
      </c>
      <c r="B119" s="230"/>
      <c r="E119" s="171"/>
      <c r="F119" s="171"/>
      <c r="G119" s="229"/>
      <c r="H119" s="229"/>
      <c r="I119" s="180"/>
      <c r="J119" s="168">
        <f>J118+1</f>
        <v>2</v>
      </c>
    </row>
    <row r="120" spans="1:12" x14ac:dyDescent="0.3">
      <c r="A120" s="168">
        <f>A119+1</f>
        <v>3</v>
      </c>
      <c r="B120" s="174" t="s">
        <v>774</v>
      </c>
      <c r="E120" s="171"/>
      <c r="F120" s="171"/>
      <c r="G120" s="229"/>
      <c r="H120" s="229"/>
      <c r="I120" s="180"/>
      <c r="J120" s="168">
        <f>J119+1</f>
        <v>3</v>
      </c>
    </row>
    <row r="121" spans="1:12" x14ac:dyDescent="0.3">
      <c r="A121" s="168">
        <f>A120+1</f>
        <v>4</v>
      </c>
      <c r="B121" s="171"/>
      <c r="C121" s="171"/>
      <c r="D121" s="171"/>
      <c r="E121" s="171"/>
      <c r="F121" s="171"/>
      <c r="G121" s="229"/>
      <c r="H121" s="229"/>
      <c r="I121" s="180"/>
      <c r="J121" s="168">
        <f>J120+1</f>
        <v>4</v>
      </c>
    </row>
    <row r="122" spans="1:12" x14ac:dyDescent="0.3">
      <c r="A122" s="168">
        <f t="shared" ref="A122:A181" si="4">A121+1</f>
        <v>5</v>
      </c>
      <c r="B122" s="175" t="s">
        <v>775</v>
      </c>
      <c r="C122" s="171"/>
      <c r="D122" s="171"/>
      <c r="E122" s="171"/>
      <c r="F122" s="171"/>
      <c r="G122" s="229"/>
      <c r="H122" s="229"/>
      <c r="I122" s="231"/>
      <c r="J122" s="168">
        <f t="shared" ref="J122:J181" si="5">J121+1</f>
        <v>5</v>
      </c>
    </row>
    <row r="123" spans="1:12" x14ac:dyDescent="0.3">
      <c r="A123" s="168">
        <f t="shared" si="4"/>
        <v>6</v>
      </c>
      <c r="B123" s="169" t="s">
        <v>776</v>
      </c>
      <c r="D123" s="171"/>
      <c r="E123" s="171"/>
      <c r="F123" s="171"/>
      <c r="G123" s="232">
        <f>G53</f>
        <v>5.6726621228662795E-2</v>
      </c>
      <c r="H123" s="171"/>
      <c r="I123" s="180" t="s">
        <v>777</v>
      </c>
      <c r="J123" s="168">
        <f t="shared" si="5"/>
        <v>6</v>
      </c>
      <c r="K123" s="168"/>
    </row>
    <row r="124" spans="1:12" x14ac:dyDescent="0.3">
      <c r="A124" s="168">
        <f t="shared" si="4"/>
        <v>7</v>
      </c>
      <c r="B124" s="169" t="s">
        <v>778</v>
      </c>
      <c r="D124" s="171"/>
      <c r="E124" s="171"/>
      <c r="F124" s="171"/>
      <c r="G124" s="233">
        <v>2671.5114590749399</v>
      </c>
      <c r="H124" s="171"/>
      <c r="I124" s="180" t="s">
        <v>841</v>
      </c>
      <c r="J124" s="168">
        <f t="shared" si="5"/>
        <v>7</v>
      </c>
      <c r="K124" s="168"/>
    </row>
    <row r="125" spans="1:12" x14ac:dyDescent="0.3">
      <c r="A125" s="168">
        <f t="shared" si="4"/>
        <v>8</v>
      </c>
      <c r="B125" s="169" t="s">
        <v>780</v>
      </c>
      <c r="D125" s="171"/>
      <c r="E125" s="171"/>
      <c r="F125" s="171"/>
      <c r="G125" s="234">
        <v>8011.4031624399995</v>
      </c>
      <c r="H125" s="171"/>
      <c r="I125" s="224" t="s">
        <v>781</v>
      </c>
      <c r="J125" s="168">
        <f t="shared" si="5"/>
        <v>8</v>
      </c>
      <c r="K125" s="171"/>
    </row>
    <row r="126" spans="1:12" x14ac:dyDescent="0.3">
      <c r="A126" s="168">
        <f t="shared" si="4"/>
        <v>9</v>
      </c>
      <c r="B126" s="169" t="s">
        <v>782</v>
      </c>
      <c r="D126" s="171"/>
      <c r="E126" s="235"/>
      <c r="F126" s="171"/>
      <c r="G126" s="116">
        <f>'Pg4 BK-1 Retail TRR-As Filed'!E135</f>
        <v>4601951.905053095</v>
      </c>
      <c r="H126" s="171"/>
      <c r="I126" s="180" t="s">
        <v>842</v>
      </c>
      <c r="J126" s="168">
        <f t="shared" si="5"/>
        <v>9</v>
      </c>
    </row>
    <row r="127" spans="1:12" x14ac:dyDescent="0.3">
      <c r="A127" s="168">
        <f t="shared" si="4"/>
        <v>10</v>
      </c>
      <c r="B127" s="169" t="s">
        <v>784</v>
      </c>
      <c r="D127" s="237"/>
      <c r="E127" s="171"/>
      <c r="F127" s="171"/>
      <c r="G127" s="238" t="s">
        <v>785</v>
      </c>
      <c r="H127" s="171"/>
      <c r="I127" s="180" t="s">
        <v>786</v>
      </c>
      <c r="J127" s="168">
        <f t="shared" si="5"/>
        <v>10</v>
      </c>
      <c r="L127" s="239"/>
    </row>
    <row r="128" spans="1:12" x14ac:dyDescent="0.3">
      <c r="A128" s="168">
        <f t="shared" si="4"/>
        <v>11</v>
      </c>
      <c r="G128" s="168"/>
      <c r="H128" s="168"/>
      <c r="J128" s="168">
        <f t="shared" si="5"/>
        <v>11</v>
      </c>
    </row>
    <row r="129" spans="1:12" x14ac:dyDescent="0.3">
      <c r="A129" s="168">
        <f t="shared" si="4"/>
        <v>12</v>
      </c>
      <c r="B129" s="169" t="s">
        <v>787</v>
      </c>
      <c r="D129" s="171"/>
      <c r="E129" s="171"/>
      <c r="F129" s="171"/>
      <c r="G129" s="240">
        <f>(((G123)+(G125/G126))*G127-(G124/G126))/(1-G127)</f>
        <v>1.4807159835732787E-2</v>
      </c>
      <c r="H129" s="240"/>
      <c r="I129" s="180" t="s">
        <v>788</v>
      </c>
      <c r="J129" s="168">
        <f t="shared" si="5"/>
        <v>12</v>
      </c>
      <c r="L129" s="241"/>
    </row>
    <row r="130" spans="1:12" x14ac:dyDescent="0.3">
      <c r="A130" s="168">
        <f t="shared" si="4"/>
        <v>13</v>
      </c>
      <c r="B130" s="242" t="s">
        <v>789</v>
      </c>
      <c r="G130" s="168"/>
      <c r="H130" s="168"/>
      <c r="J130" s="168">
        <f t="shared" si="5"/>
        <v>13</v>
      </c>
    </row>
    <row r="131" spans="1:12" x14ac:dyDescent="0.3">
      <c r="A131" s="168">
        <f t="shared" si="4"/>
        <v>14</v>
      </c>
      <c r="G131" s="168"/>
      <c r="H131" s="168"/>
      <c r="J131" s="168">
        <f t="shared" si="5"/>
        <v>14</v>
      </c>
    </row>
    <row r="132" spans="1:12" x14ac:dyDescent="0.3">
      <c r="A132" s="168">
        <f t="shared" si="4"/>
        <v>15</v>
      </c>
      <c r="B132" s="174" t="s">
        <v>790</v>
      </c>
      <c r="C132" s="171"/>
      <c r="D132" s="171"/>
      <c r="E132" s="171"/>
      <c r="F132" s="171"/>
      <c r="G132" s="243"/>
      <c r="H132" s="243"/>
      <c r="I132" s="244"/>
      <c r="J132" s="168">
        <f t="shared" si="5"/>
        <v>15</v>
      </c>
      <c r="K132" s="245"/>
    </row>
    <row r="133" spans="1:12" x14ac:dyDescent="0.3">
      <c r="A133" s="168">
        <f t="shared" si="4"/>
        <v>16</v>
      </c>
      <c r="B133" s="184"/>
      <c r="C133" s="171"/>
      <c r="D133" s="171"/>
      <c r="E133" s="171"/>
      <c r="F133" s="171"/>
      <c r="G133" s="243"/>
      <c r="H133" s="243"/>
      <c r="I133" s="246"/>
      <c r="J133" s="168">
        <f t="shared" si="5"/>
        <v>16</v>
      </c>
      <c r="K133" s="171"/>
    </row>
    <row r="134" spans="1:12" x14ac:dyDescent="0.3">
      <c r="A134" s="168">
        <f t="shared" si="4"/>
        <v>17</v>
      </c>
      <c r="B134" s="175" t="s">
        <v>775</v>
      </c>
      <c r="C134" s="171"/>
      <c r="D134" s="171"/>
      <c r="E134" s="171"/>
      <c r="F134" s="171"/>
      <c r="G134" s="243"/>
      <c r="H134" s="243"/>
      <c r="I134" s="246"/>
      <c r="J134" s="168">
        <f t="shared" si="5"/>
        <v>17</v>
      </c>
      <c r="K134" s="171"/>
    </row>
    <row r="135" spans="1:12" x14ac:dyDescent="0.3">
      <c r="A135" s="168">
        <f t="shared" si="4"/>
        <v>18</v>
      </c>
      <c r="B135" s="169" t="s">
        <v>776</v>
      </c>
      <c r="D135" s="171"/>
      <c r="E135" s="171"/>
      <c r="F135" s="171"/>
      <c r="G135" s="212">
        <f>G123</f>
        <v>5.6726621228662795E-2</v>
      </c>
      <c r="H135" s="212"/>
      <c r="I135" s="180" t="s">
        <v>791</v>
      </c>
      <c r="J135" s="168">
        <f t="shared" si="5"/>
        <v>18</v>
      </c>
      <c r="K135" s="168"/>
    </row>
    <row r="136" spans="1:12" x14ac:dyDescent="0.3">
      <c r="A136" s="168">
        <f t="shared" si="4"/>
        <v>19</v>
      </c>
      <c r="B136" s="169" t="s">
        <v>792</v>
      </c>
      <c r="D136" s="171"/>
      <c r="E136" s="171"/>
      <c r="F136" s="171"/>
      <c r="G136" s="247">
        <f>G125</f>
        <v>8011.4031624399995</v>
      </c>
      <c r="H136" s="247"/>
      <c r="I136" s="180" t="s">
        <v>793</v>
      </c>
      <c r="J136" s="168">
        <f t="shared" si="5"/>
        <v>19</v>
      </c>
      <c r="K136" s="168"/>
    </row>
    <row r="137" spans="1:12" x14ac:dyDescent="0.3">
      <c r="A137" s="168">
        <f t="shared" si="4"/>
        <v>20</v>
      </c>
      <c r="B137" s="169" t="s">
        <v>794</v>
      </c>
      <c r="D137" s="171"/>
      <c r="E137" s="171"/>
      <c r="F137" s="171"/>
      <c r="G137" s="303">
        <f>G126</f>
        <v>4601951.905053095</v>
      </c>
      <c r="H137" s="303"/>
      <c r="I137" s="180" t="s">
        <v>795</v>
      </c>
      <c r="J137" s="168">
        <f t="shared" si="5"/>
        <v>20</v>
      </c>
      <c r="K137" s="168"/>
    </row>
    <row r="138" spans="1:12" x14ac:dyDescent="0.3">
      <c r="A138" s="168">
        <f t="shared" si="4"/>
        <v>21</v>
      </c>
      <c r="B138" s="169" t="s">
        <v>796</v>
      </c>
      <c r="D138" s="171"/>
      <c r="E138" s="171"/>
      <c r="F138" s="171"/>
      <c r="G138" s="249">
        <f>G129</f>
        <v>1.4807159835732787E-2</v>
      </c>
      <c r="H138" s="249"/>
      <c r="I138" s="180" t="s">
        <v>797</v>
      </c>
      <c r="J138" s="168">
        <f t="shared" si="5"/>
        <v>21</v>
      </c>
    </row>
    <row r="139" spans="1:12" x14ac:dyDescent="0.3">
      <c r="A139" s="168">
        <f t="shared" si="4"/>
        <v>22</v>
      </c>
      <c r="B139" s="169" t="s">
        <v>798</v>
      </c>
      <c r="D139" s="171"/>
      <c r="E139" s="171"/>
      <c r="F139" s="171"/>
      <c r="G139" s="238" t="s">
        <v>799</v>
      </c>
      <c r="H139" s="171"/>
      <c r="I139" s="180" t="s">
        <v>800</v>
      </c>
      <c r="J139" s="168">
        <f t="shared" si="5"/>
        <v>22</v>
      </c>
    </row>
    <row r="140" spans="1:12" x14ac:dyDescent="0.3">
      <c r="A140" s="168">
        <f t="shared" si="4"/>
        <v>23</v>
      </c>
      <c r="B140" s="188"/>
      <c r="D140" s="171"/>
      <c r="E140" s="171"/>
      <c r="F140" s="171"/>
      <c r="G140" s="250"/>
      <c r="H140" s="250"/>
      <c r="I140" s="246"/>
      <c r="J140" s="168">
        <f t="shared" si="5"/>
        <v>23</v>
      </c>
    </row>
    <row r="141" spans="1:12" x14ac:dyDescent="0.3">
      <c r="A141" s="168">
        <f t="shared" si="4"/>
        <v>24</v>
      </c>
      <c r="B141" s="169" t="s">
        <v>801</v>
      </c>
      <c r="C141" s="168"/>
      <c r="D141" s="168"/>
      <c r="E141" s="171"/>
      <c r="F141" s="171"/>
      <c r="G141" s="251">
        <f>((G135)+(G136/G137)+G129)*G139/(1-G139)</f>
        <v>7.1056156368932482E-3</v>
      </c>
      <c r="H141" s="252"/>
      <c r="I141" s="180" t="s">
        <v>802</v>
      </c>
      <c r="J141" s="168">
        <f t="shared" si="5"/>
        <v>24</v>
      </c>
    </row>
    <row r="142" spans="1:12" x14ac:dyDescent="0.3">
      <c r="A142" s="168">
        <f t="shared" si="4"/>
        <v>25</v>
      </c>
      <c r="B142" s="242" t="s">
        <v>803</v>
      </c>
      <c r="G142" s="168"/>
      <c r="H142" s="168"/>
      <c r="I142" s="180"/>
      <c r="J142" s="168">
        <f t="shared" si="5"/>
        <v>25</v>
      </c>
      <c r="K142" s="168"/>
    </row>
    <row r="143" spans="1:12" x14ac:dyDescent="0.3">
      <c r="A143" s="168">
        <f t="shared" si="4"/>
        <v>26</v>
      </c>
      <c r="G143" s="168"/>
      <c r="H143" s="168"/>
      <c r="I143" s="180"/>
      <c r="J143" s="168">
        <f t="shared" si="5"/>
        <v>26</v>
      </c>
      <c r="K143" s="168"/>
    </row>
    <row r="144" spans="1:12" x14ac:dyDescent="0.3">
      <c r="A144" s="168">
        <f t="shared" si="4"/>
        <v>27</v>
      </c>
      <c r="B144" s="174" t="s">
        <v>804</v>
      </c>
      <c r="G144" s="240">
        <f>G141+G129</f>
        <v>2.1912775472626034E-2</v>
      </c>
      <c r="H144" s="240"/>
      <c r="I144" s="180" t="s">
        <v>805</v>
      </c>
      <c r="J144" s="168">
        <f t="shared" si="5"/>
        <v>27</v>
      </c>
      <c r="K144" s="168"/>
    </row>
    <row r="145" spans="1:12" x14ac:dyDescent="0.3">
      <c r="A145" s="168">
        <f t="shared" si="4"/>
        <v>28</v>
      </c>
      <c r="G145" s="168"/>
      <c r="H145" s="168"/>
      <c r="I145" s="180"/>
      <c r="J145" s="168">
        <f t="shared" si="5"/>
        <v>28</v>
      </c>
      <c r="K145" s="168"/>
    </row>
    <row r="146" spans="1:12" x14ac:dyDescent="0.3">
      <c r="A146" s="168">
        <f t="shared" si="4"/>
        <v>29</v>
      </c>
      <c r="B146" s="174" t="s">
        <v>806</v>
      </c>
      <c r="G146" s="253">
        <f>G51</f>
        <v>7.4095132880681008E-2</v>
      </c>
      <c r="H146" s="171"/>
      <c r="I146" s="180" t="s">
        <v>807</v>
      </c>
      <c r="J146" s="168">
        <f t="shared" si="5"/>
        <v>29</v>
      </c>
      <c r="K146" s="168"/>
    </row>
    <row r="147" spans="1:12" x14ac:dyDescent="0.3">
      <c r="A147" s="168">
        <f t="shared" si="4"/>
        <v>30</v>
      </c>
      <c r="G147" s="212"/>
      <c r="H147" s="212"/>
      <c r="I147" s="180"/>
      <c r="J147" s="168">
        <f t="shared" si="5"/>
        <v>30</v>
      </c>
      <c r="K147" s="168"/>
    </row>
    <row r="148" spans="1:12" ht="18.600000000000001" thickBot="1" x14ac:dyDescent="0.35">
      <c r="A148" s="168">
        <f t="shared" si="4"/>
        <v>31</v>
      </c>
      <c r="B148" s="174" t="s">
        <v>808</v>
      </c>
      <c r="G148" s="254">
        <f>G144+G146</f>
        <v>9.6007908353307039E-2</v>
      </c>
      <c r="H148" s="252"/>
      <c r="I148" s="180" t="s">
        <v>809</v>
      </c>
      <c r="J148" s="168">
        <f t="shared" si="5"/>
        <v>31</v>
      </c>
      <c r="K148" s="255"/>
      <c r="L148" s="241"/>
    </row>
    <row r="149" spans="1:12" ht="16.8" thickTop="1" thickBot="1" x14ac:dyDescent="0.35">
      <c r="A149" s="209">
        <f t="shared" si="4"/>
        <v>32</v>
      </c>
      <c r="B149" s="191"/>
      <c r="C149" s="191"/>
      <c r="D149" s="191"/>
      <c r="E149" s="191"/>
      <c r="F149" s="191"/>
      <c r="G149" s="209"/>
      <c r="H149" s="209"/>
      <c r="I149" s="210"/>
      <c r="J149" s="209">
        <f t="shared" si="5"/>
        <v>32</v>
      </c>
    </row>
    <row r="150" spans="1:12" x14ac:dyDescent="0.3">
      <c r="A150" s="168">
        <f t="shared" si="4"/>
        <v>33</v>
      </c>
      <c r="G150" s="168"/>
      <c r="H150" s="168"/>
      <c r="I150" s="180"/>
      <c r="J150" s="168">
        <f t="shared" si="5"/>
        <v>33</v>
      </c>
    </row>
    <row r="151" spans="1:12" ht="18" x14ac:dyDescent="0.3">
      <c r="A151" s="168">
        <f t="shared" si="4"/>
        <v>34</v>
      </c>
      <c r="B151" s="174" t="s">
        <v>810</v>
      </c>
      <c r="E151" s="171"/>
      <c r="F151" s="171"/>
      <c r="G151" s="229"/>
      <c r="H151" s="229"/>
      <c r="I151" s="180"/>
      <c r="J151" s="168">
        <f t="shared" si="5"/>
        <v>34</v>
      </c>
    </row>
    <row r="152" spans="1:12" x14ac:dyDescent="0.3">
      <c r="A152" s="168">
        <f t="shared" si="4"/>
        <v>35</v>
      </c>
      <c r="B152" s="230"/>
      <c r="E152" s="171"/>
      <c r="F152" s="171"/>
      <c r="G152" s="229"/>
      <c r="H152" s="229"/>
      <c r="I152" s="180"/>
      <c r="J152" s="168">
        <f t="shared" si="5"/>
        <v>35</v>
      </c>
      <c r="L152" s="256"/>
    </row>
    <row r="153" spans="1:12" x14ac:dyDescent="0.3">
      <c r="A153" s="168">
        <f t="shared" si="4"/>
        <v>36</v>
      </c>
      <c r="B153" s="174" t="s">
        <v>774</v>
      </c>
      <c r="E153" s="171"/>
      <c r="F153" s="171"/>
      <c r="G153" s="229"/>
      <c r="H153" s="229"/>
      <c r="I153" s="180"/>
      <c r="J153" s="168">
        <f t="shared" si="5"/>
        <v>36</v>
      </c>
    </row>
    <row r="154" spans="1:12" x14ac:dyDescent="0.3">
      <c r="A154" s="168">
        <f t="shared" si="4"/>
        <v>37</v>
      </c>
      <c r="B154" s="171"/>
      <c r="C154" s="171"/>
      <c r="D154" s="171"/>
      <c r="E154" s="171"/>
      <c r="F154" s="171"/>
      <c r="G154" s="229"/>
      <c r="H154" s="229"/>
      <c r="I154" s="180"/>
      <c r="J154" s="168">
        <f t="shared" si="5"/>
        <v>37</v>
      </c>
    </row>
    <row r="155" spans="1:12" x14ac:dyDescent="0.3">
      <c r="A155" s="168">
        <f t="shared" si="4"/>
        <v>38</v>
      </c>
      <c r="B155" s="175" t="s">
        <v>775</v>
      </c>
      <c r="C155" s="171"/>
      <c r="D155" s="171"/>
      <c r="E155" s="171"/>
      <c r="F155" s="171"/>
      <c r="G155" s="229"/>
      <c r="H155" s="229"/>
      <c r="I155" s="231"/>
      <c r="J155" s="168">
        <f t="shared" si="5"/>
        <v>38</v>
      </c>
    </row>
    <row r="156" spans="1:12" x14ac:dyDescent="0.3">
      <c r="A156" s="168">
        <f t="shared" si="4"/>
        <v>39</v>
      </c>
      <c r="B156" s="169" t="s">
        <v>811</v>
      </c>
      <c r="D156" s="171"/>
      <c r="E156" s="171"/>
      <c r="F156" s="171"/>
      <c r="G156" s="232">
        <f>G66</f>
        <v>2.8082485756763761E-3</v>
      </c>
      <c r="H156" s="171"/>
      <c r="I156" s="180" t="s">
        <v>812</v>
      </c>
      <c r="J156" s="168">
        <f t="shared" si="5"/>
        <v>39</v>
      </c>
      <c r="K156" s="168"/>
    </row>
    <row r="157" spans="1:12" x14ac:dyDescent="0.3">
      <c r="A157" s="168">
        <f t="shared" si="4"/>
        <v>40</v>
      </c>
      <c r="B157" s="169" t="s">
        <v>778</v>
      </c>
      <c r="D157" s="171"/>
      <c r="E157" s="171"/>
      <c r="F157" s="171"/>
      <c r="G157" s="257">
        <v>0</v>
      </c>
      <c r="H157" s="171"/>
      <c r="I157" s="180" t="s">
        <v>755</v>
      </c>
      <c r="J157" s="168">
        <f t="shared" si="5"/>
        <v>40</v>
      </c>
      <c r="K157" s="168"/>
    </row>
    <row r="158" spans="1:12" x14ac:dyDescent="0.3">
      <c r="A158" s="168">
        <f t="shared" si="4"/>
        <v>41</v>
      </c>
      <c r="B158" s="169" t="s">
        <v>780</v>
      </c>
      <c r="D158" s="171"/>
      <c r="E158" s="171"/>
      <c r="F158" s="171"/>
      <c r="G158" s="257">
        <v>0</v>
      </c>
      <c r="H158" s="171"/>
      <c r="I158" s="180" t="s">
        <v>755</v>
      </c>
      <c r="J158" s="168">
        <f t="shared" si="5"/>
        <v>41</v>
      </c>
      <c r="K158" s="171"/>
    </row>
    <row r="159" spans="1:12" x14ac:dyDescent="0.3">
      <c r="A159" s="168">
        <f t="shared" si="4"/>
        <v>42</v>
      </c>
      <c r="B159" s="169" t="s">
        <v>782</v>
      </c>
      <c r="D159" s="171"/>
      <c r="E159" s="235"/>
      <c r="F159" s="171"/>
      <c r="G159" s="116">
        <f>'Pg4 BK-1 Retail TRR-As Filed'!E135</f>
        <v>4601951.905053095</v>
      </c>
      <c r="H159" s="171"/>
      <c r="I159" s="180" t="s">
        <v>842</v>
      </c>
      <c r="J159" s="168">
        <f t="shared" si="5"/>
        <v>42</v>
      </c>
    </row>
    <row r="160" spans="1:12" x14ac:dyDescent="0.3">
      <c r="A160" s="168">
        <f t="shared" si="4"/>
        <v>43</v>
      </c>
      <c r="B160" s="169" t="s">
        <v>784</v>
      </c>
      <c r="D160" s="237"/>
      <c r="E160" s="171"/>
      <c r="F160" s="171"/>
      <c r="G160" s="238" t="s">
        <v>785</v>
      </c>
      <c r="H160" s="171"/>
      <c r="I160" s="180" t="s">
        <v>786</v>
      </c>
      <c r="J160" s="168">
        <f t="shared" si="5"/>
        <v>43</v>
      </c>
      <c r="L160" s="239"/>
    </row>
    <row r="161" spans="1:12" x14ac:dyDescent="0.3">
      <c r="A161" s="168">
        <f t="shared" si="4"/>
        <v>44</v>
      </c>
      <c r="G161" s="168"/>
      <c r="H161" s="168"/>
      <c r="J161" s="168">
        <f t="shared" si="5"/>
        <v>44</v>
      </c>
    </row>
    <row r="162" spans="1:12" x14ac:dyDescent="0.3">
      <c r="A162" s="168">
        <f t="shared" si="4"/>
        <v>45</v>
      </c>
      <c r="B162" s="169" t="s">
        <v>787</v>
      </c>
      <c r="D162" s="171"/>
      <c r="E162" s="171"/>
      <c r="F162" s="171"/>
      <c r="G162" s="240">
        <f>(((G156)+(G158/G159))*G160-(G157/G159))/(1-G160)</f>
        <v>7.4649645682536576E-4</v>
      </c>
      <c r="H162" s="240"/>
      <c r="I162" s="180" t="s">
        <v>788</v>
      </c>
      <c r="J162" s="168">
        <f t="shared" si="5"/>
        <v>45</v>
      </c>
      <c r="L162" s="241"/>
    </row>
    <row r="163" spans="1:12" x14ac:dyDescent="0.3">
      <c r="A163" s="168">
        <f t="shared" si="4"/>
        <v>46</v>
      </c>
      <c r="B163" s="242" t="s">
        <v>789</v>
      </c>
      <c r="G163" s="168"/>
      <c r="H163" s="168"/>
      <c r="J163" s="168">
        <f t="shared" si="5"/>
        <v>46</v>
      </c>
    </row>
    <row r="164" spans="1:12" x14ac:dyDescent="0.3">
      <c r="A164" s="168">
        <f t="shared" si="4"/>
        <v>47</v>
      </c>
      <c r="G164" s="168"/>
      <c r="H164" s="168"/>
      <c r="J164" s="168">
        <f t="shared" si="5"/>
        <v>47</v>
      </c>
    </row>
    <row r="165" spans="1:12" x14ac:dyDescent="0.3">
      <c r="A165" s="168">
        <f t="shared" si="4"/>
        <v>48</v>
      </c>
      <c r="B165" s="174" t="s">
        <v>790</v>
      </c>
      <c r="C165" s="171"/>
      <c r="D165" s="171"/>
      <c r="E165" s="171"/>
      <c r="F165" s="171"/>
      <c r="G165" s="243"/>
      <c r="H165" s="243"/>
      <c r="I165" s="244"/>
      <c r="J165" s="168">
        <f t="shared" si="5"/>
        <v>48</v>
      </c>
      <c r="K165" s="245"/>
    </row>
    <row r="166" spans="1:12" x14ac:dyDescent="0.3">
      <c r="A166" s="168">
        <f t="shared" si="4"/>
        <v>49</v>
      </c>
      <c r="B166" s="184"/>
      <c r="C166" s="171"/>
      <c r="D166" s="171"/>
      <c r="E166" s="171"/>
      <c r="F166" s="171"/>
      <c r="G166" s="243"/>
      <c r="H166" s="243"/>
      <c r="I166" s="246"/>
      <c r="J166" s="168">
        <f t="shared" si="5"/>
        <v>49</v>
      </c>
      <c r="K166" s="171"/>
    </row>
    <row r="167" spans="1:12" x14ac:dyDescent="0.3">
      <c r="A167" s="168">
        <f t="shared" si="4"/>
        <v>50</v>
      </c>
      <c r="B167" s="175" t="s">
        <v>775</v>
      </c>
      <c r="C167" s="171"/>
      <c r="D167" s="171"/>
      <c r="E167" s="171"/>
      <c r="F167" s="171"/>
      <c r="G167" s="243"/>
      <c r="H167" s="243"/>
      <c r="I167" s="246"/>
      <c r="J167" s="168">
        <f t="shared" si="5"/>
        <v>50</v>
      </c>
      <c r="K167" s="171"/>
    </row>
    <row r="168" spans="1:12" x14ac:dyDescent="0.3">
      <c r="A168" s="168">
        <f t="shared" si="4"/>
        <v>51</v>
      </c>
      <c r="B168" s="169" t="s">
        <v>811</v>
      </c>
      <c r="D168" s="171"/>
      <c r="E168" s="171"/>
      <c r="F168" s="171"/>
      <c r="G168" s="212">
        <f>G156</f>
        <v>2.8082485756763761E-3</v>
      </c>
      <c r="H168" s="212"/>
      <c r="I168" s="180" t="s">
        <v>813</v>
      </c>
      <c r="J168" s="168">
        <f t="shared" si="5"/>
        <v>51</v>
      </c>
      <c r="K168" s="168"/>
    </row>
    <row r="169" spans="1:12" x14ac:dyDescent="0.3">
      <c r="A169" s="168">
        <f t="shared" si="4"/>
        <v>52</v>
      </c>
      <c r="B169" s="169" t="s">
        <v>792</v>
      </c>
      <c r="D169" s="171"/>
      <c r="E169" s="171"/>
      <c r="F169" s="171"/>
      <c r="G169" s="247">
        <f>G158</f>
        <v>0</v>
      </c>
      <c r="H169" s="247"/>
      <c r="I169" s="180" t="s">
        <v>814</v>
      </c>
      <c r="J169" s="168">
        <f t="shared" si="5"/>
        <v>52</v>
      </c>
      <c r="K169" s="168"/>
    </row>
    <row r="170" spans="1:12" x14ac:dyDescent="0.3">
      <c r="A170" s="168">
        <f t="shared" si="4"/>
        <v>53</v>
      </c>
      <c r="B170" s="169" t="s">
        <v>794</v>
      </c>
      <c r="D170" s="171"/>
      <c r="E170" s="171"/>
      <c r="F170" s="171"/>
      <c r="G170" s="303">
        <f>G159</f>
        <v>4601951.905053095</v>
      </c>
      <c r="H170" s="303"/>
      <c r="I170" s="180" t="s">
        <v>815</v>
      </c>
      <c r="J170" s="168">
        <f t="shared" si="5"/>
        <v>53</v>
      </c>
      <c r="K170" s="168"/>
    </row>
    <row r="171" spans="1:12" x14ac:dyDescent="0.3">
      <c r="A171" s="168">
        <f t="shared" si="4"/>
        <v>54</v>
      </c>
      <c r="B171" s="169" t="s">
        <v>796</v>
      </c>
      <c r="D171" s="171"/>
      <c r="E171" s="171"/>
      <c r="F171" s="171"/>
      <c r="G171" s="249">
        <f>G162</f>
        <v>7.4649645682536576E-4</v>
      </c>
      <c r="H171" s="249"/>
      <c r="I171" s="180" t="s">
        <v>816</v>
      </c>
      <c r="J171" s="168">
        <f t="shared" si="5"/>
        <v>54</v>
      </c>
    </row>
    <row r="172" spans="1:12" x14ac:dyDescent="0.3">
      <c r="A172" s="168">
        <f t="shared" si="4"/>
        <v>55</v>
      </c>
      <c r="B172" s="169" t="s">
        <v>798</v>
      </c>
      <c r="D172" s="171"/>
      <c r="E172" s="171"/>
      <c r="F172" s="171"/>
      <c r="G172" s="238" t="s">
        <v>799</v>
      </c>
      <c r="H172" s="171"/>
      <c r="I172" s="180" t="s">
        <v>800</v>
      </c>
      <c r="J172" s="168">
        <f t="shared" si="5"/>
        <v>55</v>
      </c>
    </row>
    <row r="173" spans="1:12" x14ac:dyDescent="0.3">
      <c r="A173" s="168">
        <f t="shared" si="4"/>
        <v>56</v>
      </c>
      <c r="B173" s="188"/>
      <c r="D173" s="171"/>
      <c r="E173" s="171"/>
      <c r="F173" s="171"/>
      <c r="G173" s="250"/>
      <c r="H173" s="250"/>
      <c r="I173" s="246"/>
      <c r="J173" s="168">
        <f t="shared" si="5"/>
        <v>56</v>
      </c>
      <c r="K173" s="258"/>
    </row>
    <row r="174" spans="1:12" x14ac:dyDescent="0.3">
      <c r="A174" s="168">
        <f t="shared" si="4"/>
        <v>57</v>
      </c>
      <c r="B174" s="169" t="s">
        <v>801</v>
      </c>
      <c r="C174" s="168"/>
      <c r="D174" s="168"/>
      <c r="E174" s="171"/>
      <c r="F174" s="171"/>
      <c r="G174" s="251">
        <f>((G168)+(G169/G170)+G162)*G172/(1-G172)</f>
        <v>3.4471200183540368E-4</v>
      </c>
      <c r="H174" s="252"/>
      <c r="I174" s="180" t="s">
        <v>802</v>
      </c>
      <c r="J174" s="168">
        <f t="shared" si="5"/>
        <v>57</v>
      </c>
    </row>
    <row r="175" spans="1:12" x14ac:dyDescent="0.3">
      <c r="A175" s="168">
        <f t="shared" si="4"/>
        <v>58</v>
      </c>
      <c r="B175" s="242" t="s">
        <v>803</v>
      </c>
      <c r="G175" s="168"/>
      <c r="H175" s="168"/>
      <c r="I175" s="180"/>
      <c r="J175" s="168">
        <f t="shared" si="5"/>
        <v>58</v>
      </c>
      <c r="K175" s="168"/>
    </row>
    <row r="176" spans="1:12" x14ac:dyDescent="0.3">
      <c r="A176" s="168">
        <f t="shared" si="4"/>
        <v>59</v>
      </c>
      <c r="G176" s="168"/>
      <c r="H176" s="168"/>
      <c r="I176" s="180"/>
      <c r="J176" s="168">
        <f t="shared" si="5"/>
        <v>59</v>
      </c>
      <c r="K176" s="168"/>
    </row>
    <row r="177" spans="1:12" x14ac:dyDescent="0.3">
      <c r="A177" s="168">
        <f t="shared" si="4"/>
        <v>60</v>
      </c>
      <c r="B177" s="174" t="s">
        <v>804</v>
      </c>
      <c r="G177" s="240">
        <f>G174+G162</f>
        <v>1.0912084586607695E-3</v>
      </c>
      <c r="H177" s="240"/>
      <c r="I177" s="180" t="s">
        <v>817</v>
      </c>
      <c r="J177" s="168">
        <f t="shared" si="5"/>
        <v>60</v>
      </c>
      <c r="K177" s="168"/>
    </row>
    <row r="178" spans="1:12" x14ac:dyDescent="0.3">
      <c r="A178" s="168">
        <f t="shared" si="4"/>
        <v>61</v>
      </c>
      <c r="G178" s="168"/>
      <c r="H178" s="168"/>
      <c r="I178" s="180"/>
      <c r="J178" s="168">
        <f t="shared" si="5"/>
        <v>61</v>
      </c>
      <c r="K178" s="168"/>
    </row>
    <row r="179" spans="1:12" x14ac:dyDescent="0.3">
      <c r="A179" s="168">
        <f t="shared" si="4"/>
        <v>62</v>
      </c>
      <c r="B179" s="174" t="s">
        <v>818</v>
      </c>
      <c r="G179" s="259">
        <f>G64</f>
        <v>2.8082485756763761E-3</v>
      </c>
      <c r="H179" s="171"/>
      <c r="I179" s="180" t="s">
        <v>819</v>
      </c>
      <c r="J179" s="168">
        <f t="shared" si="5"/>
        <v>62</v>
      </c>
      <c r="K179" s="168"/>
    </row>
    <row r="180" spans="1:12" x14ac:dyDescent="0.3">
      <c r="A180" s="168">
        <f t="shared" si="4"/>
        <v>63</v>
      </c>
      <c r="G180" s="212"/>
      <c r="H180" s="212"/>
      <c r="I180" s="180"/>
      <c r="J180" s="168">
        <f t="shared" si="5"/>
        <v>63</v>
      </c>
      <c r="K180" s="168"/>
    </row>
    <row r="181" spans="1:12" ht="18.600000000000001" thickBot="1" x14ac:dyDescent="0.35">
      <c r="A181" s="168">
        <f t="shared" si="4"/>
        <v>64</v>
      </c>
      <c r="B181" s="174" t="s">
        <v>820</v>
      </c>
      <c r="G181" s="254">
        <f>G177+G179</f>
        <v>3.8994570343371454E-3</v>
      </c>
      <c r="H181" s="252"/>
      <c r="I181" s="180" t="s">
        <v>821</v>
      </c>
      <c r="J181" s="168">
        <f t="shared" si="5"/>
        <v>64</v>
      </c>
      <c r="K181" s="255"/>
      <c r="L181" s="241"/>
    </row>
    <row r="182" spans="1:12" ht="16.2" thickTop="1" x14ac:dyDescent="0.3">
      <c r="B182" s="174"/>
      <c r="G182" s="260"/>
      <c r="H182" s="260"/>
      <c r="I182" s="180"/>
      <c r="J182" s="168"/>
      <c r="K182" s="255"/>
      <c r="L182" s="241"/>
    </row>
    <row r="183" spans="1:12" x14ac:dyDescent="0.3">
      <c r="A183" s="304"/>
      <c r="B183" s="188"/>
      <c r="C183" s="261"/>
      <c r="D183" s="261"/>
      <c r="E183" s="261"/>
      <c r="F183" s="261"/>
      <c r="G183" s="262"/>
      <c r="H183" s="262"/>
      <c r="I183" s="263"/>
      <c r="J183" s="168"/>
    </row>
    <row r="184" spans="1:12" x14ac:dyDescent="0.3">
      <c r="B184" s="861" t="s">
        <v>217</v>
      </c>
      <c r="C184" s="861"/>
      <c r="D184" s="861"/>
      <c r="E184" s="861"/>
      <c r="F184" s="861"/>
      <c r="G184" s="861"/>
      <c r="H184" s="861"/>
      <c r="I184" s="861"/>
      <c r="J184" s="168"/>
    </row>
    <row r="185" spans="1:12" x14ac:dyDescent="0.3">
      <c r="B185" s="861" t="s">
        <v>685</v>
      </c>
      <c r="C185" s="861"/>
      <c r="D185" s="861"/>
      <c r="E185" s="861"/>
      <c r="F185" s="861"/>
      <c r="G185" s="861"/>
      <c r="H185" s="861"/>
      <c r="I185" s="861"/>
      <c r="J185" s="168"/>
    </row>
    <row r="186" spans="1:12" x14ac:dyDescent="0.3">
      <c r="B186" s="861" t="s">
        <v>686</v>
      </c>
      <c r="C186" s="861"/>
      <c r="D186" s="861"/>
      <c r="E186" s="861"/>
      <c r="F186" s="861"/>
      <c r="G186" s="861"/>
      <c r="H186" s="861"/>
      <c r="I186" s="861"/>
      <c r="J186" s="168"/>
    </row>
    <row r="187" spans="1:12" x14ac:dyDescent="0.3">
      <c r="B187" s="862" t="str">
        <f>B6</f>
        <v>Base Period &amp; True-Up Period 12 - Months Ending December 31, 2020</v>
      </c>
      <c r="C187" s="862"/>
      <c r="D187" s="862"/>
      <c r="E187" s="862"/>
      <c r="F187" s="862"/>
      <c r="G187" s="862"/>
      <c r="H187" s="862"/>
      <c r="I187" s="862"/>
      <c r="J187" s="168"/>
    </row>
    <row r="188" spans="1:12" x14ac:dyDescent="0.3">
      <c r="B188" s="863" t="s">
        <v>3</v>
      </c>
      <c r="C188" s="864"/>
      <c r="D188" s="864"/>
      <c r="E188" s="864"/>
      <c r="F188" s="864"/>
      <c r="G188" s="864"/>
      <c r="H188" s="864"/>
      <c r="I188" s="864"/>
      <c r="J188" s="168"/>
    </row>
    <row r="189" spans="1:12" x14ac:dyDescent="0.3">
      <c r="B189" s="168"/>
      <c r="C189" s="168"/>
      <c r="D189" s="168"/>
      <c r="E189" s="168"/>
      <c r="F189" s="168"/>
      <c r="G189" s="171"/>
      <c r="H189" s="171"/>
      <c r="I189" s="180"/>
      <c r="J189" s="168"/>
    </row>
    <row r="190" spans="1:12" x14ac:dyDescent="0.3">
      <c r="A190" s="168" t="s">
        <v>4</v>
      </c>
      <c r="B190" s="171"/>
      <c r="C190" s="171"/>
      <c r="D190" s="171"/>
      <c r="E190" s="171"/>
      <c r="F190" s="171"/>
      <c r="G190" s="171"/>
      <c r="H190" s="171"/>
      <c r="I190" s="180"/>
      <c r="J190" s="168" t="s">
        <v>4</v>
      </c>
    </row>
    <row r="191" spans="1:12" x14ac:dyDescent="0.3">
      <c r="A191" s="168" t="s">
        <v>8</v>
      </c>
      <c r="B191" s="168"/>
      <c r="C191" s="168"/>
      <c r="D191" s="168"/>
      <c r="E191" s="168"/>
      <c r="F191" s="168"/>
      <c r="G191" s="172" t="s">
        <v>6</v>
      </c>
      <c r="H191" s="171"/>
      <c r="I191" s="194" t="s">
        <v>7</v>
      </c>
      <c r="J191" s="168" t="s">
        <v>8</v>
      </c>
    </row>
    <row r="192" spans="1:12" x14ac:dyDescent="0.3">
      <c r="G192" s="168"/>
      <c r="H192" s="168"/>
      <c r="I192" s="180"/>
      <c r="J192" s="168"/>
    </row>
    <row r="193" spans="1:10" ht="18" x14ac:dyDescent="0.3">
      <c r="A193" s="168">
        <v>1</v>
      </c>
      <c r="B193" s="174" t="s">
        <v>822</v>
      </c>
      <c r="E193" s="171"/>
      <c r="F193" s="171"/>
      <c r="G193" s="229"/>
      <c r="H193" s="229"/>
      <c r="I193" s="180"/>
      <c r="J193" s="168">
        <v>1</v>
      </c>
    </row>
    <row r="194" spans="1:10" x14ac:dyDescent="0.3">
      <c r="A194" s="168">
        <f>A193+1</f>
        <v>2</v>
      </c>
      <c r="B194" s="230"/>
      <c r="E194" s="171"/>
      <c r="F194" s="171"/>
      <c r="G194" s="229"/>
      <c r="H194" s="229"/>
      <c r="I194" s="180"/>
      <c r="J194" s="168">
        <f>J193+1</f>
        <v>2</v>
      </c>
    </row>
    <row r="195" spans="1:10" x14ac:dyDescent="0.3">
      <c r="A195" s="168">
        <f>A194+1</f>
        <v>3</v>
      </c>
      <c r="B195" s="174" t="s">
        <v>774</v>
      </c>
      <c r="E195" s="171"/>
      <c r="F195" s="171"/>
      <c r="G195" s="229"/>
      <c r="H195" s="229"/>
      <c r="I195" s="180"/>
      <c r="J195" s="168">
        <f>J194+1</f>
        <v>3</v>
      </c>
    </row>
    <row r="196" spans="1:10" x14ac:dyDescent="0.3">
      <c r="A196" s="168">
        <f>A195+1</f>
        <v>4</v>
      </c>
      <c r="B196" s="171"/>
      <c r="C196" s="171"/>
      <c r="D196" s="171"/>
      <c r="E196" s="171"/>
      <c r="F196" s="171"/>
      <c r="G196" s="229"/>
      <c r="H196" s="229"/>
      <c r="I196" s="180"/>
      <c r="J196" s="168">
        <f>J195+1</f>
        <v>4</v>
      </c>
    </row>
    <row r="197" spans="1:10" x14ac:dyDescent="0.3">
      <c r="A197" s="168">
        <f t="shared" ref="A197:A256" si="6">A196+1</f>
        <v>5</v>
      </c>
      <c r="B197" s="175" t="s">
        <v>775</v>
      </c>
      <c r="C197" s="171"/>
      <c r="D197" s="171"/>
      <c r="E197" s="171"/>
      <c r="F197" s="171"/>
      <c r="G197" s="229"/>
      <c r="H197" s="229"/>
      <c r="I197" s="231"/>
      <c r="J197" s="168">
        <f t="shared" ref="J197:J256" si="7">J196+1</f>
        <v>5</v>
      </c>
    </row>
    <row r="198" spans="1:10" x14ac:dyDescent="0.3">
      <c r="A198" s="168">
        <f t="shared" si="6"/>
        <v>6</v>
      </c>
      <c r="B198" s="169" t="s">
        <v>776</v>
      </c>
      <c r="D198" s="171"/>
      <c r="E198" s="171"/>
      <c r="F198" s="171"/>
      <c r="G198" s="232">
        <f>G90</f>
        <v>0</v>
      </c>
      <c r="H198" s="171"/>
      <c r="I198" s="180" t="s">
        <v>823</v>
      </c>
      <c r="J198" s="168">
        <f t="shared" si="7"/>
        <v>6</v>
      </c>
    </row>
    <row r="199" spans="1:10" x14ac:dyDescent="0.3">
      <c r="A199" s="168">
        <f t="shared" si="6"/>
        <v>7</v>
      </c>
      <c r="B199" s="169" t="s">
        <v>778</v>
      </c>
      <c r="D199" s="171"/>
      <c r="E199" s="171"/>
      <c r="F199" s="171"/>
      <c r="G199" s="257">
        <v>0</v>
      </c>
      <c r="H199" s="171"/>
      <c r="I199" s="180" t="s">
        <v>824</v>
      </c>
      <c r="J199" s="168">
        <f t="shared" si="7"/>
        <v>7</v>
      </c>
    </row>
    <row r="200" spans="1:10" x14ac:dyDescent="0.3">
      <c r="A200" s="168">
        <f t="shared" si="6"/>
        <v>8</v>
      </c>
      <c r="B200" s="169" t="s">
        <v>780</v>
      </c>
      <c r="D200" s="171"/>
      <c r="E200" s="171"/>
      <c r="F200" s="171"/>
      <c r="G200" s="234">
        <v>0</v>
      </c>
      <c r="H200" s="171"/>
      <c r="I200" s="224"/>
      <c r="J200" s="168">
        <f t="shared" si="7"/>
        <v>8</v>
      </c>
    </row>
    <row r="201" spans="1:10" x14ac:dyDescent="0.3">
      <c r="A201" s="168">
        <f t="shared" si="6"/>
        <v>9</v>
      </c>
      <c r="B201" s="169" t="s">
        <v>825</v>
      </c>
      <c r="D201" s="171"/>
      <c r="E201" s="171"/>
      <c r="F201" s="171"/>
      <c r="G201" s="233">
        <v>0</v>
      </c>
      <c r="H201" s="171"/>
      <c r="I201" s="180" t="s">
        <v>826</v>
      </c>
      <c r="J201" s="168">
        <f t="shared" si="7"/>
        <v>9</v>
      </c>
    </row>
    <row r="202" spans="1:10" x14ac:dyDescent="0.3">
      <c r="A202" s="168">
        <f t="shared" si="6"/>
        <v>10</v>
      </c>
      <c r="B202" s="169" t="s">
        <v>784</v>
      </c>
      <c r="D202" s="171"/>
      <c r="E202" s="171"/>
      <c r="F202" s="171"/>
      <c r="G202" s="264" t="str">
        <f>G127</f>
        <v>21%</v>
      </c>
      <c r="H202" s="171"/>
      <c r="I202" s="180" t="s">
        <v>827</v>
      </c>
      <c r="J202" s="168">
        <f t="shared" si="7"/>
        <v>10</v>
      </c>
    </row>
    <row r="203" spans="1:10" x14ac:dyDescent="0.3">
      <c r="A203" s="168">
        <f t="shared" si="6"/>
        <v>11</v>
      </c>
      <c r="G203" s="168"/>
      <c r="H203" s="168"/>
      <c r="J203" s="168">
        <f t="shared" si="7"/>
        <v>11</v>
      </c>
    </row>
    <row r="204" spans="1:10" x14ac:dyDescent="0.3">
      <c r="A204" s="168">
        <f t="shared" si="6"/>
        <v>12</v>
      </c>
      <c r="B204" s="169" t="s">
        <v>828</v>
      </c>
      <c r="D204" s="171"/>
      <c r="E204" s="171"/>
      <c r="F204" s="171"/>
      <c r="G204" s="240">
        <f>IFERROR((((G198)+(G200/G201))*G202-(G199/G201))/(1-G202),0)</f>
        <v>0</v>
      </c>
      <c r="H204" s="240"/>
      <c r="I204" s="180" t="s">
        <v>829</v>
      </c>
      <c r="J204" s="168">
        <f t="shared" si="7"/>
        <v>12</v>
      </c>
    </row>
    <row r="205" spans="1:10" x14ac:dyDescent="0.3">
      <c r="A205" s="168">
        <f t="shared" si="6"/>
        <v>13</v>
      </c>
      <c r="B205" s="242" t="s">
        <v>789</v>
      </c>
      <c r="D205" s="242"/>
      <c r="G205" s="222"/>
      <c r="H205" s="222"/>
      <c r="J205" s="168">
        <f t="shared" si="7"/>
        <v>13</v>
      </c>
    </row>
    <row r="206" spans="1:10" x14ac:dyDescent="0.3">
      <c r="A206" s="168">
        <f t="shared" si="6"/>
        <v>14</v>
      </c>
      <c r="G206" s="168"/>
      <c r="H206" s="168"/>
      <c r="J206" s="168">
        <f t="shared" si="7"/>
        <v>14</v>
      </c>
    </row>
    <row r="207" spans="1:10" x14ac:dyDescent="0.3">
      <c r="A207" s="168">
        <f t="shared" si="6"/>
        <v>15</v>
      </c>
      <c r="B207" s="174" t="s">
        <v>790</v>
      </c>
      <c r="C207" s="171"/>
      <c r="D207" s="171"/>
      <c r="E207" s="171"/>
      <c r="F207" s="171"/>
      <c r="G207" s="243"/>
      <c r="H207" s="243"/>
      <c r="I207" s="244"/>
      <c r="J207" s="168">
        <f t="shared" si="7"/>
        <v>15</v>
      </c>
    </row>
    <row r="208" spans="1:10" x14ac:dyDescent="0.3">
      <c r="A208" s="168">
        <f t="shared" si="6"/>
        <v>16</v>
      </c>
      <c r="B208" s="184"/>
      <c r="C208" s="171"/>
      <c r="D208" s="171"/>
      <c r="E208" s="171"/>
      <c r="F208" s="171"/>
      <c r="G208" s="243"/>
      <c r="H208" s="243"/>
      <c r="I208" s="231"/>
      <c r="J208" s="168">
        <f t="shared" si="7"/>
        <v>16</v>
      </c>
    </row>
    <row r="209" spans="1:10" x14ac:dyDescent="0.3">
      <c r="A209" s="168">
        <f t="shared" si="6"/>
        <v>17</v>
      </c>
      <c r="B209" s="175" t="s">
        <v>775</v>
      </c>
      <c r="C209" s="171"/>
      <c r="D209" s="171"/>
      <c r="E209" s="171"/>
      <c r="F209" s="171"/>
      <c r="G209" s="243"/>
      <c r="H209" s="243"/>
      <c r="I209" s="231"/>
      <c r="J209" s="168">
        <f t="shared" si="7"/>
        <v>17</v>
      </c>
    </row>
    <row r="210" spans="1:10" x14ac:dyDescent="0.3">
      <c r="A210" s="168">
        <f t="shared" si="6"/>
        <v>18</v>
      </c>
      <c r="B210" s="169" t="s">
        <v>776</v>
      </c>
      <c r="D210" s="171"/>
      <c r="E210" s="171"/>
      <c r="F210" s="171"/>
      <c r="G210" s="212">
        <f>G198</f>
        <v>0</v>
      </c>
      <c r="H210" s="212"/>
      <c r="I210" s="180" t="s">
        <v>791</v>
      </c>
      <c r="J210" s="168">
        <f t="shared" si="7"/>
        <v>18</v>
      </c>
    </row>
    <row r="211" spans="1:10" x14ac:dyDescent="0.3">
      <c r="A211" s="168">
        <f t="shared" si="6"/>
        <v>19</v>
      </c>
      <c r="B211" s="169" t="s">
        <v>792</v>
      </c>
      <c r="D211" s="171"/>
      <c r="E211" s="171"/>
      <c r="F211" s="171"/>
      <c r="G211" s="247">
        <f>G200</f>
        <v>0</v>
      </c>
      <c r="H211" s="247"/>
      <c r="I211" s="180" t="s">
        <v>793</v>
      </c>
      <c r="J211" s="168">
        <f t="shared" si="7"/>
        <v>19</v>
      </c>
    </row>
    <row r="212" spans="1:10" x14ac:dyDescent="0.3">
      <c r="A212" s="168">
        <f t="shared" si="6"/>
        <v>20</v>
      </c>
      <c r="B212" s="169" t="s">
        <v>830</v>
      </c>
      <c r="D212" s="171"/>
      <c r="E212" s="171"/>
      <c r="F212" s="171"/>
      <c r="G212" s="247">
        <f>G201</f>
        <v>0</v>
      </c>
      <c r="H212" s="247"/>
      <c r="I212" s="180" t="s">
        <v>795</v>
      </c>
      <c r="J212" s="168">
        <f t="shared" si="7"/>
        <v>20</v>
      </c>
    </row>
    <row r="213" spans="1:10" x14ac:dyDescent="0.3">
      <c r="A213" s="168">
        <f t="shared" si="6"/>
        <v>21</v>
      </c>
      <c r="B213" s="169" t="s">
        <v>796</v>
      </c>
      <c r="D213" s="171"/>
      <c r="E213" s="171"/>
      <c r="F213" s="171"/>
      <c r="G213" s="249">
        <f>G204</f>
        <v>0</v>
      </c>
      <c r="H213" s="249"/>
      <c r="I213" s="180" t="s">
        <v>797</v>
      </c>
      <c r="J213" s="168">
        <f t="shared" si="7"/>
        <v>21</v>
      </c>
    </row>
    <row r="214" spans="1:10" x14ac:dyDescent="0.3">
      <c r="A214" s="168">
        <f t="shared" si="6"/>
        <v>22</v>
      </c>
      <c r="B214" s="169" t="s">
        <v>798</v>
      </c>
      <c r="D214" s="171"/>
      <c r="E214" s="171"/>
      <c r="F214" s="171"/>
      <c r="G214" s="265" t="str">
        <f>G139</f>
        <v>8.84%</v>
      </c>
      <c r="H214" s="171"/>
      <c r="I214" s="180" t="s">
        <v>831</v>
      </c>
      <c r="J214" s="168">
        <f t="shared" si="7"/>
        <v>22</v>
      </c>
    </row>
    <row r="215" spans="1:10" x14ac:dyDescent="0.3">
      <c r="A215" s="168">
        <f t="shared" si="6"/>
        <v>23</v>
      </c>
      <c r="B215" s="188"/>
      <c r="D215" s="171"/>
      <c r="E215" s="171"/>
      <c r="F215" s="171"/>
      <c r="G215" s="250"/>
      <c r="H215" s="250"/>
      <c r="I215" s="246"/>
      <c r="J215" s="168">
        <f t="shared" si="7"/>
        <v>23</v>
      </c>
    </row>
    <row r="216" spans="1:10" x14ac:dyDescent="0.3">
      <c r="A216" s="168">
        <f t="shared" si="6"/>
        <v>24</v>
      </c>
      <c r="B216" s="169" t="s">
        <v>801</v>
      </c>
      <c r="C216" s="168"/>
      <c r="D216" s="168"/>
      <c r="E216" s="171"/>
      <c r="F216" s="171"/>
      <c r="G216" s="251">
        <f>IFERROR(((G210)+(G211/G212)+G204)*G214/(1-G214),0)</f>
        <v>0</v>
      </c>
      <c r="H216" s="252"/>
      <c r="I216" s="180" t="s">
        <v>802</v>
      </c>
      <c r="J216" s="168">
        <f t="shared" si="7"/>
        <v>24</v>
      </c>
    </row>
    <row r="217" spans="1:10" x14ac:dyDescent="0.3">
      <c r="A217" s="168">
        <f t="shared" si="6"/>
        <v>25</v>
      </c>
      <c r="B217" s="242" t="s">
        <v>803</v>
      </c>
      <c r="D217" s="242"/>
      <c r="G217" s="168"/>
      <c r="H217" s="168"/>
      <c r="I217" s="180"/>
      <c r="J217" s="168">
        <f t="shared" si="7"/>
        <v>25</v>
      </c>
    </row>
    <row r="218" spans="1:10" x14ac:dyDescent="0.3">
      <c r="A218" s="168">
        <f t="shared" si="6"/>
        <v>26</v>
      </c>
      <c r="G218" s="168"/>
      <c r="H218" s="168"/>
      <c r="I218" s="180"/>
      <c r="J218" s="168">
        <f t="shared" si="7"/>
        <v>26</v>
      </c>
    </row>
    <row r="219" spans="1:10" x14ac:dyDescent="0.3">
      <c r="A219" s="168">
        <f t="shared" si="6"/>
        <v>27</v>
      </c>
      <c r="B219" s="174" t="s">
        <v>804</v>
      </c>
      <c r="G219" s="240">
        <f>G216+G204</f>
        <v>0</v>
      </c>
      <c r="H219" s="240"/>
      <c r="I219" s="180" t="s">
        <v>805</v>
      </c>
      <c r="J219" s="168">
        <f t="shared" si="7"/>
        <v>27</v>
      </c>
    </row>
    <row r="220" spans="1:10" x14ac:dyDescent="0.3">
      <c r="A220" s="168">
        <f t="shared" si="6"/>
        <v>28</v>
      </c>
      <c r="G220" s="168"/>
      <c r="H220" s="168"/>
      <c r="I220" s="180"/>
      <c r="J220" s="168">
        <f t="shared" si="7"/>
        <v>28</v>
      </c>
    </row>
    <row r="221" spans="1:10" x14ac:dyDescent="0.3">
      <c r="A221" s="168">
        <f t="shared" si="6"/>
        <v>29</v>
      </c>
      <c r="B221" s="174" t="s">
        <v>832</v>
      </c>
      <c r="G221" s="266">
        <f>G88</f>
        <v>1.7368511652018213E-2</v>
      </c>
      <c r="H221" s="171"/>
      <c r="I221" s="180" t="s">
        <v>833</v>
      </c>
      <c r="J221" s="168">
        <f t="shared" si="7"/>
        <v>29</v>
      </c>
    </row>
    <row r="222" spans="1:10" x14ac:dyDescent="0.3">
      <c r="A222" s="168">
        <f t="shared" si="6"/>
        <v>30</v>
      </c>
      <c r="G222" s="168"/>
      <c r="H222" s="168"/>
      <c r="I222" s="180"/>
      <c r="J222" s="168">
        <f t="shared" si="7"/>
        <v>30</v>
      </c>
    </row>
    <row r="223" spans="1:10" ht="18.600000000000001" thickBot="1" x14ac:dyDescent="0.35">
      <c r="A223" s="168">
        <f t="shared" si="6"/>
        <v>31</v>
      </c>
      <c r="B223" s="174" t="s">
        <v>834</v>
      </c>
      <c r="G223" s="267">
        <f>G219+G221</f>
        <v>1.7368511652018213E-2</v>
      </c>
      <c r="H223" s="268"/>
      <c r="I223" s="180" t="s">
        <v>809</v>
      </c>
      <c r="J223" s="168">
        <f t="shared" si="7"/>
        <v>31</v>
      </c>
    </row>
    <row r="224" spans="1:10" ht="16.8" thickTop="1" thickBot="1" x14ac:dyDescent="0.35">
      <c r="A224" s="209">
        <f t="shared" si="6"/>
        <v>32</v>
      </c>
      <c r="B224" s="225"/>
      <c r="C224" s="191"/>
      <c r="D224" s="191"/>
      <c r="E224" s="191"/>
      <c r="F224" s="191"/>
      <c r="G224" s="269"/>
      <c r="H224" s="269"/>
      <c r="I224" s="210"/>
      <c r="J224" s="209">
        <f t="shared" si="7"/>
        <v>32</v>
      </c>
    </row>
    <row r="225" spans="1:10" x14ac:dyDescent="0.3">
      <c r="A225" s="168">
        <f t="shared" si="6"/>
        <v>33</v>
      </c>
      <c r="B225" s="174"/>
      <c r="G225" s="268"/>
      <c r="H225" s="268"/>
      <c r="I225" s="180"/>
      <c r="J225" s="168">
        <f t="shared" si="7"/>
        <v>33</v>
      </c>
    </row>
    <row r="226" spans="1:10" ht="18" x14ac:dyDescent="0.3">
      <c r="A226" s="168">
        <f t="shared" si="6"/>
        <v>34</v>
      </c>
      <c r="B226" s="174" t="s">
        <v>810</v>
      </c>
      <c r="E226" s="171"/>
      <c r="F226" s="171"/>
      <c r="G226" s="229"/>
      <c r="H226" s="229"/>
      <c r="I226" s="180"/>
      <c r="J226" s="168">
        <f t="shared" si="7"/>
        <v>34</v>
      </c>
    </row>
    <row r="227" spans="1:10" x14ac:dyDescent="0.3">
      <c r="A227" s="168">
        <f t="shared" si="6"/>
        <v>35</v>
      </c>
      <c r="B227" s="230"/>
      <c r="E227" s="171"/>
      <c r="F227" s="171"/>
      <c r="G227" s="229"/>
      <c r="H227" s="229"/>
      <c r="I227" s="180"/>
      <c r="J227" s="168">
        <f t="shared" si="7"/>
        <v>35</v>
      </c>
    </row>
    <row r="228" spans="1:10" x14ac:dyDescent="0.3">
      <c r="A228" s="168">
        <f t="shared" si="6"/>
        <v>36</v>
      </c>
      <c r="B228" s="174" t="s">
        <v>774</v>
      </c>
      <c r="E228" s="171"/>
      <c r="F228" s="171"/>
      <c r="G228" s="229"/>
      <c r="H228" s="229"/>
      <c r="I228" s="180"/>
      <c r="J228" s="168">
        <f t="shared" si="7"/>
        <v>36</v>
      </c>
    </row>
    <row r="229" spans="1:10" x14ac:dyDescent="0.3">
      <c r="A229" s="168">
        <f t="shared" si="6"/>
        <v>37</v>
      </c>
      <c r="B229" s="171"/>
      <c r="C229" s="171"/>
      <c r="D229" s="171"/>
      <c r="E229" s="171"/>
      <c r="F229" s="171"/>
      <c r="G229" s="229"/>
      <c r="H229" s="229"/>
      <c r="I229" s="180"/>
      <c r="J229" s="168">
        <f t="shared" si="7"/>
        <v>37</v>
      </c>
    </row>
    <row r="230" spans="1:10" x14ac:dyDescent="0.3">
      <c r="A230" s="168">
        <f t="shared" si="6"/>
        <v>38</v>
      </c>
      <c r="B230" s="175" t="s">
        <v>775</v>
      </c>
      <c r="C230" s="171"/>
      <c r="D230" s="171"/>
      <c r="E230" s="171"/>
      <c r="F230" s="171"/>
      <c r="G230" s="229"/>
      <c r="H230" s="229"/>
      <c r="I230" s="231"/>
      <c r="J230" s="168">
        <f t="shared" si="7"/>
        <v>38</v>
      </c>
    </row>
    <row r="231" spans="1:10" x14ac:dyDescent="0.3">
      <c r="A231" s="168">
        <f t="shared" si="6"/>
        <v>39</v>
      </c>
      <c r="B231" s="169" t="s">
        <v>811</v>
      </c>
      <c r="D231" s="171"/>
      <c r="E231" s="171"/>
      <c r="F231" s="171"/>
      <c r="G231" s="232">
        <f>G103</f>
        <v>0</v>
      </c>
      <c r="H231" s="171"/>
      <c r="I231" s="180" t="s">
        <v>835</v>
      </c>
      <c r="J231" s="168">
        <f t="shared" si="7"/>
        <v>39</v>
      </c>
    </row>
    <row r="232" spans="1:10" x14ac:dyDescent="0.3">
      <c r="A232" s="168">
        <f t="shared" si="6"/>
        <v>40</v>
      </c>
      <c r="B232" s="169" t="s">
        <v>778</v>
      </c>
      <c r="D232" s="171"/>
      <c r="E232" s="171"/>
      <c r="F232" s="171"/>
      <c r="G232" s="257">
        <v>0</v>
      </c>
      <c r="H232" s="171"/>
      <c r="I232" s="180" t="s">
        <v>824</v>
      </c>
      <c r="J232" s="168">
        <f t="shared" si="7"/>
        <v>40</v>
      </c>
    </row>
    <row r="233" spans="1:10" x14ac:dyDescent="0.3">
      <c r="A233" s="168">
        <f t="shared" si="6"/>
        <v>41</v>
      </c>
      <c r="B233" s="169" t="s">
        <v>780</v>
      </c>
      <c r="D233" s="171"/>
      <c r="E233" s="171"/>
      <c r="F233" s="171"/>
      <c r="G233" s="234">
        <v>0</v>
      </c>
      <c r="H233" s="171"/>
      <c r="I233" s="224"/>
      <c r="J233" s="168">
        <f t="shared" si="7"/>
        <v>41</v>
      </c>
    </row>
    <row r="234" spans="1:10" x14ac:dyDescent="0.3">
      <c r="A234" s="168">
        <f t="shared" si="6"/>
        <v>42</v>
      </c>
      <c r="B234" s="169" t="s">
        <v>836</v>
      </c>
      <c r="D234" s="171"/>
      <c r="E234" s="171"/>
      <c r="F234" s="171"/>
      <c r="G234" s="233">
        <v>0</v>
      </c>
      <c r="H234" s="171"/>
      <c r="I234" s="180" t="s">
        <v>826</v>
      </c>
      <c r="J234" s="168">
        <f t="shared" si="7"/>
        <v>42</v>
      </c>
    </row>
    <row r="235" spans="1:10" x14ac:dyDescent="0.3">
      <c r="A235" s="168">
        <f t="shared" si="6"/>
        <v>43</v>
      </c>
      <c r="B235" s="169" t="s">
        <v>784</v>
      </c>
      <c r="D235" s="171"/>
      <c r="E235" s="171"/>
      <c r="F235" s="171"/>
      <c r="G235" s="264" t="str">
        <f>G160</f>
        <v>21%</v>
      </c>
      <c r="H235" s="171"/>
      <c r="I235" s="180" t="s">
        <v>827</v>
      </c>
      <c r="J235" s="168">
        <f t="shared" si="7"/>
        <v>43</v>
      </c>
    </row>
    <row r="236" spans="1:10" x14ac:dyDescent="0.3">
      <c r="A236" s="168">
        <f t="shared" si="6"/>
        <v>44</v>
      </c>
      <c r="G236" s="168"/>
      <c r="H236" s="168"/>
      <c r="J236" s="168">
        <f t="shared" si="7"/>
        <v>44</v>
      </c>
    </row>
    <row r="237" spans="1:10" x14ac:dyDescent="0.3">
      <c r="A237" s="168">
        <f t="shared" si="6"/>
        <v>45</v>
      </c>
      <c r="B237" s="169" t="s">
        <v>787</v>
      </c>
      <c r="D237" s="171"/>
      <c r="E237" s="171"/>
      <c r="F237" s="171"/>
      <c r="G237" s="240">
        <f>IFERROR((((G231)+(G233/G234))*G235-(G232/G234))/(1-G235),0)</f>
        <v>0</v>
      </c>
      <c r="H237" s="240"/>
      <c r="I237" s="180" t="s">
        <v>829</v>
      </c>
      <c r="J237" s="168">
        <f t="shared" si="7"/>
        <v>45</v>
      </c>
    </row>
    <row r="238" spans="1:10" x14ac:dyDescent="0.3">
      <c r="A238" s="168">
        <f t="shared" si="6"/>
        <v>46</v>
      </c>
      <c r="B238" s="242" t="s">
        <v>789</v>
      </c>
      <c r="D238" s="242"/>
      <c r="G238" s="222"/>
      <c r="H238" s="222"/>
      <c r="J238" s="168">
        <f t="shared" si="7"/>
        <v>46</v>
      </c>
    </row>
    <row r="239" spans="1:10" x14ac:dyDescent="0.3">
      <c r="A239" s="168">
        <f t="shared" si="6"/>
        <v>47</v>
      </c>
      <c r="G239" s="168"/>
      <c r="H239" s="168"/>
      <c r="J239" s="168">
        <f t="shared" si="7"/>
        <v>47</v>
      </c>
    </row>
    <row r="240" spans="1:10" x14ac:dyDescent="0.3">
      <c r="A240" s="168">
        <f t="shared" si="6"/>
        <v>48</v>
      </c>
      <c r="B240" s="174" t="s">
        <v>790</v>
      </c>
      <c r="C240" s="171"/>
      <c r="D240" s="171"/>
      <c r="E240" s="171"/>
      <c r="F240" s="171"/>
      <c r="G240" s="243"/>
      <c r="H240" s="243"/>
      <c r="I240" s="244"/>
      <c r="J240" s="168">
        <f t="shared" si="7"/>
        <v>48</v>
      </c>
    </row>
    <row r="241" spans="1:10" x14ac:dyDescent="0.3">
      <c r="A241" s="168">
        <f t="shared" si="6"/>
        <v>49</v>
      </c>
      <c r="B241" s="184"/>
      <c r="C241" s="171"/>
      <c r="D241" s="171"/>
      <c r="E241" s="171"/>
      <c r="F241" s="171"/>
      <c r="G241" s="243"/>
      <c r="H241" s="243"/>
      <c r="I241" s="231"/>
      <c r="J241" s="168">
        <f t="shared" si="7"/>
        <v>49</v>
      </c>
    </row>
    <row r="242" spans="1:10" x14ac:dyDescent="0.3">
      <c r="A242" s="168">
        <f t="shared" si="6"/>
        <v>50</v>
      </c>
      <c r="B242" s="175" t="s">
        <v>775</v>
      </c>
      <c r="C242" s="171"/>
      <c r="D242" s="171"/>
      <c r="E242" s="171"/>
      <c r="F242" s="171"/>
      <c r="G242" s="243"/>
      <c r="H242" s="243"/>
      <c r="I242" s="231"/>
      <c r="J242" s="168">
        <f t="shared" si="7"/>
        <v>50</v>
      </c>
    </row>
    <row r="243" spans="1:10" x14ac:dyDescent="0.3">
      <c r="A243" s="168">
        <f t="shared" si="6"/>
        <v>51</v>
      </c>
      <c r="B243" s="169" t="s">
        <v>811</v>
      </c>
      <c r="D243" s="171"/>
      <c r="E243" s="171"/>
      <c r="F243" s="171"/>
      <c r="G243" s="212">
        <f>G231</f>
        <v>0</v>
      </c>
      <c r="H243" s="212"/>
      <c r="I243" s="180" t="s">
        <v>813</v>
      </c>
      <c r="J243" s="168">
        <f t="shared" si="7"/>
        <v>51</v>
      </c>
    </row>
    <row r="244" spans="1:10" x14ac:dyDescent="0.3">
      <c r="A244" s="168">
        <f t="shared" si="6"/>
        <v>52</v>
      </c>
      <c r="B244" s="169" t="s">
        <v>792</v>
      </c>
      <c r="D244" s="171"/>
      <c r="E244" s="171"/>
      <c r="F244" s="171"/>
      <c r="G244" s="247">
        <f>G233</f>
        <v>0</v>
      </c>
      <c r="H244" s="247"/>
      <c r="I244" s="180" t="s">
        <v>814</v>
      </c>
      <c r="J244" s="168">
        <f t="shared" si="7"/>
        <v>52</v>
      </c>
    </row>
    <row r="245" spans="1:10" x14ac:dyDescent="0.3">
      <c r="A245" s="168">
        <f t="shared" si="6"/>
        <v>53</v>
      </c>
      <c r="B245" s="169" t="s">
        <v>837</v>
      </c>
      <c r="D245" s="171"/>
      <c r="E245" s="171"/>
      <c r="F245" s="171"/>
      <c r="G245" s="247">
        <f>G234</f>
        <v>0</v>
      </c>
      <c r="H245" s="247"/>
      <c r="I245" s="180" t="s">
        <v>815</v>
      </c>
      <c r="J245" s="168">
        <f t="shared" si="7"/>
        <v>53</v>
      </c>
    </row>
    <row r="246" spans="1:10" x14ac:dyDescent="0.3">
      <c r="A246" s="168">
        <f t="shared" si="6"/>
        <v>54</v>
      </c>
      <c r="B246" s="169" t="s">
        <v>796</v>
      </c>
      <c r="D246" s="171"/>
      <c r="E246" s="171"/>
      <c r="F246" s="171"/>
      <c r="G246" s="249">
        <f>G237</f>
        <v>0</v>
      </c>
      <c r="H246" s="249"/>
      <c r="I246" s="180" t="s">
        <v>816</v>
      </c>
      <c r="J246" s="168">
        <f t="shared" si="7"/>
        <v>54</v>
      </c>
    </row>
    <row r="247" spans="1:10" x14ac:dyDescent="0.3">
      <c r="A247" s="168">
        <f t="shared" si="6"/>
        <v>55</v>
      </c>
      <c r="B247" s="169" t="s">
        <v>798</v>
      </c>
      <c r="D247" s="171"/>
      <c r="E247" s="171"/>
      <c r="F247" s="171"/>
      <c r="G247" s="265" t="str">
        <f>G172</f>
        <v>8.84%</v>
      </c>
      <c r="H247" s="171"/>
      <c r="I247" s="180" t="s">
        <v>838</v>
      </c>
      <c r="J247" s="168">
        <f t="shared" si="7"/>
        <v>55</v>
      </c>
    </row>
    <row r="248" spans="1:10" x14ac:dyDescent="0.3">
      <c r="A248" s="168">
        <f t="shared" si="6"/>
        <v>56</v>
      </c>
      <c r="B248" s="188"/>
      <c r="D248" s="171"/>
      <c r="E248" s="171"/>
      <c r="F248" s="171"/>
      <c r="G248" s="250"/>
      <c r="H248" s="250"/>
      <c r="I248" s="246"/>
      <c r="J248" s="168">
        <f t="shared" si="7"/>
        <v>56</v>
      </c>
    </row>
    <row r="249" spans="1:10" x14ac:dyDescent="0.3">
      <c r="A249" s="168">
        <f t="shared" si="6"/>
        <v>57</v>
      </c>
      <c r="B249" s="169" t="s">
        <v>801</v>
      </c>
      <c r="C249" s="168"/>
      <c r="D249" s="168"/>
      <c r="E249" s="171"/>
      <c r="F249" s="171"/>
      <c r="G249" s="251">
        <f>IFERROR(((G243)+(G244/G245)+G237)*G247/(1-G247),0)</f>
        <v>0</v>
      </c>
      <c r="H249" s="252"/>
      <c r="I249" s="180" t="s">
        <v>802</v>
      </c>
      <c r="J249" s="168">
        <f t="shared" si="7"/>
        <v>57</v>
      </c>
    </row>
    <row r="250" spans="1:10" x14ac:dyDescent="0.3">
      <c r="A250" s="168">
        <f t="shared" si="6"/>
        <v>58</v>
      </c>
      <c r="B250" s="242" t="s">
        <v>803</v>
      </c>
      <c r="D250" s="242"/>
      <c r="G250" s="168"/>
      <c r="H250" s="168"/>
      <c r="I250" s="180"/>
      <c r="J250" s="168">
        <f t="shared" si="7"/>
        <v>58</v>
      </c>
    </row>
    <row r="251" spans="1:10" x14ac:dyDescent="0.3">
      <c r="A251" s="168">
        <f t="shared" si="6"/>
        <v>59</v>
      </c>
      <c r="G251" s="168"/>
      <c r="H251" s="168"/>
      <c r="I251" s="180"/>
      <c r="J251" s="168">
        <f t="shared" si="7"/>
        <v>59</v>
      </c>
    </row>
    <row r="252" spans="1:10" x14ac:dyDescent="0.3">
      <c r="A252" s="168">
        <f t="shared" si="6"/>
        <v>60</v>
      </c>
      <c r="B252" s="174" t="s">
        <v>804</v>
      </c>
      <c r="G252" s="240">
        <f>G249+G237</f>
        <v>0</v>
      </c>
      <c r="H252" s="240"/>
      <c r="I252" s="180" t="s">
        <v>817</v>
      </c>
      <c r="J252" s="168">
        <f t="shared" si="7"/>
        <v>60</v>
      </c>
    </row>
    <row r="253" spans="1:10" x14ac:dyDescent="0.3">
      <c r="A253" s="168">
        <f t="shared" si="6"/>
        <v>61</v>
      </c>
      <c r="G253" s="168"/>
      <c r="H253" s="168"/>
      <c r="I253" s="180"/>
      <c r="J253" s="168">
        <f t="shared" si="7"/>
        <v>61</v>
      </c>
    </row>
    <row r="254" spans="1:10" x14ac:dyDescent="0.3">
      <c r="A254" s="168">
        <f t="shared" si="6"/>
        <v>62</v>
      </c>
      <c r="B254" s="174" t="s">
        <v>818</v>
      </c>
      <c r="G254" s="266">
        <f>G101</f>
        <v>0</v>
      </c>
      <c r="H254" s="171"/>
      <c r="I254" s="180" t="s">
        <v>839</v>
      </c>
      <c r="J254" s="168">
        <f t="shared" si="7"/>
        <v>62</v>
      </c>
    </row>
    <row r="255" spans="1:10" x14ac:dyDescent="0.3">
      <c r="A255" s="168">
        <f t="shared" si="6"/>
        <v>63</v>
      </c>
      <c r="G255" s="168"/>
      <c r="H255" s="168"/>
      <c r="I255" s="180"/>
      <c r="J255" s="168">
        <f t="shared" si="7"/>
        <v>63</v>
      </c>
    </row>
    <row r="256" spans="1:10" ht="18.600000000000001" thickBot="1" x14ac:dyDescent="0.35">
      <c r="A256" s="168">
        <f t="shared" si="6"/>
        <v>64</v>
      </c>
      <c r="B256" s="174" t="s">
        <v>820</v>
      </c>
      <c r="G256" s="267">
        <f>G252+G254</f>
        <v>0</v>
      </c>
      <c r="H256" s="268"/>
      <c r="I256" s="180" t="s">
        <v>821</v>
      </c>
      <c r="J256" s="168">
        <f t="shared" si="7"/>
        <v>64</v>
      </c>
    </row>
    <row r="257" spans="1:10" ht="16.2" thickTop="1" x14ac:dyDescent="0.3">
      <c r="A257" s="176"/>
      <c r="B257" s="223"/>
      <c r="C257" s="223"/>
      <c r="D257" s="223"/>
      <c r="E257" s="223"/>
      <c r="F257" s="223"/>
      <c r="G257" s="223"/>
      <c r="H257" s="223"/>
      <c r="I257" s="270"/>
      <c r="J257" s="223"/>
    </row>
    <row r="258" spans="1:10" ht="18" x14ac:dyDescent="0.3">
      <c r="A258" s="187">
        <v>1</v>
      </c>
      <c r="B258" s="169" t="s">
        <v>840</v>
      </c>
      <c r="C258" s="223"/>
      <c r="D258" s="223"/>
      <c r="E258" s="223"/>
      <c r="F258" s="223"/>
      <c r="G258" s="223"/>
      <c r="H258" s="223"/>
      <c r="I258" s="270"/>
      <c r="J258" s="223"/>
    </row>
    <row r="259" spans="1:10" x14ac:dyDescent="0.3">
      <c r="A259" s="176"/>
      <c r="B259" s="223"/>
      <c r="C259" s="223"/>
      <c r="D259" s="223"/>
      <c r="E259" s="223"/>
      <c r="F259" s="223"/>
      <c r="G259" s="223"/>
      <c r="H259" s="223"/>
      <c r="I259" s="270"/>
      <c r="J259" s="223"/>
    </row>
    <row r="260" spans="1:10" ht="18" x14ac:dyDescent="0.3">
      <c r="A260" s="187"/>
    </row>
  </sheetData>
  <mergeCells count="20">
    <mergeCell ref="B110:I110"/>
    <mergeCell ref="B3:I3"/>
    <mergeCell ref="B4:I4"/>
    <mergeCell ref="B5:I5"/>
    <mergeCell ref="B6:I6"/>
    <mergeCell ref="B7:I7"/>
    <mergeCell ref="B71:I71"/>
    <mergeCell ref="B72:I72"/>
    <mergeCell ref="B73:I73"/>
    <mergeCell ref="B74:I74"/>
    <mergeCell ref="B75:I75"/>
    <mergeCell ref="B109:I109"/>
    <mergeCell ref="B187:I187"/>
    <mergeCell ref="B188:I188"/>
    <mergeCell ref="B111:I111"/>
    <mergeCell ref="B112:I112"/>
    <mergeCell ref="B113:I113"/>
    <mergeCell ref="B184:I184"/>
    <mergeCell ref="B185:I185"/>
    <mergeCell ref="B186:I186"/>
  </mergeCells>
  <printOptions horizontalCentered="1"/>
  <pageMargins left="0.25" right="0.25" top="0.5" bottom="0.5" header="0.35" footer="0.25"/>
  <pageSetup scale="51" orientation="portrait" horizontalDpi="200" verticalDpi="200" r:id="rId1"/>
  <headerFooter scaleWithDoc="0" alignWithMargins="0">
    <oddHeader xml:space="preserve">&amp;C&amp;"Times New Roman,Bold"&amp;8AS FILED </oddHeader>
    <oddFooter>&amp;CPage 12.&amp;P&amp;R&amp;F</oddFooter>
  </headerFooter>
  <rowBreaks count="3" manualBreakCount="3">
    <brk id="69" max="16383" man="1"/>
    <brk id="107" max="16383" man="1"/>
    <brk id="182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70706-5A85-49DC-A72A-E6297475FE0C}">
  <sheetPr>
    <pageSetUpPr fitToPage="1"/>
  </sheetPr>
  <dimension ref="A1:H31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63.44140625" style="169" customWidth="1"/>
    <col min="3" max="3" width="24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41.6640625" style="169" bestFit="1" customWidth="1"/>
    <col min="8" max="8" width="5.109375" style="169" customWidth="1"/>
    <col min="9" max="9" width="8.88671875" style="169"/>
    <col min="10" max="10" width="20.44140625" style="169" bestFit="1" customWidth="1"/>
    <col min="11" max="16384" width="8.88671875" style="169"/>
  </cols>
  <sheetData>
    <row r="1" spans="1:8" x14ac:dyDescent="0.3">
      <c r="E1" s="186"/>
      <c r="F1" s="186"/>
      <c r="G1" s="168"/>
      <c r="H1" s="168"/>
    </row>
    <row r="2" spans="1:8" x14ac:dyDescent="0.3">
      <c r="B2" s="861" t="s">
        <v>217</v>
      </c>
      <c r="C2" s="861"/>
      <c r="D2" s="861"/>
      <c r="E2" s="861"/>
      <c r="F2" s="861"/>
      <c r="G2" s="861"/>
      <c r="H2" s="168"/>
    </row>
    <row r="3" spans="1:8" x14ac:dyDescent="0.3">
      <c r="B3" s="861" t="s">
        <v>843</v>
      </c>
      <c r="C3" s="861"/>
      <c r="D3" s="861"/>
      <c r="E3" s="861"/>
      <c r="F3" s="861"/>
      <c r="G3" s="861"/>
      <c r="H3" s="168"/>
    </row>
    <row r="4" spans="1:8" x14ac:dyDescent="0.3">
      <c r="B4" s="861" t="s">
        <v>844</v>
      </c>
      <c r="C4" s="861"/>
      <c r="D4" s="861"/>
      <c r="E4" s="861"/>
      <c r="F4" s="861"/>
      <c r="G4" s="861"/>
      <c r="H4" s="168"/>
    </row>
    <row r="5" spans="1:8" x14ac:dyDescent="0.3">
      <c r="B5" s="862" t="s">
        <v>294</v>
      </c>
      <c r="C5" s="862"/>
      <c r="D5" s="862"/>
      <c r="E5" s="862"/>
      <c r="F5" s="862"/>
      <c r="G5" s="862"/>
      <c r="H5" s="168"/>
    </row>
    <row r="6" spans="1:8" x14ac:dyDescent="0.3">
      <c r="B6" s="863" t="s">
        <v>3</v>
      </c>
      <c r="C6" s="864"/>
      <c r="D6" s="864"/>
      <c r="E6" s="864"/>
      <c r="F6" s="864"/>
      <c r="G6" s="864"/>
      <c r="H6" s="168"/>
    </row>
    <row r="7" spans="1:8" x14ac:dyDescent="0.3">
      <c r="B7" s="168"/>
      <c r="C7" s="168"/>
      <c r="D7" s="168"/>
      <c r="E7" s="168"/>
      <c r="F7" s="168"/>
      <c r="G7" s="168"/>
      <c r="H7" s="168"/>
    </row>
    <row r="8" spans="1:8" x14ac:dyDescent="0.3">
      <c r="A8" s="168" t="s">
        <v>4</v>
      </c>
      <c r="B8" s="171"/>
      <c r="C8" s="168" t="s">
        <v>295</v>
      </c>
      <c r="D8" s="171"/>
      <c r="E8" s="171"/>
      <c r="F8" s="171"/>
      <c r="G8" s="168"/>
      <c r="H8" s="168" t="s">
        <v>4</v>
      </c>
    </row>
    <row r="9" spans="1:8" x14ac:dyDescent="0.3">
      <c r="A9" s="168" t="s">
        <v>8</v>
      </c>
      <c r="B9" s="171"/>
      <c r="C9" s="172" t="s">
        <v>299</v>
      </c>
      <c r="D9" s="171"/>
      <c r="E9" s="173" t="s">
        <v>6</v>
      </c>
      <c r="F9" s="171"/>
      <c r="G9" s="172" t="s">
        <v>7</v>
      </c>
      <c r="H9" s="168" t="s">
        <v>8</v>
      </c>
    </row>
    <row r="10" spans="1:8" x14ac:dyDescent="0.3">
      <c r="B10" s="168"/>
      <c r="C10" s="168"/>
      <c r="D10" s="168"/>
      <c r="E10" s="168"/>
      <c r="F10" s="168"/>
      <c r="G10" s="731"/>
      <c r="H10" s="168"/>
    </row>
    <row r="11" spans="1:8" ht="18" x14ac:dyDescent="0.3">
      <c r="A11" s="168">
        <v>1</v>
      </c>
      <c r="B11" s="169" t="s">
        <v>845</v>
      </c>
      <c r="C11" s="168" t="s">
        <v>846</v>
      </c>
      <c r="E11" s="435">
        <v>0</v>
      </c>
      <c r="F11" s="171"/>
      <c r="G11" s="732"/>
      <c r="H11" s="168">
        <f>A11</f>
        <v>1</v>
      </c>
    </row>
    <row r="12" spans="1:8" x14ac:dyDescent="0.3">
      <c r="A12" s="168">
        <f>+A11+1</f>
        <v>2</v>
      </c>
      <c r="E12" s="484"/>
      <c r="F12" s="171"/>
      <c r="G12" s="168"/>
      <c r="H12" s="168">
        <f>+H11+1</f>
        <v>2</v>
      </c>
    </row>
    <row r="13" spans="1:8" x14ac:dyDescent="0.3">
      <c r="A13" s="168">
        <f t="shared" ref="A13:A25" si="0">+A12+1</f>
        <v>3</v>
      </c>
      <c r="B13" s="169" t="s">
        <v>847</v>
      </c>
      <c r="C13" s="168" t="s">
        <v>848</v>
      </c>
      <c r="E13" s="198">
        <v>0</v>
      </c>
      <c r="F13" s="171"/>
      <c r="G13" s="732"/>
      <c r="H13" s="168">
        <f t="shared" ref="H13:H25" si="1">+H12+1</f>
        <v>3</v>
      </c>
    </row>
    <row r="14" spans="1:8" x14ac:dyDescent="0.3">
      <c r="A14" s="168">
        <f t="shared" si="0"/>
        <v>4</v>
      </c>
      <c r="E14" s="484"/>
      <c r="F14" s="171"/>
      <c r="G14" s="168"/>
      <c r="H14" s="168">
        <f t="shared" si="1"/>
        <v>4</v>
      </c>
    </row>
    <row r="15" spans="1:8" x14ac:dyDescent="0.3">
      <c r="A15" s="168">
        <f t="shared" si="0"/>
        <v>5</v>
      </c>
      <c r="B15" s="169" t="s">
        <v>849</v>
      </c>
      <c r="C15" s="168" t="s">
        <v>850</v>
      </c>
      <c r="E15" s="733">
        <f>'Pg14 Rev AU-1'!V13/1000</f>
        <v>-208.86</v>
      </c>
      <c r="F15" s="171"/>
      <c r="G15" s="302" t="s">
        <v>851</v>
      </c>
      <c r="H15" s="168">
        <f t="shared" si="1"/>
        <v>5</v>
      </c>
    </row>
    <row r="16" spans="1:8" x14ac:dyDescent="0.3">
      <c r="A16" s="168">
        <f t="shared" si="0"/>
        <v>6</v>
      </c>
      <c r="E16" s="484"/>
      <c r="F16" s="171"/>
      <c r="G16" s="168"/>
      <c r="H16" s="168">
        <f t="shared" si="1"/>
        <v>6</v>
      </c>
    </row>
    <row r="17" spans="1:8" x14ac:dyDescent="0.3">
      <c r="A17" s="168">
        <f t="shared" si="0"/>
        <v>7</v>
      </c>
      <c r="B17" s="169" t="s">
        <v>852</v>
      </c>
      <c r="C17" s="168" t="s">
        <v>853</v>
      </c>
      <c r="E17" s="198">
        <v>0</v>
      </c>
      <c r="F17" s="171"/>
      <c r="G17" s="302"/>
      <c r="H17" s="168">
        <f t="shared" si="1"/>
        <v>7</v>
      </c>
    </row>
    <row r="18" spans="1:8" x14ac:dyDescent="0.3">
      <c r="A18" s="168">
        <f t="shared" si="0"/>
        <v>8</v>
      </c>
      <c r="E18" s="484"/>
      <c r="F18" s="171"/>
      <c r="G18" s="168"/>
      <c r="H18" s="168">
        <f t="shared" si="1"/>
        <v>8</v>
      </c>
    </row>
    <row r="19" spans="1:8" x14ac:dyDescent="0.3">
      <c r="A19" s="168">
        <f t="shared" si="0"/>
        <v>9</v>
      </c>
      <c r="B19" s="169" t="s">
        <v>854</v>
      </c>
      <c r="C19" s="168" t="s">
        <v>855</v>
      </c>
      <c r="E19" s="844">
        <f>'Pg14 Rev AU-1'!V27/1000</f>
        <v>-3565.42</v>
      </c>
      <c r="F19" s="42" t="s">
        <v>42</v>
      </c>
      <c r="G19" s="302" t="s">
        <v>856</v>
      </c>
      <c r="H19" s="168">
        <f t="shared" si="1"/>
        <v>9</v>
      </c>
    </row>
    <row r="20" spans="1:8" x14ac:dyDescent="0.3">
      <c r="A20" s="168">
        <f t="shared" si="0"/>
        <v>10</v>
      </c>
      <c r="E20" s="484"/>
      <c r="F20" s="171"/>
      <c r="G20" s="168"/>
      <c r="H20" s="168">
        <f t="shared" si="1"/>
        <v>10</v>
      </c>
    </row>
    <row r="21" spans="1:8" x14ac:dyDescent="0.3">
      <c r="A21" s="168">
        <f t="shared" si="0"/>
        <v>11</v>
      </c>
      <c r="B21" s="169" t="s">
        <v>857</v>
      </c>
      <c r="E21" s="735">
        <f>'Pg14 Rev AU-1'!V32/1000</f>
        <v>-634.07000000000005</v>
      </c>
      <c r="F21" s="171"/>
      <c r="G21" s="302" t="s">
        <v>858</v>
      </c>
      <c r="H21" s="168">
        <f t="shared" si="1"/>
        <v>11</v>
      </c>
    </row>
    <row r="22" spans="1:8" x14ac:dyDescent="0.3">
      <c r="A22" s="168">
        <f t="shared" si="0"/>
        <v>12</v>
      </c>
      <c r="E22" s="484"/>
      <c r="F22" s="171"/>
      <c r="G22" s="168"/>
      <c r="H22" s="168">
        <f t="shared" si="1"/>
        <v>12</v>
      </c>
    </row>
    <row r="23" spans="1:8" ht="16.2" thickBot="1" x14ac:dyDescent="0.35">
      <c r="A23" s="168">
        <f t="shared" si="0"/>
        <v>13</v>
      </c>
      <c r="B23" s="169" t="s">
        <v>859</v>
      </c>
      <c r="E23" s="845">
        <f>SUM(E11:E21)</f>
        <v>-4408.3500000000004</v>
      </c>
      <c r="F23" s="42" t="s">
        <v>42</v>
      </c>
      <c r="G23" s="732" t="s">
        <v>860</v>
      </c>
      <c r="H23" s="168">
        <f t="shared" si="1"/>
        <v>13</v>
      </c>
    </row>
    <row r="24" spans="1:8" ht="16.2" thickTop="1" x14ac:dyDescent="0.3">
      <c r="A24" s="168">
        <f t="shared" si="0"/>
        <v>14</v>
      </c>
      <c r="E24" s="186" t="s">
        <v>26</v>
      </c>
      <c r="F24" s="171"/>
      <c r="G24" s="168"/>
      <c r="H24" s="168">
        <f t="shared" si="1"/>
        <v>14</v>
      </c>
    </row>
    <row r="25" spans="1:8" ht="16.2" thickBot="1" x14ac:dyDescent="0.35">
      <c r="A25" s="168">
        <f t="shared" si="0"/>
        <v>15</v>
      </c>
      <c r="B25" s="169" t="s">
        <v>861</v>
      </c>
      <c r="E25" s="737">
        <v>0</v>
      </c>
      <c r="F25" s="171"/>
      <c r="G25" s="732" t="s">
        <v>862</v>
      </c>
      <c r="H25" s="168">
        <f t="shared" si="1"/>
        <v>15</v>
      </c>
    </row>
    <row r="26" spans="1:8" ht="16.2" thickTop="1" x14ac:dyDescent="0.3">
      <c r="F26" s="171"/>
    </row>
    <row r="27" spans="1:8" x14ac:dyDescent="0.3">
      <c r="F27" s="171"/>
    </row>
    <row r="28" spans="1:8" x14ac:dyDescent="0.3">
      <c r="A28" s="42" t="s">
        <v>42</v>
      </c>
      <c r="B28" s="169" t="s">
        <v>863</v>
      </c>
      <c r="F28" s="171"/>
    </row>
    <row r="29" spans="1:8" ht="18" x14ac:dyDescent="0.3">
      <c r="A29" s="187">
        <v>1</v>
      </c>
      <c r="B29" s="169" t="s">
        <v>864</v>
      </c>
    </row>
    <row r="30" spans="1:8" ht="18" x14ac:dyDescent="0.3">
      <c r="A30" s="187"/>
      <c r="B30" s="169" t="s">
        <v>865</v>
      </c>
    </row>
    <row r="31" spans="1:8" x14ac:dyDescent="0.3">
      <c r="B31" s="169" t="s">
        <v>866</v>
      </c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63" orientation="portrait" r:id="rId1"/>
  <headerFooter scaleWithDoc="0" alignWithMargins="0">
    <oddHeader>&amp;C&amp;"Times New Roman,Bold"&amp;9REVISED</oddHeader>
    <oddFooter>&amp;CPage 13&amp;R&amp;F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4C09-7338-4862-A3DD-878AE292BE71}">
  <sheetPr>
    <pageSetUpPr fitToPage="1"/>
  </sheetPr>
  <dimension ref="A1:H31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63.44140625" style="169" customWidth="1"/>
    <col min="3" max="3" width="24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37.5546875" style="169" customWidth="1"/>
    <col min="8" max="8" width="5.109375" style="169" customWidth="1"/>
    <col min="9" max="9" width="8.88671875" style="169"/>
    <col min="10" max="10" width="20.44140625" style="169" bestFit="1" customWidth="1"/>
    <col min="11" max="16384" width="8.88671875" style="169"/>
  </cols>
  <sheetData>
    <row r="1" spans="1:8" x14ac:dyDescent="0.3">
      <c r="A1" s="556" t="s">
        <v>283</v>
      </c>
      <c r="E1" s="186"/>
      <c r="F1" s="186"/>
      <c r="G1" s="168"/>
      <c r="H1" s="168"/>
    </row>
    <row r="2" spans="1:8" x14ac:dyDescent="0.3">
      <c r="A2" s="556"/>
      <c r="E2" s="186"/>
      <c r="F2" s="186"/>
      <c r="G2" s="168"/>
      <c r="H2" s="168"/>
    </row>
    <row r="3" spans="1:8" x14ac:dyDescent="0.3">
      <c r="B3" s="861" t="s">
        <v>217</v>
      </c>
      <c r="C3" s="861"/>
      <c r="D3" s="861"/>
      <c r="E3" s="861"/>
      <c r="F3" s="861"/>
      <c r="G3" s="861"/>
      <c r="H3" s="168"/>
    </row>
    <row r="4" spans="1:8" x14ac:dyDescent="0.3">
      <c r="B4" s="861" t="s">
        <v>843</v>
      </c>
      <c r="C4" s="861"/>
      <c r="D4" s="861"/>
      <c r="E4" s="861"/>
      <c r="F4" s="861"/>
      <c r="G4" s="861"/>
      <c r="H4" s="168"/>
    </row>
    <row r="5" spans="1:8" x14ac:dyDescent="0.3">
      <c r="B5" s="861" t="s">
        <v>844</v>
      </c>
      <c r="C5" s="861"/>
      <c r="D5" s="861"/>
      <c r="E5" s="861"/>
      <c r="F5" s="861"/>
      <c r="G5" s="861"/>
      <c r="H5" s="168"/>
    </row>
    <row r="6" spans="1:8" x14ac:dyDescent="0.3">
      <c r="B6" s="862" t="s">
        <v>294</v>
      </c>
      <c r="C6" s="862"/>
      <c r="D6" s="862"/>
      <c r="E6" s="862"/>
      <c r="F6" s="862"/>
      <c r="G6" s="862"/>
      <c r="H6" s="168"/>
    </row>
    <row r="7" spans="1:8" x14ac:dyDescent="0.3">
      <c r="B7" s="863" t="s">
        <v>3</v>
      </c>
      <c r="C7" s="864"/>
      <c r="D7" s="864"/>
      <c r="E7" s="864"/>
      <c r="F7" s="864"/>
      <c r="G7" s="864"/>
      <c r="H7" s="168"/>
    </row>
    <row r="8" spans="1:8" x14ac:dyDescent="0.3">
      <c r="B8" s="168"/>
      <c r="C8" s="168"/>
      <c r="D8" s="168"/>
      <c r="E8" s="168"/>
      <c r="F8" s="168"/>
      <c r="G8" s="168"/>
      <c r="H8" s="168"/>
    </row>
    <row r="9" spans="1:8" x14ac:dyDescent="0.3">
      <c r="A9" s="168" t="s">
        <v>4</v>
      </c>
      <c r="B9" s="171"/>
      <c r="C9" s="168" t="s">
        <v>295</v>
      </c>
      <c r="D9" s="171"/>
      <c r="E9" s="171"/>
      <c r="F9" s="171"/>
      <c r="G9" s="168"/>
      <c r="H9" s="168" t="s">
        <v>4</v>
      </c>
    </row>
    <row r="10" spans="1:8" x14ac:dyDescent="0.3">
      <c r="A10" s="168" t="s">
        <v>8</v>
      </c>
      <c r="B10" s="171"/>
      <c r="C10" s="172" t="s">
        <v>299</v>
      </c>
      <c r="D10" s="171"/>
      <c r="E10" s="173" t="s">
        <v>6</v>
      </c>
      <c r="F10" s="171"/>
      <c r="G10" s="172" t="s">
        <v>7</v>
      </c>
      <c r="H10" s="168" t="s">
        <v>8</v>
      </c>
    </row>
    <row r="11" spans="1:8" x14ac:dyDescent="0.3">
      <c r="B11" s="168"/>
      <c r="C11" s="168"/>
      <c r="D11" s="168"/>
      <c r="E11" s="168"/>
      <c r="F11" s="168"/>
      <c r="G11" s="731"/>
      <c r="H11" s="168"/>
    </row>
    <row r="12" spans="1:8" ht="18" x14ac:dyDescent="0.3">
      <c r="A12" s="168">
        <v>1</v>
      </c>
      <c r="B12" s="169" t="s">
        <v>845</v>
      </c>
      <c r="C12" s="168" t="s">
        <v>846</v>
      </c>
      <c r="E12" s="435">
        <v>0</v>
      </c>
      <c r="F12" s="171"/>
      <c r="G12" s="732"/>
      <c r="H12" s="168">
        <f>A12</f>
        <v>1</v>
      </c>
    </row>
    <row r="13" spans="1:8" x14ac:dyDescent="0.3">
      <c r="A13" s="168">
        <f>+A12+1</f>
        <v>2</v>
      </c>
      <c r="E13" s="484"/>
      <c r="F13" s="171"/>
      <c r="G13" s="168"/>
      <c r="H13" s="168">
        <f>+H12+1</f>
        <v>2</v>
      </c>
    </row>
    <row r="14" spans="1:8" x14ac:dyDescent="0.3">
      <c r="A14" s="168">
        <f t="shared" ref="A14:A26" si="0">+A13+1</f>
        <v>3</v>
      </c>
      <c r="B14" s="169" t="s">
        <v>847</v>
      </c>
      <c r="C14" s="168" t="s">
        <v>848</v>
      </c>
      <c r="E14" s="198">
        <v>0</v>
      </c>
      <c r="F14" s="171"/>
      <c r="G14" s="732"/>
      <c r="H14" s="168">
        <f t="shared" ref="H14:H26" si="1">+H13+1</f>
        <v>3</v>
      </c>
    </row>
    <row r="15" spans="1:8" x14ac:dyDescent="0.3">
      <c r="A15" s="168">
        <f t="shared" si="0"/>
        <v>4</v>
      </c>
      <c r="E15" s="484"/>
      <c r="F15" s="171"/>
      <c r="G15" s="168"/>
      <c r="H15" s="168">
        <f t="shared" si="1"/>
        <v>4</v>
      </c>
    </row>
    <row r="16" spans="1:8" x14ac:dyDescent="0.3">
      <c r="A16" s="168">
        <f t="shared" si="0"/>
        <v>5</v>
      </c>
      <c r="B16" s="169" t="s">
        <v>849</v>
      </c>
      <c r="C16" s="168" t="s">
        <v>850</v>
      </c>
      <c r="E16" s="733">
        <f>'Pg15 As Filed AU-1'!V14/1000</f>
        <v>-208.86</v>
      </c>
      <c r="F16" s="171"/>
      <c r="G16" s="302" t="s">
        <v>851</v>
      </c>
      <c r="H16" s="168">
        <f t="shared" si="1"/>
        <v>5</v>
      </c>
    </row>
    <row r="17" spans="1:8" x14ac:dyDescent="0.3">
      <c r="A17" s="168">
        <f t="shared" si="0"/>
        <v>6</v>
      </c>
      <c r="E17" s="484"/>
      <c r="F17" s="171"/>
      <c r="G17" s="168"/>
      <c r="H17" s="168">
        <f t="shared" si="1"/>
        <v>6</v>
      </c>
    </row>
    <row r="18" spans="1:8" x14ac:dyDescent="0.3">
      <c r="A18" s="168">
        <f t="shared" si="0"/>
        <v>7</v>
      </c>
      <c r="B18" s="169" t="s">
        <v>852</v>
      </c>
      <c r="C18" s="168" t="s">
        <v>853</v>
      </c>
      <c r="E18" s="198">
        <v>0</v>
      </c>
      <c r="F18" s="171"/>
      <c r="G18" s="302"/>
      <c r="H18" s="168">
        <f t="shared" si="1"/>
        <v>7</v>
      </c>
    </row>
    <row r="19" spans="1:8" x14ac:dyDescent="0.3">
      <c r="A19" s="168">
        <f t="shared" si="0"/>
        <v>8</v>
      </c>
      <c r="E19" s="484"/>
      <c r="F19" s="171"/>
      <c r="G19" s="168"/>
      <c r="H19" s="168">
        <f t="shared" si="1"/>
        <v>8</v>
      </c>
    </row>
    <row r="20" spans="1:8" x14ac:dyDescent="0.3">
      <c r="A20" s="168">
        <f t="shared" si="0"/>
        <v>9</v>
      </c>
      <c r="B20" s="169" t="s">
        <v>854</v>
      </c>
      <c r="C20" s="168" t="s">
        <v>855</v>
      </c>
      <c r="E20" s="734">
        <f>'Pg15 As Filed AU-1'!V28/1000</f>
        <v>-3501.42</v>
      </c>
      <c r="F20" s="171"/>
      <c r="G20" s="302" t="s">
        <v>867</v>
      </c>
      <c r="H20" s="168">
        <f t="shared" si="1"/>
        <v>9</v>
      </c>
    </row>
    <row r="21" spans="1:8" x14ac:dyDescent="0.3">
      <c r="A21" s="168">
        <f t="shared" si="0"/>
        <v>10</v>
      </c>
      <c r="E21" s="484"/>
      <c r="F21" s="171"/>
      <c r="G21" s="168"/>
      <c r="H21" s="168">
        <f t="shared" si="1"/>
        <v>10</v>
      </c>
    </row>
    <row r="22" spans="1:8" x14ac:dyDescent="0.3">
      <c r="A22" s="168">
        <f t="shared" si="0"/>
        <v>11</v>
      </c>
      <c r="B22" s="169" t="s">
        <v>857</v>
      </c>
      <c r="E22" s="735">
        <f>'Pg15 As Filed AU-1'!V33/1000</f>
        <v>-634.07000000000005</v>
      </c>
      <c r="F22" s="171"/>
      <c r="G22" s="302" t="s">
        <v>858</v>
      </c>
      <c r="H22" s="168">
        <f t="shared" si="1"/>
        <v>11</v>
      </c>
    </row>
    <row r="23" spans="1:8" x14ac:dyDescent="0.3">
      <c r="A23" s="168">
        <f t="shared" si="0"/>
        <v>12</v>
      </c>
      <c r="E23" s="484"/>
      <c r="F23" s="171"/>
      <c r="G23" s="168"/>
      <c r="H23" s="168">
        <f t="shared" si="1"/>
        <v>12</v>
      </c>
    </row>
    <row r="24" spans="1:8" ht="16.2" thickBot="1" x14ac:dyDescent="0.35">
      <c r="A24" s="168">
        <f t="shared" si="0"/>
        <v>13</v>
      </c>
      <c r="B24" s="169" t="s">
        <v>859</v>
      </c>
      <c r="E24" s="736">
        <f>SUM(E12:E22)</f>
        <v>-4344.3500000000004</v>
      </c>
      <c r="F24" s="171"/>
      <c r="G24" s="732" t="s">
        <v>860</v>
      </c>
      <c r="H24" s="168">
        <f t="shared" si="1"/>
        <v>13</v>
      </c>
    </row>
    <row r="25" spans="1:8" ht="16.2" thickTop="1" x14ac:dyDescent="0.3">
      <c r="A25" s="168">
        <f t="shared" si="0"/>
        <v>14</v>
      </c>
      <c r="E25" s="186" t="s">
        <v>26</v>
      </c>
      <c r="F25" s="171"/>
      <c r="G25" s="168"/>
      <c r="H25" s="168">
        <f t="shared" si="1"/>
        <v>14</v>
      </c>
    </row>
    <row r="26" spans="1:8" ht="16.2" thickBot="1" x14ac:dyDescent="0.35">
      <c r="A26" s="168">
        <f t="shared" si="0"/>
        <v>15</v>
      </c>
      <c r="B26" s="169" t="s">
        <v>861</v>
      </c>
      <c r="E26" s="737">
        <v>0</v>
      </c>
      <c r="F26" s="171"/>
      <c r="G26" s="732" t="s">
        <v>862</v>
      </c>
      <c r="H26" s="168">
        <f t="shared" si="1"/>
        <v>15</v>
      </c>
    </row>
    <row r="27" spans="1:8" ht="16.2" thickTop="1" x14ac:dyDescent="0.3">
      <c r="F27" s="171"/>
    </row>
    <row r="28" spans="1:8" x14ac:dyDescent="0.3">
      <c r="F28" s="171"/>
    </row>
    <row r="29" spans="1:8" ht="18" x14ac:dyDescent="0.3">
      <c r="A29" s="187">
        <v>1</v>
      </c>
      <c r="B29" s="169" t="s">
        <v>864</v>
      </c>
    </row>
    <row r="30" spans="1:8" ht="18" x14ac:dyDescent="0.3">
      <c r="A30" s="187"/>
      <c r="B30" s="169" t="s">
        <v>865</v>
      </c>
    </row>
    <row r="31" spans="1:8" x14ac:dyDescent="0.3">
      <c r="B31" s="169" t="s">
        <v>866</v>
      </c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Roman,Bold"&amp;9AS FILED</oddHeader>
    <oddFooter>&amp;CPage 13.1&amp;R&amp;F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2703-04AD-4F79-8839-7E9F00B276AA}">
  <dimension ref="A2:AG47"/>
  <sheetViews>
    <sheetView zoomScale="78" zoomScaleNormal="78" workbookViewId="0"/>
  </sheetViews>
  <sheetFormatPr defaultColWidth="9.109375" defaultRowHeight="15.6" x14ac:dyDescent="0.3"/>
  <cols>
    <col min="1" max="1" width="5.109375" style="168" customWidth="1"/>
    <col min="2" max="3" width="11.44140625" style="169" customWidth="1"/>
    <col min="4" max="4" width="50.109375" style="169" customWidth="1"/>
    <col min="5" max="11" width="14.88671875" style="169" customWidth="1"/>
    <col min="12" max="13" width="5.109375" style="168" customWidth="1"/>
    <col min="14" max="15" width="11.44140625" style="169" customWidth="1"/>
    <col min="16" max="16" width="50.109375" style="169" customWidth="1"/>
    <col min="17" max="22" width="14.88671875" style="169" customWidth="1"/>
    <col min="23" max="23" width="5.109375" style="168" customWidth="1"/>
    <col min="24" max="24" width="2.109375" style="169" bestFit="1" customWidth="1"/>
    <col min="25" max="32" width="9.109375" style="169"/>
    <col min="33" max="33" width="9.88671875" style="169" bestFit="1" customWidth="1"/>
    <col min="34" max="16384" width="9.109375" style="169"/>
  </cols>
  <sheetData>
    <row r="2" spans="1:25" s="188" customFormat="1" x14ac:dyDescent="0.3">
      <c r="A2" s="171"/>
      <c r="B2" s="867" t="s">
        <v>217</v>
      </c>
      <c r="C2" s="867"/>
      <c r="D2" s="867"/>
      <c r="E2" s="867"/>
      <c r="F2" s="867"/>
      <c r="G2" s="867"/>
      <c r="H2" s="867"/>
      <c r="I2" s="867"/>
      <c r="J2" s="867"/>
      <c r="K2" s="867"/>
      <c r="L2" s="466"/>
      <c r="M2" s="171"/>
      <c r="N2" s="867" t="str">
        <f>B2</f>
        <v>SAN DIEGO GAS &amp; ELECTRIC COMPANY</v>
      </c>
      <c r="O2" s="867"/>
      <c r="P2" s="867"/>
      <c r="Q2" s="867"/>
      <c r="R2" s="867"/>
      <c r="S2" s="867"/>
      <c r="T2" s="867"/>
      <c r="U2" s="867"/>
      <c r="V2" s="867"/>
      <c r="W2" s="466"/>
      <c r="X2" s="467"/>
      <c r="Y2" s="467"/>
    </row>
    <row r="3" spans="1:25" s="188" customFormat="1" x14ac:dyDescent="0.3">
      <c r="A3" s="171"/>
      <c r="B3" s="861" t="s">
        <v>843</v>
      </c>
      <c r="C3" s="861"/>
      <c r="D3" s="861"/>
      <c r="E3" s="861"/>
      <c r="F3" s="861"/>
      <c r="G3" s="861"/>
      <c r="H3" s="861"/>
      <c r="I3" s="861"/>
      <c r="J3" s="861"/>
      <c r="K3" s="861"/>
      <c r="L3" s="171"/>
      <c r="M3" s="171"/>
      <c r="N3" s="861" t="str">
        <f>B3</f>
        <v>Statement AU</v>
      </c>
      <c r="O3" s="861"/>
      <c r="P3" s="861"/>
      <c r="Q3" s="861"/>
      <c r="R3" s="861"/>
      <c r="S3" s="861"/>
      <c r="T3" s="861"/>
      <c r="U3" s="861"/>
      <c r="V3" s="861"/>
      <c r="W3" s="171"/>
    </row>
    <row r="4" spans="1:25" s="188" customFormat="1" x14ac:dyDescent="0.3">
      <c r="A4" s="171"/>
      <c r="B4" s="861" t="s">
        <v>844</v>
      </c>
      <c r="C4" s="861"/>
      <c r="D4" s="861"/>
      <c r="E4" s="861"/>
      <c r="F4" s="861"/>
      <c r="G4" s="861"/>
      <c r="H4" s="861"/>
      <c r="I4" s="861"/>
      <c r="J4" s="861"/>
      <c r="K4" s="861"/>
      <c r="L4" s="171"/>
      <c r="M4" s="171"/>
      <c r="N4" s="861" t="str">
        <f>B4</f>
        <v>Revenue Credits</v>
      </c>
      <c r="O4" s="861"/>
      <c r="P4" s="861"/>
      <c r="Q4" s="861"/>
      <c r="R4" s="861"/>
      <c r="S4" s="861"/>
      <c r="T4" s="861"/>
      <c r="U4" s="861"/>
      <c r="V4" s="861"/>
      <c r="W4" s="171"/>
    </row>
    <row r="5" spans="1:25" s="188" customFormat="1" x14ac:dyDescent="0.3">
      <c r="A5" s="171"/>
      <c r="B5" s="861" t="s">
        <v>868</v>
      </c>
      <c r="C5" s="861"/>
      <c r="D5" s="861"/>
      <c r="E5" s="861"/>
      <c r="F5" s="861"/>
      <c r="G5" s="861"/>
      <c r="H5" s="861"/>
      <c r="I5" s="861"/>
      <c r="J5" s="861"/>
      <c r="K5" s="861"/>
      <c r="L5" s="171"/>
      <c r="M5" s="171"/>
      <c r="N5" s="861" t="str">
        <f>B5</f>
        <v>12 Months Ending December 31, 2020</v>
      </c>
      <c r="O5" s="861"/>
      <c r="P5" s="861"/>
      <c r="Q5" s="861"/>
      <c r="R5" s="861"/>
      <c r="S5" s="861"/>
      <c r="T5" s="861"/>
      <c r="U5" s="861"/>
      <c r="V5" s="861"/>
      <c r="W5" s="171"/>
    </row>
    <row r="6" spans="1:25" ht="16.2" thickBot="1" x14ac:dyDescent="0.35">
      <c r="B6" s="738"/>
      <c r="C6" s="738"/>
      <c r="D6" s="738"/>
      <c r="V6" s="168"/>
    </row>
    <row r="7" spans="1:25" s="188" customFormat="1" x14ac:dyDescent="0.3">
      <c r="A7" s="168" t="s">
        <v>4</v>
      </c>
      <c r="B7" s="739" t="s">
        <v>869</v>
      </c>
      <c r="C7" s="740" t="s">
        <v>450</v>
      </c>
      <c r="D7" s="741"/>
      <c r="E7" s="742" t="s">
        <v>296</v>
      </c>
      <c r="F7" s="743" t="s">
        <v>297</v>
      </c>
      <c r="G7" s="743" t="s">
        <v>328</v>
      </c>
      <c r="H7" s="743" t="s">
        <v>870</v>
      </c>
      <c r="I7" s="743" t="s">
        <v>871</v>
      </c>
      <c r="J7" s="743" t="s">
        <v>872</v>
      </c>
      <c r="K7" s="744" t="s">
        <v>873</v>
      </c>
      <c r="L7" s="168" t="s">
        <v>4</v>
      </c>
      <c r="M7" s="168" t="str">
        <f t="shared" ref="M7:O8" si="0">A7</f>
        <v>Line</v>
      </c>
      <c r="N7" s="739" t="str">
        <f t="shared" si="0"/>
        <v>SAP</v>
      </c>
      <c r="O7" s="740" t="str">
        <f t="shared" si="0"/>
        <v>FERC</v>
      </c>
      <c r="P7" s="741"/>
      <c r="Q7" s="743" t="s">
        <v>874</v>
      </c>
      <c r="R7" s="743" t="s">
        <v>875</v>
      </c>
      <c r="S7" s="743" t="s">
        <v>876</v>
      </c>
      <c r="T7" s="743" t="s">
        <v>877</v>
      </c>
      <c r="U7" s="743" t="s">
        <v>878</v>
      </c>
      <c r="V7" s="745" t="s">
        <v>879</v>
      </c>
      <c r="W7" s="168" t="str">
        <f>L7</f>
        <v>Line</v>
      </c>
    </row>
    <row r="8" spans="1:25" s="188" customFormat="1" ht="16.2" thickBot="1" x14ac:dyDescent="0.35">
      <c r="A8" s="168" t="s">
        <v>8</v>
      </c>
      <c r="B8" s="746" t="s">
        <v>880</v>
      </c>
      <c r="C8" s="418" t="s">
        <v>880</v>
      </c>
      <c r="D8" s="747" t="s">
        <v>881</v>
      </c>
      <c r="E8" s="748" t="s">
        <v>882</v>
      </c>
      <c r="F8" s="749" t="s">
        <v>883</v>
      </c>
      <c r="G8" s="748" t="s">
        <v>884</v>
      </c>
      <c r="H8" s="748" t="s">
        <v>885</v>
      </c>
      <c r="I8" s="748" t="s">
        <v>886</v>
      </c>
      <c r="J8" s="748" t="s">
        <v>887</v>
      </c>
      <c r="K8" s="750" t="s">
        <v>888</v>
      </c>
      <c r="L8" s="168" t="s">
        <v>889</v>
      </c>
      <c r="M8" s="168" t="str">
        <f t="shared" si="0"/>
        <v>No.</v>
      </c>
      <c r="N8" s="746" t="str">
        <f t="shared" si="0"/>
        <v>Account #</v>
      </c>
      <c r="O8" s="418" t="str">
        <f t="shared" si="0"/>
        <v>Account #</v>
      </c>
      <c r="P8" s="747" t="str">
        <f>D8</f>
        <v>SAP Account Description</v>
      </c>
      <c r="Q8" s="748" t="s">
        <v>890</v>
      </c>
      <c r="R8" s="748" t="s">
        <v>891</v>
      </c>
      <c r="S8" s="748" t="s">
        <v>892</v>
      </c>
      <c r="T8" s="748" t="s">
        <v>893</v>
      </c>
      <c r="U8" s="748" t="s">
        <v>894</v>
      </c>
      <c r="V8" s="751" t="s">
        <v>335</v>
      </c>
      <c r="W8" s="168" t="str">
        <f t="shared" ref="W8:W36" si="1">L8</f>
        <v>No</v>
      </c>
    </row>
    <row r="9" spans="1:25" x14ac:dyDescent="0.3">
      <c r="B9" s="752"/>
      <c r="C9" s="753"/>
      <c r="D9" s="754"/>
      <c r="E9" s="755"/>
      <c r="F9" s="756"/>
      <c r="G9" s="755"/>
      <c r="H9" s="756"/>
      <c r="I9" s="755"/>
      <c r="J9" s="756"/>
      <c r="K9" s="757"/>
      <c r="N9" s="752"/>
      <c r="O9" s="753"/>
      <c r="P9" s="754"/>
      <c r="Q9" s="756"/>
      <c r="R9" s="755"/>
      <c r="S9" s="756"/>
      <c r="T9" s="755"/>
      <c r="U9" s="756"/>
      <c r="V9" s="758"/>
    </row>
    <row r="10" spans="1:25" s="765" customFormat="1" x14ac:dyDescent="0.3">
      <c r="A10" s="759">
        <v>1</v>
      </c>
      <c r="B10" s="760" t="s">
        <v>895</v>
      </c>
      <c r="C10" s="761">
        <v>454</v>
      </c>
      <c r="D10" s="762" t="s">
        <v>485</v>
      </c>
      <c r="E10" s="763">
        <v>-21821</v>
      </c>
      <c r="F10" s="763">
        <v>-11975</v>
      </c>
      <c r="G10" s="763">
        <v>-11711</v>
      </c>
      <c r="H10" s="763">
        <v>-17066</v>
      </c>
      <c r="I10" s="763">
        <v>-14192</v>
      </c>
      <c r="J10" s="763">
        <v>-8916</v>
      </c>
      <c r="K10" s="764">
        <v>-13246</v>
      </c>
      <c r="L10" s="759">
        <f>A10</f>
        <v>1</v>
      </c>
      <c r="M10" s="759">
        <f t="shared" ref="M10:P25" si="2">A10</f>
        <v>1</v>
      </c>
      <c r="N10" s="760" t="s">
        <v>895</v>
      </c>
      <c r="O10" s="761">
        <v>454</v>
      </c>
      <c r="P10" s="762" t="s">
        <v>485</v>
      </c>
      <c r="Q10" s="763">
        <v>-11267</v>
      </c>
      <c r="R10" s="763">
        <v>-16830</v>
      </c>
      <c r="S10" s="763">
        <v>-11292</v>
      </c>
      <c r="T10" s="763">
        <v>-11291</v>
      </c>
      <c r="U10" s="763">
        <v>-13790</v>
      </c>
      <c r="V10" s="764">
        <f>SUM(E10:K10,Q10:U10)</f>
        <v>-163397</v>
      </c>
      <c r="W10" s="759">
        <f t="shared" si="1"/>
        <v>1</v>
      </c>
    </row>
    <row r="11" spans="1:25" s="765" customFormat="1" x14ac:dyDescent="0.3">
      <c r="A11" s="759">
        <f>A10+1</f>
        <v>2</v>
      </c>
      <c r="B11" s="760" t="s">
        <v>896</v>
      </c>
      <c r="C11" s="761">
        <v>454</v>
      </c>
      <c r="D11" s="762" t="s">
        <v>897</v>
      </c>
      <c r="E11" s="766">
        <v>-7467</v>
      </c>
      <c r="F11" s="766">
        <v>-3333</v>
      </c>
      <c r="G11" s="766">
        <v>-3333</v>
      </c>
      <c r="H11" s="766">
        <v>-3334</v>
      </c>
      <c r="I11" s="766">
        <v>-3333</v>
      </c>
      <c r="J11" s="766">
        <v>-3333</v>
      </c>
      <c r="K11" s="767">
        <v>-4664</v>
      </c>
      <c r="L11" s="759">
        <f>L10+1</f>
        <v>2</v>
      </c>
      <c r="M11" s="759">
        <f t="shared" si="2"/>
        <v>2</v>
      </c>
      <c r="N11" s="760" t="s">
        <v>896</v>
      </c>
      <c r="O11" s="761">
        <v>454</v>
      </c>
      <c r="P11" s="762" t="s">
        <v>897</v>
      </c>
      <c r="Q11" s="766">
        <v>-3333</v>
      </c>
      <c r="R11" s="766">
        <v>-3333</v>
      </c>
      <c r="S11" s="766">
        <v>-3334</v>
      </c>
      <c r="T11" s="766">
        <v>-3333</v>
      </c>
      <c r="U11" s="766">
        <v>-3333</v>
      </c>
      <c r="V11" s="768">
        <f>SUM(E11:K11,Q11:U11)</f>
        <v>-45463</v>
      </c>
      <c r="W11" s="759">
        <f>L11</f>
        <v>2</v>
      </c>
    </row>
    <row r="12" spans="1:25" s="765" customFormat="1" x14ac:dyDescent="0.3">
      <c r="A12" s="759">
        <f t="shared" ref="A12:A36" si="3">A11+1</f>
        <v>3</v>
      </c>
      <c r="B12" s="769"/>
      <c r="C12" s="761"/>
      <c r="D12" s="762"/>
      <c r="E12" s="404"/>
      <c r="F12" s="369"/>
      <c r="G12" s="369"/>
      <c r="H12" s="369"/>
      <c r="I12" s="369"/>
      <c r="J12" s="369"/>
      <c r="K12" s="770"/>
      <c r="L12" s="759">
        <f t="shared" ref="L12:L36" si="4">L11+1</f>
        <v>3</v>
      </c>
      <c r="M12" s="759">
        <f t="shared" si="2"/>
        <v>3</v>
      </c>
      <c r="N12" s="769"/>
      <c r="O12" s="761"/>
      <c r="P12" s="762"/>
      <c r="Q12" s="369"/>
      <c r="R12" s="369"/>
      <c r="S12" s="369"/>
      <c r="T12" s="369"/>
      <c r="U12" s="369"/>
      <c r="V12" s="771"/>
      <c r="W12" s="759">
        <f t="shared" si="1"/>
        <v>3</v>
      </c>
    </row>
    <row r="13" spans="1:25" s="765" customFormat="1" ht="18" x14ac:dyDescent="0.3">
      <c r="A13" s="759">
        <f t="shared" si="3"/>
        <v>4</v>
      </c>
      <c r="B13" s="769"/>
      <c r="C13" s="761"/>
      <c r="D13" s="772" t="s">
        <v>898</v>
      </c>
      <c r="E13" s="773">
        <f>SUM(E10:E11)</f>
        <v>-29288</v>
      </c>
      <c r="F13" s="773">
        <f t="shared" ref="F13:K13" si="5">SUM(F10:F11)</f>
        <v>-15308</v>
      </c>
      <c r="G13" s="773">
        <f t="shared" si="5"/>
        <v>-15044</v>
      </c>
      <c r="H13" s="773">
        <f t="shared" si="5"/>
        <v>-20400</v>
      </c>
      <c r="I13" s="774">
        <f t="shared" si="5"/>
        <v>-17525</v>
      </c>
      <c r="J13" s="774">
        <f t="shared" si="5"/>
        <v>-12249</v>
      </c>
      <c r="K13" s="775">
        <f t="shared" si="5"/>
        <v>-17910</v>
      </c>
      <c r="L13" s="759">
        <f t="shared" si="4"/>
        <v>4</v>
      </c>
      <c r="M13" s="759">
        <f t="shared" si="2"/>
        <v>4</v>
      </c>
      <c r="N13" s="769"/>
      <c r="O13" s="761"/>
      <c r="P13" s="772" t="s">
        <v>898</v>
      </c>
      <c r="Q13" s="774">
        <f t="shared" ref="Q13:V13" si="6">SUM(Q10:Q11)</f>
        <v>-14600</v>
      </c>
      <c r="R13" s="774">
        <f t="shared" si="6"/>
        <v>-20163</v>
      </c>
      <c r="S13" s="774">
        <f t="shared" si="6"/>
        <v>-14626</v>
      </c>
      <c r="T13" s="774">
        <f t="shared" si="6"/>
        <v>-14624</v>
      </c>
      <c r="U13" s="774">
        <f t="shared" si="6"/>
        <v>-17123</v>
      </c>
      <c r="V13" s="775">
        <f t="shared" si="6"/>
        <v>-208860</v>
      </c>
      <c r="W13" s="759">
        <f t="shared" si="1"/>
        <v>4</v>
      </c>
    </row>
    <row r="14" spans="1:25" s="765" customFormat="1" ht="16.2" thickBot="1" x14ac:dyDescent="0.35">
      <c r="A14" s="759">
        <f t="shared" si="3"/>
        <v>5</v>
      </c>
      <c r="B14" s="776"/>
      <c r="C14" s="777"/>
      <c r="D14" s="778"/>
      <c r="E14" s="779"/>
      <c r="F14" s="780"/>
      <c r="G14" s="779"/>
      <c r="H14" s="780"/>
      <c r="I14" s="779"/>
      <c r="J14" s="780"/>
      <c r="K14" s="781"/>
      <c r="L14" s="759">
        <f t="shared" si="4"/>
        <v>5</v>
      </c>
      <c r="M14" s="759">
        <f t="shared" si="2"/>
        <v>5</v>
      </c>
      <c r="N14" s="776"/>
      <c r="O14" s="777"/>
      <c r="P14" s="778"/>
      <c r="Q14" s="782"/>
      <c r="R14" s="783"/>
      <c r="S14" s="782"/>
      <c r="T14" s="783"/>
      <c r="U14" s="782"/>
      <c r="V14" s="784"/>
      <c r="W14" s="759">
        <f t="shared" si="1"/>
        <v>5</v>
      </c>
    </row>
    <row r="15" spans="1:25" s="765" customFormat="1" x14ac:dyDescent="0.3">
      <c r="A15" s="759">
        <f t="shared" si="3"/>
        <v>6</v>
      </c>
      <c r="B15" s="785" t="s">
        <v>899</v>
      </c>
      <c r="C15" s="761">
        <v>456</v>
      </c>
      <c r="D15" s="762" t="s">
        <v>900</v>
      </c>
      <c r="E15" s="786">
        <v>-822374</v>
      </c>
      <c r="F15" s="786">
        <v>-160533</v>
      </c>
      <c r="G15" s="786">
        <v>-155890</v>
      </c>
      <c r="H15" s="786">
        <v>-155890</v>
      </c>
      <c r="I15" s="786">
        <v>-155891</v>
      </c>
      <c r="J15" s="786">
        <v>-155890</v>
      </c>
      <c r="K15" s="787">
        <v>-155890</v>
      </c>
      <c r="L15" s="759">
        <f t="shared" si="4"/>
        <v>6</v>
      </c>
      <c r="M15" s="759">
        <f t="shared" si="2"/>
        <v>6</v>
      </c>
      <c r="N15" s="785" t="str">
        <f t="shared" si="2"/>
        <v>4371016</v>
      </c>
      <c r="O15" s="761">
        <f t="shared" si="2"/>
        <v>456</v>
      </c>
      <c r="P15" s="762" t="str">
        <f t="shared" si="2"/>
        <v>Generation Interconnection</v>
      </c>
      <c r="Q15" s="786">
        <v>-183173</v>
      </c>
      <c r="R15" s="786">
        <v>-160438</v>
      </c>
      <c r="S15" s="786">
        <v>-160437</v>
      </c>
      <c r="T15" s="786">
        <v>-160438</v>
      </c>
      <c r="U15" s="788">
        <v>-160437</v>
      </c>
      <c r="V15" s="787">
        <f t="shared" ref="V15:V25" si="7">SUM(E15:K15,Q15:U15)</f>
        <v>-2587281</v>
      </c>
      <c r="W15" s="759">
        <f t="shared" si="1"/>
        <v>6</v>
      </c>
    </row>
    <row r="16" spans="1:25" s="765" customFormat="1" x14ac:dyDescent="0.3">
      <c r="A16" s="759">
        <f t="shared" si="3"/>
        <v>7</v>
      </c>
      <c r="B16" s="769" t="s">
        <v>901</v>
      </c>
      <c r="C16" s="761">
        <v>456</v>
      </c>
      <c r="D16" s="762" t="s">
        <v>902</v>
      </c>
      <c r="E16" s="404">
        <v>-246</v>
      </c>
      <c r="F16" s="789">
        <v>-28207</v>
      </c>
      <c r="G16" s="789">
        <v>-223</v>
      </c>
      <c r="H16" s="789">
        <v>-68247</v>
      </c>
      <c r="I16" s="789">
        <v>-297</v>
      </c>
      <c r="J16" s="789">
        <v>-3973</v>
      </c>
      <c r="K16" s="770">
        <v>-383</v>
      </c>
      <c r="L16" s="759">
        <f t="shared" si="4"/>
        <v>7</v>
      </c>
      <c r="M16" s="759">
        <f t="shared" si="2"/>
        <v>7</v>
      </c>
      <c r="N16" s="769" t="str">
        <f t="shared" si="2"/>
        <v>4371040</v>
      </c>
      <c r="O16" s="761">
        <f t="shared" si="2"/>
        <v>456</v>
      </c>
      <c r="P16" s="762" t="str">
        <f t="shared" si="2"/>
        <v xml:space="preserve">Revenue Enhancement </v>
      </c>
      <c r="Q16" s="789">
        <v>-15984</v>
      </c>
      <c r="R16" s="789">
        <v>-1747</v>
      </c>
      <c r="S16" s="789">
        <v>0</v>
      </c>
      <c r="T16" s="789">
        <v>-614</v>
      </c>
      <c r="U16" s="789">
        <v>-615</v>
      </c>
      <c r="V16" s="790">
        <f t="shared" si="7"/>
        <v>-120536</v>
      </c>
      <c r="W16" s="759">
        <f t="shared" si="1"/>
        <v>7</v>
      </c>
    </row>
    <row r="17" spans="1:33" s="765" customFormat="1" x14ac:dyDescent="0.3">
      <c r="A17" s="759">
        <f t="shared" si="3"/>
        <v>8</v>
      </c>
      <c r="B17" s="791" t="s">
        <v>903</v>
      </c>
      <c r="C17" s="761">
        <v>456</v>
      </c>
      <c r="D17" s="792" t="s">
        <v>904</v>
      </c>
      <c r="E17" s="793">
        <v>-60921</v>
      </c>
      <c r="F17" s="789">
        <v>-60746</v>
      </c>
      <c r="G17" s="789">
        <v>-60500</v>
      </c>
      <c r="H17" s="789">
        <v>-60193</v>
      </c>
      <c r="I17" s="789">
        <v>-60018</v>
      </c>
      <c r="J17" s="789">
        <v>-59796</v>
      </c>
      <c r="K17" s="770">
        <v>-59531</v>
      </c>
      <c r="L17" s="759">
        <f t="shared" si="4"/>
        <v>8</v>
      </c>
      <c r="M17" s="759">
        <f t="shared" si="2"/>
        <v>8</v>
      </c>
      <c r="N17" s="791" t="str">
        <f t="shared" si="2"/>
        <v>4371055</v>
      </c>
      <c r="O17" s="761">
        <f t="shared" si="2"/>
        <v>456</v>
      </c>
      <c r="P17" s="792" t="str">
        <f t="shared" si="2"/>
        <v>Shared Asset Revenue</v>
      </c>
      <c r="Q17" s="789">
        <v>-59303</v>
      </c>
      <c r="R17" s="789">
        <v>-59114</v>
      </c>
      <c r="S17" s="789">
        <v>-60307</v>
      </c>
      <c r="T17" s="789">
        <v>-60393</v>
      </c>
      <c r="U17" s="789">
        <v>-70321</v>
      </c>
      <c r="V17" s="790">
        <f t="shared" si="7"/>
        <v>-731143</v>
      </c>
      <c r="W17" s="759">
        <f t="shared" si="1"/>
        <v>8</v>
      </c>
    </row>
    <row r="18" spans="1:33" s="765" customFormat="1" x14ac:dyDescent="0.3">
      <c r="A18" s="759">
        <f t="shared" si="3"/>
        <v>9</v>
      </c>
      <c r="B18" s="791" t="s">
        <v>905</v>
      </c>
      <c r="C18" s="794">
        <v>456</v>
      </c>
      <c r="D18" s="795" t="s">
        <v>906</v>
      </c>
      <c r="E18" s="789">
        <v>-5688</v>
      </c>
      <c r="F18" s="789">
        <v>-15540</v>
      </c>
      <c r="G18" s="789">
        <v>-20756</v>
      </c>
      <c r="H18" s="789">
        <v>0</v>
      </c>
      <c r="I18" s="789">
        <v>0</v>
      </c>
      <c r="J18" s="789">
        <v>0</v>
      </c>
      <c r="K18" s="770">
        <v>-1</v>
      </c>
      <c r="L18" s="759">
        <f t="shared" si="4"/>
        <v>9</v>
      </c>
      <c r="M18" s="759">
        <f t="shared" si="2"/>
        <v>9</v>
      </c>
      <c r="N18" s="791" t="str">
        <f t="shared" si="2"/>
        <v>4371058</v>
      </c>
      <c r="O18" s="794">
        <f t="shared" si="2"/>
        <v>456</v>
      </c>
      <c r="P18" s="795" t="str">
        <f t="shared" si="2"/>
        <v>Elec Trans Joint Pole Activity</v>
      </c>
      <c r="Q18" s="789">
        <v>-1</v>
      </c>
      <c r="R18" s="789">
        <v>2126</v>
      </c>
      <c r="S18" s="789">
        <v>-17</v>
      </c>
      <c r="T18" s="789">
        <v>-1542</v>
      </c>
      <c r="U18" s="789">
        <v>1910</v>
      </c>
      <c r="V18" s="790">
        <f t="shared" si="7"/>
        <v>-39509</v>
      </c>
      <c r="W18" s="759">
        <f t="shared" si="1"/>
        <v>9</v>
      </c>
    </row>
    <row r="19" spans="1:33" s="765" customFormat="1" x14ac:dyDescent="0.3">
      <c r="A19" s="759">
        <f t="shared" si="3"/>
        <v>10</v>
      </c>
      <c r="B19" s="791" t="s">
        <v>907</v>
      </c>
      <c r="C19" s="794">
        <v>456</v>
      </c>
      <c r="D19" s="795" t="s">
        <v>908</v>
      </c>
      <c r="E19" s="789">
        <v>-1439</v>
      </c>
      <c r="F19" s="789">
        <v>-1438</v>
      </c>
      <c r="G19" s="789">
        <v>-1439</v>
      </c>
      <c r="H19" s="789">
        <v>-1438</v>
      </c>
      <c r="I19" s="789">
        <v>-1439</v>
      </c>
      <c r="J19" s="789">
        <v>-1438</v>
      </c>
      <c r="K19" s="770">
        <v>-1439</v>
      </c>
      <c r="L19" s="759">
        <f t="shared" si="4"/>
        <v>10</v>
      </c>
      <c r="M19" s="759">
        <f t="shared" si="2"/>
        <v>10</v>
      </c>
      <c r="N19" s="791" t="str">
        <f t="shared" si="2"/>
        <v>4371061</v>
      </c>
      <c r="O19" s="794">
        <f t="shared" si="2"/>
        <v>456</v>
      </c>
      <c r="P19" s="795" t="str">
        <f t="shared" si="2"/>
        <v>Excess Microwave Capacity - Elec Trans</v>
      </c>
      <c r="Q19" s="789">
        <v>-1438</v>
      </c>
      <c r="R19" s="789">
        <v>-1439</v>
      </c>
      <c r="S19" s="789">
        <v>-1438</v>
      </c>
      <c r="T19" s="789">
        <v>-1439</v>
      </c>
      <c r="U19" s="789">
        <v>-1438</v>
      </c>
      <c r="V19" s="790">
        <f t="shared" si="7"/>
        <v>-17262</v>
      </c>
      <c r="W19" s="759">
        <f t="shared" si="1"/>
        <v>10</v>
      </c>
    </row>
    <row r="20" spans="1:33" s="765" customFormat="1" x14ac:dyDescent="0.3">
      <c r="A20" s="759">
        <f t="shared" si="3"/>
        <v>11</v>
      </c>
      <c r="B20" s="791" t="s">
        <v>909</v>
      </c>
      <c r="C20" s="794">
        <v>456</v>
      </c>
      <c r="D20" s="795" t="s">
        <v>910</v>
      </c>
      <c r="E20" s="789">
        <v>0</v>
      </c>
      <c r="F20" s="789">
        <v>0</v>
      </c>
      <c r="G20" s="789">
        <v>0</v>
      </c>
      <c r="H20" s="789">
        <v>0</v>
      </c>
      <c r="I20" s="789">
        <v>0</v>
      </c>
      <c r="J20" s="789">
        <v>0</v>
      </c>
      <c r="K20" s="770">
        <v>0</v>
      </c>
      <c r="L20" s="759">
        <f t="shared" si="4"/>
        <v>11</v>
      </c>
      <c r="M20" s="759">
        <f t="shared" si="2"/>
        <v>11</v>
      </c>
      <c r="N20" s="791" t="str">
        <f t="shared" si="2"/>
        <v>4371065</v>
      </c>
      <c r="O20" s="794">
        <f t="shared" si="2"/>
        <v>456</v>
      </c>
      <c r="P20" s="795" t="str">
        <f t="shared" si="2"/>
        <v>Trans Revenue Trsfr to Gen</v>
      </c>
      <c r="Q20" s="789">
        <v>0</v>
      </c>
      <c r="R20" s="789">
        <v>0</v>
      </c>
      <c r="S20" s="789">
        <v>0</v>
      </c>
      <c r="T20" s="789">
        <v>0</v>
      </c>
      <c r="U20" s="789">
        <v>-25000</v>
      </c>
      <c r="V20" s="790">
        <f t="shared" si="7"/>
        <v>-25000</v>
      </c>
      <c r="W20" s="759">
        <f t="shared" si="1"/>
        <v>11</v>
      </c>
      <c r="X20" s="796"/>
      <c r="Y20" s="796"/>
      <c r="Z20" s="796"/>
      <c r="AA20" s="796"/>
      <c r="AB20" s="796"/>
      <c r="AC20" s="796"/>
      <c r="AE20" s="796"/>
      <c r="AG20" s="797"/>
    </row>
    <row r="21" spans="1:33" s="765" customFormat="1" x14ac:dyDescent="0.3">
      <c r="A21" s="759">
        <f t="shared" si="3"/>
        <v>12</v>
      </c>
      <c r="B21" s="791" t="s">
        <v>911</v>
      </c>
      <c r="C21" s="794">
        <v>456</v>
      </c>
      <c r="D21" s="795" t="s">
        <v>912</v>
      </c>
      <c r="E21" s="789">
        <v>0</v>
      </c>
      <c r="F21" s="789">
        <v>0</v>
      </c>
      <c r="G21" s="789">
        <v>0</v>
      </c>
      <c r="H21" s="789">
        <v>0</v>
      </c>
      <c r="I21" s="789">
        <v>0</v>
      </c>
      <c r="J21" s="789">
        <v>0</v>
      </c>
      <c r="K21" s="770">
        <v>0</v>
      </c>
      <c r="L21" s="759">
        <f t="shared" si="4"/>
        <v>12</v>
      </c>
      <c r="M21" s="759">
        <f t="shared" si="2"/>
        <v>12</v>
      </c>
      <c r="N21" s="791" t="str">
        <f t="shared" si="2"/>
        <v>4371067</v>
      </c>
      <c r="O21" s="794">
        <f t="shared" si="2"/>
        <v>456</v>
      </c>
      <c r="P21" s="795" t="str">
        <f t="shared" si="2"/>
        <v>Trans Revenue Trsfr to Dist</v>
      </c>
      <c r="Q21" s="789">
        <v>0</v>
      </c>
      <c r="R21" s="789">
        <v>0</v>
      </c>
      <c r="S21" s="789">
        <v>0</v>
      </c>
      <c r="T21" s="789">
        <v>0</v>
      </c>
      <c r="U21" s="789">
        <v>120000</v>
      </c>
      <c r="V21" s="790">
        <f t="shared" si="7"/>
        <v>120000</v>
      </c>
      <c r="W21" s="759">
        <f t="shared" si="1"/>
        <v>12</v>
      </c>
      <c r="X21" s="796"/>
      <c r="Y21" s="796"/>
      <c r="Z21" s="796"/>
      <c r="AA21" s="796"/>
      <c r="AB21" s="796"/>
      <c r="AC21" s="796"/>
      <c r="AE21" s="796"/>
      <c r="AG21" s="797"/>
    </row>
    <row r="22" spans="1:33" s="765" customFormat="1" x14ac:dyDescent="0.3">
      <c r="A22" s="759">
        <f t="shared" si="3"/>
        <v>13</v>
      </c>
      <c r="B22" s="841" t="s">
        <v>913</v>
      </c>
      <c r="C22" s="842">
        <v>456</v>
      </c>
      <c r="D22" s="843" t="s">
        <v>914</v>
      </c>
      <c r="E22" s="789">
        <v>0</v>
      </c>
      <c r="F22" s="789">
        <v>0</v>
      </c>
      <c r="G22" s="789">
        <v>0</v>
      </c>
      <c r="H22" s="789">
        <v>0</v>
      </c>
      <c r="I22" s="789">
        <v>0</v>
      </c>
      <c r="J22" s="789">
        <v>0</v>
      </c>
      <c r="K22" s="770">
        <v>0</v>
      </c>
      <c r="L22" s="759">
        <f t="shared" si="4"/>
        <v>13</v>
      </c>
      <c r="M22" s="759">
        <f t="shared" si="2"/>
        <v>13</v>
      </c>
      <c r="N22" s="841" t="str">
        <f t="shared" si="2"/>
        <v>4371070</v>
      </c>
      <c r="O22" s="842">
        <f t="shared" si="2"/>
        <v>456</v>
      </c>
      <c r="P22" s="843" t="str">
        <f t="shared" si="2"/>
        <v>Trans Revenue Trsfr from Dist</v>
      </c>
      <c r="Q22" s="789">
        <v>0</v>
      </c>
      <c r="R22" s="789">
        <v>0</v>
      </c>
      <c r="S22" s="789">
        <v>0</v>
      </c>
      <c r="T22" s="789">
        <v>0</v>
      </c>
      <c r="U22" s="799">
        <v>36000</v>
      </c>
      <c r="V22" s="840">
        <f t="shared" si="7"/>
        <v>36000</v>
      </c>
      <c r="W22" s="759">
        <f t="shared" si="1"/>
        <v>13</v>
      </c>
      <c r="X22" s="42" t="s">
        <v>42</v>
      </c>
      <c r="Y22" s="796"/>
      <c r="Z22" s="796"/>
      <c r="AA22" s="796"/>
      <c r="AB22" s="796"/>
      <c r="AC22" s="796"/>
      <c r="AE22" s="796"/>
      <c r="AG22" s="797"/>
    </row>
    <row r="23" spans="1:33" s="765" customFormat="1" x14ac:dyDescent="0.3">
      <c r="A23" s="759">
        <f t="shared" si="3"/>
        <v>14</v>
      </c>
      <c r="B23" s="791" t="s">
        <v>915</v>
      </c>
      <c r="C23" s="794">
        <v>456</v>
      </c>
      <c r="D23" s="795" t="s">
        <v>916</v>
      </c>
      <c r="E23" s="789">
        <v>0</v>
      </c>
      <c r="F23" s="789">
        <v>0</v>
      </c>
      <c r="G23" s="789">
        <v>0</v>
      </c>
      <c r="H23" s="789">
        <v>0</v>
      </c>
      <c r="I23" s="789">
        <v>0</v>
      </c>
      <c r="J23" s="789">
        <v>0</v>
      </c>
      <c r="K23" s="770">
        <v>0</v>
      </c>
      <c r="L23" s="759">
        <f t="shared" si="4"/>
        <v>14</v>
      </c>
      <c r="M23" s="759">
        <f t="shared" si="2"/>
        <v>14</v>
      </c>
      <c r="N23" s="791" t="str">
        <f t="shared" si="2"/>
        <v>4371076</v>
      </c>
      <c r="O23" s="794">
        <f t="shared" si="2"/>
        <v>456</v>
      </c>
      <c r="P23" s="795" t="str">
        <f t="shared" si="2"/>
        <v>Environmental Lab - Elec Tran</v>
      </c>
      <c r="Q23" s="789">
        <v>0</v>
      </c>
      <c r="R23" s="789">
        <v>0</v>
      </c>
      <c r="S23" s="789">
        <v>0</v>
      </c>
      <c r="T23" s="789">
        <v>0</v>
      </c>
      <c r="U23" s="789"/>
      <c r="V23" s="790">
        <f t="shared" si="7"/>
        <v>0</v>
      </c>
      <c r="W23" s="759">
        <f t="shared" si="1"/>
        <v>14</v>
      </c>
      <c r="X23" s="796"/>
      <c r="Y23" s="796"/>
      <c r="Z23" s="796"/>
      <c r="AA23" s="796"/>
      <c r="AB23" s="796"/>
      <c r="AC23" s="796"/>
      <c r="AE23" s="796"/>
      <c r="AG23" s="797"/>
    </row>
    <row r="24" spans="1:33" s="755" customFormat="1" x14ac:dyDescent="0.3">
      <c r="A24" s="759">
        <f t="shared" si="3"/>
        <v>15</v>
      </c>
      <c r="B24" s="791" t="s">
        <v>917</v>
      </c>
      <c r="C24" s="794">
        <v>456</v>
      </c>
      <c r="D24" s="798" t="s">
        <v>918</v>
      </c>
      <c r="E24" s="789">
        <v>0</v>
      </c>
      <c r="F24" s="789">
        <v>0</v>
      </c>
      <c r="G24" s="789">
        <v>-39260</v>
      </c>
      <c r="H24" s="789">
        <v>-13086</v>
      </c>
      <c r="I24" s="789">
        <v>-13087</v>
      </c>
      <c r="J24" s="789">
        <v>-13086</v>
      </c>
      <c r="K24" s="770">
        <v>-13087</v>
      </c>
      <c r="L24" s="759">
        <f t="shared" si="4"/>
        <v>15</v>
      </c>
      <c r="M24" s="759">
        <f t="shared" si="2"/>
        <v>15</v>
      </c>
      <c r="N24" s="791" t="str">
        <f t="shared" si="2"/>
        <v>4371082</v>
      </c>
      <c r="O24" s="794">
        <f t="shared" si="2"/>
        <v>456</v>
      </c>
      <c r="P24" s="798" t="str">
        <f t="shared" si="2"/>
        <v>Other Elec Rev-SDGE Gen</v>
      </c>
      <c r="Q24" s="789">
        <v>-13087</v>
      </c>
      <c r="R24" s="789">
        <v>-13086</v>
      </c>
      <c r="S24" s="789">
        <v>-13087</v>
      </c>
      <c r="T24" s="789">
        <v>-13086</v>
      </c>
      <c r="U24" s="789">
        <v>-13087</v>
      </c>
      <c r="V24" s="790">
        <f t="shared" si="7"/>
        <v>-157039</v>
      </c>
      <c r="W24" s="759">
        <f t="shared" si="1"/>
        <v>15</v>
      </c>
      <c r="X24" s="765"/>
      <c r="Y24" s="796"/>
      <c r="Z24" s="796"/>
      <c r="AA24" s="796"/>
      <c r="AB24" s="796"/>
      <c r="AC24" s="796"/>
      <c r="AE24" s="796"/>
      <c r="AG24" s="797"/>
    </row>
    <row r="25" spans="1:33" s="765" customFormat="1" x14ac:dyDescent="0.3">
      <c r="A25" s="759">
        <f t="shared" si="3"/>
        <v>16</v>
      </c>
      <c r="B25" s="791" t="s">
        <v>919</v>
      </c>
      <c r="C25" s="794">
        <v>456</v>
      </c>
      <c r="D25" s="762" t="s">
        <v>920</v>
      </c>
      <c r="E25" s="424">
        <v>0</v>
      </c>
      <c r="F25" s="424">
        <v>-1650</v>
      </c>
      <c r="G25" s="424">
        <v>-16200</v>
      </c>
      <c r="H25" s="424">
        <v>0</v>
      </c>
      <c r="I25" s="424">
        <v>-11250</v>
      </c>
      <c r="J25" s="424">
        <v>-1650</v>
      </c>
      <c r="K25" s="768">
        <v>-12900</v>
      </c>
      <c r="L25" s="759">
        <f t="shared" si="4"/>
        <v>16</v>
      </c>
      <c r="M25" s="759">
        <f t="shared" si="2"/>
        <v>16</v>
      </c>
      <c r="N25" s="791" t="str">
        <f t="shared" si="2"/>
        <v>4371806</v>
      </c>
      <c r="O25" s="794">
        <f t="shared" si="2"/>
        <v>456</v>
      </c>
      <c r="P25" s="762" t="str">
        <f t="shared" si="2"/>
        <v>Elec-Trans Fees/Rev</v>
      </c>
      <c r="Q25" s="424">
        <v>0</v>
      </c>
      <c r="R25" s="424">
        <v>0</v>
      </c>
      <c r="S25" s="424">
        <v>0</v>
      </c>
      <c r="T25" s="424">
        <v>0</v>
      </c>
      <c r="U25" s="424">
        <v>0</v>
      </c>
      <c r="V25" s="767">
        <f t="shared" si="7"/>
        <v>-43650</v>
      </c>
      <c r="W25" s="759">
        <f t="shared" si="1"/>
        <v>16</v>
      </c>
      <c r="X25" s="796"/>
      <c r="Y25" s="796"/>
      <c r="Z25" s="796"/>
      <c r="AA25" s="796"/>
      <c r="AB25" s="796"/>
      <c r="AC25" s="796"/>
      <c r="AE25" s="796"/>
      <c r="AG25" s="797"/>
    </row>
    <row r="26" spans="1:33" s="765" customFormat="1" x14ac:dyDescent="0.3">
      <c r="A26" s="759">
        <f t="shared" si="3"/>
        <v>17</v>
      </c>
      <c r="B26" s="791"/>
      <c r="C26" s="794"/>
      <c r="D26" s="762"/>
      <c r="E26" s="369"/>
      <c r="F26" s="404"/>
      <c r="G26" s="369"/>
      <c r="H26" s="404"/>
      <c r="I26" s="369"/>
      <c r="J26" s="404"/>
      <c r="K26" s="770"/>
      <c r="L26" s="759">
        <f t="shared" si="4"/>
        <v>17</v>
      </c>
      <c r="M26" s="759">
        <f t="shared" ref="M26:M36" si="8">A26</f>
        <v>17</v>
      </c>
      <c r="N26" s="791"/>
      <c r="O26" s="794"/>
      <c r="P26" s="762"/>
      <c r="Q26" s="404"/>
      <c r="R26" s="369"/>
      <c r="S26" s="404"/>
      <c r="T26" s="369"/>
      <c r="U26" s="404"/>
      <c r="V26" s="790"/>
      <c r="W26" s="759">
        <f t="shared" si="1"/>
        <v>17</v>
      </c>
      <c r="X26" s="796"/>
      <c r="Y26" s="796"/>
      <c r="Z26" s="796"/>
      <c r="AA26" s="796"/>
      <c r="AB26" s="796"/>
      <c r="AC26" s="796"/>
      <c r="AE26" s="796"/>
      <c r="AG26" s="797"/>
    </row>
    <row r="27" spans="1:33" s="765" customFormat="1" ht="18" x14ac:dyDescent="0.3">
      <c r="A27" s="759">
        <f t="shared" si="3"/>
        <v>18</v>
      </c>
      <c r="B27" s="791"/>
      <c r="C27" s="794"/>
      <c r="E27" s="730">
        <f>SUM(E15:E26)</f>
        <v>-890668</v>
      </c>
      <c r="F27" s="799">
        <f>SUM(F15:F26)</f>
        <v>-268114</v>
      </c>
      <c r="G27" s="799">
        <f t="shared" ref="G27:U27" si="9">SUM(G15:G26)</f>
        <v>-294268</v>
      </c>
      <c r="H27" s="799">
        <f t="shared" si="9"/>
        <v>-298854</v>
      </c>
      <c r="I27" s="799">
        <f t="shared" si="9"/>
        <v>-241982</v>
      </c>
      <c r="J27" s="799">
        <f t="shared" si="9"/>
        <v>-235833</v>
      </c>
      <c r="K27" s="800">
        <f t="shared" si="9"/>
        <v>-243231</v>
      </c>
      <c r="L27" s="759">
        <f t="shared" si="4"/>
        <v>18</v>
      </c>
      <c r="M27" s="759">
        <f t="shared" si="8"/>
        <v>18</v>
      </c>
      <c r="N27" s="791"/>
      <c r="O27" s="794"/>
      <c r="P27" s="772" t="s">
        <v>921</v>
      </c>
      <c r="Q27" s="799">
        <f t="shared" si="9"/>
        <v>-272986</v>
      </c>
      <c r="R27" s="799">
        <f t="shared" si="9"/>
        <v>-233698</v>
      </c>
      <c r="S27" s="799">
        <f t="shared" si="9"/>
        <v>-235286</v>
      </c>
      <c r="T27" s="799">
        <f t="shared" si="9"/>
        <v>-237512</v>
      </c>
      <c r="U27" s="799">
        <f t="shared" si="9"/>
        <v>-112988</v>
      </c>
      <c r="V27" s="800">
        <f>SUM(V15:V25)</f>
        <v>-3565420</v>
      </c>
      <c r="W27" s="759">
        <f t="shared" si="1"/>
        <v>18</v>
      </c>
      <c r="X27" s="42" t="s">
        <v>42</v>
      </c>
      <c r="Y27" s="796"/>
      <c r="Z27" s="796"/>
      <c r="AA27" s="796"/>
      <c r="AB27" s="796"/>
      <c r="AC27" s="796"/>
      <c r="AE27" s="796"/>
      <c r="AG27" s="797"/>
    </row>
    <row r="28" spans="1:33" s="765" customFormat="1" ht="16.2" thickBot="1" x14ac:dyDescent="0.35">
      <c r="A28" s="759">
        <f t="shared" si="3"/>
        <v>19</v>
      </c>
      <c r="B28" s="801"/>
      <c r="C28" s="802"/>
      <c r="D28" s="778"/>
      <c r="E28" s="782"/>
      <c r="F28" s="783"/>
      <c r="G28" s="782"/>
      <c r="H28" s="783"/>
      <c r="I28" s="782"/>
      <c r="J28" s="783"/>
      <c r="K28" s="803"/>
      <c r="L28" s="759">
        <f t="shared" si="4"/>
        <v>19</v>
      </c>
      <c r="M28" s="759">
        <f t="shared" si="8"/>
        <v>19</v>
      </c>
      <c r="N28" s="801"/>
      <c r="O28" s="802"/>
      <c r="P28" s="778"/>
      <c r="Q28" s="783"/>
      <c r="R28" s="782"/>
      <c r="S28" s="783"/>
      <c r="T28" s="782"/>
      <c r="U28" s="783"/>
      <c r="V28" s="804"/>
      <c r="W28" s="759">
        <f t="shared" si="1"/>
        <v>19</v>
      </c>
      <c r="X28" s="796"/>
      <c r="Y28" s="796"/>
      <c r="Z28" s="796"/>
      <c r="AA28" s="796"/>
      <c r="AB28" s="796"/>
      <c r="AC28" s="796"/>
      <c r="AE28" s="796"/>
      <c r="AG28" s="797"/>
    </row>
    <row r="29" spans="1:33" s="765" customFormat="1" ht="18" x14ac:dyDescent="0.3">
      <c r="A29" s="759">
        <f t="shared" si="3"/>
        <v>20</v>
      </c>
      <c r="B29" s="791"/>
      <c r="C29" s="794" t="s">
        <v>922</v>
      </c>
      <c r="D29" s="805" t="s">
        <v>923</v>
      </c>
      <c r="E29" s="806">
        <v>-39556</v>
      </c>
      <c r="F29" s="789">
        <v>-39555</v>
      </c>
      <c r="G29" s="369">
        <v>-39556</v>
      </c>
      <c r="H29" s="404">
        <v>-39556</v>
      </c>
      <c r="I29" s="369">
        <v>-39555</v>
      </c>
      <c r="J29" s="404">
        <v>-39556</v>
      </c>
      <c r="K29" s="770">
        <v>-39555</v>
      </c>
      <c r="L29" s="759">
        <f t="shared" si="4"/>
        <v>20</v>
      </c>
      <c r="M29" s="759">
        <f t="shared" si="8"/>
        <v>20</v>
      </c>
      <c r="N29" s="847"/>
      <c r="O29" s="848" t="str">
        <f>C29</f>
        <v>Various</v>
      </c>
      <c r="P29" s="849" t="s">
        <v>923</v>
      </c>
      <c r="Q29" s="806">
        <v>-39556</v>
      </c>
      <c r="R29" s="806">
        <v>-39556</v>
      </c>
      <c r="S29" s="806">
        <v>-39555</v>
      </c>
      <c r="T29" s="806">
        <v>-39556</v>
      </c>
      <c r="U29" s="807">
        <v>-39556</v>
      </c>
      <c r="V29" s="787">
        <f>SUM(E29:K29,Q29:U29)</f>
        <v>-474668</v>
      </c>
      <c r="W29" s="759">
        <f t="shared" si="1"/>
        <v>20</v>
      </c>
      <c r="X29" s="796"/>
      <c r="Y29" s="796"/>
      <c r="Z29" s="796"/>
      <c r="AA29" s="796"/>
      <c r="AB29" s="796"/>
      <c r="AC29" s="796"/>
      <c r="AE29" s="796"/>
      <c r="AG29" s="797"/>
    </row>
    <row r="30" spans="1:33" s="765" customFormat="1" ht="18" x14ac:dyDescent="0.3">
      <c r="A30" s="759">
        <f t="shared" si="3"/>
        <v>21</v>
      </c>
      <c r="B30" s="808"/>
      <c r="C30" s="794" t="s">
        <v>922</v>
      </c>
      <c r="D30" s="805" t="s">
        <v>924</v>
      </c>
      <c r="E30" s="424">
        <v>-13283</v>
      </c>
      <c r="F30" s="424">
        <v>-13284</v>
      </c>
      <c r="G30" s="424">
        <v>-13283</v>
      </c>
      <c r="H30" s="424">
        <v>-13284</v>
      </c>
      <c r="I30" s="424">
        <v>-13283</v>
      </c>
      <c r="J30" s="424">
        <v>-13284</v>
      </c>
      <c r="K30" s="768">
        <v>-13283</v>
      </c>
      <c r="L30" s="759">
        <f t="shared" si="4"/>
        <v>21</v>
      </c>
      <c r="M30" s="759">
        <f t="shared" si="8"/>
        <v>21</v>
      </c>
      <c r="N30" s="808"/>
      <c r="O30" s="794" t="s">
        <v>922</v>
      </c>
      <c r="P30" s="805" t="s">
        <v>924</v>
      </c>
      <c r="Q30" s="424">
        <v>-13284</v>
      </c>
      <c r="R30" s="424">
        <v>-13283</v>
      </c>
      <c r="S30" s="424">
        <v>-13284</v>
      </c>
      <c r="T30" s="424">
        <v>-13283</v>
      </c>
      <c r="U30" s="424">
        <v>-13284</v>
      </c>
      <c r="V30" s="767">
        <f>SUM(E30:K30,Q30:U30)</f>
        <v>-159402</v>
      </c>
      <c r="W30" s="759">
        <f t="shared" si="1"/>
        <v>21</v>
      </c>
      <c r="X30" s="796"/>
      <c r="Y30" s="796"/>
      <c r="Z30" s="796"/>
      <c r="AA30" s="796"/>
      <c r="AB30" s="796"/>
      <c r="AC30" s="796"/>
      <c r="AE30" s="796"/>
      <c r="AG30" s="797"/>
    </row>
    <row r="31" spans="1:33" s="765" customFormat="1" x14ac:dyDescent="0.3">
      <c r="A31" s="759">
        <f t="shared" si="3"/>
        <v>22</v>
      </c>
      <c r="B31" s="809"/>
      <c r="C31" s="810"/>
      <c r="D31" s="795"/>
      <c r="E31" s="811"/>
      <c r="F31" s="811"/>
      <c r="G31" s="811"/>
      <c r="H31" s="811"/>
      <c r="I31" s="811"/>
      <c r="J31" s="811"/>
      <c r="K31" s="812"/>
      <c r="L31" s="759">
        <f t="shared" si="4"/>
        <v>22</v>
      </c>
      <c r="M31" s="759">
        <f t="shared" si="8"/>
        <v>22</v>
      </c>
      <c r="N31" s="809"/>
      <c r="O31" s="810"/>
      <c r="P31" s="795"/>
      <c r="Q31" s="789"/>
      <c r="R31" s="789"/>
      <c r="S31" s="789"/>
      <c r="T31" s="789"/>
      <c r="U31" s="789"/>
      <c r="V31" s="770"/>
      <c r="W31" s="759">
        <f t="shared" si="1"/>
        <v>22</v>
      </c>
    </row>
    <row r="32" spans="1:33" s="765" customFormat="1" x14ac:dyDescent="0.3">
      <c r="A32" s="759">
        <f t="shared" si="3"/>
        <v>23</v>
      </c>
      <c r="B32" s="813"/>
      <c r="C32" s="814"/>
      <c r="D32" s="815" t="s">
        <v>857</v>
      </c>
      <c r="E32" s="816">
        <f>SUM(E29:E31)</f>
        <v>-52839</v>
      </c>
      <c r="F32" s="816">
        <f t="shared" ref="F32:K32" si="10">SUM(F29:F31)</f>
        <v>-52839</v>
      </c>
      <c r="G32" s="816">
        <f t="shared" si="10"/>
        <v>-52839</v>
      </c>
      <c r="H32" s="816">
        <f t="shared" si="10"/>
        <v>-52840</v>
      </c>
      <c r="I32" s="816">
        <f t="shared" si="10"/>
        <v>-52838</v>
      </c>
      <c r="J32" s="816">
        <f t="shared" si="10"/>
        <v>-52840</v>
      </c>
      <c r="K32" s="817">
        <f t="shared" si="10"/>
        <v>-52838</v>
      </c>
      <c r="L32" s="759">
        <f t="shared" si="4"/>
        <v>23</v>
      </c>
      <c r="M32" s="759">
        <f t="shared" si="8"/>
        <v>23</v>
      </c>
      <c r="N32" s="813"/>
      <c r="O32" s="814"/>
      <c r="P32" s="818" t="str">
        <f>D32</f>
        <v>Electric Transmission Revenues from Citizens</v>
      </c>
      <c r="Q32" s="816">
        <f t="shared" ref="Q32:U32" si="11">SUM(Q29:Q31)</f>
        <v>-52840</v>
      </c>
      <c r="R32" s="816">
        <f t="shared" si="11"/>
        <v>-52839</v>
      </c>
      <c r="S32" s="816">
        <f t="shared" si="11"/>
        <v>-52839</v>
      </c>
      <c r="T32" s="816">
        <f t="shared" si="11"/>
        <v>-52839</v>
      </c>
      <c r="U32" s="816">
        <f t="shared" si="11"/>
        <v>-52840</v>
      </c>
      <c r="V32" s="817">
        <f>SUM(V29:V31)</f>
        <v>-634070</v>
      </c>
      <c r="W32" s="759">
        <f t="shared" si="1"/>
        <v>23</v>
      </c>
      <c r="X32" s="42" t="s">
        <v>42</v>
      </c>
    </row>
    <row r="33" spans="1:24" s="765" customFormat="1" x14ac:dyDescent="0.3">
      <c r="A33" s="759">
        <f t="shared" si="3"/>
        <v>24</v>
      </c>
      <c r="B33" s="813"/>
      <c r="C33" s="814"/>
      <c r="D33" s="815"/>
      <c r="E33" s="799"/>
      <c r="F33" s="799"/>
      <c r="G33" s="799"/>
      <c r="H33" s="730"/>
      <c r="I33" s="650"/>
      <c r="J33" s="799"/>
      <c r="K33" s="800"/>
      <c r="L33" s="759">
        <f t="shared" si="4"/>
        <v>24</v>
      </c>
      <c r="M33" s="759">
        <f t="shared" si="8"/>
        <v>24</v>
      </c>
      <c r="N33" s="813"/>
      <c r="O33" s="814"/>
      <c r="P33" s="818"/>
      <c r="Q33" s="819"/>
      <c r="R33" s="650"/>
      <c r="S33" s="730"/>
      <c r="T33" s="650"/>
      <c r="U33" s="730"/>
      <c r="V33" s="820"/>
      <c r="W33" s="759">
        <f t="shared" si="1"/>
        <v>24</v>
      </c>
    </row>
    <row r="34" spans="1:24" s="765" customFormat="1" x14ac:dyDescent="0.3">
      <c r="A34" s="759">
        <f t="shared" si="3"/>
        <v>25</v>
      </c>
      <c r="B34" s="813"/>
      <c r="C34" s="814"/>
      <c r="D34" s="821"/>
      <c r="E34" s="822"/>
      <c r="F34" s="823"/>
      <c r="G34" s="822"/>
      <c r="H34" s="823"/>
      <c r="I34" s="822"/>
      <c r="J34" s="824"/>
      <c r="K34" s="825"/>
      <c r="L34" s="759">
        <f t="shared" si="4"/>
        <v>25</v>
      </c>
      <c r="M34" s="759">
        <f t="shared" si="8"/>
        <v>25</v>
      </c>
      <c r="N34" s="826"/>
      <c r="O34" s="827"/>
      <c r="P34" s="756"/>
      <c r="Q34" s="828"/>
      <c r="R34" s="822"/>
      <c r="S34" s="823"/>
      <c r="T34" s="822"/>
      <c r="U34" s="823"/>
      <c r="V34" s="829"/>
      <c r="W34" s="759">
        <f t="shared" si="1"/>
        <v>25</v>
      </c>
    </row>
    <row r="35" spans="1:24" s="834" customFormat="1" ht="16.2" thickBot="1" x14ac:dyDescent="0.35">
      <c r="A35" s="759">
        <f t="shared" si="3"/>
        <v>26</v>
      </c>
      <c r="B35" s="830" t="s">
        <v>925</v>
      </c>
      <c r="C35" s="831"/>
      <c r="D35" s="832"/>
      <c r="E35" s="406">
        <f>E13+E27+E32</f>
        <v>-972795</v>
      </c>
      <c r="F35" s="378">
        <f t="shared" ref="F35:K35" si="12">F13+F27+F32</f>
        <v>-336261</v>
      </c>
      <c r="G35" s="406">
        <f t="shared" si="12"/>
        <v>-362151</v>
      </c>
      <c r="H35" s="378">
        <f t="shared" si="12"/>
        <v>-372094</v>
      </c>
      <c r="I35" s="406">
        <f t="shared" si="12"/>
        <v>-312345</v>
      </c>
      <c r="J35" s="378">
        <f t="shared" si="12"/>
        <v>-300922</v>
      </c>
      <c r="K35" s="833">
        <f t="shared" si="12"/>
        <v>-313979</v>
      </c>
      <c r="L35" s="759">
        <f t="shared" si="4"/>
        <v>26</v>
      </c>
      <c r="M35" s="759">
        <f t="shared" si="8"/>
        <v>26</v>
      </c>
      <c r="N35" s="830" t="str">
        <f>B35</f>
        <v>Total Miscellaneous Revenue</v>
      </c>
      <c r="O35" s="831"/>
      <c r="P35" s="832"/>
      <c r="Q35" s="378">
        <f t="shared" ref="Q35:V35" si="13">Q13+Q27+Q32</f>
        <v>-340426</v>
      </c>
      <c r="R35" s="406">
        <f t="shared" si="13"/>
        <v>-306700</v>
      </c>
      <c r="S35" s="378">
        <f t="shared" si="13"/>
        <v>-302751</v>
      </c>
      <c r="T35" s="406">
        <f t="shared" si="13"/>
        <v>-304975</v>
      </c>
      <c r="U35" s="378">
        <f t="shared" si="13"/>
        <v>-182951</v>
      </c>
      <c r="V35" s="833">
        <f t="shared" si="13"/>
        <v>-4408350</v>
      </c>
      <c r="W35" s="759">
        <f t="shared" si="1"/>
        <v>26</v>
      </c>
      <c r="X35" s="42" t="s">
        <v>42</v>
      </c>
    </row>
    <row r="36" spans="1:24" ht="16.8" thickTop="1" thickBot="1" x14ac:dyDescent="0.35">
      <c r="A36" s="759">
        <f t="shared" si="3"/>
        <v>27</v>
      </c>
      <c r="B36" s="835"/>
      <c r="C36" s="191"/>
      <c r="D36" s="836"/>
      <c r="E36" s="191"/>
      <c r="F36" s="836"/>
      <c r="G36" s="191"/>
      <c r="H36" s="836"/>
      <c r="I36" s="191"/>
      <c r="J36" s="836"/>
      <c r="K36" s="837"/>
      <c r="L36" s="759">
        <f t="shared" si="4"/>
        <v>27</v>
      </c>
      <c r="M36" s="759">
        <f t="shared" si="8"/>
        <v>27</v>
      </c>
      <c r="N36" s="835"/>
      <c r="O36" s="191"/>
      <c r="P36" s="836"/>
      <c r="Q36" s="836"/>
      <c r="R36" s="191"/>
      <c r="S36" s="836"/>
      <c r="T36" s="191"/>
      <c r="U36" s="838"/>
      <c r="V36" s="839"/>
      <c r="W36" s="759">
        <f t="shared" si="1"/>
        <v>27</v>
      </c>
    </row>
    <row r="38" spans="1:24" x14ac:dyDescent="0.3">
      <c r="A38" s="42" t="s">
        <v>42</v>
      </c>
      <c r="B38" s="169" t="s">
        <v>863</v>
      </c>
      <c r="M38" s="42" t="s">
        <v>42</v>
      </c>
      <c r="N38" s="169" t="str">
        <f t="shared" ref="N38:N44" si="14">B38</f>
        <v>Adjustment to reflect the correct the 2020 entry in the transfer of transmission revenue requirements from distribution.</v>
      </c>
    </row>
    <row r="39" spans="1:24" ht="18" x14ac:dyDescent="0.3">
      <c r="A39" s="187">
        <v>1</v>
      </c>
      <c r="B39" s="169" t="s">
        <v>926</v>
      </c>
      <c r="M39" s="187">
        <f>A39</f>
        <v>1</v>
      </c>
      <c r="N39" s="169" t="str">
        <f t="shared" si="14"/>
        <v>The total Rent from Electric Property in FERC Form 1; Page 300; Line 19; Col. b includes both Distribution and Transmission rents. The Total Transmission-related Rents from Electric</v>
      </c>
    </row>
    <row r="40" spans="1:24" x14ac:dyDescent="0.3">
      <c r="B40" s="169" t="s">
        <v>927</v>
      </c>
      <c r="N40" s="169" t="str">
        <f t="shared" si="14"/>
        <v>Property is reflected in Col. (m) of this schedule and ties to the footnotes on FERC Form 1; Page 450.1; Sch. Pg. 300; Line 19; Col. b. The FERC Form 1 footnote is off by $100 due a typing error.</v>
      </c>
    </row>
    <row r="41" spans="1:24" ht="18" x14ac:dyDescent="0.3">
      <c r="A41" s="187">
        <v>2</v>
      </c>
      <c r="B41" s="169" t="s">
        <v>928</v>
      </c>
      <c r="M41" s="187">
        <f>A41</f>
        <v>2</v>
      </c>
      <c r="N41" s="169" t="str">
        <f t="shared" si="14"/>
        <v>The total Other Electric Revenues in FERC Form 1; Page 300; Line 21; Col. b includes other revenues for both Distribution and Transmission. The Total Transmission-related piece of Other</v>
      </c>
    </row>
    <row r="42" spans="1:24" x14ac:dyDescent="0.3">
      <c r="B42" s="169" t="s">
        <v>929</v>
      </c>
      <c r="N42" s="169" t="str">
        <f t="shared" si="14"/>
        <v>Revenues is reflected in Col. (m) of this schedule and ties to the footnotes on FERC Form 1; Page 450.1; Sch. Pg. 300; Line 21; Col. b.</v>
      </c>
    </row>
    <row r="43" spans="1:24" ht="18" x14ac:dyDescent="0.3">
      <c r="A43" s="187">
        <v>3</v>
      </c>
      <c r="B43" s="169" t="s">
        <v>930</v>
      </c>
      <c r="M43" s="187">
        <f>A43</f>
        <v>3</v>
      </c>
      <c r="N43" s="169" t="str">
        <f t="shared" si="14"/>
        <v>The Electric Transmission Revenue for Citizens in this statement is to provide ratepayers a credit for Citizens' share of Transmission-related Common and General Plant, Transmission-related</v>
      </c>
    </row>
    <row r="44" spans="1:24" x14ac:dyDescent="0.3">
      <c r="B44" s="169" t="s">
        <v>931</v>
      </c>
      <c r="N44" s="169" t="str">
        <f t="shared" si="14"/>
        <v>Working Capital Revenue, and Franchise Fees.</v>
      </c>
    </row>
    <row r="47" spans="1:24" x14ac:dyDescent="0.3">
      <c r="V47" s="181"/>
    </row>
  </sheetData>
  <mergeCells count="8">
    <mergeCell ref="B5:K5"/>
    <mergeCell ref="N5:V5"/>
    <mergeCell ref="B2:K2"/>
    <mergeCell ref="N2:V2"/>
    <mergeCell ref="B3:K3"/>
    <mergeCell ref="N3:V3"/>
    <mergeCell ref="B4:K4"/>
    <mergeCell ref="N4:V4"/>
  </mergeCells>
  <printOptions horizontalCentered="1"/>
  <pageMargins left="0.25" right="0.25" top="0.35" bottom="0.5" header="0.25" footer="0.25"/>
  <pageSetup scale="70" orientation="landscape" r:id="rId1"/>
  <headerFooter scaleWithDoc="0" alignWithMargins="0">
    <oddHeader>&amp;C&amp;"Times New Roman,Bold"&amp;8REVISED</oddHeader>
    <oddFooter>&amp;CPage 14.&amp;P&amp;R&amp;F</oddFooter>
  </headerFooter>
  <colBreaks count="1" manualBreakCount="1">
    <brk id="12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B28C-241A-4871-B5CD-9BF077446F81}">
  <dimension ref="A1:AG48"/>
  <sheetViews>
    <sheetView zoomScale="80" zoomScaleNormal="80" workbookViewId="0"/>
  </sheetViews>
  <sheetFormatPr defaultColWidth="9.109375" defaultRowHeight="15.6" x14ac:dyDescent="0.3"/>
  <cols>
    <col min="1" max="1" width="5.109375" style="168" customWidth="1"/>
    <col min="2" max="3" width="11.44140625" style="169" customWidth="1"/>
    <col min="4" max="4" width="50.109375" style="169" customWidth="1"/>
    <col min="5" max="11" width="14.88671875" style="169" customWidth="1"/>
    <col min="12" max="13" width="5.109375" style="168" customWidth="1"/>
    <col min="14" max="15" width="11.44140625" style="169" customWidth="1"/>
    <col min="16" max="16" width="50.109375" style="169" customWidth="1"/>
    <col min="17" max="22" width="14.88671875" style="169" customWidth="1"/>
    <col min="23" max="23" width="5.109375" style="168" customWidth="1"/>
    <col min="24" max="24" width="13" style="169" bestFit="1" customWidth="1"/>
    <col min="25" max="32" width="9.109375" style="169"/>
    <col min="33" max="33" width="9.88671875" style="169" bestFit="1" customWidth="1"/>
    <col min="34" max="16384" width="9.109375" style="169"/>
  </cols>
  <sheetData>
    <row r="1" spans="1:25" x14ac:dyDescent="0.3">
      <c r="A1" s="556" t="s">
        <v>283</v>
      </c>
    </row>
    <row r="3" spans="1:25" s="188" customFormat="1" x14ac:dyDescent="0.3">
      <c r="A3" s="171"/>
      <c r="B3" s="867" t="s">
        <v>217</v>
      </c>
      <c r="C3" s="867"/>
      <c r="D3" s="867"/>
      <c r="E3" s="867"/>
      <c r="F3" s="867"/>
      <c r="G3" s="867"/>
      <c r="H3" s="867"/>
      <c r="I3" s="867"/>
      <c r="J3" s="867"/>
      <c r="K3" s="867"/>
      <c r="L3" s="466"/>
      <c r="M3" s="171"/>
      <c r="N3" s="867" t="str">
        <f>B3</f>
        <v>SAN DIEGO GAS &amp; ELECTRIC COMPANY</v>
      </c>
      <c r="O3" s="867"/>
      <c r="P3" s="867"/>
      <c r="Q3" s="867"/>
      <c r="R3" s="867"/>
      <c r="S3" s="867"/>
      <c r="T3" s="867"/>
      <c r="U3" s="867"/>
      <c r="V3" s="867"/>
      <c r="W3" s="466"/>
      <c r="X3" s="467"/>
      <c r="Y3" s="467"/>
    </row>
    <row r="4" spans="1:25" s="188" customFormat="1" x14ac:dyDescent="0.3">
      <c r="A4" s="171"/>
      <c r="B4" s="861" t="s">
        <v>843</v>
      </c>
      <c r="C4" s="861"/>
      <c r="D4" s="861"/>
      <c r="E4" s="861"/>
      <c r="F4" s="861"/>
      <c r="G4" s="861"/>
      <c r="H4" s="861"/>
      <c r="I4" s="861"/>
      <c r="J4" s="861"/>
      <c r="K4" s="861"/>
      <c r="L4" s="171"/>
      <c r="M4" s="171"/>
      <c r="N4" s="861" t="str">
        <f>B4</f>
        <v>Statement AU</v>
      </c>
      <c r="O4" s="861"/>
      <c r="P4" s="861"/>
      <c r="Q4" s="861"/>
      <c r="R4" s="861"/>
      <c r="S4" s="861"/>
      <c r="T4" s="861"/>
      <c r="U4" s="861"/>
      <c r="V4" s="861"/>
      <c r="W4" s="171"/>
    </row>
    <row r="5" spans="1:25" s="188" customFormat="1" x14ac:dyDescent="0.3">
      <c r="A5" s="171"/>
      <c r="B5" s="861" t="s">
        <v>844</v>
      </c>
      <c r="C5" s="861"/>
      <c r="D5" s="861"/>
      <c r="E5" s="861"/>
      <c r="F5" s="861"/>
      <c r="G5" s="861"/>
      <c r="H5" s="861"/>
      <c r="I5" s="861"/>
      <c r="J5" s="861"/>
      <c r="K5" s="861"/>
      <c r="L5" s="171"/>
      <c r="M5" s="171"/>
      <c r="N5" s="861" t="str">
        <f>B5</f>
        <v>Revenue Credits</v>
      </c>
      <c r="O5" s="861"/>
      <c r="P5" s="861"/>
      <c r="Q5" s="861"/>
      <c r="R5" s="861"/>
      <c r="S5" s="861"/>
      <c r="T5" s="861"/>
      <c r="U5" s="861"/>
      <c r="V5" s="861"/>
      <c r="W5" s="171"/>
    </row>
    <row r="6" spans="1:25" s="188" customFormat="1" x14ac:dyDescent="0.3">
      <c r="A6" s="171"/>
      <c r="B6" s="861" t="s">
        <v>868</v>
      </c>
      <c r="C6" s="861"/>
      <c r="D6" s="861"/>
      <c r="E6" s="861"/>
      <c r="F6" s="861"/>
      <c r="G6" s="861"/>
      <c r="H6" s="861"/>
      <c r="I6" s="861"/>
      <c r="J6" s="861"/>
      <c r="K6" s="861"/>
      <c r="L6" s="171"/>
      <c r="M6" s="171"/>
      <c r="N6" s="861" t="str">
        <f>B6</f>
        <v>12 Months Ending December 31, 2020</v>
      </c>
      <c r="O6" s="861"/>
      <c r="P6" s="861"/>
      <c r="Q6" s="861"/>
      <c r="R6" s="861"/>
      <c r="S6" s="861"/>
      <c r="T6" s="861"/>
      <c r="U6" s="861"/>
      <c r="V6" s="861"/>
      <c r="W6" s="171"/>
    </row>
    <row r="7" spans="1:25" ht="16.2" thickBot="1" x14ac:dyDescent="0.35">
      <c r="B7" s="738"/>
      <c r="C7" s="738"/>
      <c r="D7" s="738"/>
      <c r="V7" s="168"/>
    </row>
    <row r="8" spans="1:25" s="188" customFormat="1" x14ac:dyDescent="0.3">
      <c r="A8" s="168" t="s">
        <v>4</v>
      </c>
      <c r="B8" s="739" t="s">
        <v>869</v>
      </c>
      <c r="C8" s="740" t="s">
        <v>450</v>
      </c>
      <c r="D8" s="741"/>
      <c r="E8" s="742" t="s">
        <v>296</v>
      </c>
      <c r="F8" s="743" t="s">
        <v>297</v>
      </c>
      <c r="G8" s="743" t="s">
        <v>328</v>
      </c>
      <c r="H8" s="743" t="s">
        <v>870</v>
      </c>
      <c r="I8" s="743" t="s">
        <v>871</v>
      </c>
      <c r="J8" s="743" t="s">
        <v>872</v>
      </c>
      <c r="K8" s="744" t="s">
        <v>873</v>
      </c>
      <c r="L8" s="168" t="s">
        <v>4</v>
      </c>
      <c r="M8" s="168" t="str">
        <f t="shared" ref="M8:O9" si="0">A8</f>
        <v>Line</v>
      </c>
      <c r="N8" s="739" t="str">
        <f t="shared" si="0"/>
        <v>SAP</v>
      </c>
      <c r="O8" s="740" t="str">
        <f t="shared" si="0"/>
        <v>FERC</v>
      </c>
      <c r="P8" s="741"/>
      <c r="Q8" s="743" t="s">
        <v>874</v>
      </c>
      <c r="R8" s="743" t="s">
        <v>875</v>
      </c>
      <c r="S8" s="743" t="s">
        <v>876</v>
      </c>
      <c r="T8" s="743" t="s">
        <v>877</v>
      </c>
      <c r="U8" s="743" t="s">
        <v>878</v>
      </c>
      <c r="V8" s="745" t="s">
        <v>879</v>
      </c>
      <c r="W8" s="168" t="str">
        <f>L8</f>
        <v>Line</v>
      </c>
    </row>
    <row r="9" spans="1:25" s="188" customFormat="1" ht="16.2" thickBot="1" x14ac:dyDescent="0.35">
      <c r="A9" s="168" t="s">
        <v>8</v>
      </c>
      <c r="B9" s="746" t="s">
        <v>880</v>
      </c>
      <c r="C9" s="418" t="s">
        <v>880</v>
      </c>
      <c r="D9" s="747" t="s">
        <v>881</v>
      </c>
      <c r="E9" s="748" t="s">
        <v>882</v>
      </c>
      <c r="F9" s="749" t="s">
        <v>883</v>
      </c>
      <c r="G9" s="748" t="s">
        <v>884</v>
      </c>
      <c r="H9" s="748" t="s">
        <v>885</v>
      </c>
      <c r="I9" s="748" t="s">
        <v>886</v>
      </c>
      <c r="J9" s="748" t="s">
        <v>887</v>
      </c>
      <c r="K9" s="750" t="s">
        <v>888</v>
      </c>
      <c r="L9" s="168" t="s">
        <v>889</v>
      </c>
      <c r="M9" s="168" t="str">
        <f t="shared" si="0"/>
        <v>No.</v>
      </c>
      <c r="N9" s="746" t="str">
        <f t="shared" si="0"/>
        <v>Account #</v>
      </c>
      <c r="O9" s="418" t="str">
        <f t="shared" si="0"/>
        <v>Account #</v>
      </c>
      <c r="P9" s="747" t="str">
        <f>D9</f>
        <v>SAP Account Description</v>
      </c>
      <c r="Q9" s="748" t="s">
        <v>890</v>
      </c>
      <c r="R9" s="748" t="s">
        <v>891</v>
      </c>
      <c r="S9" s="748" t="s">
        <v>892</v>
      </c>
      <c r="T9" s="748" t="s">
        <v>893</v>
      </c>
      <c r="U9" s="748" t="s">
        <v>894</v>
      </c>
      <c r="V9" s="751" t="s">
        <v>335</v>
      </c>
      <c r="W9" s="168" t="str">
        <f t="shared" ref="W9:W37" si="1">L9</f>
        <v>No</v>
      </c>
    </row>
    <row r="10" spans="1:25" x14ac:dyDescent="0.3">
      <c r="B10" s="752"/>
      <c r="C10" s="753"/>
      <c r="D10" s="754"/>
      <c r="E10" s="755"/>
      <c r="F10" s="756"/>
      <c r="G10" s="755"/>
      <c r="H10" s="756"/>
      <c r="I10" s="755"/>
      <c r="J10" s="756"/>
      <c r="K10" s="757"/>
      <c r="N10" s="752"/>
      <c r="O10" s="753"/>
      <c r="P10" s="754"/>
      <c r="Q10" s="756"/>
      <c r="R10" s="755"/>
      <c r="S10" s="756"/>
      <c r="T10" s="755"/>
      <c r="U10" s="756"/>
      <c r="V10" s="758"/>
    </row>
    <row r="11" spans="1:25" s="765" customFormat="1" x14ac:dyDescent="0.3">
      <c r="A11" s="759">
        <v>1</v>
      </c>
      <c r="B11" s="760" t="s">
        <v>895</v>
      </c>
      <c r="C11" s="761">
        <v>454</v>
      </c>
      <c r="D11" s="762" t="s">
        <v>485</v>
      </c>
      <c r="E11" s="763">
        <v>-21821</v>
      </c>
      <c r="F11" s="763">
        <v>-11975</v>
      </c>
      <c r="G11" s="763">
        <v>-11711</v>
      </c>
      <c r="H11" s="763">
        <v>-17066</v>
      </c>
      <c r="I11" s="763">
        <v>-14192</v>
      </c>
      <c r="J11" s="763">
        <v>-8916</v>
      </c>
      <c r="K11" s="764">
        <v>-13246</v>
      </c>
      <c r="L11" s="759">
        <f>A11</f>
        <v>1</v>
      </c>
      <c r="M11" s="759">
        <f t="shared" ref="M11:P26" si="2">A11</f>
        <v>1</v>
      </c>
      <c r="N11" s="760" t="s">
        <v>895</v>
      </c>
      <c r="O11" s="761">
        <v>454</v>
      </c>
      <c r="P11" s="762" t="s">
        <v>485</v>
      </c>
      <c r="Q11" s="763">
        <v>-11267</v>
      </c>
      <c r="R11" s="763">
        <v>-16830</v>
      </c>
      <c r="S11" s="763">
        <v>-11292</v>
      </c>
      <c r="T11" s="763">
        <v>-11291</v>
      </c>
      <c r="U11" s="763">
        <v>-13790</v>
      </c>
      <c r="V11" s="764">
        <f>SUM(E11:K11,Q11:U11)</f>
        <v>-163397</v>
      </c>
      <c r="W11" s="759">
        <f t="shared" si="1"/>
        <v>1</v>
      </c>
    </row>
    <row r="12" spans="1:25" s="765" customFormat="1" x14ac:dyDescent="0.3">
      <c r="A12" s="759">
        <f>A11+1</f>
        <v>2</v>
      </c>
      <c r="B12" s="760" t="s">
        <v>896</v>
      </c>
      <c r="C12" s="761">
        <v>454</v>
      </c>
      <c r="D12" s="762" t="s">
        <v>897</v>
      </c>
      <c r="E12" s="766">
        <v>-7467</v>
      </c>
      <c r="F12" s="766">
        <v>-3333</v>
      </c>
      <c r="G12" s="766">
        <v>-3333</v>
      </c>
      <c r="H12" s="766">
        <v>-3334</v>
      </c>
      <c r="I12" s="766">
        <v>-3333</v>
      </c>
      <c r="J12" s="766">
        <v>-3333</v>
      </c>
      <c r="K12" s="767">
        <v>-4664</v>
      </c>
      <c r="L12" s="759">
        <f>L11+1</f>
        <v>2</v>
      </c>
      <c r="M12" s="759">
        <f t="shared" si="2"/>
        <v>2</v>
      </c>
      <c r="N12" s="760" t="s">
        <v>896</v>
      </c>
      <c r="O12" s="761">
        <v>454</v>
      </c>
      <c r="P12" s="762" t="s">
        <v>897</v>
      </c>
      <c r="Q12" s="766">
        <v>-3333</v>
      </c>
      <c r="R12" s="766">
        <v>-3333</v>
      </c>
      <c r="S12" s="766">
        <v>-3334</v>
      </c>
      <c r="T12" s="766">
        <v>-3333</v>
      </c>
      <c r="U12" s="766">
        <v>-3333</v>
      </c>
      <c r="V12" s="768">
        <f>SUM(E12:K12,Q12:U12)</f>
        <v>-45463</v>
      </c>
      <c r="W12" s="759">
        <f>L12</f>
        <v>2</v>
      </c>
    </row>
    <row r="13" spans="1:25" s="765" customFormat="1" x14ac:dyDescent="0.3">
      <c r="A13" s="759">
        <f t="shared" ref="A13:A37" si="3">A12+1</f>
        <v>3</v>
      </c>
      <c r="B13" s="769"/>
      <c r="C13" s="761"/>
      <c r="D13" s="762"/>
      <c r="E13" s="404"/>
      <c r="F13" s="369"/>
      <c r="G13" s="369"/>
      <c r="H13" s="369"/>
      <c r="I13" s="369"/>
      <c r="J13" s="369"/>
      <c r="K13" s="770"/>
      <c r="L13" s="759">
        <f t="shared" ref="L13:L37" si="4">L12+1</f>
        <v>3</v>
      </c>
      <c r="M13" s="759">
        <f t="shared" si="2"/>
        <v>3</v>
      </c>
      <c r="N13" s="769"/>
      <c r="O13" s="761"/>
      <c r="P13" s="762"/>
      <c r="Q13" s="369"/>
      <c r="R13" s="369"/>
      <c r="S13" s="369"/>
      <c r="T13" s="369"/>
      <c r="U13" s="369"/>
      <c r="V13" s="771"/>
      <c r="W13" s="759">
        <f t="shared" si="1"/>
        <v>3</v>
      </c>
    </row>
    <row r="14" spans="1:25" s="765" customFormat="1" ht="18" x14ac:dyDescent="0.3">
      <c r="A14" s="759">
        <f t="shared" si="3"/>
        <v>4</v>
      </c>
      <c r="B14" s="769"/>
      <c r="C14" s="761"/>
      <c r="D14" s="772" t="s">
        <v>898</v>
      </c>
      <c r="E14" s="773">
        <f>SUM(E11:E12)</f>
        <v>-29288</v>
      </c>
      <c r="F14" s="773">
        <f t="shared" ref="F14:K14" si="5">SUM(F11:F12)</f>
        <v>-15308</v>
      </c>
      <c r="G14" s="773">
        <f t="shared" si="5"/>
        <v>-15044</v>
      </c>
      <c r="H14" s="773">
        <f t="shared" si="5"/>
        <v>-20400</v>
      </c>
      <c r="I14" s="774">
        <f t="shared" si="5"/>
        <v>-17525</v>
      </c>
      <c r="J14" s="774">
        <f t="shared" si="5"/>
        <v>-12249</v>
      </c>
      <c r="K14" s="775">
        <f t="shared" si="5"/>
        <v>-17910</v>
      </c>
      <c r="L14" s="759">
        <f t="shared" si="4"/>
        <v>4</v>
      </c>
      <c r="M14" s="759">
        <f t="shared" si="2"/>
        <v>4</v>
      </c>
      <c r="N14" s="769"/>
      <c r="O14" s="761"/>
      <c r="P14" s="772" t="s">
        <v>898</v>
      </c>
      <c r="Q14" s="774">
        <f t="shared" ref="Q14:V14" si="6">SUM(Q11:Q12)</f>
        <v>-14600</v>
      </c>
      <c r="R14" s="774">
        <f t="shared" si="6"/>
        <v>-20163</v>
      </c>
      <c r="S14" s="774">
        <f t="shared" si="6"/>
        <v>-14626</v>
      </c>
      <c r="T14" s="774">
        <f t="shared" si="6"/>
        <v>-14624</v>
      </c>
      <c r="U14" s="774">
        <f t="shared" si="6"/>
        <v>-17123</v>
      </c>
      <c r="V14" s="775">
        <f t="shared" si="6"/>
        <v>-208860</v>
      </c>
      <c r="W14" s="759">
        <f t="shared" si="1"/>
        <v>4</v>
      </c>
    </row>
    <row r="15" spans="1:25" s="765" customFormat="1" ht="16.2" thickBot="1" x14ac:dyDescent="0.35">
      <c r="A15" s="759">
        <f t="shared" si="3"/>
        <v>5</v>
      </c>
      <c r="B15" s="776"/>
      <c r="C15" s="777"/>
      <c r="D15" s="778"/>
      <c r="E15" s="779"/>
      <c r="F15" s="780"/>
      <c r="G15" s="779"/>
      <c r="H15" s="780"/>
      <c r="I15" s="779"/>
      <c r="J15" s="780"/>
      <c r="K15" s="781"/>
      <c r="L15" s="759">
        <f t="shared" si="4"/>
        <v>5</v>
      </c>
      <c r="M15" s="759">
        <f t="shared" si="2"/>
        <v>5</v>
      </c>
      <c r="N15" s="776"/>
      <c r="O15" s="777"/>
      <c r="P15" s="778"/>
      <c r="Q15" s="782"/>
      <c r="R15" s="783"/>
      <c r="S15" s="782"/>
      <c r="T15" s="783"/>
      <c r="U15" s="782"/>
      <c r="V15" s="784"/>
      <c r="W15" s="759">
        <f t="shared" si="1"/>
        <v>5</v>
      </c>
    </row>
    <row r="16" spans="1:25" s="765" customFormat="1" x14ac:dyDescent="0.3">
      <c r="A16" s="759">
        <f t="shared" si="3"/>
        <v>6</v>
      </c>
      <c r="B16" s="785" t="s">
        <v>899</v>
      </c>
      <c r="C16" s="761">
        <v>456</v>
      </c>
      <c r="D16" s="762" t="s">
        <v>900</v>
      </c>
      <c r="E16" s="786">
        <v>-822374</v>
      </c>
      <c r="F16" s="786">
        <v>-160533</v>
      </c>
      <c r="G16" s="786">
        <v>-155890</v>
      </c>
      <c r="H16" s="786">
        <v>-155890</v>
      </c>
      <c r="I16" s="786">
        <v>-155891</v>
      </c>
      <c r="J16" s="786">
        <v>-155890</v>
      </c>
      <c r="K16" s="787">
        <v>-155890</v>
      </c>
      <c r="L16" s="759">
        <f t="shared" si="4"/>
        <v>6</v>
      </c>
      <c r="M16" s="759">
        <f t="shared" si="2"/>
        <v>6</v>
      </c>
      <c r="N16" s="785" t="str">
        <f t="shared" si="2"/>
        <v>4371016</v>
      </c>
      <c r="O16" s="761">
        <f t="shared" si="2"/>
        <v>456</v>
      </c>
      <c r="P16" s="762" t="str">
        <f t="shared" si="2"/>
        <v>Generation Interconnection</v>
      </c>
      <c r="Q16" s="786">
        <v>-183173</v>
      </c>
      <c r="R16" s="786">
        <v>-160438</v>
      </c>
      <c r="S16" s="786">
        <v>-160437</v>
      </c>
      <c r="T16" s="786">
        <v>-160438</v>
      </c>
      <c r="U16" s="788">
        <v>-160437</v>
      </c>
      <c r="V16" s="787">
        <f t="shared" ref="V16:V26" si="7">SUM(E16:K16,Q16:U16)</f>
        <v>-2587281</v>
      </c>
      <c r="W16" s="759">
        <f t="shared" si="1"/>
        <v>6</v>
      </c>
    </row>
    <row r="17" spans="1:33" s="765" customFormat="1" x14ac:dyDescent="0.3">
      <c r="A17" s="759">
        <f t="shared" si="3"/>
        <v>7</v>
      </c>
      <c r="B17" s="769" t="s">
        <v>901</v>
      </c>
      <c r="C17" s="761">
        <v>456</v>
      </c>
      <c r="D17" s="762" t="s">
        <v>902</v>
      </c>
      <c r="E17" s="404">
        <v>-246</v>
      </c>
      <c r="F17" s="789">
        <v>-28207</v>
      </c>
      <c r="G17" s="789">
        <v>-223</v>
      </c>
      <c r="H17" s="789">
        <v>-68247</v>
      </c>
      <c r="I17" s="789">
        <v>-297</v>
      </c>
      <c r="J17" s="789">
        <v>-3973</v>
      </c>
      <c r="K17" s="770">
        <v>-383</v>
      </c>
      <c r="L17" s="759">
        <f t="shared" si="4"/>
        <v>7</v>
      </c>
      <c r="M17" s="759">
        <f t="shared" si="2"/>
        <v>7</v>
      </c>
      <c r="N17" s="769" t="str">
        <f t="shared" si="2"/>
        <v>4371040</v>
      </c>
      <c r="O17" s="761">
        <f t="shared" si="2"/>
        <v>456</v>
      </c>
      <c r="P17" s="762" t="str">
        <f t="shared" si="2"/>
        <v xml:space="preserve">Revenue Enhancement </v>
      </c>
      <c r="Q17" s="789">
        <v>-15984</v>
      </c>
      <c r="R17" s="789">
        <v>-1747</v>
      </c>
      <c r="S17" s="789">
        <v>0</v>
      </c>
      <c r="T17" s="789">
        <v>-614</v>
      </c>
      <c r="U17" s="789">
        <v>-615</v>
      </c>
      <c r="V17" s="790">
        <f t="shared" si="7"/>
        <v>-120536</v>
      </c>
      <c r="W17" s="759">
        <f t="shared" si="1"/>
        <v>7</v>
      </c>
    </row>
    <row r="18" spans="1:33" s="765" customFormat="1" x14ac:dyDescent="0.3">
      <c r="A18" s="759">
        <f t="shared" si="3"/>
        <v>8</v>
      </c>
      <c r="B18" s="791" t="s">
        <v>903</v>
      </c>
      <c r="C18" s="761">
        <v>456</v>
      </c>
      <c r="D18" s="792" t="s">
        <v>904</v>
      </c>
      <c r="E18" s="793">
        <v>-60921</v>
      </c>
      <c r="F18" s="789">
        <v>-60746</v>
      </c>
      <c r="G18" s="789">
        <v>-60500</v>
      </c>
      <c r="H18" s="789">
        <v>-60193</v>
      </c>
      <c r="I18" s="789">
        <v>-60018</v>
      </c>
      <c r="J18" s="789">
        <v>-59796</v>
      </c>
      <c r="K18" s="770">
        <v>-59531</v>
      </c>
      <c r="L18" s="759">
        <f t="shared" si="4"/>
        <v>8</v>
      </c>
      <c r="M18" s="759">
        <f t="shared" si="2"/>
        <v>8</v>
      </c>
      <c r="N18" s="791" t="str">
        <f t="shared" si="2"/>
        <v>4371055</v>
      </c>
      <c r="O18" s="761">
        <f t="shared" si="2"/>
        <v>456</v>
      </c>
      <c r="P18" s="792" t="str">
        <f t="shared" si="2"/>
        <v>Shared Asset Revenue</v>
      </c>
      <c r="Q18" s="789">
        <v>-59303</v>
      </c>
      <c r="R18" s="789">
        <v>-59114</v>
      </c>
      <c r="S18" s="789">
        <v>-60307</v>
      </c>
      <c r="T18" s="789">
        <v>-60393</v>
      </c>
      <c r="U18" s="789">
        <v>-70321</v>
      </c>
      <c r="V18" s="790">
        <f t="shared" si="7"/>
        <v>-731143</v>
      </c>
      <c r="W18" s="759">
        <f t="shared" si="1"/>
        <v>8</v>
      </c>
    </row>
    <row r="19" spans="1:33" s="765" customFormat="1" x14ac:dyDescent="0.3">
      <c r="A19" s="759">
        <f t="shared" si="3"/>
        <v>9</v>
      </c>
      <c r="B19" s="791" t="s">
        <v>905</v>
      </c>
      <c r="C19" s="794">
        <v>456</v>
      </c>
      <c r="D19" s="795" t="s">
        <v>906</v>
      </c>
      <c r="E19" s="789">
        <v>-5688</v>
      </c>
      <c r="F19" s="789">
        <v>-15540</v>
      </c>
      <c r="G19" s="789">
        <v>-20756</v>
      </c>
      <c r="H19" s="789">
        <v>0</v>
      </c>
      <c r="I19" s="789">
        <v>0</v>
      </c>
      <c r="J19" s="789">
        <v>0</v>
      </c>
      <c r="K19" s="770">
        <v>-1</v>
      </c>
      <c r="L19" s="759">
        <f t="shared" si="4"/>
        <v>9</v>
      </c>
      <c r="M19" s="759">
        <f t="shared" si="2"/>
        <v>9</v>
      </c>
      <c r="N19" s="791" t="str">
        <f t="shared" si="2"/>
        <v>4371058</v>
      </c>
      <c r="O19" s="794">
        <f t="shared" si="2"/>
        <v>456</v>
      </c>
      <c r="P19" s="795" t="str">
        <f t="shared" si="2"/>
        <v>Elec Trans Joint Pole Activity</v>
      </c>
      <c r="Q19" s="789">
        <v>-1</v>
      </c>
      <c r="R19" s="789">
        <v>2126</v>
      </c>
      <c r="S19" s="789">
        <v>-17</v>
      </c>
      <c r="T19" s="789">
        <v>-1542</v>
      </c>
      <c r="U19" s="789">
        <v>1910</v>
      </c>
      <c r="V19" s="790">
        <f t="shared" si="7"/>
        <v>-39509</v>
      </c>
      <c r="W19" s="759">
        <f t="shared" si="1"/>
        <v>9</v>
      </c>
    </row>
    <row r="20" spans="1:33" s="765" customFormat="1" x14ac:dyDescent="0.3">
      <c r="A20" s="759">
        <f t="shared" si="3"/>
        <v>10</v>
      </c>
      <c r="B20" s="791" t="s">
        <v>907</v>
      </c>
      <c r="C20" s="794">
        <v>456</v>
      </c>
      <c r="D20" s="795" t="s">
        <v>908</v>
      </c>
      <c r="E20" s="789">
        <v>-1439</v>
      </c>
      <c r="F20" s="789">
        <v>-1438</v>
      </c>
      <c r="G20" s="789">
        <v>-1439</v>
      </c>
      <c r="H20" s="789">
        <v>-1438</v>
      </c>
      <c r="I20" s="789">
        <v>-1439</v>
      </c>
      <c r="J20" s="789">
        <v>-1438</v>
      </c>
      <c r="K20" s="770">
        <v>-1439</v>
      </c>
      <c r="L20" s="759">
        <f t="shared" si="4"/>
        <v>10</v>
      </c>
      <c r="M20" s="759">
        <f t="shared" si="2"/>
        <v>10</v>
      </c>
      <c r="N20" s="791" t="str">
        <f t="shared" si="2"/>
        <v>4371061</v>
      </c>
      <c r="O20" s="794">
        <f t="shared" si="2"/>
        <v>456</v>
      </c>
      <c r="P20" s="795" t="str">
        <f t="shared" si="2"/>
        <v>Excess Microwave Capacity - Elec Trans</v>
      </c>
      <c r="Q20" s="789">
        <v>-1438</v>
      </c>
      <c r="R20" s="789">
        <v>-1439</v>
      </c>
      <c r="S20" s="789">
        <v>-1438</v>
      </c>
      <c r="T20" s="789">
        <v>-1439</v>
      </c>
      <c r="U20" s="789">
        <v>-1438</v>
      </c>
      <c r="V20" s="790">
        <f t="shared" si="7"/>
        <v>-17262</v>
      </c>
      <c r="W20" s="759">
        <f t="shared" si="1"/>
        <v>10</v>
      </c>
    </row>
    <row r="21" spans="1:33" s="765" customFormat="1" x14ac:dyDescent="0.3">
      <c r="A21" s="759">
        <f t="shared" si="3"/>
        <v>11</v>
      </c>
      <c r="B21" s="791" t="s">
        <v>909</v>
      </c>
      <c r="C21" s="794">
        <v>456</v>
      </c>
      <c r="D21" s="795" t="s">
        <v>910</v>
      </c>
      <c r="E21" s="789">
        <v>0</v>
      </c>
      <c r="F21" s="789">
        <v>0</v>
      </c>
      <c r="G21" s="789">
        <v>0</v>
      </c>
      <c r="H21" s="789">
        <v>0</v>
      </c>
      <c r="I21" s="789">
        <v>0</v>
      </c>
      <c r="J21" s="789">
        <v>0</v>
      </c>
      <c r="K21" s="770">
        <v>0</v>
      </c>
      <c r="L21" s="759">
        <f t="shared" si="4"/>
        <v>11</v>
      </c>
      <c r="M21" s="759">
        <f t="shared" si="2"/>
        <v>11</v>
      </c>
      <c r="N21" s="791" t="str">
        <f t="shared" si="2"/>
        <v>4371065</v>
      </c>
      <c r="O21" s="794">
        <f t="shared" si="2"/>
        <v>456</v>
      </c>
      <c r="P21" s="795" t="str">
        <f t="shared" si="2"/>
        <v>Trans Revenue Trsfr to Gen</v>
      </c>
      <c r="Q21" s="789">
        <v>0</v>
      </c>
      <c r="R21" s="789">
        <v>0</v>
      </c>
      <c r="S21" s="789">
        <v>0</v>
      </c>
      <c r="T21" s="789">
        <v>0</v>
      </c>
      <c r="U21" s="789">
        <v>-25000</v>
      </c>
      <c r="V21" s="790">
        <f t="shared" si="7"/>
        <v>-25000</v>
      </c>
      <c r="W21" s="759">
        <f t="shared" si="1"/>
        <v>11</v>
      </c>
      <c r="X21" s="796"/>
      <c r="Y21" s="796"/>
      <c r="Z21" s="796"/>
      <c r="AA21" s="796"/>
      <c r="AB21" s="796"/>
      <c r="AC21" s="796"/>
      <c r="AE21" s="796"/>
      <c r="AG21" s="797"/>
    </row>
    <row r="22" spans="1:33" s="765" customFormat="1" x14ac:dyDescent="0.3">
      <c r="A22" s="759">
        <f t="shared" si="3"/>
        <v>12</v>
      </c>
      <c r="B22" s="791" t="s">
        <v>911</v>
      </c>
      <c r="C22" s="794">
        <v>456</v>
      </c>
      <c r="D22" s="795" t="s">
        <v>912</v>
      </c>
      <c r="E22" s="789">
        <v>0</v>
      </c>
      <c r="F22" s="789">
        <v>0</v>
      </c>
      <c r="G22" s="789">
        <v>0</v>
      </c>
      <c r="H22" s="789">
        <v>0</v>
      </c>
      <c r="I22" s="789">
        <v>0</v>
      </c>
      <c r="J22" s="789">
        <v>0</v>
      </c>
      <c r="K22" s="770">
        <v>0</v>
      </c>
      <c r="L22" s="759">
        <f t="shared" si="4"/>
        <v>12</v>
      </c>
      <c r="M22" s="759">
        <f t="shared" si="2"/>
        <v>12</v>
      </c>
      <c r="N22" s="791" t="str">
        <f t="shared" si="2"/>
        <v>4371067</v>
      </c>
      <c r="O22" s="794">
        <f t="shared" si="2"/>
        <v>456</v>
      </c>
      <c r="P22" s="795" t="str">
        <f t="shared" si="2"/>
        <v>Trans Revenue Trsfr to Dist</v>
      </c>
      <c r="Q22" s="789">
        <v>0</v>
      </c>
      <c r="R22" s="789">
        <v>0</v>
      </c>
      <c r="S22" s="789">
        <v>0</v>
      </c>
      <c r="T22" s="789">
        <v>0</v>
      </c>
      <c r="U22" s="789">
        <v>120000</v>
      </c>
      <c r="V22" s="790">
        <f t="shared" si="7"/>
        <v>120000</v>
      </c>
      <c r="W22" s="759">
        <f t="shared" si="1"/>
        <v>12</v>
      </c>
      <c r="X22" s="796"/>
      <c r="Y22" s="796"/>
      <c r="Z22" s="796"/>
      <c r="AA22" s="796"/>
      <c r="AB22" s="796"/>
      <c r="AC22" s="796"/>
      <c r="AE22" s="796"/>
      <c r="AG22" s="797"/>
    </row>
    <row r="23" spans="1:33" s="765" customFormat="1" x14ac:dyDescent="0.3">
      <c r="A23" s="759">
        <f t="shared" si="3"/>
        <v>13</v>
      </c>
      <c r="B23" s="791" t="s">
        <v>913</v>
      </c>
      <c r="C23" s="794">
        <v>456</v>
      </c>
      <c r="D23" s="795" t="s">
        <v>914</v>
      </c>
      <c r="E23" s="789">
        <v>0</v>
      </c>
      <c r="F23" s="789">
        <v>0</v>
      </c>
      <c r="G23" s="789">
        <v>0</v>
      </c>
      <c r="H23" s="789">
        <v>0</v>
      </c>
      <c r="I23" s="789">
        <v>0</v>
      </c>
      <c r="J23" s="789">
        <v>0</v>
      </c>
      <c r="K23" s="770">
        <v>0</v>
      </c>
      <c r="L23" s="759">
        <f t="shared" si="4"/>
        <v>13</v>
      </c>
      <c r="M23" s="759">
        <f t="shared" si="2"/>
        <v>13</v>
      </c>
      <c r="N23" s="791" t="str">
        <f t="shared" si="2"/>
        <v>4371070</v>
      </c>
      <c r="O23" s="794">
        <f t="shared" si="2"/>
        <v>456</v>
      </c>
      <c r="P23" s="795" t="str">
        <f t="shared" si="2"/>
        <v>Trans Revenue Trsfr from Dist</v>
      </c>
      <c r="Q23" s="789">
        <v>0</v>
      </c>
      <c r="R23" s="789">
        <v>0</v>
      </c>
      <c r="S23" s="789">
        <v>0</v>
      </c>
      <c r="T23" s="789">
        <v>0</v>
      </c>
      <c r="U23" s="789">
        <v>100000</v>
      </c>
      <c r="V23" s="790">
        <f t="shared" si="7"/>
        <v>100000</v>
      </c>
      <c r="W23" s="759">
        <f t="shared" si="1"/>
        <v>13</v>
      </c>
      <c r="X23" s="796"/>
      <c r="Y23" s="796"/>
      <c r="Z23" s="796"/>
      <c r="AA23" s="796"/>
      <c r="AB23" s="796"/>
      <c r="AC23" s="796"/>
      <c r="AE23" s="796"/>
      <c r="AG23" s="797"/>
    </row>
    <row r="24" spans="1:33" s="765" customFormat="1" x14ac:dyDescent="0.3">
      <c r="A24" s="759">
        <f t="shared" si="3"/>
        <v>14</v>
      </c>
      <c r="B24" s="791" t="s">
        <v>915</v>
      </c>
      <c r="C24" s="794">
        <v>456</v>
      </c>
      <c r="D24" s="795" t="s">
        <v>916</v>
      </c>
      <c r="E24" s="789">
        <v>0</v>
      </c>
      <c r="F24" s="789">
        <v>0</v>
      </c>
      <c r="G24" s="789">
        <v>0</v>
      </c>
      <c r="H24" s="789">
        <v>0</v>
      </c>
      <c r="I24" s="789">
        <v>0</v>
      </c>
      <c r="J24" s="789">
        <v>0</v>
      </c>
      <c r="K24" s="770">
        <v>0</v>
      </c>
      <c r="L24" s="759">
        <f t="shared" si="4"/>
        <v>14</v>
      </c>
      <c r="M24" s="759">
        <f t="shared" si="2"/>
        <v>14</v>
      </c>
      <c r="N24" s="791" t="str">
        <f t="shared" si="2"/>
        <v>4371076</v>
      </c>
      <c r="O24" s="794">
        <f t="shared" si="2"/>
        <v>456</v>
      </c>
      <c r="P24" s="795" t="str">
        <f t="shared" si="2"/>
        <v>Environmental Lab - Elec Tran</v>
      </c>
      <c r="Q24" s="789">
        <v>0</v>
      </c>
      <c r="R24" s="789">
        <v>0</v>
      </c>
      <c r="S24" s="789">
        <v>0</v>
      </c>
      <c r="T24" s="789">
        <v>0</v>
      </c>
      <c r="U24" s="789"/>
      <c r="V24" s="790">
        <f t="shared" si="7"/>
        <v>0</v>
      </c>
      <c r="W24" s="759">
        <f t="shared" si="1"/>
        <v>14</v>
      </c>
      <c r="X24" s="796"/>
      <c r="Y24" s="796"/>
      <c r="Z24" s="796"/>
      <c r="AA24" s="796"/>
      <c r="AB24" s="796"/>
      <c r="AC24" s="796"/>
      <c r="AE24" s="796"/>
      <c r="AG24" s="797"/>
    </row>
    <row r="25" spans="1:33" s="755" customFormat="1" x14ac:dyDescent="0.3">
      <c r="A25" s="759">
        <f t="shared" si="3"/>
        <v>15</v>
      </c>
      <c r="B25" s="791" t="s">
        <v>917</v>
      </c>
      <c r="C25" s="794">
        <v>456</v>
      </c>
      <c r="D25" s="798" t="s">
        <v>918</v>
      </c>
      <c r="E25" s="789">
        <v>0</v>
      </c>
      <c r="F25" s="789">
        <v>0</v>
      </c>
      <c r="G25" s="789">
        <v>-39260</v>
      </c>
      <c r="H25" s="789">
        <v>-13086</v>
      </c>
      <c r="I25" s="789">
        <v>-13087</v>
      </c>
      <c r="J25" s="789">
        <v>-13086</v>
      </c>
      <c r="K25" s="770">
        <v>-13087</v>
      </c>
      <c r="L25" s="759">
        <f t="shared" si="4"/>
        <v>15</v>
      </c>
      <c r="M25" s="759">
        <f t="shared" si="2"/>
        <v>15</v>
      </c>
      <c r="N25" s="791" t="str">
        <f t="shared" si="2"/>
        <v>4371082</v>
      </c>
      <c r="O25" s="794">
        <f t="shared" si="2"/>
        <v>456</v>
      </c>
      <c r="P25" s="798" t="str">
        <f t="shared" si="2"/>
        <v>Other Elec Rev-SDGE Gen</v>
      </c>
      <c r="Q25" s="789">
        <v>-13087</v>
      </c>
      <c r="R25" s="789">
        <v>-13086</v>
      </c>
      <c r="S25" s="789">
        <v>-13087</v>
      </c>
      <c r="T25" s="789">
        <v>-13086</v>
      </c>
      <c r="U25" s="789">
        <v>-13087</v>
      </c>
      <c r="V25" s="790">
        <f t="shared" si="7"/>
        <v>-157039</v>
      </c>
      <c r="W25" s="759">
        <f t="shared" si="1"/>
        <v>15</v>
      </c>
      <c r="X25" s="765"/>
      <c r="Y25" s="796"/>
      <c r="Z25" s="796"/>
      <c r="AA25" s="796"/>
      <c r="AB25" s="796"/>
      <c r="AC25" s="796"/>
      <c r="AE25" s="796"/>
      <c r="AG25" s="797"/>
    </row>
    <row r="26" spans="1:33" s="765" customFormat="1" x14ac:dyDescent="0.3">
      <c r="A26" s="759">
        <f t="shared" si="3"/>
        <v>16</v>
      </c>
      <c r="B26" s="791" t="s">
        <v>919</v>
      </c>
      <c r="C26" s="794">
        <v>456</v>
      </c>
      <c r="D26" s="762" t="s">
        <v>920</v>
      </c>
      <c r="E26" s="424">
        <v>0</v>
      </c>
      <c r="F26" s="424">
        <v>-1650</v>
      </c>
      <c r="G26" s="424">
        <v>-16200</v>
      </c>
      <c r="H26" s="424">
        <v>0</v>
      </c>
      <c r="I26" s="424">
        <v>-11250</v>
      </c>
      <c r="J26" s="424">
        <v>-1650</v>
      </c>
      <c r="K26" s="768">
        <v>-12900</v>
      </c>
      <c r="L26" s="759">
        <f t="shared" si="4"/>
        <v>16</v>
      </c>
      <c r="M26" s="759">
        <f t="shared" si="2"/>
        <v>16</v>
      </c>
      <c r="N26" s="791" t="str">
        <f t="shared" si="2"/>
        <v>4371806</v>
      </c>
      <c r="O26" s="794">
        <f t="shared" si="2"/>
        <v>456</v>
      </c>
      <c r="P26" s="762" t="str">
        <f t="shared" si="2"/>
        <v>Elec-Trans Fees/Rev</v>
      </c>
      <c r="Q26" s="424">
        <v>0</v>
      </c>
      <c r="R26" s="424">
        <v>0</v>
      </c>
      <c r="S26" s="424">
        <v>0</v>
      </c>
      <c r="T26" s="424">
        <v>0</v>
      </c>
      <c r="U26" s="424">
        <v>0</v>
      </c>
      <c r="V26" s="767">
        <f t="shared" si="7"/>
        <v>-43650</v>
      </c>
      <c r="W26" s="759">
        <f t="shared" si="1"/>
        <v>16</v>
      </c>
      <c r="X26" s="796"/>
      <c r="Y26" s="796"/>
      <c r="Z26" s="796"/>
      <c r="AA26" s="796"/>
      <c r="AB26" s="796"/>
      <c r="AC26" s="796"/>
      <c r="AE26" s="796"/>
      <c r="AG26" s="797"/>
    </row>
    <row r="27" spans="1:33" s="765" customFormat="1" x14ac:dyDescent="0.3">
      <c r="A27" s="759">
        <f t="shared" si="3"/>
        <v>17</v>
      </c>
      <c r="B27" s="791"/>
      <c r="C27" s="794"/>
      <c r="D27" s="762"/>
      <c r="E27" s="369"/>
      <c r="F27" s="404"/>
      <c r="G27" s="369"/>
      <c r="H27" s="404"/>
      <c r="I27" s="369"/>
      <c r="J27" s="404"/>
      <c r="K27" s="770"/>
      <c r="L27" s="759">
        <f t="shared" si="4"/>
        <v>17</v>
      </c>
      <c r="M27" s="759">
        <f t="shared" ref="M27:M37" si="8">A27</f>
        <v>17</v>
      </c>
      <c r="N27" s="791"/>
      <c r="O27" s="794"/>
      <c r="P27" s="762"/>
      <c r="Q27" s="404"/>
      <c r="R27" s="369"/>
      <c r="S27" s="404"/>
      <c r="T27" s="369"/>
      <c r="U27" s="404"/>
      <c r="V27" s="790"/>
      <c r="W27" s="759">
        <f t="shared" si="1"/>
        <v>17</v>
      </c>
      <c r="X27" s="796"/>
      <c r="Y27" s="796"/>
      <c r="Z27" s="796"/>
      <c r="AA27" s="796"/>
      <c r="AB27" s="796"/>
      <c r="AC27" s="796"/>
      <c r="AE27" s="796"/>
      <c r="AG27" s="797"/>
    </row>
    <row r="28" spans="1:33" s="765" customFormat="1" ht="18" x14ac:dyDescent="0.3">
      <c r="A28" s="759">
        <f t="shared" si="3"/>
        <v>18</v>
      </c>
      <c r="B28" s="791"/>
      <c r="C28" s="794"/>
      <c r="E28" s="730">
        <f>SUM(E16:E27)</f>
        <v>-890668</v>
      </c>
      <c r="F28" s="799">
        <f>SUM(F16:F27)</f>
        <v>-268114</v>
      </c>
      <c r="G28" s="799">
        <f t="shared" ref="G28:U28" si="9">SUM(G16:G27)</f>
        <v>-294268</v>
      </c>
      <c r="H28" s="799">
        <f t="shared" si="9"/>
        <v>-298854</v>
      </c>
      <c r="I28" s="799">
        <f t="shared" si="9"/>
        <v>-241982</v>
      </c>
      <c r="J28" s="799">
        <f t="shared" si="9"/>
        <v>-235833</v>
      </c>
      <c r="K28" s="800">
        <f t="shared" si="9"/>
        <v>-243231</v>
      </c>
      <c r="L28" s="759">
        <f t="shared" si="4"/>
        <v>18</v>
      </c>
      <c r="M28" s="759">
        <f t="shared" si="8"/>
        <v>18</v>
      </c>
      <c r="N28" s="791"/>
      <c r="O28" s="794"/>
      <c r="P28" s="772" t="s">
        <v>921</v>
      </c>
      <c r="Q28" s="799">
        <f t="shared" si="9"/>
        <v>-272986</v>
      </c>
      <c r="R28" s="799">
        <f t="shared" si="9"/>
        <v>-233698</v>
      </c>
      <c r="S28" s="799">
        <f t="shared" si="9"/>
        <v>-235286</v>
      </c>
      <c r="T28" s="799">
        <f t="shared" si="9"/>
        <v>-237512</v>
      </c>
      <c r="U28" s="799">
        <f t="shared" si="9"/>
        <v>-48988</v>
      </c>
      <c r="V28" s="800">
        <f>SUM(V16:V26)</f>
        <v>-3501420</v>
      </c>
      <c r="W28" s="759">
        <f t="shared" si="1"/>
        <v>18</v>
      </c>
      <c r="X28" s="796"/>
      <c r="Y28" s="796"/>
      <c r="Z28" s="796"/>
      <c r="AA28" s="796"/>
      <c r="AB28" s="796"/>
      <c r="AC28" s="796"/>
      <c r="AE28" s="796"/>
      <c r="AG28" s="797"/>
    </row>
    <row r="29" spans="1:33" s="765" customFormat="1" ht="16.2" thickBot="1" x14ac:dyDescent="0.35">
      <c r="A29" s="759">
        <f t="shared" si="3"/>
        <v>19</v>
      </c>
      <c r="B29" s="801"/>
      <c r="C29" s="802"/>
      <c r="D29" s="778"/>
      <c r="E29" s="782"/>
      <c r="F29" s="783"/>
      <c r="G29" s="782"/>
      <c r="H29" s="783"/>
      <c r="I29" s="782"/>
      <c r="J29" s="783"/>
      <c r="K29" s="803"/>
      <c r="L29" s="759">
        <f t="shared" si="4"/>
        <v>19</v>
      </c>
      <c r="M29" s="759">
        <f t="shared" si="8"/>
        <v>19</v>
      </c>
      <c r="N29" s="801"/>
      <c r="O29" s="802"/>
      <c r="P29" s="778"/>
      <c r="Q29" s="783"/>
      <c r="R29" s="782"/>
      <c r="S29" s="783"/>
      <c r="T29" s="782"/>
      <c r="U29" s="783"/>
      <c r="V29" s="804"/>
      <c r="W29" s="759">
        <f t="shared" si="1"/>
        <v>19</v>
      </c>
      <c r="X29" s="796"/>
      <c r="Y29" s="796"/>
      <c r="Z29" s="796"/>
      <c r="AA29" s="796"/>
      <c r="AB29" s="796"/>
      <c r="AC29" s="796"/>
      <c r="AE29" s="796"/>
      <c r="AG29" s="797"/>
    </row>
    <row r="30" spans="1:33" s="765" customFormat="1" ht="18" x14ac:dyDescent="0.3">
      <c r="A30" s="759">
        <f t="shared" si="3"/>
        <v>20</v>
      </c>
      <c r="B30" s="791"/>
      <c r="C30" s="794" t="s">
        <v>922</v>
      </c>
      <c r="D30" s="805" t="s">
        <v>923</v>
      </c>
      <c r="E30" s="806">
        <v>-39556</v>
      </c>
      <c r="F30" s="789">
        <v>-39555</v>
      </c>
      <c r="G30" s="369">
        <v>-39556</v>
      </c>
      <c r="H30" s="404">
        <v>-39556</v>
      </c>
      <c r="I30" s="369">
        <v>-39555</v>
      </c>
      <c r="J30" s="404">
        <v>-39556</v>
      </c>
      <c r="K30" s="770">
        <v>-39555</v>
      </c>
      <c r="L30" s="759">
        <f t="shared" si="4"/>
        <v>20</v>
      </c>
      <c r="M30" s="759">
        <f t="shared" si="8"/>
        <v>20</v>
      </c>
      <c r="N30" s="847"/>
      <c r="O30" s="848" t="str">
        <f>C30</f>
        <v>Various</v>
      </c>
      <c r="P30" s="849" t="s">
        <v>923</v>
      </c>
      <c r="Q30" s="806">
        <v>-39556</v>
      </c>
      <c r="R30" s="806">
        <v>-39556</v>
      </c>
      <c r="S30" s="806">
        <v>-39555</v>
      </c>
      <c r="T30" s="806">
        <v>-39556</v>
      </c>
      <c r="U30" s="807">
        <v>-39556</v>
      </c>
      <c r="V30" s="787">
        <f>SUM(E30:K30,Q30:U30)</f>
        <v>-474668</v>
      </c>
      <c r="W30" s="759">
        <f t="shared" si="1"/>
        <v>20</v>
      </c>
      <c r="X30" s="796"/>
      <c r="Y30" s="796"/>
      <c r="Z30" s="796"/>
      <c r="AA30" s="796"/>
      <c r="AB30" s="796"/>
      <c r="AC30" s="796"/>
      <c r="AE30" s="796"/>
      <c r="AG30" s="797"/>
    </row>
    <row r="31" spans="1:33" s="765" customFormat="1" ht="18" x14ac:dyDescent="0.3">
      <c r="A31" s="759">
        <f t="shared" si="3"/>
        <v>21</v>
      </c>
      <c r="B31" s="808"/>
      <c r="C31" s="794" t="s">
        <v>922</v>
      </c>
      <c r="D31" s="805" t="s">
        <v>924</v>
      </c>
      <c r="E31" s="424">
        <v>-13283</v>
      </c>
      <c r="F31" s="424">
        <v>-13284</v>
      </c>
      <c r="G31" s="424">
        <v>-13283</v>
      </c>
      <c r="H31" s="424">
        <v>-13284</v>
      </c>
      <c r="I31" s="424">
        <v>-13283</v>
      </c>
      <c r="J31" s="424">
        <v>-13284</v>
      </c>
      <c r="K31" s="768">
        <v>-13283</v>
      </c>
      <c r="L31" s="759">
        <f t="shared" si="4"/>
        <v>21</v>
      </c>
      <c r="M31" s="759">
        <f t="shared" si="8"/>
        <v>21</v>
      </c>
      <c r="N31" s="808"/>
      <c r="O31" s="794" t="s">
        <v>922</v>
      </c>
      <c r="P31" s="805" t="s">
        <v>924</v>
      </c>
      <c r="Q31" s="424">
        <v>-13284</v>
      </c>
      <c r="R31" s="424">
        <v>-13283</v>
      </c>
      <c r="S31" s="424">
        <v>-13284</v>
      </c>
      <c r="T31" s="424">
        <v>-13283</v>
      </c>
      <c r="U31" s="424">
        <v>-13284</v>
      </c>
      <c r="V31" s="767">
        <f>SUM(E31:K31,Q31:U31)</f>
        <v>-159402</v>
      </c>
      <c r="W31" s="759">
        <f t="shared" si="1"/>
        <v>21</v>
      </c>
      <c r="X31" s="796"/>
      <c r="Y31" s="796"/>
      <c r="Z31" s="796"/>
      <c r="AA31" s="796"/>
      <c r="AB31" s="796"/>
      <c r="AC31" s="796"/>
      <c r="AE31" s="796"/>
      <c r="AG31" s="797"/>
    </row>
    <row r="32" spans="1:33" s="765" customFormat="1" x14ac:dyDescent="0.3">
      <c r="A32" s="759">
        <f t="shared" si="3"/>
        <v>22</v>
      </c>
      <c r="B32" s="809"/>
      <c r="C32" s="810"/>
      <c r="D32" s="795"/>
      <c r="E32" s="811"/>
      <c r="F32" s="811"/>
      <c r="G32" s="811"/>
      <c r="H32" s="811"/>
      <c r="I32" s="811"/>
      <c r="J32" s="811"/>
      <c r="K32" s="812"/>
      <c r="L32" s="759">
        <f t="shared" si="4"/>
        <v>22</v>
      </c>
      <c r="M32" s="759">
        <f t="shared" si="8"/>
        <v>22</v>
      </c>
      <c r="N32" s="809"/>
      <c r="O32" s="810"/>
      <c r="P32" s="795"/>
      <c r="Q32" s="789"/>
      <c r="R32" s="789"/>
      <c r="S32" s="789"/>
      <c r="T32" s="789"/>
      <c r="U32" s="789"/>
      <c r="V32" s="770"/>
      <c r="W32" s="759">
        <f t="shared" si="1"/>
        <v>22</v>
      </c>
    </row>
    <row r="33" spans="1:23" s="765" customFormat="1" x14ac:dyDescent="0.3">
      <c r="A33" s="759">
        <f t="shared" si="3"/>
        <v>23</v>
      </c>
      <c r="B33" s="813"/>
      <c r="C33" s="814"/>
      <c r="D33" s="815" t="s">
        <v>857</v>
      </c>
      <c r="E33" s="816">
        <f>SUM(E30:E32)</f>
        <v>-52839</v>
      </c>
      <c r="F33" s="816">
        <f t="shared" ref="F33:K33" si="10">SUM(F30:F32)</f>
        <v>-52839</v>
      </c>
      <c r="G33" s="816">
        <f t="shared" si="10"/>
        <v>-52839</v>
      </c>
      <c r="H33" s="816">
        <f t="shared" si="10"/>
        <v>-52840</v>
      </c>
      <c r="I33" s="816">
        <f t="shared" si="10"/>
        <v>-52838</v>
      </c>
      <c r="J33" s="816">
        <f t="shared" si="10"/>
        <v>-52840</v>
      </c>
      <c r="K33" s="817">
        <f t="shared" si="10"/>
        <v>-52838</v>
      </c>
      <c r="L33" s="759">
        <f t="shared" si="4"/>
        <v>23</v>
      </c>
      <c r="M33" s="759">
        <f t="shared" si="8"/>
        <v>23</v>
      </c>
      <c r="N33" s="813"/>
      <c r="O33" s="814"/>
      <c r="P33" s="818" t="str">
        <f>D33</f>
        <v>Electric Transmission Revenues from Citizens</v>
      </c>
      <c r="Q33" s="816">
        <f t="shared" ref="Q33:U33" si="11">SUM(Q30:Q32)</f>
        <v>-52840</v>
      </c>
      <c r="R33" s="816">
        <f t="shared" si="11"/>
        <v>-52839</v>
      </c>
      <c r="S33" s="816">
        <f t="shared" si="11"/>
        <v>-52839</v>
      </c>
      <c r="T33" s="816">
        <f t="shared" si="11"/>
        <v>-52839</v>
      </c>
      <c r="U33" s="816">
        <f t="shared" si="11"/>
        <v>-52840</v>
      </c>
      <c r="V33" s="817">
        <f>SUM(V30:V32)</f>
        <v>-634070</v>
      </c>
      <c r="W33" s="759">
        <f t="shared" si="1"/>
        <v>23</v>
      </c>
    </row>
    <row r="34" spans="1:23" s="765" customFormat="1" x14ac:dyDescent="0.3">
      <c r="A34" s="759">
        <f t="shared" si="3"/>
        <v>24</v>
      </c>
      <c r="B34" s="813"/>
      <c r="C34" s="814"/>
      <c r="D34" s="815"/>
      <c r="E34" s="799"/>
      <c r="F34" s="799"/>
      <c r="G34" s="799"/>
      <c r="H34" s="730"/>
      <c r="I34" s="650"/>
      <c r="J34" s="799"/>
      <c r="K34" s="800"/>
      <c r="L34" s="759">
        <f t="shared" si="4"/>
        <v>24</v>
      </c>
      <c r="M34" s="759">
        <f t="shared" si="8"/>
        <v>24</v>
      </c>
      <c r="N34" s="813"/>
      <c r="O34" s="814"/>
      <c r="P34" s="818"/>
      <c r="Q34" s="819"/>
      <c r="R34" s="650"/>
      <c r="S34" s="730"/>
      <c r="T34" s="650"/>
      <c r="U34" s="730"/>
      <c r="V34" s="820"/>
      <c r="W34" s="759">
        <f t="shared" si="1"/>
        <v>24</v>
      </c>
    </row>
    <row r="35" spans="1:23" s="765" customFormat="1" x14ac:dyDescent="0.3">
      <c r="A35" s="759">
        <f t="shared" si="3"/>
        <v>25</v>
      </c>
      <c r="B35" s="813"/>
      <c r="C35" s="814"/>
      <c r="D35" s="821"/>
      <c r="E35" s="822"/>
      <c r="F35" s="823"/>
      <c r="G35" s="822"/>
      <c r="H35" s="823"/>
      <c r="I35" s="822"/>
      <c r="J35" s="824"/>
      <c r="K35" s="825"/>
      <c r="L35" s="759">
        <f t="shared" si="4"/>
        <v>25</v>
      </c>
      <c r="M35" s="759">
        <f t="shared" si="8"/>
        <v>25</v>
      </c>
      <c r="N35" s="826"/>
      <c r="O35" s="827"/>
      <c r="P35" s="756"/>
      <c r="Q35" s="828"/>
      <c r="R35" s="822"/>
      <c r="S35" s="823"/>
      <c r="T35" s="822"/>
      <c r="U35" s="823"/>
      <c r="V35" s="829"/>
      <c r="W35" s="759">
        <f t="shared" si="1"/>
        <v>25</v>
      </c>
    </row>
    <row r="36" spans="1:23" s="834" customFormat="1" ht="16.2" thickBot="1" x14ac:dyDescent="0.35">
      <c r="A36" s="759">
        <f t="shared" si="3"/>
        <v>26</v>
      </c>
      <c r="B36" s="830" t="s">
        <v>925</v>
      </c>
      <c r="C36" s="831"/>
      <c r="D36" s="832"/>
      <c r="E36" s="406">
        <f>E14+E28+E33</f>
        <v>-972795</v>
      </c>
      <c r="F36" s="378">
        <f t="shared" ref="F36:K36" si="12">F14+F28+F33</f>
        <v>-336261</v>
      </c>
      <c r="G36" s="406">
        <f t="shared" si="12"/>
        <v>-362151</v>
      </c>
      <c r="H36" s="378">
        <f t="shared" si="12"/>
        <v>-372094</v>
      </c>
      <c r="I36" s="406">
        <f t="shared" si="12"/>
        <v>-312345</v>
      </c>
      <c r="J36" s="378">
        <f t="shared" si="12"/>
        <v>-300922</v>
      </c>
      <c r="K36" s="833">
        <f t="shared" si="12"/>
        <v>-313979</v>
      </c>
      <c r="L36" s="759">
        <f t="shared" si="4"/>
        <v>26</v>
      </c>
      <c r="M36" s="759">
        <f t="shared" si="8"/>
        <v>26</v>
      </c>
      <c r="N36" s="830" t="str">
        <f>B36</f>
        <v>Total Miscellaneous Revenue</v>
      </c>
      <c r="O36" s="831"/>
      <c r="P36" s="832"/>
      <c r="Q36" s="378">
        <f t="shared" ref="Q36:V36" si="13">Q14+Q28+Q33</f>
        <v>-340426</v>
      </c>
      <c r="R36" s="406">
        <f t="shared" si="13"/>
        <v>-306700</v>
      </c>
      <c r="S36" s="378">
        <f t="shared" si="13"/>
        <v>-302751</v>
      </c>
      <c r="T36" s="406">
        <f t="shared" si="13"/>
        <v>-304975</v>
      </c>
      <c r="U36" s="378">
        <f t="shared" si="13"/>
        <v>-118951</v>
      </c>
      <c r="V36" s="833">
        <f t="shared" si="13"/>
        <v>-4344350</v>
      </c>
      <c r="W36" s="759">
        <f t="shared" si="1"/>
        <v>26</v>
      </c>
    </row>
    <row r="37" spans="1:23" ht="16.8" thickTop="1" thickBot="1" x14ac:dyDescent="0.35">
      <c r="A37" s="759">
        <f t="shared" si="3"/>
        <v>27</v>
      </c>
      <c r="B37" s="835"/>
      <c r="C37" s="191"/>
      <c r="D37" s="836"/>
      <c r="E37" s="191"/>
      <c r="F37" s="836"/>
      <c r="G37" s="191"/>
      <c r="H37" s="836"/>
      <c r="I37" s="191"/>
      <c r="J37" s="836"/>
      <c r="K37" s="837"/>
      <c r="L37" s="759">
        <f t="shared" si="4"/>
        <v>27</v>
      </c>
      <c r="M37" s="759">
        <f t="shared" si="8"/>
        <v>27</v>
      </c>
      <c r="N37" s="835"/>
      <c r="O37" s="191"/>
      <c r="P37" s="836"/>
      <c r="Q37" s="836"/>
      <c r="R37" s="191"/>
      <c r="S37" s="836"/>
      <c r="T37" s="191"/>
      <c r="U37" s="838"/>
      <c r="V37" s="839"/>
      <c r="W37" s="759">
        <f t="shared" si="1"/>
        <v>27</v>
      </c>
    </row>
    <row r="39" spans="1:23" x14ac:dyDescent="0.3">
      <c r="A39" s="171"/>
      <c r="B39" s="188"/>
    </row>
    <row r="40" spans="1:23" ht="18" x14ac:dyDescent="0.3">
      <c r="A40" s="187">
        <v>1</v>
      </c>
      <c r="B40" s="169" t="s">
        <v>926</v>
      </c>
      <c r="M40" s="187">
        <f>A40</f>
        <v>1</v>
      </c>
      <c r="N40" s="169" t="str">
        <f>B40</f>
        <v>The total Rent from Electric Property in FERC Form 1; Page 300; Line 19; Col. b includes both Distribution and Transmission rents. The Total Transmission-related Rents from Electric</v>
      </c>
    </row>
    <row r="41" spans="1:23" x14ac:dyDescent="0.3">
      <c r="B41" s="169" t="s">
        <v>927</v>
      </c>
      <c r="N41" s="169" t="str">
        <f>B41</f>
        <v>Property is reflected in Col. (m) of this schedule and ties to the footnotes on FERC Form 1; Page 450.1; Sch. Pg. 300; Line 19; Col. b. The FERC Form 1 footnote is off by $100 due a typing error.</v>
      </c>
    </row>
    <row r="42" spans="1:23" ht="18" x14ac:dyDescent="0.3">
      <c r="A42" s="187">
        <v>2</v>
      </c>
      <c r="B42" s="169" t="s">
        <v>928</v>
      </c>
      <c r="M42" s="187">
        <f>A42</f>
        <v>2</v>
      </c>
      <c r="N42" s="169" t="str">
        <f>B42</f>
        <v>The total Other Electric Revenues in FERC Form 1; Page 300; Line 21; Col. b includes other revenues for both Distribution and Transmission. The Total Transmission-related piece of Other</v>
      </c>
    </row>
    <row r="43" spans="1:23" x14ac:dyDescent="0.3">
      <c r="B43" s="169" t="s">
        <v>929</v>
      </c>
      <c r="N43" s="169" t="str">
        <f>B43</f>
        <v>Revenues is reflected in Col. (m) of this schedule and ties to the footnotes on FERC Form 1; Page 450.1; Sch. Pg. 300; Line 21; Col. b.</v>
      </c>
    </row>
    <row r="44" spans="1:23" ht="18" x14ac:dyDescent="0.3">
      <c r="A44" s="187">
        <v>3</v>
      </c>
      <c r="B44" s="169" t="s">
        <v>930</v>
      </c>
      <c r="M44" s="187">
        <f>A44</f>
        <v>3</v>
      </c>
      <c r="N44" s="169" t="str">
        <f>B44</f>
        <v>The Electric Transmission Revenue for Citizens in this statement is to provide ratepayers a credit for Citizens' share of Transmission-related Common and General Plant, Transmission-related</v>
      </c>
    </row>
    <row r="45" spans="1:23" x14ac:dyDescent="0.3">
      <c r="B45" s="169" t="s">
        <v>931</v>
      </c>
      <c r="N45" s="169" t="str">
        <f>B45</f>
        <v>Working Capital Revenue, and Franchise Fees.</v>
      </c>
    </row>
    <row r="48" spans="1:23" x14ac:dyDescent="0.3">
      <c r="V48" s="181"/>
    </row>
  </sheetData>
  <mergeCells count="8">
    <mergeCell ref="B6:K6"/>
    <mergeCell ref="N6:V6"/>
    <mergeCell ref="B3:K3"/>
    <mergeCell ref="N3:V3"/>
    <mergeCell ref="B4:K4"/>
    <mergeCell ref="N4:V4"/>
    <mergeCell ref="B5:K5"/>
    <mergeCell ref="N5:V5"/>
  </mergeCells>
  <printOptions horizontalCentered="1"/>
  <pageMargins left="0.25" right="0.25" top="0.35" bottom="0.5" header="0.25" footer="0.25"/>
  <pageSetup scale="70" orientation="landscape" r:id="rId1"/>
  <headerFooter scaleWithDoc="0" alignWithMargins="0">
    <oddHeader>&amp;C&amp;"Times New Roman,Bold"&amp;8AS FILED</oddHeader>
    <oddFooter>&amp;CPage 15.&amp;P&amp;R&amp;F</oddFooter>
  </headerFooter>
  <colBreaks count="1" manualBreakCount="1">
    <brk id="12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EF43-0A7B-41BD-98D2-733E50F09882}">
  <sheetPr>
    <pageSetUpPr fitToPage="1"/>
  </sheetPr>
  <dimension ref="A1:J57"/>
  <sheetViews>
    <sheetView zoomScale="80" zoomScaleNormal="80" workbookViewId="0"/>
  </sheetViews>
  <sheetFormatPr defaultColWidth="9.109375" defaultRowHeight="15.6" x14ac:dyDescent="0.3"/>
  <cols>
    <col min="1" max="1" width="5.109375" style="272" customWidth="1"/>
    <col min="2" max="2" width="12.5546875" style="195" customWidth="1"/>
    <col min="3" max="3" width="20" style="195" customWidth="1"/>
    <col min="4" max="8" width="21.5546875" style="195" customWidth="1"/>
    <col min="9" max="9" width="5.109375" style="272" customWidth="1"/>
    <col min="10" max="10" width="13.5546875" style="195" customWidth="1"/>
    <col min="11" max="11" width="12.5546875" style="195" customWidth="1"/>
    <col min="12" max="16384" width="9.109375" style="195"/>
  </cols>
  <sheetData>
    <row r="1" spans="1:10" x14ac:dyDescent="0.3">
      <c r="D1" s="273"/>
    </row>
    <row r="2" spans="1:10" x14ac:dyDescent="0.3">
      <c r="B2" s="874" t="s">
        <v>217</v>
      </c>
      <c r="C2" s="874"/>
      <c r="D2" s="874"/>
      <c r="E2" s="874"/>
      <c r="F2" s="874"/>
      <c r="G2" s="874"/>
      <c r="H2" s="874"/>
      <c r="I2" s="274"/>
    </row>
    <row r="3" spans="1:10" x14ac:dyDescent="0.3">
      <c r="B3" s="875" t="s">
        <v>932</v>
      </c>
      <c r="C3" s="875"/>
      <c r="D3" s="875"/>
      <c r="E3" s="875"/>
      <c r="F3" s="875"/>
      <c r="G3" s="875"/>
      <c r="H3" s="875"/>
      <c r="I3" s="274"/>
    </row>
    <row r="4" spans="1:10" x14ac:dyDescent="0.3">
      <c r="B4" s="875" t="s">
        <v>933</v>
      </c>
      <c r="C4" s="875"/>
      <c r="D4" s="875"/>
      <c r="E4" s="875"/>
      <c r="F4" s="875"/>
      <c r="G4" s="875"/>
      <c r="H4" s="875"/>
      <c r="I4" s="274"/>
    </row>
    <row r="5" spans="1:10" x14ac:dyDescent="0.3">
      <c r="B5" s="876" t="s">
        <v>3</v>
      </c>
      <c r="C5" s="876"/>
      <c r="D5" s="876"/>
      <c r="E5" s="876"/>
      <c r="F5" s="876"/>
      <c r="G5" s="876"/>
      <c r="H5" s="876"/>
      <c r="I5" s="274"/>
    </row>
    <row r="6" spans="1:10" x14ac:dyDescent="0.3">
      <c r="A6" s="274"/>
      <c r="B6" s="274"/>
      <c r="C6" s="274"/>
      <c r="D6" s="274"/>
      <c r="E6" s="274"/>
      <c r="F6" s="274"/>
      <c r="G6" s="274"/>
      <c r="H6" s="274"/>
      <c r="I6" s="274"/>
    </row>
    <row r="7" spans="1:10" x14ac:dyDescent="0.3">
      <c r="A7" s="168" t="s">
        <v>4</v>
      </c>
      <c r="B7" s="184"/>
      <c r="I7" s="168" t="s">
        <v>4</v>
      </c>
    </row>
    <row r="8" spans="1:10" x14ac:dyDescent="0.3">
      <c r="A8" s="172" t="s">
        <v>8</v>
      </c>
      <c r="B8" s="184"/>
      <c r="I8" s="172" t="s">
        <v>8</v>
      </c>
    </row>
    <row r="9" spans="1:10" x14ac:dyDescent="0.3">
      <c r="A9" s="168">
        <v>1</v>
      </c>
      <c r="C9" s="275" t="s">
        <v>591</v>
      </c>
      <c r="D9" s="275" t="s">
        <v>592</v>
      </c>
      <c r="E9" s="275" t="s">
        <v>593</v>
      </c>
      <c r="F9" s="275" t="s">
        <v>594</v>
      </c>
      <c r="G9" s="275" t="s">
        <v>595</v>
      </c>
      <c r="H9" s="275" t="s">
        <v>596</v>
      </c>
      <c r="I9" s="168">
        <v>1</v>
      </c>
    </row>
    <row r="10" spans="1:10" x14ac:dyDescent="0.3">
      <c r="A10" s="168">
        <f t="shared" ref="A10:A25" si="0">A9+1</f>
        <v>2</v>
      </c>
      <c r="B10" s="276" t="s">
        <v>934</v>
      </c>
      <c r="C10" s="168"/>
      <c r="D10" s="189" t="s">
        <v>935</v>
      </c>
      <c r="E10" s="168"/>
      <c r="F10" s="168" t="s">
        <v>936</v>
      </c>
      <c r="G10" s="168" t="s">
        <v>937</v>
      </c>
      <c r="H10" s="189" t="s">
        <v>938</v>
      </c>
      <c r="I10" s="168">
        <f t="shared" ref="I10:I25" si="1">I9+1</f>
        <v>2</v>
      </c>
    </row>
    <row r="11" spans="1:10" x14ac:dyDescent="0.3">
      <c r="A11" s="168">
        <f t="shared" si="0"/>
        <v>3</v>
      </c>
      <c r="C11" s="275"/>
      <c r="F11" s="171" t="s">
        <v>939</v>
      </c>
      <c r="H11" s="171" t="s">
        <v>939</v>
      </c>
      <c r="I11" s="168">
        <f t="shared" si="1"/>
        <v>3</v>
      </c>
    </row>
    <row r="12" spans="1:10" x14ac:dyDescent="0.3">
      <c r="A12" s="168">
        <f t="shared" si="0"/>
        <v>4</v>
      </c>
      <c r="C12" s="275"/>
      <c r="D12" s="171" t="s">
        <v>940</v>
      </c>
      <c r="E12" s="171"/>
      <c r="F12" s="171" t="s">
        <v>941</v>
      </c>
      <c r="H12" s="171" t="s">
        <v>941</v>
      </c>
      <c r="I12" s="168">
        <f t="shared" si="1"/>
        <v>4</v>
      </c>
    </row>
    <row r="13" spans="1:10" x14ac:dyDescent="0.3">
      <c r="A13" s="168">
        <f t="shared" si="0"/>
        <v>5</v>
      </c>
      <c r="C13" s="171"/>
      <c r="D13" s="171" t="s">
        <v>941</v>
      </c>
      <c r="E13" s="171" t="s">
        <v>940</v>
      </c>
      <c r="F13" s="171" t="s">
        <v>942</v>
      </c>
      <c r="H13" s="171" t="s">
        <v>942</v>
      </c>
      <c r="I13" s="168">
        <f t="shared" si="1"/>
        <v>5</v>
      </c>
    </row>
    <row r="14" spans="1:10" x14ac:dyDescent="0.3">
      <c r="A14" s="168">
        <f t="shared" si="0"/>
        <v>6</v>
      </c>
      <c r="C14" s="171"/>
      <c r="D14" s="171" t="s">
        <v>942</v>
      </c>
      <c r="E14" s="171" t="s">
        <v>943</v>
      </c>
      <c r="F14" s="171" t="s">
        <v>944</v>
      </c>
      <c r="G14" s="171"/>
      <c r="H14" s="171" t="s">
        <v>944</v>
      </c>
      <c r="I14" s="168">
        <f t="shared" si="1"/>
        <v>6</v>
      </c>
    </row>
    <row r="15" spans="1:10" ht="18" x14ac:dyDescent="0.3">
      <c r="A15" s="168">
        <f t="shared" si="0"/>
        <v>7</v>
      </c>
      <c r="B15" s="277" t="s">
        <v>945</v>
      </c>
      <c r="C15" s="277" t="s">
        <v>946</v>
      </c>
      <c r="D15" s="190" t="s">
        <v>944</v>
      </c>
      <c r="E15" s="190" t="s">
        <v>947</v>
      </c>
      <c r="F15" s="190" t="s">
        <v>948</v>
      </c>
      <c r="G15" s="278" t="s">
        <v>943</v>
      </c>
      <c r="H15" s="190" t="s">
        <v>949</v>
      </c>
      <c r="I15" s="168">
        <f t="shared" si="1"/>
        <v>7</v>
      </c>
    </row>
    <row r="16" spans="1:10" x14ac:dyDescent="0.3">
      <c r="A16" s="168">
        <f t="shared" si="0"/>
        <v>8</v>
      </c>
      <c r="B16" s="279" t="s">
        <v>950</v>
      </c>
      <c r="C16" s="289">
        <f>2020</f>
        <v>2020</v>
      </c>
      <c r="D16" s="280">
        <f>'Pg2 BK-1 Comparison'!J94/12</f>
        <v>-279.11674669756513</v>
      </c>
      <c r="E16" s="281">
        <v>4.1999999999999997E-3</v>
      </c>
      <c r="F16" s="337">
        <f>+D16</f>
        <v>-279.11674669756513</v>
      </c>
      <c r="G16" s="336">
        <f>(D16/2)*E16</f>
        <v>-0.5861451680648867</v>
      </c>
      <c r="H16" s="338">
        <f t="shared" ref="H16:H31" si="2">F16+G16</f>
        <v>-279.70289186563002</v>
      </c>
      <c r="I16" s="168">
        <f t="shared" si="1"/>
        <v>8</v>
      </c>
      <c r="J16" s="290"/>
    </row>
    <row r="17" spans="1:10" x14ac:dyDescent="0.3">
      <c r="A17" s="168">
        <f t="shared" si="0"/>
        <v>9</v>
      </c>
      <c r="B17" s="279" t="s">
        <v>951</v>
      </c>
      <c r="C17" s="289">
        <f>C16</f>
        <v>2020</v>
      </c>
      <c r="D17" s="283">
        <f>D16</f>
        <v>-279.11674669756513</v>
      </c>
      <c r="E17" s="281">
        <v>3.8999999999999998E-3</v>
      </c>
      <c r="F17" s="293">
        <f t="shared" ref="F17:F51" si="3">H16+D17</f>
        <v>-558.81963856319521</v>
      </c>
      <c r="G17" s="282">
        <f>(H16+F17)/2*E17</f>
        <v>-1.6351189343362091</v>
      </c>
      <c r="H17" s="294">
        <f t="shared" si="2"/>
        <v>-560.45475749753143</v>
      </c>
      <c r="I17" s="168">
        <f t="shared" si="1"/>
        <v>9</v>
      </c>
      <c r="J17" s="290"/>
    </row>
    <row r="18" spans="1:10" x14ac:dyDescent="0.3">
      <c r="A18" s="168">
        <f t="shared" si="0"/>
        <v>10</v>
      </c>
      <c r="B18" s="279" t="s">
        <v>952</v>
      </c>
      <c r="C18" s="289">
        <f t="shared" ref="C18:D26" si="4">C17</f>
        <v>2020</v>
      </c>
      <c r="D18" s="283">
        <f t="shared" si="4"/>
        <v>-279.11674669756513</v>
      </c>
      <c r="E18" s="281">
        <v>4.1999999999999997E-3</v>
      </c>
      <c r="F18" s="293">
        <f t="shared" si="3"/>
        <v>-839.57150419509662</v>
      </c>
      <c r="G18" s="282">
        <f t="shared" ref="G18:G32" si="5">(H17+F18)/2*E18</f>
        <v>-2.9400551495545186</v>
      </c>
      <c r="H18" s="294">
        <f t="shared" si="2"/>
        <v>-842.51155934465112</v>
      </c>
      <c r="I18" s="168">
        <f t="shared" si="1"/>
        <v>10</v>
      </c>
      <c r="J18" s="290"/>
    </row>
    <row r="19" spans="1:10" x14ac:dyDescent="0.3">
      <c r="A19" s="168">
        <f t="shared" si="0"/>
        <v>11</v>
      </c>
      <c r="B19" s="279" t="s">
        <v>953</v>
      </c>
      <c r="C19" s="289">
        <f t="shared" si="4"/>
        <v>2020</v>
      </c>
      <c r="D19" s="283">
        <f t="shared" si="4"/>
        <v>-279.11674669756513</v>
      </c>
      <c r="E19" s="281">
        <v>3.8999999999999998E-3</v>
      </c>
      <c r="F19" s="293">
        <f t="shared" si="3"/>
        <v>-1121.6283060422163</v>
      </c>
      <c r="G19" s="282">
        <f t="shared" si="5"/>
        <v>-3.8300727375043913</v>
      </c>
      <c r="H19" s="294">
        <f t="shared" si="2"/>
        <v>-1125.4583787797208</v>
      </c>
      <c r="I19" s="168">
        <f t="shared" si="1"/>
        <v>11</v>
      </c>
      <c r="J19" s="290"/>
    </row>
    <row r="20" spans="1:10" x14ac:dyDescent="0.3">
      <c r="A20" s="168">
        <f t="shared" si="0"/>
        <v>12</v>
      </c>
      <c r="B20" s="279" t="s">
        <v>954</v>
      </c>
      <c r="C20" s="289">
        <f t="shared" si="4"/>
        <v>2020</v>
      </c>
      <c r="D20" s="283">
        <f t="shared" si="4"/>
        <v>-279.11674669756513</v>
      </c>
      <c r="E20" s="281">
        <v>4.0000000000000001E-3</v>
      </c>
      <c r="F20" s="293">
        <f t="shared" si="3"/>
        <v>-1404.5751254772858</v>
      </c>
      <c r="G20" s="282">
        <f t="shared" si="5"/>
        <v>-5.0600670085140136</v>
      </c>
      <c r="H20" s="294">
        <f t="shared" si="2"/>
        <v>-1409.6351924858</v>
      </c>
      <c r="I20" s="168">
        <f t="shared" si="1"/>
        <v>12</v>
      </c>
      <c r="J20" s="290"/>
    </row>
    <row r="21" spans="1:10" x14ac:dyDescent="0.3">
      <c r="A21" s="168">
        <f t="shared" si="0"/>
        <v>13</v>
      </c>
      <c r="B21" s="279" t="s">
        <v>955</v>
      </c>
      <c r="C21" s="289">
        <f t="shared" si="4"/>
        <v>2020</v>
      </c>
      <c r="D21" s="283">
        <f t="shared" si="4"/>
        <v>-279.11674669756513</v>
      </c>
      <c r="E21" s="281">
        <v>3.8999999999999998E-3</v>
      </c>
      <c r="F21" s="293">
        <f t="shared" si="3"/>
        <v>-1688.751939183365</v>
      </c>
      <c r="G21" s="282">
        <f t="shared" si="5"/>
        <v>-6.041854906754871</v>
      </c>
      <c r="H21" s="294">
        <f t="shared" si="2"/>
        <v>-1694.7937940901199</v>
      </c>
      <c r="I21" s="168">
        <f t="shared" si="1"/>
        <v>13</v>
      </c>
      <c r="J21" s="290"/>
    </row>
    <row r="22" spans="1:10" x14ac:dyDescent="0.3">
      <c r="A22" s="168">
        <f t="shared" si="0"/>
        <v>14</v>
      </c>
      <c r="B22" s="279" t="s">
        <v>956</v>
      </c>
      <c r="C22" s="289">
        <f t="shared" si="4"/>
        <v>2020</v>
      </c>
      <c r="D22" s="283">
        <f t="shared" si="4"/>
        <v>-279.11674669756513</v>
      </c>
      <c r="E22" s="281">
        <v>2.8999999999999998E-3</v>
      </c>
      <c r="F22" s="293">
        <f t="shared" si="3"/>
        <v>-1973.910540787685</v>
      </c>
      <c r="G22" s="282">
        <f t="shared" si="5"/>
        <v>-5.3196212855728175</v>
      </c>
      <c r="H22" s="294">
        <f t="shared" si="2"/>
        <v>-1979.2301620732578</v>
      </c>
      <c r="I22" s="168">
        <f t="shared" si="1"/>
        <v>14</v>
      </c>
      <c r="J22" s="290"/>
    </row>
    <row r="23" spans="1:10" x14ac:dyDescent="0.3">
      <c r="A23" s="168">
        <f t="shared" si="0"/>
        <v>15</v>
      </c>
      <c r="B23" s="279" t="s">
        <v>957</v>
      </c>
      <c r="C23" s="289">
        <f t="shared" si="4"/>
        <v>2020</v>
      </c>
      <c r="D23" s="283">
        <f t="shared" si="4"/>
        <v>-279.11674669756513</v>
      </c>
      <c r="E23" s="281">
        <v>2.8999999999999998E-3</v>
      </c>
      <c r="F23" s="293">
        <f t="shared" si="3"/>
        <v>-2258.3469087708231</v>
      </c>
      <c r="G23" s="282">
        <f t="shared" si="5"/>
        <v>-6.1444867527239175</v>
      </c>
      <c r="H23" s="294">
        <f t="shared" si="2"/>
        <v>-2264.491395523547</v>
      </c>
      <c r="I23" s="168">
        <f t="shared" si="1"/>
        <v>15</v>
      </c>
      <c r="J23" s="290"/>
    </row>
    <row r="24" spans="1:10" x14ac:dyDescent="0.3">
      <c r="A24" s="168">
        <f t="shared" si="0"/>
        <v>16</v>
      </c>
      <c r="B24" s="279" t="s">
        <v>958</v>
      </c>
      <c r="C24" s="289">
        <f t="shared" si="4"/>
        <v>2020</v>
      </c>
      <c r="D24" s="283">
        <f t="shared" si="4"/>
        <v>-279.11674669756513</v>
      </c>
      <c r="E24" s="281">
        <v>2.8E-3</v>
      </c>
      <c r="F24" s="293">
        <f t="shared" si="3"/>
        <v>-2543.6081422211123</v>
      </c>
      <c r="G24" s="282">
        <f t="shared" si="5"/>
        <v>-6.7313393528425234</v>
      </c>
      <c r="H24" s="294">
        <f t="shared" si="2"/>
        <v>-2550.3394815739548</v>
      </c>
      <c r="I24" s="168">
        <f t="shared" si="1"/>
        <v>16</v>
      </c>
      <c r="J24" s="290"/>
    </row>
    <row r="25" spans="1:10" x14ac:dyDescent="0.3">
      <c r="A25" s="168">
        <f t="shared" si="0"/>
        <v>17</v>
      </c>
      <c r="B25" s="279" t="s">
        <v>959</v>
      </c>
      <c r="C25" s="289">
        <f t="shared" si="4"/>
        <v>2020</v>
      </c>
      <c r="D25" s="283">
        <f t="shared" si="4"/>
        <v>-279.11674669756513</v>
      </c>
      <c r="E25" s="281">
        <v>2.8E-3</v>
      </c>
      <c r="F25" s="293">
        <f t="shared" si="3"/>
        <v>-2829.4562282715201</v>
      </c>
      <c r="G25" s="282">
        <f t="shared" si="5"/>
        <v>-7.531713993783665</v>
      </c>
      <c r="H25" s="294">
        <f t="shared" si="2"/>
        <v>-2836.9879422653039</v>
      </c>
      <c r="I25" s="168">
        <f t="shared" si="1"/>
        <v>17</v>
      </c>
      <c r="J25" s="290"/>
    </row>
    <row r="26" spans="1:10" x14ac:dyDescent="0.3">
      <c r="A26" s="168">
        <f t="shared" ref="A26:A52" si="6">A25+1</f>
        <v>18</v>
      </c>
      <c r="B26" s="279" t="s">
        <v>960</v>
      </c>
      <c r="C26" s="289">
        <f t="shared" si="4"/>
        <v>2020</v>
      </c>
      <c r="D26" s="283">
        <f t="shared" si="4"/>
        <v>-279.11674669756513</v>
      </c>
      <c r="E26" s="281">
        <v>2.7000000000000001E-3</v>
      </c>
      <c r="F26" s="293">
        <f t="shared" si="3"/>
        <v>-3116.1046889628692</v>
      </c>
      <c r="G26" s="282">
        <f t="shared" si="5"/>
        <v>-8.036675052158035</v>
      </c>
      <c r="H26" s="294">
        <f t="shared" si="2"/>
        <v>-3124.1413640150272</v>
      </c>
      <c r="I26" s="168">
        <f t="shared" ref="I26:I52" si="7">I25+1</f>
        <v>18</v>
      </c>
      <c r="J26" s="290"/>
    </row>
    <row r="27" spans="1:10" x14ac:dyDescent="0.3">
      <c r="A27" s="168">
        <f t="shared" si="6"/>
        <v>19</v>
      </c>
      <c r="B27" s="284" t="s">
        <v>961</v>
      </c>
      <c r="C27" s="291">
        <f>C26</f>
        <v>2020</v>
      </c>
      <c r="D27" s="285">
        <f>D26</f>
        <v>-279.11674669756513</v>
      </c>
      <c r="E27" s="286">
        <v>2.8E-3</v>
      </c>
      <c r="F27" s="287">
        <f t="shared" si="3"/>
        <v>-3403.2581107125925</v>
      </c>
      <c r="G27" s="288">
        <f t="shared" si="5"/>
        <v>-9.138359264618666</v>
      </c>
      <c r="H27" s="292">
        <f t="shared" si="2"/>
        <v>-3412.3964699772114</v>
      </c>
      <c r="I27" s="168">
        <f t="shared" si="7"/>
        <v>19</v>
      </c>
      <c r="J27" s="290"/>
    </row>
    <row r="28" spans="1:10" x14ac:dyDescent="0.3">
      <c r="A28" s="168">
        <f t="shared" si="6"/>
        <v>20</v>
      </c>
      <c r="B28" s="279" t="s">
        <v>950</v>
      </c>
      <c r="C28" s="289">
        <f>C27+1</f>
        <v>2021</v>
      </c>
      <c r="D28" s="280"/>
      <c r="E28" s="281">
        <v>2.8E-3</v>
      </c>
      <c r="F28" s="293">
        <f t="shared" si="3"/>
        <v>-3412.3964699772114</v>
      </c>
      <c r="G28" s="282">
        <f t="shared" si="5"/>
        <v>-9.5547101159361922</v>
      </c>
      <c r="H28" s="294">
        <f t="shared" si="2"/>
        <v>-3421.9511800931477</v>
      </c>
      <c r="I28" s="168">
        <f t="shared" si="7"/>
        <v>20</v>
      </c>
      <c r="J28" s="290"/>
    </row>
    <row r="29" spans="1:10" x14ac:dyDescent="0.3">
      <c r="A29" s="168">
        <f t="shared" si="6"/>
        <v>21</v>
      </c>
      <c r="B29" s="279" t="s">
        <v>951</v>
      </c>
      <c r="C29" s="289">
        <f>C28</f>
        <v>2021</v>
      </c>
      <c r="D29" s="283"/>
      <c r="E29" s="281">
        <v>2.5000000000000001E-3</v>
      </c>
      <c r="F29" s="293">
        <f t="shared" si="3"/>
        <v>-3421.9511800931477</v>
      </c>
      <c r="G29" s="282">
        <f t="shared" si="5"/>
        <v>-8.5548779502328696</v>
      </c>
      <c r="H29" s="294">
        <f t="shared" si="2"/>
        <v>-3430.5060580433806</v>
      </c>
      <c r="I29" s="168">
        <f t="shared" si="7"/>
        <v>21</v>
      </c>
      <c r="J29" s="290"/>
    </row>
    <row r="30" spans="1:10" x14ac:dyDescent="0.3">
      <c r="A30" s="168">
        <f t="shared" si="6"/>
        <v>22</v>
      </c>
      <c r="B30" s="279" t="s">
        <v>952</v>
      </c>
      <c r="C30" s="289">
        <f t="shared" ref="C30:C38" si="8">C29</f>
        <v>2021</v>
      </c>
      <c r="D30" s="283"/>
      <c r="E30" s="281">
        <v>2.8E-3</v>
      </c>
      <c r="F30" s="293">
        <f t="shared" si="3"/>
        <v>-3430.5060580433806</v>
      </c>
      <c r="G30" s="282">
        <f t="shared" si="5"/>
        <v>-9.6054169625214652</v>
      </c>
      <c r="H30" s="294">
        <f t="shared" si="2"/>
        <v>-3440.1114750059019</v>
      </c>
      <c r="I30" s="168">
        <f t="shared" si="7"/>
        <v>22</v>
      </c>
      <c r="J30" s="290"/>
    </row>
    <row r="31" spans="1:10" x14ac:dyDescent="0.3">
      <c r="A31" s="168">
        <f t="shared" si="6"/>
        <v>23</v>
      </c>
      <c r="B31" s="279" t="s">
        <v>953</v>
      </c>
      <c r="C31" s="289">
        <f t="shared" si="8"/>
        <v>2021</v>
      </c>
      <c r="D31" s="283"/>
      <c r="E31" s="281">
        <v>2.7000000000000001E-3</v>
      </c>
      <c r="F31" s="293">
        <f t="shared" si="3"/>
        <v>-3440.1114750059019</v>
      </c>
      <c r="G31" s="282">
        <f t="shared" si="5"/>
        <v>-9.2883009825159348</v>
      </c>
      <c r="H31" s="294">
        <f t="shared" si="2"/>
        <v>-3449.3997759884178</v>
      </c>
      <c r="I31" s="168">
        <f t="shared" si="7"/>
        <v>23</v>
      </c>
      <c r="J31" s="290"/>
    </row>
    <row r="32" spans="1:10" x14ac:dyDescent="0.3">
      <c r="A32" s="168">
        <f t="shared" si="6"/>
        <v>24</v>
      </c>
      <c r="B32" s="279" t="s">
        <v>954</v>
      </c>
      <c r="C32" s="289">
        <f t="shared" si="8"/>
        <v>2021</v>
      </c>
      <c r="D32" s="283"/>
      <c r="E32" s="281">
        <v>2.8E-3</v>
      </c>
      <c r="F32" s="293">
        <f t="shared" si="3"/>
        <v>-3449.3997759884178</v>
      </c>
      <c r="G32" s="282">
        <f t="shared" si="5"/>
        <v>-9.6583193727675702</v>
      </c>
      <c r="H32" s="294">
        <f t="shared" ref="H32:H51" si="9">F32+G32</f>
        <v>-3459.0580953611852</v>
      </c>
      <c r="I32" s="168">
        <f t="shared" si="7"/>
        <v>24</v>
      </c>
      <c r="J32" s="290"/>
    </row>
    <row r="33" spans="1:10" x14ac:dyDescent="0.3">
      <c r="A33" s="168">
        <f t="shared" si="6"/>
        <v>25</v>
      </c>
      <c r="B33" s="279" t="s">
        <v>955</v>
      </c>
      <c r="C33" s="289">
        <f t="shared" si="8"/>
        <v>2021</v>
      </c>
      <c r="D33" s="283"/>
      <c r="E33" s="281">
        <v>2.7000000000000001E-3</v>
      </c>
      <c r="F33" s="293">
        <f t="shared" si="3"/>
        <v>-3459.0580953611852</v>
      </c>
      <c r="G33" s="282">
        <f t="shared" ref="G33:G51" si="10">(H32+F33)/2*E33</f>
        <v>-9.3394568574752004</v>
      </c>
      <c r="H33" s="294">
        <f t="shared" si="9"/>
        <v>-3468.3975522186606</v>
      </c>
      <c r="I33" s="168">
        <f t="shared" si="7"/>
        <v>25</v>
      </c>
      <c r="J33" s="290"/>
    </row>
    <row r="34" spans="1:10" x14ac:dyDescent="0.3">
      <c r="A34" s="168">
        <f t="shared" si="6"/>
        <v>26</v>
      </c>
      <c r="B34" s="279" t="s">
        <v>956</v>
      </c>
      <c r="C34" s="289">
        <f t="shared" si="8"/>
        <v>2021</v>
      </c>
      <c r="D34" s="283"/>
      <c r="E34" s="281">
        <v>2.8E-3</v>
      </c>
      <c r="F34" s="293">
        <f t="shared" si="3"/>
        <v>-3468.3975522186606</v>
      </c>
      <c r="G34" s="282">
        <f t="shared" si="10"/>
        <v>-9.7115131462122495</v>
      </c>
      <c r="H34" s="294">
        <f t="shared" si="9"/>
        <v>-3478.109065364873</v>
      </c>
      <c r="I34" s="168">
        <f t="shared" si="7"/>
        <v>26</v>
      </c>
      <c r="J34" s="290"/>
    </row>
    <row r="35" spans="1:10" x14ac:dyDescent="0.3">
      <c r="A35" s="168">
        <f t="shared" si="6"/>
        <v>27</v>
      </c>
      <c r="B35" s="279" t="s">
        <v>957</v>
      </c>
      <c r="C35" s="289">
        <f t="shared" si="8"/>
        <v>2021</v>
      </c>
      <c r="D35" s="283"/>
      <c r="E35" s="281">
        <v>2.8E-3</v>
      </c>
      <c r="F35" s="293">
        <f t="shared" si="3"/>
        <v>-3478.109065364873</v>
      </c>
      <c r="G35" s="282">
        <f t="shared" si="10"/>
        <v>-9.7387053830216441</v>
      </c>
      <c r="H35" s="294">
        <f t="shared" si="9"/>
        <v>-3487.8477707478946</v>
      </c>
      <c r="I35" s="168">
        <f t="shared" si="7"/>
        <v>27</v>
      </c>
      <c r="J35" s="290"/>
    </row>
    <row r="36" spans="1:10" x14ac:dyDescent="0.3">
      <c r="A36" s="168">
        <f t="shared" si="6"/>
        <v>28</v>
      </c>
      <c r="B36" s="279" t="s">
        <v>958</v>
      </c>
      <c r="C36" s="289">
        <f t="shared" si="8"/>
        <v>2021</v>
      </c>
      <c r="D36" s="283"/>
      <c r="E36" s="281">
        <v>2.7000000000000001E-3</v>
      </c>
      <c r="F36" s="293">
        <f t="shared" si="3"/>
        <v>-3487.8477707478946</v>
      </c>
      <c r="G36" s="282">
        <f t="shared" si="10"/>
        <v>-9.4171889810193168</v>
      </c>
      <c r="H36" s="294">
        <f t="shared" si="9"/>
        <v>-3497.2649597289142</v>
      </c>
      <c r="I36" s="168">
        <f t="shared" si="7"/>
        <v>28</v>
      </c>
      <c r="J36" s="290"/>
    </row>
    <row r="37" spans="1:10" x14ac:dyDescent="0.3">
      <c r="A37" s="168">
        <f t="shared" si="6"/>
        <v>29</v>
      </c>
      <c r="B37" s="279" t="s">
        <v>959</v>
      </c>
      <c r="C37" s="289">
        <f t="shared" si="8"/>
        <v>2021</v>
      </c>
      <c r="D37" s="283"/>
      <c r="E37" s="281">
        <v>2.8E-3</v>
      </c>
      <c r="F37" s="293">
        <f t="shared" si="3"/>
        <v>-3497.2649597289142</v>
      </c>
      <c r="G37" s="282">
        <f t="shared" si="10"/>
        <v>-9.7923418872409602</v>
      </c>
      <c r="H37" s="294">
        <f t="shared" si="9"/>
        <v>-3507.0573016161552</v>
      </c>
      <c r="I37" s="168">
        <f t="shared" si="7"/>
        <v>29</v>
      </c>
      <c r="J37" s="290"/>
    </row>
    <row r="38" spans="1:10" x14ac:dyDescent="0.3">
      <c r="A38" s="168">
        <f t="shared" si="6"/>
        <v>30</v>
      </c>
      <c r="B38" s="279" t="s">
        <v>960</v>
      </c>
      <c r="C38" s="289">
        <f t="shared" si="8"/>
        <v>2021</v>
      </c>
      <c r="D38" s="283"/>
      <c r="E38" s="281">
        <v>2.7000000000000001E-3</v>
      </c>
      <c r="F38" s="293">
        <f t="shared" si="3"/>
        <v>-3507.0573016161552</v>
      </c>
      <c r="G38" s="282">
        <f t="shared" si="10"/>
        <v>-9.4690547143636188</v>
      </c>
      <c r="H38" s="294">
        <f t="shared" si="9"/>
        <v>-3516.5263563305189</v>
      </c>
      <c r="I38" s="168">
        <f t="shared" si="7"/>
        <v>30</v>
      </c>
      <c r="J38" s="290"/>
    </row>
    <row r="39" spans="1:10" x14ac:dyDescent="0.3">
      <c r="A39" s="168">
        <f t="shared" si="6"/>
        <v>31</v>
      </c>
      <c r="B39" s="284" t="s">
        <v>961</v>
      </c>
      <c r="C39" s="291">
        <f>C38</f>
        <v>2021</v>
      </c>
      <c r="D39" s="285"/>
      <c r="E39" s="286">
        <v>2.8E-3</v>
      </c>
      <c r="F39" s="287">
        <f t="shared" si="3"/>
        <v>-3516.5263563305189</v>
      </c>
      <c r="G39" s="288">
        <f t="shared" si="10"/>
        <v>-9.846273797725452</v>
      </c>
      <c r="H39" s="292">
        <f t="shared" si="9"/>
        <v>-3526.3726301282445</v>
      </c>
      <c r="I39" s="168">
        <f t="shared" si="7"/>
        <v>31</v>
      </c>
      <c r="J39" s="290"/>
    </row>
    <row r="40" spans="1:10" x14ac:dyDescent="0.3">
      <c r="A40" s="168">
        <f t="shared" si="6"/>
        <v>32</v>
      </c>
      <c r="B40" s="279" t="s">
        <v>950</v>
      </c>
      <c r="C40" s="289">
        <v>2022</v>
      </c>
      <c r="D40" s="170"/>
      <c r="E40" s="281">
        <v>2.8E-3</v>
      </c>
      <c r="F40" s="293">
        <f t="shared" si="3"/>
        <v>-3526.3726301282445</v>
      </c>
      <c r="G40" s="282">
        <f t="shared" si="10"/>
        <v>-9.8738433643590842</v>
      </c>
      <c r="H40" s="294">
        <f t="shared" si="9"/>
        <v>-3536.2464734926034</v>
      </c>
      <c r="I40" s="168">
        <f t="shared" si="7"/>
        <v>32</v>
      </c>
      <c r="J40" s="290"/>
    </row>
    <row r="41" spans="1:10" x14ac:dyDescent="0.3">
      <c r="A41" s="168">
        <f t="shared" si="6"/>
        <v>33</v>
      </c>
      <c r="B41" s="279" t="s">
        <v>951</v>
      </c>
      <c r="C41" s="289">
        <v>2022</v>
      </c>
      <c r="D41" s="170"/>
      <c r="E41" s="281">
        <v>2.5000000000000001E-3</v>
      </c>
      <c r="F41" s="293">
        <f t="shared" si="3"/>
        <v>-3536.2464734926034</v>
      </c>
      <c r="G41" s="282">
        <f t="shared" si="10"/>
        <v>-8.8406161837315089</v>
      </c>
      <c r="H41" s="294">
        <f t="shared" si="9"/>
        <v>-3545.0870896763349</v>
      </c>
      <c r="I41" s="168">
        <f t="shared" si="7"/>
        <v>33</v>
      </c>
      <c r="J41" s="290"/>
    </row>
    <row r="42" spans="1:10" x14ac:dyDescent="0.3">
      <c r="A42" s="168">
        <f t="shared" si="6"/>
        <v>34</v>
      </c>
      <c r="B42" s="279" t="s">
        <v>952</v>
      </c>
      <c r="C42" s="289">
        <v>2022</v>
      </c>
      <c r="D42" s="170"/>
      <c r="E42" s="281">
        <v>2.8E-3</v>
      </c>
      <c r="F42" s="293">
        <f t="shared" si="3"/>
        <v>-3545.0870896763349</v>
      </c>
      <c r="G42" s="282">
        <f t="shared" si="10"/>
        <v>-9.9262438510937372</v>
      </c>
      <c r="H42" s="294">
        <f t="shared" si="9"/>
        <v>-3555.0133335274286</v>
      </c>
      <c r="I42" s="168">
        <f t="shared" si="7"/>
        <v>34</v>
      </c>
      <c r="J42" s="290"/>
    </row>
    <row r="43" spans="1:10" x14ac:dyDescent="0.3">
      <c r="A43" s="168">
        <f t="shared" si="6"/>
        <v>35</v>
      </c>
      <c r="B43" s="279" t="s">
        <v>953</v>
      </c>
      <c r="C43" s="289">
        <v>2022</v>
      </c>
      <c r="D43" s="170"/>
      <c r="E43" s="281">
        <v>2.7000000000000001E-3</v>
      </c>
      <c r="F43" s="293">
        <f t="shared" si="3"/>
        <v>-3555.0133335274286</v>
      </c>
      <c r="G43" s="282">
        <f t="shared" si="10"/>
        <v>-9.5985360005240583</v>
      </c>
      <c r="H43" s="294">
        <f t="shared" si="9"/>
        <v>-3564.6118695279524</v>
      </c>
      <c r="I43" s="168">
        <f t="shared" si="7"/>
        <v>35</v>
      </c>
      <c r="J43" s="290"/>
    </row>
    <row r="44" spans="1:10" x14ac:dyDescent="0.3">
      <c r="A44" s="168">
        <f t="shared" si="6"/>
        <v>36</v>
      </c>
      <c r="B44" s="279" t="s">
        <v>954</v>
      </c>
      <c r="C44" s="289">
        <v>2022</v>
      </c>
      <c r="D44" s="170"/>
      <c r="E44" s="281">
        <v>2.8E-3</v>
      </c>
      <c r="F44" s="293">
        <f t="shared" si="3"/>
        <v>-3564.6118695279524</v>
      </c>
      <c r="G44" s="282">
        <f t="shared" si="10"/>
        <v>-9.9809132346782672</v>
      </c>
      <c r="H44" s="294">
        <f t="shared" si="9"/>
        <v>-3574.5927827626306</v>
      </c>
      <c r="I44" s="168">
        <f t="shared" si="7"/>
        <v>36</v>
      </c>
      <c r="J44" s="290"/>
    </row>
    <row r="45" spans="1:10" x14ac:dyDescent="0.3">
      <c r="A45" s="168">
        <f t="shared" si="6"/>
        <v>37</v>
      </c>
      <c r="B45" s="279" t="s">
        <v>955</v>
      </c>
      <c r="C45" s="289">
        <v>2022</v>
      </c>
      <c r="D45" s="170"/>
      <c r="E45" s="281">
        <v>2.7000000000000001E-3</v>
      </c>
      <c r="F45" s="293">
        <f t="shared" si="3"/>
        <v>-3574.5927827626306</v>
      </c>
      <c r="G45" s="282">
        <f t="shared" si="10"/>
        <v>-9.6514005134591034</v>
      </c>
      <c r="H45" s="294">
        <f t="shared" si="9"/>
        <v>-3584.2441832760896</v>
      </c>
      <c r="I45" s="168">
        <f t="shared" si="7"/>
        <v>37</v>
      </c>
      <c r="J45" s="290"/>
    </row>
    <row r="46" spans="1:10" x14ac:dyDescent="0.3">
      <c r="A46" s="168">
        <f t="shared" si="6"/>
        <v>38</v>
      </c>
      <c r="B46" s="279" t="s">
        <v>956</v>
      </c>
      <c r="C46" s="289">
        <v>2022</v>
      </c>
      <c r="D46" s="170"/>
      <c r="E46" s="281">
        <v>3.0999999999999999E-3</v>
      </c>
      <c r="F46" s="293">
        <f t="shared" si="3"/>
        <v>-3584.2441832760896</v>
      </c>
      <c r="G46" s="282">
        <f t="shared" si="10"/>
        <v>-11.111156968155878</v>
      </c>
      <c r="H46" s="294">
        <f t="shared" si="9"/>
        <v>-3595.3553402442453</v>
      </c>
      <c r="I46" s="168">
        <f t="shared" si="7"/>
        <v>38</v>
      </c>
      <c r="J46" s="290"/>
    </row>
    <row r="47" spans="1:10" x14ac:dyDescent="0.3">
      <c r="A47" s="168">
        <f t="shared" si="6"/>
        <v>39</v>
      </c>
      <c r="B47" s="279" t="s">
        <v>957</v>
      </c>
      <c r="C47" s="289">
        <v>2022</v>
      </c>
      <c r="D47" s="170"/>
      <c r="E47" s="281">
        <v>3.0999999999999999E-3</v>
      </c>
      <c r="F47" s="293">
        <f t="shared" si="3"/>
        <v>-3595.3553402442453</v>
      </c>
      <c r="G47" s="282">
        <f t="shared" si="10"/>
        <v>-11.14560155475716</v>
      </c>
      <c r="H47" s="294">
        <f t="shared" si="9"/>
        <v>-3606.5009417990027</v>
      </c>
      <c r="I47" s="168">
        <f t="shared" si="7"/>
        <v>39</v>
      </c>
      <c r="J47" s="290"/>
    </row>
    <row r="48" spans="1:10" x14ac:dyDescent="0.3">
      <c r="A48" s="168">
        <f t="shared" si="6"/>
        <v>40</v>
      </c>
      <c r="B48" s="279" t="s">
        <v>958</v>
      </c>
      <c r="C48" s="289">
        <v>2022</v>
      </c>
      <c r="D48" s="170"/>
      <c r="E48" s="281">
        <v>3.0000000000000001E-3</v>
      </c>
      <c r="F48" s="293">
        <f t="shared" si="3"/>
        <v>-3606.5009417990027</v>
      </c>
      <c r="G48" s="282">
        <f t="shared" si="10"/>
        <v>-10.819502825397008</v>
      </c>
      <c r="H48" s="294">
        <f t="shared" si="9"/>
        <v>-3617.3204446243999</v>
      </c>
      <c r="I48" s="168">
        <f t="shared" si="7"/>
        <v>40</v>
      </c>
      <c r="J48" s="290"/>
    </row>
    <row r="49" spans="1:10" x14ac:dyDescent="0.3">
      <c r="A49" s="168">
        <f t="shared" si="6"/>
        <v>41</v>
      </c>
      <c r="B49" s="279" t="s">
        <v>959</v>
      </c>
      <c r="C49" s="289">
        <v>2022</v>
      </c>
      <c r="D49" s="170"/>
      <c r="E49" s="281">
        <v>4.1999999999999997E-3</v>
      </c>
      <c r="F49" s="293">
        <f t="shared" si="3"/>
        <v>-3617.3204446243999</v>
      </c>
      <c r="G49" s="282">
        <f t="shared" si="10"/>
        <v>-15.192745867422479</v>
      </c>
      <c r="H49" s="294">
        <f t="shared" si="9"/>
        <v>-3632.5131904918226</v>
      </c>
      <c r="I49" s="168">
        <f t="shared" si="7"/>
        <v>41</v>
      </c>
      <c r="J49" s="290"/>
    </row>
    <row r="50" spans="1:10" x14ac:dyDescent="0.3">
      <c r="A50" s="168">
        <f t="shared" si="6"/>
        <v>42</v>
      </c>
      <c r="B50" s="279" t="s">
        <v>960</v>
      </c>
      <c r="C50" s="289">
        <v>2022</v>
      </c>
      <c r="D50" s="170"/>
      <c r="E50" s="281">
        <v>4.0000000000000001E-3</v>
      </c>
      <c r="F50" s="293">
        <f t="shared" si="3"/>
        <v>-3632.5131904918226</v>
      </c>
      <c r="G50" s="282">
        <f t="shared" si="10"/>
        <v>-14.530052761967291</v>
      </c>
      <c r="H50" s="294">
        <f t="shared" si="9"/>
        <v>-3647.04324325379</v>
      </c>
      <c r="I50" s="168">
        <f t="shared" si="7"/>
        <v>42</v>
      </c>
      <c r="J50" s="290"/>
    </row>
    <row r="51" spans="1:10" x14ac:dyDescent="0.3">
      <c r="A51" s="168">
        <f t="shared" si="6"/>
        <v>43</v>
      </c>
      <c r="B51" s="284" t="s">
        <v>961</v>
      </c>
      <c r="C51" s="291">
        <v>2022</v>
      </c>
      <c r="D51" s="285"/>
      <c r="E51" s="286">
        <v>4.1999999999999997E-3</v>
      </c>
      <c r="F51" s="287">
        <f t="shared" si="3"/>
        <v>-3647.04324325379</v>
      </c>
      <c r="G51" s="288">
        <f t="shared" si="10"/>
        <v>-15.317581621665918</v>
      </c>
      <c r="H51" s="292">
        <f t="shared" si="9"/>
        <v>-3662.3608248754558</v>
      </c>
      <c r="I51" s="168">
        <f t="shared" si="7"/>
        <v>43</v>
      </c>
      <c r="J51" s="290"/>
    </row>
    <row r="52" spans="1:10" ht="16.2" thickBot="1" x14ac:dyDescent="0.35">
      <c r="A52" s="168">
        <f t="shared" si="6"/>
        <v>44</v>
      </c>
      <c r="D52" s="339">
        <f>SUM(D16:D51)</f>
        <v>-3349.4009603707823</v>
      </c>
      <c r="E52" s="295"/>
      <c r="F52" s="296"/>
      <c r="G52" s="340">
        <f>SUM(G16:G51)</f>
        <v>-312.95986450467245</v>
      </c>
      <c r="H52" s="297"/>
      <c r="I52" s="168">
        <f t="shared" si="7"/>
        <v>44</v>
      </c>
    </row>
    <row r="53" spans="1:10" ht="16.2" thickTop="1" x14ac:dyDescent="0.3">
      <c r="D53" s="298"/>
      <c r="E53" s="298"/>
      <c r="F53" s="298"/>
      <c r="G53" s="299"/>
      <c r="H53" s="299"/>
    </row>
    <row r="54" spans="1:10" ht="18" x14ac:dyDescent="0.3">
      <c r="A54" s="300">
        <v>1</v>
      </c>
      <c r="B54" s="195" t="s">
        <v>962</v>
      </c>
      <c r="C54" s="301"/>
    </row>
    <row r="55" spans="1:10" ht="18" x14ac:dyDescent="0.3">
      <c r="A55" s="300">
        <v>2</v>
      </c>
      <c r="B55" s="195" t="s">
        <v>963</v>
      </c>
    </row>
    <row r="56" spans="1:10" ht="18" x14ac:dyDescent="0.3">
      <c r="A56" s="300">
        <v>3</v>
      </c>
      <c r="B56" s="195" t="s">
        <v>964</v>
      </c>
    </row>
    <row r="57" spans="1:10" x14ac:dyDescent="0.3">
      <c r="B57" s="195" t="s">
        <v>965</v>
      </c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5" header="0.25" footer="0.25"/>
  <pageSetup scale="67" orientation="portrait" horizontalDpi="200" verticalDpi="200" r:id="rId1"/>
  <headerFooter scaleWithDoc="0" alignWithMargins="0">
    <oddFooter>&amp;CPage 16&amp;R&amp;F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CFA8-EB9B-4430-A3D3-87FEFA6160D9}">
  <sheetPr codeName="Sheet5"/>
  <dimension ref="A1:J193"/>
  <sheetViews>
    <sheetView zoomScale="80" zoomScaleNormal="80" workbookViewId="0"/>
  </sheetViews>
  <sheetFormatPr defaultColWidth="9.109375" defaultRowHeight="15.6" x14ac:dyDescent="0.3"/>
  <cols>
    <col min="1" max="1" width="5.109375" style="27" customWidth="1"/>
    <col min="2" max="2" width="86.109375" style="27" customWidth="1"/>
    <col min="3" max="3" width="10.44140625" style="27" customWidth="1"/>
    <col min="4" max="4" width="1.5546875" style="27" customWidth="1"/>
    <col min="5" max="5" width="16.88671875" style="27" customWidth="1"/>
    <col min="6" max="6" width="1.5546875" style="27" customWidth="1"/>
    <col min="7" max="7" width="51.44140625" style="27" customWidth="1"/>
    <col min="8" max="8" width="5.109375" style="28" customWidth="1"/>
    <col min="9" max="9" width="22.44140625" style="27" customWidth="1"/>
    <col min="10" max="10" width="20.109375" style="27" bestFit="1" customWidth="1"/>
    <col min="11" max="16384" width="9.109375" style="27"/>
  </cols>
  <sheetData>
    <row r="1" spans="1:10" x14ac:dyDescent="0.3">
      <c r="A1" s="556" t="s">
        <v>283</v>
      </c>
    </row>
    <row r="3" spans="1:10" x14ac:dyDescent="0.3">
      <c r="A3" s="28"/>
      <c r="B3" s="854" t="s">
        <v>217</v>
      </c>
      <c r="C3" s="855"/>
      <c r="D3" s="855"/>
      <c r="E3" s="855"/>
      <c r="F3" s="855"/>
      <c r="G3" s="855"/>
    </row>
    <row r="4" spans="1:10" x14ac:dyDescent="0.3">
      <c r="A4" s="28" t="s">
        <v>26</v>
      </c>
      <c r="B4" s="854" t="s">
        <v>218</v>
      </c>
      <c r="C4" s="855"/>
      <c r="D4" s="855"/>
      <c r="E4" s="855"/>
      <c r="F4" s="855"/>
      <c r="G4" s="855"/>
    </row>
    <row r="5" spans="1:10" ht="18" x14ac:dyDescent="0.3">
      <c r="A5" s="28"/>
      <c r="B5" s="854" t="s">
        <v>219</v>
      </c>
      <c r="C5" s="856"/>
      <c r="D5" s="856"/>
      <c r="E5" s="856"/>
      <c r="F5" s="856"/>
      <c r="G5" s="856"/>
    </row>
    <row r="6" spans="1:10" x14ac:dyDescent="0.3">
      <c r="A6" s="28"/>
      <c r="B6" s="857" t="s">
        <v>220</v>
      </c>
      <c r="C6" s="857"/>
      <c r="D6" s="857"/>
      <c r="E6" s="857"/>
      <c r="F6" s="857"/>
      <c r="G6" s="857"/>
    </row>
    <row r="7" spans="1:10" x14ac:dyDescent="0.3">
      <c r="A7" s="28"/>
      <c r="B7" s="858" t="s">
        <v>3</v>
      </c>
      <c r="C7" s="855"/>
      <c r="D7" s="855"/>
      <c r="E7" s="855"/>
      <c r="F7" s="855"/>
      <c r="G7" s="855"/>
    </row>
    <row r="8" spans="1:10" x14ac:dyDescent="0.3">
      <c r="A8" s="28"/>
      <c r="B8" s="102"/>
      <c r="C8" s="97"/>
      <c r="D8" s="97"/>
      <c r="E8" s="97"/>
      <c r="F8" s="97"/>
      <c r="G8" s="97"/>
    </row>
    <row r="9" spans="1:10" x14ac:dyDescent="0.3">
      <c r="A9" s="28" t="s">
        <v>4</v>
      </c>
      <c r="E9" s="103"/>
      <c r="G9" s="28"/>
      <c r="H9" s="28" t="s">
        <v>4</v>
      </c>
    </row>
    <row r="10" spans="1:10" ht="15.75" customHeight="1" x14ac:dyDescent="0.3">
      <c r="A10" s="105" t="s">
        <v>8</v>
      </c>
      <c r="B10" s="97" t="s">
        <v>26</v>
      </c>
      <c r="E10" s="104" t="s">
        <v>6</v>
      </c>
      <c r="G10" s="105" t="s">
        <v>7</v>
      </c>
      <c r="H10" s="105" t="s">
        <v>8</v>
      </c>
    </row>
    <row r="11" spans="1:10" x14ac:dyDescent="0.3">
      <c r="A11" s="106"/>
      <c r="B11" s="44" t="s">
        <v>38</v>
      </c>
      <c r="E11" s="107"/>
      <c r="G11" s="28"/>
      <c r="H11" s="106"/>
    </row>
    <row r="12" spans="1:10" x14ac:dyDescent="0.3">
      <c r="A12" s="28">
        <v>1</v>
      </c>
      <c r="B12" s="32" t="s">
        <v>39</v>
      </c>
      <c r="C12" s="108"/>
      <c r="D12" s="108"/>
      <c r="E12" s="167">
        <v>95535.541019356009</v>
      </c>
      <c r="G12" s="28" t="s">
        <v>284</v>
      </c>
      <c r="H12" s="28">
        <f>A12</f>
        <v>1</v>
      </c>
      <c r="I12" s="109"/>
    </row>
    <row r="13" spans="1:10" x14ac:dyDescent="0.3">
      <c r="A13" s="28">
        <f t="shared" ref="A13:A41" si="0">A12+1</f>
        <v>2</v>
      </c>
      <c r="B13" s="32" t="s">
        <v>26</v>
      </c>
      <c r="C13" s="108"/>
      <c r="D13" s="108"/>
      <c r="E13" s="111" t="s">
        <v>26</v>
      </c>
      <c r="G13" s="28"/>
      <c r="H13" s="28">
        <f t="shared" ref="H13:H41" si="1">H12+1</f>
        <v>2</v>
      </c>
      <c r="I13" s="109"/>
    </row>
    <row r="14" spans="1:10" x14ac:dyDescent="0.3">
      <c r="A14" s="28">
        <f t="shared" si="0"/>
        <v>3</v>
      </c>
      <c r="B14" s="32" t="s">
        <v>41</v>
      </c>
      <c r="C14" s="108"/>
      <c r="D14" s="108"/>
      <c r="E14" s="120">
        <v>81368.446559515098</v>
      </c>
      <c r="F14" s="97"/>
      <c r="G14" s="28" t="s">
        <v>285</v>
      </c>
      <c r="H14" s="28">
        <f t="shared" si="1"/>
        <v>3</v>
      </c>
      <c r="I14" s="109"/>
    </row>
    <row r="15" spans="1:10" x14ac:dyDescent="0.3">
      <c r="A15" s="28">
        <f t="shared" si="0"/>
        <v>4</v>
      </c>
      <c r="B15" s="32"/>
      <c r="C15" s="108"/>
      <c r="D15" s="108"/>
      <c r="E15" s="111"/>
      <c r="F15" s="97"/>
      <c r="G15" s="28"/>
      <c r="H15" s="28">
        <f t="shared" si="1"/>
        <v>4</v>
      </c>
      <c r="J15" s="112"/>
    </row>
    <row r="16" spans="1:10" x14ac:dyDescent="0.3">
      <c r="A16" s="28">
        <f t="shared" si="0"/>
        <v>5</v>
      </c>
      <c r="B16" s="32" t="s">
        <v>44</v>
      </c>
      <c r="C16" s="108"/>
      <c r="D16" s="108"/>
      <c r="E16" s="113">
        <v>0</v>
      </c>
      <c r="G16" s="28" t="s">
        <v>286</v>
      </c>
      <c r="H16" s="28">
        <f t="shared" si="1"/>
        <v>5</v>
      </c>
      <c r="J16" s="112"/>
    </row>
    <row r="17" spans="1:10" x14ac:dyDescent="0.3">
      <c r="A17" s="28">
        <f t="shared" si="0"/>
        <v>6</v>
      </c>
      <c r="B17" s="32" t="s">
        <v>46</v>
      </c>
      <c r="C17" s="108"/>
      <c r="D17" s="108"/>
      <c r="E17" s="127">
        <f>E12+E14+E16</f>
        <v>176903.98757887111</v>
      </c>
      <c r="F17" s="97"/>
      <c r="G17" s="28" t="s">
        <v>47</v>
      </c>
      <c r="H17" s="28">
        <f t="shared" si="1"/>
        <v>6</v>
      </c>
      <c r="I17" s="114"/>
      <c r="J17" s="112"/>
    </row>
    <row r="18" spans="1:10" x14ac:dyDescent="0.3">
      <c r="A18" s="28">
        <f t="shared" si="0"/>
        <v>7</v>
      </c>
      <c r="E18" s="115"/>
      <c r="G18" s="28"/>
      <c r="H18" s="28">
        <f t="shared" si="1"/>
        <v>7</v>
      </c>
    </row>
    <row r="19" spans="1:10" x14ac:dyDescent="0.3">
      <c r="A19" s="28">
        <f t="shared" si="0"/>
        <v>8</v>
      </c>
      <c r="B19" s="27" t="s">
        <v>48</v>
      </c>
      <c r="C19" s="108"/>
      <c r="D19" s="108"/>
      <c r="E19" s="116">
        <v>225950.77038593692</v>
      </c>
      <c r="F19" s="117"/>
      <c r="G19" s="28" t="s">
        <v>224</v>
      </c>
      <c r="H19" s="28">
        <f t="shared" si="1"/>
        <v>8</v>
      </c>
    </row>
    <row r="20" spans="1:10" x14ac:dyDescent="0.3">
      <c r="A20" s="28">
        <f t="shared" si="0"/>
        <v>9</v>
      </c>
      <c r="E20" s="118" t="s">
        <v>26</v>
      </c>
      <c r="G20" s="28"/>
      <c r="H20" s="28">
        <f t="shared" si="1"/>
        <v>9</v>
      </c>
    </row>
    <row r="21" spans="1:10" ht="18" x14ac:dyDescent="0.3">
      <c r="A21" s="28">
        <f t="shared" si="0"/>
        <v>10</v>
      </c>
      <c r="B21" s="27" t="s">
        <v>50</v>
      </c>
      <c r="E21" s="119">
        <v>0</v>
      </c>
      <c r="G21" s="28" t="s">
        <v>225</v>
      </c>
      <c r="H21" s="28">
        <f t="shared" si="1"/>
        <v>10</v>
      </c>
      <c r="I21" s="109"/>
    </row>
    <row r="22" spans="1:10" x14ac:dyDescent="0.3">
      <c r="A22" s="28">
        <f t="shared" si="0"/>
        <v>11</v>
      </c>
      <c r="E22" s="118"/>
      <c r="G22" s="28"/>
      <c r="H22" s="28">
        <f t="shared" si="1"/>
        <v>11</v>
      </c>
    </row>
    <row r="23" spans="1:10" x14ac:dyDescent="0.3">
      <c r="A23" s="28">
        <f t="shared" si="0"/>
        <v>12</v>
      </c>
      <c r="B23" s="27" t="s">
        <v>52</v>
      </c>
      <c r="C23" s="108"/>
      <c r="D23" s="108"/>
      <c r="E23" s="120">
        <v>57780.481143755853</v>
      </c>
      <c r="F23" s="97"/>
      <c r="G23" s="28" t="s">
        <v>226</v>
      </c>
      <c r="H23" s="28">
        <f t="shared" si="1"/>
        <v>12</v>
      </c>
      <c r="I23" s="109"/>
    </row>
    <row r="24" spans="1:10" x14ac:dyDescent="0.3">
      <c r="A24" s="28">
        <f t="shared" si="0"/>
        <v>13</v>
      </c>
      <c r="B24" s="32"/>
      <c r="C24" s="108"/>
      <c r="D24" s="108"/>
      <c r="E24" s="121"/>
      <c r="G24" s="28"/>
      <c r="H24" s="28">
        <f t="shared" si="1"/>
        <v>13</v>
      </c>
    </row>
    <row r="25" spans="1:10" x14ac:dyDescent="0.3">
      <c r="A25" s="28">
        <f t="shared" si="0"/>
        <v>14</v>
      </c>
      <c r="B25" s="27" t="s">
        <v>54</v>
      </c>
      <c r="C25" s="108"/>
      <c r="D25" s="108"/>
      <c r="E25" s="122">
        <v>3104.6015779338113</v>
      </c>
      <c r="F25" s="97"/>
      <c r="G25" s="28" t="s">
        <v>227</v>
      </c>
      <c r="H25" s="28">
        <f t="shared" si="1"/>
        <v>14</v>
      </c>
      <c r="I25" s="109"/>
    </row>
    <row r="26" spans="1:10" x14ac:dyDescent="0.3">
      <c r="A26" s="28">
        <f t="shared" si="0"/>
        <v>15</v>
      </c>
      <c r="B26" s="32" t="s">
        <v>56</v>
      </c>
      <c r="C26" s="108"/>
      <c r="D26" s="108"/>
      <c r="E26" s="53">
        <f>SUM(E17+E19+E21+E23+E25)</f>
        <v>463739.84068649769</v>
      </c>
      <c r="F26" s="97"/>
      <c r="G26" s="28" t="s">
        <v>57</v>
      </c>
      <c r="H26" s="28">
        <f t="shared" si="1"/>
        <v>15</v>
      </c>
    </row>
    <row r="27" spans="1:10" x14ac:dyDescent="0.3">
      <c r="A27" s="28">
        <f t="shared" si="0"/>
        <v>16</v>
      </c>
      <c r="B27" s="32"/>
      <c r="C27" s="108"/>
      <c r="D27" s="108"/>
      <c r="E27" s="123"/>
      <c r="G27" s="28"/>
      <c r="H27" s="28">
        <f t="shared" si="1"/>
        <v>16</v>
      </c>
    </row>
    <row r="28" spans="1:10" ht="18" x14ac:dyDescent="0.3">
      <c r="A28" s="28">
        <f t="shared" si="0"/>
        <v>17</v>
      </c>
      <c r="B28" s="32" t="s">
        <v>58</v>
      </c>
      <c r="C28" s="108"/>
      <c r="D28" s="108"/>
      <c r="E28" s="124">
        <f>'Pg12 As Filed Stmt AV'!G148</f>
        <v>9.6007908353307039E-2</v>
      </c>
      <c r="G28" s="28" t="s">
        <v>287</v>
      </c>
      <c r="H28" s="28">
        <f t="shared" si="1"/>
        <v>17</v>
      </c>
    </row>
    <row r="29" spans="1:10" x14ac:dyDescent="0.3">
      <c r="A29" s="28">
        <f t="shared" si="0"/>
        <v>18</v>
      </c>
      <c r="B29" s="32" t="s">
        <v>60</v>
      </c>
      <c r="C29" s="108"/>
      <c r="D29" s="108"/>
      <c r="E29" s="135">
        <f>E135</f>
        <v>4601951.905053095</v>
      </c>
      <c r="G29" s="28" t="s">
        <v>229</v>
      </c>
      <c r="H29" s="28">
        <f t="shared" si="1"/>
        <v>18</v>
      </c>
    </row>
    <row r="30" spans="1:10" x14ac:dyDescent="0.3">
      <c r="A30" s="28">
        <f t="shared" si="0"/>
        <v>19</v>
      </c>
      <c r="B30" s="27" t="s">
        <v>62</v>
      </c>
      <c r="C30" s="108"/>
      <c r="D30" s="108"/>
      <c r="E30" s="147">
        <f>E29*E28</f>
        <v>441823.77674666425</v>
      </c>
      <c r="G30" s="28" t="s">
        <v>63</v>
      </c>
      <c r="H30" s="28">
        <f t="shared" si="1"/>
        <v>19</v>
      </c>
    </row>
    <row r="31" spans="1:10" x14ac:dyDescent="0.3">
      <c r="A31" s="28">
        <f t="shared" si="0"/>
        <v>20</v>
      </c>
      <c r="C31" s="108"/>
      <c r="D31" s="108"/>
      <c r="E31" s="123"/>
      <c r="G31" s="28"/>
      <c r="H31" s="28">
        <f t="shared" si="1"/>
        <v>20</v>
      </c>
    </row>
    <row r="32" spans="1:10" ht="18" x14ac:dyDescent="0.3">
      <c r="A32" s="28">
        <f t="shared" si="0"/>
        <v>21</v>
      </c>
      <c r="B32" s="32" t="s">
        <v>64</v>
      </c>
      <c r="C32" s="108"/>
      <c r="D32" s="111"/>
      <c r="E32" s="124">
        <f>'Pg12 As Filed Stmt AV'!G181</f>
        <v>3.8994570343371454E-3</v>
      </c>
      <c r="F32" s="97"/>
      <c r="G32" s="28" t="s">
        <v>230</v>
      </c>
      <c r="H32" s="28">
        <f t="shared" si="1"/>
        <v>21</v>
      </c>
      <c r="I32" s="109"/>
    </row>
    <row r="33" spans="1:9" x14ac:dyDescent="0.3">
      <c r="A33" s="28">
        <f t="shared" si="0"/>
        <v>22</v>
      </c>
      <c r="B33" s="32" t="s">
        <v>60</v>
      </c>
      <c r="C33" s="108"/>
      <c r="D33" s="108"/>
      <c r="E33" s="135">
        <f>E135-E118</f>
        <v>4601951.905053095</v>
      </c>
      <c r="F33" s="97"/>
      <c r="G33" s="28" t="s">
        <v>231</v>
      </c>
      <c r="H33" s="28">
        <f t="shared" si="1"/>
        <v>22</v>
      </c>
    </row>
    <row r="34" spans="1:9" x14ac:dyDescent="0.3">
      <c r="A34" s="28">
        <f t="shared" si="0"/>
        <v>23</v>
      </c>
      <c r="B34" s="27" t="s">
        <v>67</v>
      </c>
      <c r="E34" s="147">
        <f>E33*E32</f>
        <v>17945.113727840519</v>
      </c>
      <c r="F34" s="97"/>
      <c r="G34" s="28" t="s">
        <v>68</v>
      </c>
      <c r="H34" s="28">
        <f t="shared" si="1"/>
        <v>23</v>
      </c>
    </row>
    <row r="35" spans="1:9" x14ac:dyDescent="0.3">
      <c r="A35" s="28">
        <f t="shared" si="0"/>
        <v>24</v>
      </c>
      <c r="E35" s="127"/>
      <c r="G35" s="28"/>
      <c r="H35" s="28">
        <f t="shared" si="1"/>
        <v>24</v>
      </c>
    </row>
    <row r="36" spans="1:9" x14ac:dyDescent="0.3">
      <c r="A36" s="28">
        <f t="shared" si="0"/>
        <v>25</v>
      </c>
      <c r="B36" s="27" t="s">
        <v>69</v>
      </c>
      <c r="E36" s="128">
        <v>1304.0991895338727</v>
      </c>
      <c r="G36" s="28" t="s">
        <v>232</v>
      </c>
      <c r="H36" s="28">
        <f t="shared" si="1"/>
        <v>25</v>
      </c>
      <c r="I36" s="109"/>
    </row>
    <row r="37" spans="1:9" x14ac:dyDescent="0.3">
      <c r="A37" s="28">
        <f t="shared" si="0"/>
        <v>26</v>
      </c>
      <c r="B37" s="27" t="s">
        <v>71</v>
      </c>
      <c r="E37" s="129">
        <v>-4344.3500000000004</v>
      </c>
      <c r="F37" s="97"/>
      <c r="G37" s="28" t="s">
        <v>288</v>
      </c>
      <c r="H37" s="28">
        <f t="shared" si="1"/>
        <v>26</v>
      </c>
      <c r="I37" s="109"/>
    </row>
    <row r="38" spans="1:9" x14ac:dyDescent="0.3">
      <c r="A38" s="28">
        <f t="shared" si="0"/>
        <v>27</v>
      </c>
      <c r="B38" s="27" t="s">
        <v>73</v>
      </c>
      <c r="E38" s="130">
        <v>0</v>
      </c>
      <c r="G38" s="28" t="s">
        <v>234</v>
      </c>
      <c r="H38" s="28">
        <f t="shared" si="1"/>
        <v>27</v>
      </c>
    </row>
    <row r="39" spans="1:9" x14ac:dyDescent="0.3">
      <c r="A39" s="28">
        <f t="shared" si="0"/>
        <v>28</v>
      </c>
      <c r="B39" s="37" t="s">
        <v>75</v>
      </c>
      <c r="E39" s="131">
        <v>0</v>
      </c>
      <c r="G39" s="28" t="s">
        <v>235</v>
      </c>
      <c r="H39" s="28">
        <f t="shared" si="1"/>
        <v>28</v>
      </c>
      <c r="I39" s="109"/>
    </row>
    <row r="40" spans="1:9" x14ac:dyDescent="0.3">
      <c r="A40" s="28">
        <f t="shared" si="0"/>
        <v>29</v>
      </c>
      <c r="E40" s="118" t="s">
        <v>26</v>
      </c>
      <c r="G40" s="28"/>
      <c r="H40" s="28">
        <f t="shared" si="1"/>
        <v>29</v>
      </c>
      <c r="I40" s="109"/>
    </row>
    <row r="41" spans="1:9" ht="18.600000000000001" thickBot="1" x14ac:dyDescent="0.35">
      <c r="A41" s="28">
        <f t="shared" si="0"/>
        <v>30</v>
      </c>
      <c r="B41" s="27" t="s">
        <v>77</v>
      </c>
      <c r="C41" s="108"/>
      <c r="D41" s="108"/>
      <c r="E41" s="65">
        <f>E30+E34+E26+SUM(E36:E39)</f>
        <v>920468.48035053641</v>
      </c>
      <c r="F41" s="97"/>
      <c r="G41" s="28" t="s">
        <v>78</v>
      </c>
      <c r="H41" s="28">
        <f t="shared" si="1"/>
        <v>30</v>
      </c>
      <c r="I41" s="109"/>
    </row>
    <row r="42" spans="1:9" ht="16.2" thickTop="1" x14ac:dyDescent="0.3">
      <c r="A42" s="106"/>
      <c r="C42" s="108"/>
      <c r="D42" s="108"/>
      <c r="E42" s="132"/>
      <c r="F42" s="97"/>
      <c r="G42" s="106"/>
      <c r="H42" s="106"/>
      <c r="I42" s="109"/>
    </row>
    <row r="43" spans="1:9" ht="18" x14ac:dyDescent="0.3">
      <c r="A43" s="43">
        <v>1</v>
      </c>
      <c r="B43" s="27" t="s">
        <v>81</v>
      </c>
      <c r="C43" s="108"/>
      <c r="D43" s="108"/>
      <c r="E43" s="132"/>
      <c r="F43" s="97"/>
      <c r="G43" s="106"/>
      <c r="H43" s="106"/>
      <c r="I43" s="109"/>
    </row>
    <row r="44" spans="1:9" ht="18" x14ac:dyDescent="0.3">
      <c r="A44" s="43"/>
      <c r="C44" s="108"/>
      <c r="D44" s="108"/>
      <c r="E44" s="132"/>
      <c r="F44" s="97"/>
      <c r="G44" s="106"/>
      <c r="H44" s="106"/>
      <c r="I44" s="109"/>
    </row>
    <row r="45" spans="1:9" x14ac:dyDescent="0.3">
      <c r="A45" s="106"/>
      <c r="C45" s="108"/>
      <c r="D45" s="108"/>
      <c r="E45" s="132"/>
      <c r="F45" s="97"/>
      <c r="G45" s="106"/>
      <c r="H45" s="106"/>
      <c r="I45" s="109"/>
    </row>
    <row r="46" spans="1:9" x14ac:dyDescent="0.3">
      <c r="A46" s="106"/>
      <c r="B46" s="854" t="s">
        <v>217</v>
      </c>
      <c r="C46" s="855"/>
      <c r="D46" s="855"/>
      <c r="E46" s="855"/>
      <c r="F46" s="855"/>
      <c r="G46" s="855"/>
      <c r="H46" s="106"/>
      <c r="I46" s="109"/>
    </row>
    <row r="47" spans="1:9" x14ac:dyDescent="0.3">
      <c r="A47" s="106"/>
      <c r="B47" s="854" t="s">
        <v>218</v>
      </c>
      <c r="C47" s="855"/>
      <c r="D47" s="855"/>
      <c r="E47" s="855"/>
      <c r="F47" s="855"/>
      <c r="G47" s="855"/>
      <c r="H47" s="106"/>
      <c r="I47" s="109"/>
    </row>
    <row r="48" spans="1:9" ht="18" x14ac:dyDescent="0.3">
      <c r="A48" s="106"/>
      <c r="B48" s="854" t="s">
        <v>219</v>
      </c>
      <c r="C48" s="856"/>
      <c r="D48" s="856"/>
      <c r="E48" s="856"/>
      <c r="F48" s="856"/>
      <c r="G48" s="856"/>
      <c r="H48" s="106"/>
      <c r="I48" s="109"/>
    </row>
    <row r="49" spans="1:9" x14ac:dyDescent="0.3">
      <c r="A49" s="106"/>
      <c r="B49" s="859" t="str">
        <f>B6</f>
        <v>For the Base Period &amp; True-Up Period Ending December 31, 2020</v>
      </c>
      <c r="C49" s="860"/>
      <c r="D49" s="860"/>
      <c r="E49" s="860"/>
      <c r="F49" s="860"/>
      <c r="G49" s="860"/>
      <c r="H49" s="106"/>
      <c r="I49" s="109"/>
    </row>
    <row r="50" spans="1:9" x14ac:dyDescent="0.3">
      <c r="A50" s="106"/>
      <c r="B50" s="858" t="s">
        <v>3</v>
      </c>
      <c r="C50" s="855"/>
      <c r="D50" s="855"/>
      <c r="E50" s="855"/>
      <c r="F50" s="855"/>
      <c r="G50" s="855"/>
      <c r="H50" s="106"/>
      <c r="I50" s="109"/>
    </row>
    <row r="51" spans="1:9" x14ac:dyDescent="0.3">
      <c r="A51" s="106"/>
      <c r="C51" s="108"/>
      <c r="D51" s="108"/>
      <c r="E51" s="132"/>
      <c r="F51" s="97"/>
      <c r="G51" s="106"/>
      <c r="H51" s="106"/>
      <c r="I51" s="109"/>
    </row>
    <row r="52" spans="1:9" x14ac:dyDescent="0.3">
      <c r="A52" s="28" t="s">
        <v>4</v>
      </c>
      <c r="E52" s="103"/>
      <c r="G52" s="28"/>
      <c r="H52" s="28" t="s">
        <v>4</v>
      </c>
      <c r="I52" s="109"/>
    </row>
    <row r="53" spans="1:9" x14ac:dyDescent="0.3">
      <c r="A53" s="28" t="s">
        <v>8</v>
      </c>
      <c r="B53" s="97" t="s">
        <v>26</v>
      </c>
      <c r="E53" s="104" t="s">
        <v>6</v>
      </c>
      <c r="G53" s="105" t="s">
        <v>7</v>
      </c>
      <c r="H53" s="28" t="s">
        <v>8</v>
      </c>
      <c r="I53" s="109"/>
    </row>
    <row r="54" spans="1:9" ht="18" x14ac:dyDescent="0.3">
      <c r="A54" s="106"/>
      <c r="B54" s="44" t="s">
        <v>83</v>
      </c>
      <c r="E54" s="28"/>
      <c r="G54" s="28"/>
      <c r="H54" s="106"/>
      <c r="I54" s="109"/>
    </row>
    <row r="55" spans="1:9" x14ac:dyDescent="0.3">
      <c r="A55" s="28">
        <v>1</v>
      </c>
      <c r="B55" s="32" t="s">
        <v>84</v>
      </c>
      <c r="C55" s="108"/>
      <c r="D55" s="108"/>
      <c r="E55" s="133">
        <v>0</v>
      </c>
      <c r="G55" s="28" t="s">
        <v>236</v>
      </c>
      <c r="H55" s="28">
        <f>A55</f>
        <v>1</v>
      </c>
      <c r="I55" s="109"/>
    </row>
    <row r="56" spans="1:9" x14ac:dyDescent="0.3">
      <c r="A56" s="28">
        <f t="shared" ref="A56:A93" si="2">A55+1</f>
        <v>2</v>
      </c>
      <c r="B56" s="32"/>
      <c r="C56" s="108"/>
      <c r="D56" s="108"/>
      <c r="E56" s="60"/>
      <c r="G56" s="28"/>
      <c r="H56" s="28">
        <f t="shared" ref="H56:H93" si="3">H55+1</f>
        <v>2</v>
      </c>
    </row>
    <row r="57" spans="1:9" ht="18" x14ac:dyDescent="0.3">
      <c r="A57" s="28">
        <f t="shared" si="2"/>
        <v>3</v>
      </c>
      <c r="B57" s="32" t="s">
        <v>86</v>
      </c>
      <c r="C57" s="108"/>
      <c r="D57" s="108"/>
      <c r="E57" s="124">
        <f>'Pg12 As Filed Stmt AV'!G223</f>
        <v>1.7368511652018213E-2</v>
      </c>
      <c r="F57" s="134"/>
      <c r="G57" s="28" t="s">
        <v>237</v>
      </c>
      <c r="H57" s="28">
        <f t="shared" si="3"/>
        <v>3</v>
      </c>
    </row>
    <row r="58" spans="1:9" x14ac:dyDescent="0.3">
      <c r="A58" s="28">
        <f t="shared" si="2"/>
        <v>4</v>
      </c>
      <c r="B58" s="27" t="s">
        <v>88</v>
      </c>
      <c r="C58" s="108"/>
      <c r="D58" s="108"/>
      <c r="E58" s="135">
        <f>E140</f>
        <v>0</v>
      </c>
      <c r="G58" s="28" t="s">
        <v>238</v>
      </c>
      <c r="H58" s="28">
        <f t="shared" si="3"/>
        <v>4</v>
      </c>
    </row>
    <row r="59" spans="1:9" x14ac:dyDescent="0.3">
      <c r="A59" s="28">
        <f t="shared" si="2"/>
        <v>5</v>
      </c>
      <c r="B59" s="27" t="s">
        <v>90</v>
      </c>
      <c r="E59" s="48">
        <f>E58*E57</f>
        <v>0</v>
      </c>
      <c r="G59" s="28" t="s">
        <v>91</v>
      </c>
      <c r="H59" s="28">
        <f t="shared" si="3"/>
        <v>5</v>
      </c>
    </row>
    <row r="60" spans="1:9" x14ac:dyDescent="0.3">
      <c r="A60" s="28">
        <f t="shared" si="2"/>
        <v>6</v>
      </c>
      <c r="E60" s="49"/>
      <c r="G60" s="28"/>
      <c r="H60" s="28">
        <f t="shared" si="3"/>
        <v>6</v>
      </c>
    </row>
    <row r="61" spans="1:9" ht="18" x14ac:dyDescent="0.3">
      <c r="A61" s="28">
        <f t="shared" si="2"/>
        <v>7</v>
      </c>
      <c r="B61" s="32" t="s">
        <v>64</v>
      </c>
      <c r="E61" s="124">
        <f>'Pg12 As Filed Stmt AV'!G256</f>
        <v>0</v>
      </c>
      <c r="G61" s="28" t="s">
        <v>239</v>
      </c>
      <c r="H61" s="28">
        <f t="shared" si="3"/>
        <v>7</v>
      </c>
    </row>
    <row r="62" spans="1:9" x14ac:dyDescent="0.3">
      <c r="A62" s="28">
        <f t="shared" si="2"/>
        <v>8</v>
      </c>
      <c r="B62" s="27" t="s">
        <v>88</v>
      </c>
      <c r="E62" s="135">
        <f>E140</f>
        <v>0</v>
      </c>
      <c r="G62" s="28" t="s">
        <v>238</v>
      </c>
      <c r="H62" s="28">
        <f t="shared" si="3"/>
        <v>8</v>
      </c>
    </row>
    <row r="63" spans="1:9" x14ac:dyDescent="0.3">
      <c r="A63" s="28">
        <f t="shared" si="2"/>
        <v>9</v>
      </c>
      <c r="B63" s="27" t="s">
        <v>67</v>
      </c>
      <c r="E63" s="48">
        <f>E62*E61</f>
        <v>0</v>
      </c>
      <c r="G63" s="28" t="s">
        <v>94</v>
      </c>
      <c r="H63" s="28">
        <f t="shared" si="3"/>
        <v>9</v>
      </c>
    </row>
    <row r="64" spans="1:9" x14ac:dyDescent="0.3">
      <c r="A64" s="28">
        <f t="shared" si="2"/>
        <v>10</v>
      </c>
      <c r="E64" s="49"/>
      <c r="G64" s="28"/>
      <c r="H64" s="28">
        <f t="shared" si="3"/>
        <v>10</v>
      </c>
    </row>
    <row r="65" spans="1:9" ht="16.2" thickBot="1" x14ac:dyDescent="0.35">
      <c r="A65" s="28">
        <f t="shared" si="2"/>
        <v>11</v>
      </c>
      <c r="B65" s="27" t="s">
        <v>95</v>
      </c>
      <c r="E65" s="51">
        <f>E55+E59+E63</f>
        <v>0</v>
      </c>
      <c r="G65" s="28" t="s">
        <v>96</v>
      </c>
      <c r="H65" s="28">
        <f t="shared" si="3"/>
        <v>11</v>
      </c>
    </row>
    <row r="66" spans="1:9" ht="16.2" thickTop="1" x14ac:dyDescent="0.3">
      <c r="A66" s="28">
        <f t="shared" si="2"/>
        <v>12</v>
      </c>
      <c r="E66" s="53"/>
      <c r="G66" s="28"/>
      <c r="H66" s="28">
        <f t="shared" si="3"/>
        <v>12</v>
      </c>
    </row>
    <row r="67" spans="1:9" ht="18" x14ac:dyDescent="0.3">
      <c r="A67" s="28">
        <f t="shared" si="2"/>
        <v>13</v>
      </c>
      <c r="B67" s="54" t="s">
        <v>97</v>
      </c>
      <c r="E67" s="53"/>
      <c r="G67" s="28"/>
      <c r="H67" s="28">
        <f t="shared" si="3"/>
        <v>13</v>
      </c>
    </row>
    <row r="68" spans="1:9" x14ac:dyDescent="0.3">
      <c r="A68" s="28">
        <f t="shared" si="2"/>
        <v>14</v>
      </c>
      <c r="B68" s="32" t="s">
        <v>98</v>
      </c>
      <c r="E68" s="136">
        <v>0</v>
      </c>
      <c r="G68" s="28" t="s">
        <v>240</v>
      </c>
      <c r="H68" s="28">
        <f t="shared" si="3"/>
        <v>14</v>
      </c>
    </row>
    <row r="69" spans="1:9" x14ac:dyDescent="0.3">
      <c r="A69" s="28">
        <f t="shared" si="2"/>
        <v>15</v>
      </c>
      <c r="B69" s="32"/>
      <c r="E69" s="55"/>
      <c r="G69" s="28"/>
      <c r="H69" s="28">
        <f t="shared" si="3"/>
        <v>15</v>
      </c>
    </row>
    <row r="70" spans="1:9" x14ac:dyDescent="0.3">
      <c r="A70" s="28">
        <f t="shared" si="2"/>
        <v>16</v>
      </c>
      <c r="B70" s="32" t="s">
        <v>100</v>
      </c>
      <c r="E70" s="136">
        <f>E145</f>
        <v>0</v>
      </c>
      <c r="G70" s="28" t="s">
        <v>241</v>
      </c>
      <c r="H70" s="28">
        <f t="shared" si="3"/>
        <v>16</v>
      </c>
    </row>
    <row r="71" spans="1:9" ht="18" x14ac:dyDescent="0.3">
      <c r="A71" s="28">
        <f t="shared" si="2"/>
        <v>17</v>
      </c>
      <c r="B71" s="32" t="s">
        <v>58</v>
      </c>
      <c r="C71" s="108"/>
      <c r="D71" s="111"/>
      <c r="E71" s="137">
        <f>'Pg12 As Filed Stmt AV'!G148</f>
        <v>9.6007908353307039E-2</v>
      </c>
      <c r="F71" s="97"/>
      <c r="G71" s="28" t="s">
        <v>287</v>
      </c>
      <c r="H71" s="28">
        <f t="shared" si="3"/>
        <v>17</v>
      </c>
    </row>
    <row r="72" spans="1:9" x14ac:dyDescent="0.3">
      <c r="A72" s="28">
        <f t="shared" si="2"/>
        <v>18</v>
      </c>
      <c r="B72" s="27" t="s">
        <v>103</v>
      </c>
      <c r="E72" s="48">
        <f>E70*E71</f>
        <v>0</v>
      </c>
      <c r="G72" s="28" t="s">
        <v>104</v>
      </c>
      <c r="H72" s="28">
        <f t="shared" si="3"/>
        <v>18</v>
      </c>
    </row>
    <row r="73" spans="1:9" x14ac:dyDescent="0.3">
      <c r="A73" s="28">
        <f t="shared" si="2"/>
        <v>19</v>
      </c>
      <c r="E73" s="49"/>
      <c r="G73" s="28"/>
      <c r="H73" s="28">
        <f t="shared" si="3"/>
        <v>19</v>
      </c>
    </row>
    <row r="74" spans="1:9" x14ac:dyDescent="0.3">
      <c r="A74" s="28">
        <f t="shared" si="2"/>
        <v>20</v>
      </c>
      <c r="B74" s="32" t="s">
        <v>100</v>
      </c>
      <c r="E74" s="136">
        <f>E145</f>
        <v>0</v>
      </c>
      <c r="G74" s="28" t="s">
        <v>241</v>
      </c>
      <c r="H74" s="28">
        <f t="shared" si="3"/>
        <v>20</v>
      </c>
    </row>
    <row r="75" spans="1:9" ht="18" x14ac:dyDescent="0.3">
      <c r="A75" s="28">
        <f t="shared" si="2"/>
        <v>21</v>
      </c>
      <c r="B75" s="32" t="s">
        <v>64</v>
      </c>
      <c r="C75" s="138"/>
      <c r="D75" s="111"/>
      <c r="E75" s="139">
        <v>0</v>
      </c>
      <c r="F75" s="97"/>
      <c r="G75" s="28" t="s">
        <v>243</v>
      </c>
      <c r="H75" s="28">
        <f t="shared" si="3"/>
        <v>21</v>
      </c>
      <c r="I75" s="138"/>
    </row>
    <row r="76" spans="1:9" x14ac:dyDescent="0.3">
      <c r="A76" s="28">
        <f t="shared" si="2"/>
        <v>22</v>
      </c>
      <c r="B76" s="27" t="s">
        <v>107</v>
      </c>
      <c r="E76" s="48">
        <f>E74*E75</f>
        <v>0</v>
      </c>
      <c r="G76" s="28" t="s">
        <v>108</v>
      </c>
      <c r="H76" s="28">
        <f t="shared" si="3"/>
        <v>22</v>
      </c>
    </row>
    <row r="77" spans="1:9" x14ac:dyDescent="0.3">
      <c r="A77" s="28">
        <f t="shared" si="2"/>
        <v>23</v>
      </c>
      <c r="E77" s="53"/>
      <c r="G77" s="28"/>
      <c r="H77" s="28">
        <f t="shared" si="3"/>
        <v>23</v>
      </c>
    </row>
    <row r="78" spans="1:9" ht="16.2" thickBot="1" x14ac:dyDescent="0.35">
      <c r="A78" s="28">
        <f t="shared" si="2"/>
        <v>24</v>
      </c>
      <c r="B78" s="27" t="s">
        <v>109</v>
      </c>
      <c r="E78" s="51">
        <f>E68+E72+E76</f>
        <v>0</v>
      </c>
      <c r="G78" s="28" t="s">
        <v>110</v>
      </c>
      <c r="H78" s="28">
        <f t="shared" si="3"/>
        <v>24</v>
      </c>
    </row>
    <row r="79" spans="1:9" ht="16.2" thickTop="1" x14ac:dyDescent="0.3">
      <c r="A79" s="28">
        <f t="shared" si="2"/>
        <v>25</v>
      </c>
      <c r="E79" s="53"/>
      <c r="G79" s="28"/>
      <c r="H79" s="28">
        <f t="shared" si="3"/>
        <v>25</v>
      </c>
    </row>
    <row r="80" spans="1:9" ht="18" x14ac:dyDescent="0.3">
      <c r="A80" s="28">
        <f t="shared" si="2"/>
        <v>26</v>
      </c>
      <c r="B80" s="54" t="s">
        <v>111</v>
      </c>
      <c r="C80" s="108"/>
      <c r="D80" s="108"/>
      <c r="E80" s="60"/>
      <c r="G80" s="28"/>
      <c r="H80" s="28">
        <f t="shared" si="3"/>
        <v>26</v>
      </c>
    </row>
    <row r="81" spans="1:8" x14ac:dyDescent="0.3">
      <c r="A81" s="28">
        <f t="shared" si="2"/>
        <v>27</v>
      </c>
      <c r="B81" s="27" t="s">
        <v>112</v>
      </c>
      <c r="C81" s="108"/>
      <c r="D81" s="108"/>
      <c r="E81" s="133">
        <f>E147</f>
        <v>0</v>
      </c>
      <c r="G81" s="28" t="s">
        <v>244</v>
      </c>
      <c r="H81" s="28">
        <f t="shared" si="3"/>
        <v>27</v>
      </c>
    </row>
    <row r="82" spans="1:8" ht="18" x14ac:dyDescent="0.3">
      <c r="A82" s="28">
        <f t="shared" si="2"/>
        <v>28</v>
      </c>
      <c r="B82" s="32" t="s">
        <v>58</v>
      </c>
      <c r="C82" s="108"/>
      <c r="D82" s="108"/>
      <c r="E82" s="140">
        <f>'Pg12 As Filed Stmt AV'!G148</f>
        <v>9.6007908353307039E-2</v>
      </c>
      <c r="F82" s="97"/>
      <c r="G82" s="28" t="s">
        <v>287</v>
      </c>
      <c r="H82" s="28">
        <f t="shared" si="3"/>
        <v>28</v>
      </c>
    </row>
    <row r="83" spans="1:8" x14ac:dyDescent="0.3">
      <c r="A83" s="28">
        <f t="shared" si="2"/>
        <v>29</v>
      </c>
      <c r="B83" s="27" t="s">
        <v>115</v>
      </c>
      <c r="C83" s="108"/>
      <c r="D83" s="108"/>
      <c r="E83" s="63">
        <f>E81*E82</f>
        <v>0</v>
      </c>
      <c r="G83" s="28" t="s">
        <v>116</v>
      </c>
      <c r="H83" s="28">
        <f t="shared" si="3"/>
        <v>29</v>
      </c>
    </row>
    <row r="84" spans="1:8" x14ac:dyDescent="0.3">
      <c r="A84" s="28">
        <f t="shared" si="2"/>
        <v>30</v>
      </c>
      <c r="C84" s="108"/>
      <c r="D84" s="108"/>
      <c r="E84" s="61"/>
      <c r="G84" s="28"/>
      <c r="H84" s="28">
        <f t="shared" si="3"/>
        <v>30</v>
      </c>
    </row>
    <row r="85" spans="1:8" x14ac:dyDescent="0.3">
      <c r="A85" s="28">
        <f t="shared" si="2"/>
        <v>31</v>
      </c>
      <c r="B85" s="27" t="s">
        <v>112</v>
      </c>
      <c r="C85" s="108"/>
      <c r="D85" s="108"/>
      <c r="E85" s="133">
        <f>E147</f>
        <v>0</v>
      </c>
      <c r="G85" s="28" t="s">
        <v>244</v>
      </c>
      <c r="H85" s="28">
        <f t="shared" si="3"/>
        <v>31</v>
      </c>
    </row>
    <row r="86" spans="1:8" ht="18" x14ac:dyDescent="0.3">
      <c r="A86" s="28">
        <f t="shared" si="2"/>
        <v>32</v>
      </c>
      <c r="B86" s="32" t="s">
        <v>64</v>
      </c>
      <c r="C86" s="108"/>
      <c r="D86" s="108"/>
      <c r="E86" s="140">
        <f>'Pg12 As Filed Stmt AV'!G181</f>
        <v>3.8994570343371454E-3</v>
      </c>
      <c r="F86" s="97"/>
      <c r="G86" s="28" t="s">
        <v>230</v>
      </c>
      <c r="H86" s="28">
        <f t="shared" si="3"/>
        <v>32</v>
      </c>
    </row>
    <row r="87" spans="1:8" x14ac:dyDescent="0.3">
      <c r="A87" s="28">
        <f t="shared" si="2"/>
        <v>33</v>
      </c>
      <c r="B87" s="27" t="s">
        <v>119</v>
      </c>
      <c r="C87" s="108"/>
      <c r="D87" s="108"/>
      <c r="E87" s="63">
        <f>E85*E86</f>
        <v>0</v>
      </c>
      <c r="G87" s="28" t="s">
        <v>120</v>
      </c>
      <c r="H87" s="28">
        <f t="shared" si="3"/>
        <v>33</v>
      </c>
    </row>
    <row r="88" spans="1:8" x14ac:dyDescent="0.3">
      <c r="A88" s="28">
        <f t="shared" si="2"/>
        <v>34</v>
      </c>
      <c r="C88" s="108"/>
      <c r="D88" s="108"/>
      <c r="E88" s="61"/>
      <c r="G88" s="28"/>
      <c r="H88" s="28">
        <f t="shared" si="3"/>
        <v>34</v>
      </c>
    </row>
    <row r="89" spans="1:8" ht="16.2" thickBot="1" x14ac:dyDescent="0.35">
      <c r="A89" s="28">
        <f t="shared" si="2"/>
        <v>35</v>
      </c>
      <c r="B89" s="27" t="s">
        <v>121</v>
      </c>
      <c r="C89" s="108"/>
      <c r="D89" s="108"/>
      <c r="E89" s="51">
        <f>E83+E87</f>
        <v>0</v>
      </c>
      <c r="G89" s="28" t="s">
        <v>122</v>
      </c>
      <c r="H89" s="28">
        <f t="shared" si="3"/>
        <v>35</v>
      </c>
    </row>
    <row r="90" spans="1:8" ht="16.2" thickTop="1" x14ac:dyDescent="0.3">
      <c r="A90" s="28">
        <f t="shared" si="2"/>
        <v>36</v>
      </c>
      <c r="C90" s="108"/>
      <c r="D90" s="108"/>
      <c r="E90" s="60"/>
      <c r="G90" s="28"/>
      <c r="H90" s="28">
        <f t="shared" si="3"/>
        <v>36</v>
      </c>
    </row>
    <row r="91" spans="1:8" ht="18.600000000000001" thickBot="1" x14ac:dyDescent="0.35">
      <c r="A91" s="28">
        <f t="shared" si="2"/>
        <v>37</v>
      </c>
      <c r="B91" s="27" t="s">
        <v>123</v>
      </c>
      <c r="E91" s="65">
        <f>E65+E78+E89</f>
        <v>0</v>
      </c>
      <c r="G91" s="28" t="s">
        <v>124</v>
      </c>
      <c r="H91" s="28">
        <f t="shared" si="3"/>
        <v>37</v>
      </c>
    </row>
    <row r="92" spans="1:8" ht="16.2" thickTop="1" x14ac:dyDescent="0.3">
      <c r="A92" s="28">
        <f t="shared" si="2"/>
        <v>38</v>
      </c>
      <c r="C92" s="108"/>
      <c r="D92" s="108"/>
      <c r="E92" s="60"/>
      <c r="G92" s="28"/>
      <c r="H92" s="28">
        <f t="shared" si="3"/>
        <v>38</v>
      </c>
    </row>
    <row r="93" spans="1:8" ht="18.600000000000001" thickBot="1" x14ac:dyDescent="0.35">
      <c r="A93" s="28">
        <f t="shared" si="2"/>
        <v>39</v>
      </c>
      <c r="B93" s="54" t="s">
        <v>125</v>
      </c>
      <c r="C93" s="108"/>
      <c r="D93" s="108"/>
      <c r="E93" s="65">
        <f>+E41+E91</f>
        <v>920468.48035053641</v>
      </c>
      <c r="F93" s="97"/>
      <c r="G93" s="28" t="s">
        <v>126</v>
      </c>
      <c r="H93" s="28">
        <f t="shared" si="3"/>
        <v>39</v>
      </c>
    </row>
    <row r="94" spans="1:8" ht="16.2" thickTop="1" x14ac:dyDescent="0.3">
      <c r="A94" s="28"/>
      <c r="B94" s="54"/>
      <c r="C94" s="108"/>
      <c r="D94" s="108"/>
      <c r="E94" s="60"/>
      <c r="F94" s="97"/>
      <c r="G94" s="28"/>
    </row>
    <row r="95" spans="1:8" ht="18" x14ac:dyDescent="0.3">
      <c r="A95" s="43">
        <v>1</v>
      </c>
      <c r="B95" s="27" t="s">
        <v>81</v>
      </c>
      <c r="C95" s="108"/>
      <c r="D95" s="108"/>
      <c r="E95" s="60"/>
      <c r="G95" s="28"/>
    </row>
    <row r="96" spans="1:8" ht="18" x14ac:dyDescent="0.3">
      <c r="A96" s="43">
        <v>2</v>
      </c>
      <c r="B96" s="27" t="s">
        <v>127</v>
      </c>
      <c r="C96" s="108"/>
      <c r="D96" s="108"/>
      <c r="E96" s="141"/>
      <c r="F96" s="117"/>
      <c r="G96" s="28"/>
    </row>
    <row r="97" spans="1:8" ht="18" x14ac:dyDescent="0.3">
      <c r="A97" s="43">
        <v>3</v>
      </c>
      <c r="B97" s="27" t="s">
        <v>128</v>
      </c>
      <c r="C97" s="108"/>
      <c r="D97" s="108"/>
      <c r="E97" s="60"/>
      <c r="G97" s="28"/>
    </row>
    <row r="98" spans="1:8" x14ac:dyDescent="0.3">
      <c r="A98" s="28"/>
      <c r="B98" s="97"/>
      <c r="C98" s="108"/>
      <c r="D98" s="108"/>
      <c r="E98" s="60"/>
      <c r="G98" s="28"/>
    </row>
    <row r="99" spans="1:8" x14ac:dyDescent="0.3">
      <c r="A99" s="28"/>
      <c r="C99" s="108"/>
      <c r="D99" s="108"/>
      <c r="E99" s="60"/>
      <c r="G99" s="28"/>
    </row>
    <row r="100" spans="1:8" x14ac:dyDescent="0.3">
      <c r="A100" s="28"/>
      <c r="B100" s="854" t="s">
        <v>217</v>
      </c>
      <c r="C100" s="855"/>
      <c r="D100" s="855"/>
      <c r="E100" s="855"/>
      <c r="F100" s="855"/>
      <c r="G100" s="855"/>
    </row>
    <row r="101" spans="1:8" x14ac:dyDescent="0.3">
      <c r="A101" s="28"/>
      <c r="B101" s="854" t="s">
        <v>218</v>
      </c>
      <c r="C101" s="855"/>
      <c r="D101" s="855"/>
      <c r="E101" s="855"/>
      <c r="F101" s="855"/>
      <c r="G101" s="855"/>
    </row>
    <row r="102" spans="1:8" ht="18" x14ac:dyDescent="0.3">
      <c r="A102" s="28" t="s">
        <v>26</v>
      </c>
      <c r="B102" s="854" t="s">
        <v>219</v>
      </c>
      <c r="C102" s="856"/>
      <c r="D102" s="856"/>
      <c r="E102" s="856"/>
      <c r="F102" s="856"/>
      <c r="G102" s="856"/>
      <c r="H102" s="28" t="s">
        <v>26</v>
      </c>
    </row>
    <row r="103" spans="1:8" x14ac:dyDescent="0.3">
      <c r="A103" s="28"/>
      <c r="B103" s="859" t="str">
        <f>B6</f>
        <v>For the Base Period &amp; True-Up Period Ending December 31, 2020</v>
      </c>
      <c r="C103" s="860"/>
      <c r="D103" s="860"/>
      <c r="E103" s="860"/>
      <c r="F103" s="860"/>
      <c r="G103" s="860"/>
    </row>
    <row r="104" spans="1:8" x14ac:dyDescent="0.3">
      <c r="A104" s="28"/>
      <c r="B104" s="858" t="s">
        <v>3</v>
      </c>
      <c r="C104" s="855"/>
      <c r="D104" s="855"/>
      <c r="E104" s="855"/>
      <c r="F104" s="855"/>
      <c r="G104" s="855"/>
    </row>
    <row r="105" spans="1:8" x14ac:dyDescent="0.3">
      <c r="A105" s="28"/>
      <c r="B105" s="102"/>
      <c r="C105" s="97"/>
      <c r="D105" s="97"/>
      <c r="E105" s="97"/>
      <c r="F105" s="97"/>
      <c r="G105" s="97"/>
    </row>
    <row r="106" spans="1:8" x14ac:dyDescent="0.3">
      <c r="A106" s="28" t="s">
        <v>4</v>
      </c>
      <c r="E106" s="103"/>
      <c r="G106" s="28"/>
      <c r="H106" s="28" t="s">
        <v>4</v>
      </c>
    </row>
    <row r="107" spans="1:8" x14ac:dyDescent="0.3">
      <c r="A107" s="28" t="s">
        <v>8</v>
      </c>
      <c r="B107" s="97" t="s">
        <v>26</v>
      </c>
      <c r="E107" s="104" t="s">
        <v>6</v>
      </c>
      <c r="G107" s="105" t="s">
        <v>7</v>
      </c>
      <c r="H107" s="28" t="s">
        <v>8</v>
      </c>
    </row>
    <row r="108" spans="1:8" x14ac:dyDescent="0.3">
      <c r="A108" s="106"/>
      <c r="B108" s="44" t="s">
        <v>245</v>
      </c>
      <c r="C108" s="142"/>
      <c r="D108" s="142"/>
      <c r="E108" s="142"/>
      <c r="G108" s="28"/>
      <c r="H108" s="106"/>
    </row>
    <row r="109" spans="1:8" x14ac:dyDescent="0.3">
      <c r="A109" s="28">
        <v>1</v>
      </c>
      <c r="B109" s="143" t="s">
        <v>130</v>
      </c>
      <c r="C109" s="142"/>
      <c r="D109" s="142"/>
      <c r="E109" s="142"/>
      <c r="G109" s="28"/>
      <c r="H109" s="28">
        <f>A109</f>
        <v>1</v>
      </c>
    </row>
    <row r="110" spans="1:8" x14ac:dyDescent="0.3">
      <c r="A110" s="28">
        <f t="shared" ref="A110:A147" si="4">A109+1</f>
        <v>2</v>
      </c>
      <c r="B110" s="32" t="s">
        <v>131</v>
      </c>
      <c r="C110" s="142"/>
      <c r="D110" s="142"/>
      <c r="E110" s="144">
        <f>E176</f>
        <v>5246121.1315707676</v>
      </c>
      <c r="F110" s="117"/>
      <c r="G110" s="28" t="s">
        <v>246</v>
      </c>
      <c r="H110" s="28">
        <f t="shared" ref="H110:H147" si="5">H109+1</f>
        <v>2</v>
      </c>
    </row>
    <row r="111" spans="1:8" x14ac:dyDescent="0.3">
      <c r="A111" s="28">
        <f t="shared" si="4"/>
        <v>3</v>
      </c>
      <c r="B111" s="32" t="s">
        <v>133</v>
      </c>
      <c r="C111" s="142"/>
      <c r="D111" s="142"/>
      <c r="E111" s="145">
        <f>E177</f>
        <v>6185.413608726165</v>
      </c>
      <c r="F111" s="117"/>
      <c r="G111" s="28" t="s">
        <v>247</v>
      </c>
      <c r="H111" s="28">
        <f t="shared" si="5"/>
        <v>3</v>
      </c>
    </row>
    <row r="112" spans="1:8" x14ac:dyDescent="0.3">
      <c r="A112" s="28">
        <f t="shared" si="4"/>
        <v>4</v>
      </c>
      <c r="B112" s="32" t="s">
        <v>135</v>
      </c>
      <c r="C112" s="142"/>
      <c r="D112" s="142"/>
      <c r="E112" s="145">
        <f>E178</f>
        <v>51220.11925408426</v>
      </c>
      <c r="G112" s="28" t="s">
        <v>248</v>
      </c>
      <c r="H112" s="28">
        <f t="shared" si="5"/>
        <v>4</v>
      </c>
    </row>
    <row r="113" spans="1:8" x14ac:dyDescent="0.3">
      <c r="A113" s="28">
        <f t="shared" si="4"/>
        <v>5</v>
      </c>
      <c r="B113" s="32" t="s">
        <v>137</v>
      </c>
      <c r="C113" s="142"/>
      <c r="D113" s="142"/>
      <c r="E113" s="146">
        <f>E179</f>
        <v>107749.97527197437</v>
      </c>
      <c r="G113" s="28" t="s">
        <v>249</v>
      </c>
      <c r="H113" s="28">
        <f t="shared" si="5"/>
        <v>5</v>
      </c>
    </row>
    <row r="114" spans="1:8" x14ac:dyDescent="0.3">
      <c r="A114" s="28">
        <f t="shared" si="4"/>
        <v>6</v>
      </c>
      <c r="B114" s="32" t="s">
        <v>139</v>
      </c>
      <c r="C114" s="28"/>
      <c r="D114" s="28"/>
      <c r="E114" s="147">
        <f>SUM(E110:E113)</f>
        <v>5411276.6397055527</v>
      </c>
      <c r="F114" s="117"/>
      <c r="G114" s="28" t="s">
        <v>140</v>
      </c>
      <c r="H114" s="28">
        <f t="shared" si="5"/>
        <v>6</v>
      </c>
    </row>
    <row r="115" spans="1:8" x14ac:dyDescent="0.3">
      <c r="A115" s="28">
        <f t="shared" si="4"/>
        <v>7</v>
      </c>
      <c r="C115" s="28"/>
      <c r="D115" s="28"/>
      <c r="E115" s="118"/>
      <c r="G115" s="28"/>
      <c r="H115" s="28">
        <f t="shared" si="5"/>
        <v>7</v>
      </c>
    </row>
    <row r="116" spans="1:8" x14ac:dyDescent="0.3">
      <c r="A116" s="28">
        <f t="shared" si="4"/>
        <v>8</v>
      </c>
      <c r="B116" s="143" t="s">
        <v>141</v>
      </c>
      <c r="C116" s="28"/>
      <c r="D116" s="28"/>
      <c r="E116" s="118"/>
      <c r="G116" s="28"/>
      <c r="H116" s="28">
        <f t="shared" si="5"/>
        <v>8</v>
      </c>
    </row>
    <row r="117" spans="1:8" x14ac:dyDescent="0.3">
      <c r="A117" s="28">
        <f t="shared" si="4"/>
        <v>9</v>
      </c>
      <c r="B117" s="32" t="s">
        <v>250</v>
      </c>
      <c r="C117" s="28"/>
      <c r="D117" s="28"/>
      <c r="E117" s="148">
        <v>0</v>
      </c>
      <c r="F117" s="117"/>
      <c r="G117" s="28" t="s">
        <v>251</v>
      </c>
      <c r="H117" s="28">
        <f t="shared" si="5"/>
        <v>9</v>
      </c>
    </row>
    <row r="118" spans="1:8" x14ac:dyDescent="0.3">
      <c r="A118" s="28">
        <f t="shared" si="4"/>
        <v>10</v>
      </c>
      <c r="B118" s="32" t="s">
        <v>144</v>
      </c>
      <c r="C118" s="28"/>
      <c r="D118" s="28"/>
      <c r="E118" s="149">
        <v>0</v>
      </c>
      <c r="G118" s="28" t="s">
        <v>252</v>
      </c>
      <c r="H118" s="28">
        <f t="shared" si="5"/>
        <v>10</v>
      </c>
    </row>
    <row r="119" spans="1:8" x14ac:dyDescent="0.3">
      <c r="A119" s="28">
        <f t="shared" si="4"/>
        <v>11</v>
      </c>
      <c r="B119" s="32" t="s">
        <v>146</v>
      </c>
      <c r="C119" s="28"/>
      <c r="D119" s="28"/>
      <c r="E119" s="150">
        <f>SUM(E117:E118)</f>
        <v>0</v>
      </c>
      <c r="F119" s="117"/>
      <c r="G119" s="28" t="s">
        <v>147</v>
      </c>
      <c r="H119" s="28">
        <f t="shared" si="5"/>
        <v>11</v>
      </c>
    </row>
    <row r="120" spans="1:8" x14ac:dyDescent="0.3">
      <c r="A120" s="28">
        <f t="shared" si="4"/>
        <v>12</v>
      </c>
      <c r="B120" s="32"/>
      <c r="C120" s="28"/>
      <c r="D120" s="28"/>
      <c r="E120" s="60"/>
      <c r="G120" s="28"/>
      <c r="H120" s="28">
        <f t="shared" si="5"/>
        <v>12</v>
      </c>
    </row>
    <row r="121" spans="1:8" x14ac:dyDescent="0.3">
      <c r="A121" s="28">
        <f t="shared" si="4"/>
        <v>13</v>
      </c>
      <c r="B121" s="143" t="s">
        <v>148</v>
      </c>
      <c r="E121" s="118"/>
      <c r="G121" s="28"/>
      <c r="H121" s="28">
        <f t="shared" si="5"/>
        <v>13</v>
      </c>
    </row>
    <row r="122" spans="1:8" x14ac:dyDescent="0.3">
      <c r="A122" s="28">
        <f t="shared" si="4"/>
        <v>14</v>
      </c>
      <c r="B122" s="27" t="s">
        <v>149</v>
      </c>
      <c r="C122" s="28"/>
      <c r="D122" s="28"/>
      <c r="E122" s="151">
        <v>-914206.71933328768</v>
      </c>
      <c r="G122" s="28" t="s">
        <v>289</v>
      </c>
      <c r="H122" s="28">
        <f t="shared" si="5"/>
        <v>14</v>
      </c>
    </row>
    <row r="123" spans="1:8" x14ac:dyDescent="0.3">
      <c r="A123" s="28">
        <f t="shared" si="4"/>
        <v>15</v>
      </c>
      <c r="B123" s="27" t="s">
        <v>151</v>
      </c>
      <c r="C123" s="28"/>
      <c r="D123" s="28"/>
      <c r="E123" s="130">
        <v>0</v>
      </c>
      <c r="G123" s="28" t="s">
        <v>254</v>
      </c>
      <c r="H123" s="28">
        <f t="shared" si="5"/>
        <v>15</v>
      </c>
    </row>
    <row r="124" spans="1:8" x14ac:dyDescent="0.3">
      <c r="A124" s="28">
        <f t="shared" si="4"/>
        <v>16</v>
      </c>
      <c r="B124" s="32" t="s">
        <v>153</v>
      </c>
      <c r="C124" s="28"/>
      <c r="D124" s="28"/>
      <c r="E124" s="147">
        <f>SUM(E122:E123)</f>
        <v>-914206.71933328768</v>
      </c>
      <c r="G124" s="28" t="s">
        <v>154</v>
      </c>
      <c r="H124" s="28">
        <f t="shared" si="5"/>
        <v>16</v>
      </c>
    </row>
    <row r="125" spans="1:8" x14ac:dyDescent="0.3">
      <c r="A125" s="28">
        <f t="shared" si="4"/>
        <v>17</v>
      </c>
      <c r="C125" s="28"/>
      <c r="D125" s="28"/>
      <c r="E125" s="152"/>
      <c r="G125" s="28"/>
      <c r="H125" s="28">
        <f t="shared" si="5"/>
        <v>17</v>
      </c>
    </row>
    <row r="126" spans="1:8" x14ac:dyDescent="0.3">
      <c r="A126" s="28">
        <f t="shared" si="4"/>
        <v>18</v>
      </c>
      <c r="B126" s="143" t="s">
        <v>155</v>
      </c>
      <c r="C126" s="28"/>
      <c r="D126" s="28"/>
      <c r="E126" s="152"/>
      <c r="G126" s="28"/>
      <c r="H126" s="28">
        <f t="shared" si="5"/>
        <v>18</v>
      </c>
    </row>
    <row r="127" spans="1:8" x14ac:dyDescent="0.3">
      <c r="A127" s="28">
        <f t="shared" si="4"/>
        <v>19</v>
      </c>
      <c r="B127" s="32" t="s">
        <v>255</v>
      </c>
      <c r="C127" s="28"/>
      <c r="D127" s="28"/>
      <c r="E127" s="144">
        <v>51967.715833331946</v>
      </c>
      <c r="F127" s="117"/>
      <c r="G127" s="28" t="s">
        <v>256</v>
      </c>
      <c r="H127" s="28">
        <f t="shared" si="5"/>
        <v>19</v>
      </c>
    </row>
    <row r="128" spans="1:8" x14ac:dyDescent="0.3">
      <c r="A128" s="28">
        <f t="shared" si="4"/>
        <v>20</v>
      </c>
      <c r="B128" s="32" t="s">
        <v>158</v>
      </c>
      <c r="C128" s="28"/>
      <c r="D128" s="28"/>
      <c r="E128" s="145">
        <v>37816.931501811814</v>
      </c>
      <c r="F128" s="117"/>
      <c r="G128" s="28" t="s">
        <v>257</v>
      </c>
      <c r="H128" s="28">
        <f t="shared" si="5"/>
        <v>20</v>
      </c>
    </row>
    <row r="129" spans="1:8" x14ac:dyDescent="0.3">
      <c r="A129" s="28">
        <f t="shared" si="4"/>
        <v>21</v>
      </c>
      <c r="B129" s="32" t="s">
        <v>160</v>
      </c>
      <c r="C129" s="28"/>
      <c r="D129" s="28"/>
      <c r="E129" s="146">
        <v>22112.998447358888</v>
      </c>
      <c r="F129" s="97"/>
      <c r="G129" s="28" t="s">
        <v>290</v>
      </c>
      <c r="H129" s="28">
        <f t="shared" si="5"/>
        <v>21</v>
      </c>
    </row>
    <row r="130" spans="1:8" x14ac:dyDescent="0.3">
      <c r="A130" s="28">
        <f t="shared" si="4"/>
        <v>22</v>
      </c>
      <c r="B130" s="32" t="s">
        <v>259</v>
      </c>
      <c r="E130" s="147">
        <f>SUM(E127:E129)</f>
        <v>111897.64578250264</v>
      </c>
      <c r="F130" s="97"/>
      <c r="G130" s="28" t="s">
        <v>163</v>
      </c>
      <c r="H130" s="28">
        <f t="shared" si="5"/>
        <v>22</v>
      </c>
    </row>
    <row r="131" spans="1:8" x14ac:dyDescent="0.3">
      <c r="A131" s="28">
        <f t="shared" si="4"/>
        <v>23</v>
      </c>
      <c r="B131" s="32"/>
      <c r="E131" s="153"/>
      <c r="G131" s="28"/>
      <c r="H131" s="28">
        <f t="shared" si="5"/>
        <v>23</v>
      </c>
    </row>
    <row r="132" spans="1:8" x14ac:dyDescent="0.3">
      <c r="A132" s="28">
        <f t="shared" si="4"/>
        <v>24</v>
      </c>
      <c r="B132" s="32" t="s">
        <v>164</v>
      </c>
      <c r="E132" s="154">
        <v>0</v>
      </c>
      <c r="G132" s="28" t="s">
        <v>260</v>
      </c>
      <c r="H132" s="28">
        <f t="shared" si="5"/>
        <v>24</v>
      </c>
    </row>
    <row r="133" spans="1:8" x14ac:dyDescent="0.3">
      <c r="A133" s="28">
        <f t="shared" si="4"/>
        <v>25</v>
      </c>
      <c r="B133" s="32" t="s">
        <v>166</v>
      </c>
      <c r="E133" s="135">
        <v>-7015.6611016726329</v>
      </c>
      <c r="G133" s="28" t="s">
        <v>291</v>
      </c>
      <c r="H133" s="28">
        <f t="shared" si="5"/>
        <v>25</v>
      </c>
    </row>
    <row r="134" spans="1:8" x14ac:dyDescent="0.3">
      <c r="A134" s="28">
        <f t="shared" si="4"/>
        <v>26</v>
      </c>
      <c r="B134" s="32"/>
      <c r="E134" s="153"/>
      <c r="G134" s="28"/>
      <c r="H134" s="28">
        <f t="shared" si="5"/>
        <v>26</v>
      </c>
    </row>
    <row r="135" spans="1:8" ht="16.2" thickBot="1" x14ac:dyDescent="0.35">
      <c r="A135" s="28">
        <f t="shared" si="4"/>
        <v>27</v>
      </c>
      <c r="B135" s="32" t="s">
        <v>168</v>
      </c>
      <c r="E135" s="166">
        <f>E132+E130+E124+E119+E114+E133</f>
        <v>4601951.905053095</v>
      </c>
      <c r="F135" s="97"/>
      <c r="G135" s="28" t="s">
        <v>169</v>
      </c>
      <c r="H135" s="28">
        <f t="shared" si="5"/>
        <v>27</v>
      </c>
    </row>
    <row r="136" spans="1:8" ht="16.2" thickTop="1" x14ac:dyDescent="0.3">
      <c r="A136" s="28">
        <f t="shared" si="4"/>
        <v>28</v>
      </c>
      <c r="B136" s="32"/>
      <c r="E136" s="53"/>
      <c r="G136" s="28"/>
      <c r="H136" s="28">
        <f t="shared" si="5"/>
        <v>28</v>
      </c>
    </row>
    <row r="137" spans="1:8" ht="18" x14ac:dyDescent="0.3">
      <c r="A137" s="28">
        <f t="shared" si="4"/>
        <v>29</v>
      </c>
      <c r="B137" s="44" t="s">
        <v>170</v>
      </c>
      <c r="E137" s="53"/>
      <c r="G137" s="28"/>
      <c r="H137" s="28">
        <f t="shared" si="5"/>
        <v>29</v>
      </c>
    </row>
    <row r="138" spans="1:8" x14ac:dyDescent="0.3">
      <c r="A138" s="28">
        <f t="shared" si="4"/>
        <v>30</v>
      </c>
      <c r="B138" s="32" t="s">
        <v>171</v>
      </c>
      <c r="E138" s="136">
        <f>E185</f>
        <v>0</v>
      </c>
      <c r="G138" s="28" t="s">
        <v>262</v>
      </c>
      <c r="H138" s="28">
        <f t="shared" si="5"/>
        <v>30</v>
      </c>
    </row>
    <row r="139" spans="1:8" x14ac:dyDescent="0.3">
      <c r="A139" s="28">
        <f t="shared" si="4"/>
        <v>31</v>
      </c>
      <c r="B139" s="32" t="s">
        <v>173</v>
      </c>
      <c r="E139" s="130">
        <v>0</v>
      </c>
      <c r="G139" s="28" t="s">
        <v>263</v>
      </c>
      <c r="H139" s="28">
        <f t="shared" si="5"/>
        <v>31</v>
      </c>
    </row>
    <row r="140" spans="1:8" x14ac:dyDescent="0.3">
      <c r="A140" s="28">
        <f t="shared" si="4"/>
        <v>32</v>
      </c>
      <c r="B140" s="27" t="s">
        <v>175</v>
      </c>
      <c r="E140" s="48">
        <f>SUM(E138:E139)</f>
        <v>0</v>
      </c>
      <c r="G140" s="28" t="s">
        <v>176</v>
      </c>
      <c r="H140" s="28">
        <f t="shared" si="5"/>
        <v>32</v>
      </c>
    </row>
    <row r="141" spans="1:8" x14ac:dyDescent="0.3">
      <c r="A141" s="28">
        <f t="shared" si="4"/>
        <v>33</v>
      </c>
      <c r="B141" s="32"/>
      <c r="E141" s="53"/>
      <c r="G141" s="28"/>
      <c r="H141" s="28">
        <f t="shared" si="5"/>
        <v>33</v>
      </c>
    </row>
    <row r="142" spans="1:8" ht="18" x14ac:dyDescent="0.3">
      <c r="A142" s="28">
        <f t="shared" si="4"/>
        <v>34</v>
      </c>
      <c r="B142" s="44" t="s">
        <v>177</v>
      </c>
      <c r="E142" s="53"/>
      <c r="G142" s="28"/>
      <c r="H142" s="28">
        <f t="shared" si="5"/>
        <v>34</v>
      </c>
    </row>
    <row r="143" spans="1:8" x14ac:dyDescent="0.3">
      <c r="A143" s="28">
        <f t="shared" si="4"/>
        <v>35</v>
      </c>
      <c r="B143" s="32" t="s">
        <v>178</v>
      </c>
      <c r="E143" s="136">
        <v>0</v>
      </c>
      <c r="G143" s="28" t="s">
        <v>264</v>
      </c>
      <c r="H143" s="28">
        <f t="shared" si="5"/>
        <v>35</v>
      </c>
    </row>
    <row r="144" spans="1:8" x14ac:dyDescent="0.3">
      <c r="A144" s="28">
        <f t="shared" si="4"/>
        <v>36</v>
      </c>
      <c r="B144" s="27" t="s">
        <v>180</v>
      </c>
      <c r="E144" s="131">
        <v>0</v>
      </c>
      <c r="G144" s="28" t="s">
        <v>265</v>
      </c>
      <c r="H144" s="28">
        <f t="shared" si="5"/>
        <v>36</v>
      </c>
    </row>
    <row r="145" spans="1:8" x14ac:dyDescent="0.3">
      <c r="A145" s="28">
        <f t="shared" si="4"/>
        <v>37</v>
      </c>
      <c r="B145" s="27" t="s">
        <v>182</v>
      </c>
      <c r="E145" s="48">
        <f>SUM(E143:E144)</f>
        <v>0</v>
      </c>
      <c r="G145" s="28" t="s">
        <v>183</v>
      </c>
      <c r="H145" s="28">
        <f t="shared" si="5"/>
        <v>37</v>
      </c>
    </row>
    <row r="146" spans="1:8" x14ac:dyDescent="0.3">
      <c r="A146" s="28">
        <f t="shared" si="4"/>
        <v>38</v>
      </c>
      <c r="B146" s="32"/>
      <c r="E146" s="53"/>
      <c r="G146" s="28"/>
      <c r="H146" s="28">
        <f t="shared" si="5"/>
        <v>38</v>
      </c>
    </row>
    <row r="147" spans="1:8" ht="18" x14ac:dyDescent="0.3">
      <c r="A147" s="28">
        <f t="shared" si="4"/>
        <v>39</v>
      </c>
      <c r="B147" s="44" t="s">
        <v>184</v>
      </c>
      <c r="E147" s="136">
        <v>0</v>
      </c>
      <c r="G147" s="28" t="s">
        <v>266</v>
      </c>
      <c r="H147" s="28">
        <f t="shared" si="5"/>
        <v>39</v>
      </c>
    </row>
    <row r="148" spans="1:8" x14ac:dyDescent="0.3">
      <c r="A148" s="28"/>
      <c r="B148" s="32"/>
      <c r="E148" s="53"/>
      <c r="G148" s="28"/>
    </row>
    <row r="149" spans="1:8" ht="18" x14ac:dyDescent="0.3">
      <c r="A149" s="43">
        <v>1</v>
      </c>
      <c r="B149" s="27" t="s">
        <v>127</v>
      </c>
      <c r="E149" s="53"/>
      <c r="G149" s="28"/>
    </row>
    <row r="150" spans="1:8" x14ac:dyDescent="0.3">
      <c r="A150" s="28"/>
      <c r="B150" s="97"/>
      <c r="E150" s="53"/>
      <c r="G150" s="28"/>
    </row>
    <row r="151" spans="1:8" x14ac:dyDescent="0.3">
      <c r="A151" s="28"/>
      <c r="B151" s="97"/>
      <c r="E151" s="53"/>
      <c r="G151" s="28"/>
    </row>
    <row r="152" spans="1:8" x14ac:dyDescent="0.3">
      <c r="A152" s="28"/>
      <c r="B152" s="854" t="s">
        <v>217</v>
      </c>
      <c r="C152" s="855"/>
      <c r="D152" s="855"/>
      <c r="E152" s="855"/>
      <c r="F152" s="855"/>
      <c r="G152" s="855"/>
    </row>
    <row r="153" spans="1:8" x14ac:dyDescent="0.3">
      <c r="A153" s="28" t="s">
        <v>26</v>
      </c>
      <c r="B153" s="854" t="s">
        <v>218</v>
      </c>
      <c r="C153" s="855"/>
      <c r="D153" s="855"/>
      <c r="E153" s="855"/>
      <c r="F153" s="855"/>
      <c r="G153" s="855"/>
    </row>
    <row r="154" spans="1:8" ht="18" x14ac:dyDescent="0.3">
      <c r="A154" s="28"/>
      <c r="B154" s="854" t="s">
        <v>219</v>
      </c>
      <c r="C154" s="856"/>
      <c r="D154" s="856"/>
      <c r="E154" s="856"/>
      <c r="F154" s="856"/>
      <c r="G154" s="856"/>
    </row>
    <row r="155" spans="1:8" x14ac:dyDescent="0.3">
      <c r="A155" s="28"/>
      <c r="B155" s="859" t="str">
        <f>B6</f>
        <v>For the Base Period &amp; True-Up Period Ending December 31, 2020</v>
      </c>
      <c r="C155" s="860"/>
      <c r="D155" s="860"/>
      <c r="E155" s="860"/>
      <c r="F155" s="860"/>
      <c r="G155" s="860"/>
    </row>
    <row r="156" spans="1:8" x14ac:dyDescent="0.3">
      <c r="A156" s="28"/>
      <c r="B156" s="858" t="s">
        <v>3</v>
      </c>
      <c r="C156" s="855"/>
      <c r="D156" s="855"/>
      <c r="E156" s="855"/>
      <c r="F156" s="855"/>
      <c r="G156" s="855"/>
    </row>
    <row r="157" spans="1:8" x14ac:dyDescent="0.3">
      <c r="A157" s="28"/>
      <c r="B157" s="156"/>
    </row>
    <row r="158" spans="1:8" x14ac:dyDescent="0.3">
      <c r="A158" s="28" t="s">
        <v>4</v>
      </c>
      <c r="E158" s="103"/>
      <c r="G158" s="28"/>
      <c r="H158" s="28" t="s">
        <v>4</v>
      </c>
    </row>
    <row r="159" spans="1:8" x14ac:dyDescent="0.3">
      <c r="A159" s="28" t="s">
        <v>8</v>
      </c>
      <c r="B159" s="97" t="s">
        <v>26</v>
      </c>
      <c r="E159" s="104" t="s">
        <v>6</v>
      </c>
      <c r="G159" s="105" t="s">
        <v>7</v>
      </c>
      <c r="H159" s="28" t="s">
        <v>8</v>
      </c>
    </row>
    <row r="160" spans="1:8" x14ac:dyDescent="0.3">
      <c r="A160" s="106"/>
      <c r="B160" s="44" t="s">
        <v>267</v>
      </c>
      <c r="E160" s="103"/>
      <c r="G160" s="28"/>
      <c r="H160" s="106"/>
    </row>
    <row r="161" spans="1:10" x14ac:dyDescent="0.3">
      <c r="A161" s="28">
        <v>1</v>
      </c>
      <c r="B161" s="143" t="s">
        <v>187</v>
      </c>
      <c r="E161" s="103"/>
      <c r="G161" s="28"/>
      <c r="H161" s="28">
        <f>A161</f>
        <v>1</v>
      </c>
    </row>
    <row r="162" spans="1:10" x14ac:dyDescent="0.3">
      <c r="A162" s="28">
        <f t="shared" ref="A162:A185" si="6">A161+1</f>
        <v>2</v>
      </c>
      <c r="B162" s="32" t="s">
        <v>131</v>
      </c>
      <c r="E162" s="128">
        <v>6632410.4084030753</v>
      </c>
      <c r="F162" s="117"/>
      <c r="G162" s="28" t="s">
        <v>268</v>
      </c>
      <c r="H162" s="28">
        <f t="shared" ref="H162:H185" si="7">H161+1</f>
        <v>2</v>
      </c>
      <c r="I162" s="157"/>
    </row>
    <row r="163" spans="1:10" x14ac:dyDescent="0.3">
      <c r="A163" s="28">
        <f t="shared" si="6"/>
        <v>3</v>
      </c>
      <c r="B163" s="32" t="s">
        <v>269</v>
      </c>
      <c r="E163" s="158">
        <v>34627.403972329441</v>
      </c>
      <c r="F163" s="117"/>
      <c r="G163" s="28" t="s">
        <v>270</v>
      </c>
      <c r="H163" s="28">
        <f t="shared" si="7"/>
        <v>3</v>
      </c>
      <c r="I163" s="159"/>
    </row>
    <row r="164" spans="1:10" x14ac:dyDescent="0.3">
      <c r="A164" s="28">
        <f t="shared" si="6"/>
        <v>4</v>
      </c>
      <c r="B164" s="32" t="s">
        <v>135</v>
      </c>
      <c r="E164" s="158">
        <v>86594.311561361523</v>
      </c>
      <c r="F164" s="97"/>
      <c r="G164" s="28" t="s">
        <v>271</v>
      </c>
      <c r="H164" s="28">
        <f t="shared" si="7"/>
        <v>4</v>
      </c>
      <c r="J164" s="160"/>
    </row>
    <row r="165" spans="1:10" x14ac:dyDescent="0.3">
      <c r="A165" s="28">
        <f t="shared" si="6"/>
        <v>5</v>
      </c>
      <c r="B165" s="32" t="s">
        <v>137</v>
      </c>
      <c r="C165" s="28"/>
      <c r="D165" s="28"/>
      <c r="E165" s="122">
        <v>214262.5076566372</v>
      </c>
      <c r="F165" s="97"/>
      <c r="G165" s="28" t="s">
        <v>272</v>
      </c>
      <c r="H165" s="28">
        <f t="shared" si="7"/>
        <v>5</v>
      </c>
    </row>
    <row r="166" spans="1:10" x14ac:dyDescent="0.3">
      <c r="A166" s="28">
        <f t="shared" si="6"/>
        <v>6</v>
      </c>
      <c r="B166" s="32" t="s">
        <v>192</v>
      </c>
      <c r="E166" s="147">
        <f>SUM(E162:E165)</f>
        <v>6967894.6315934043</v>
      </c>
      <c r="F166" s="117"/>
      <c r="G166" s="28" t="s">
        <v>140</v>
      </c>
      <c r="H166" s="28">
        <f t="shared" si="7"/>
        <v>6</v>
      </c>
      <c r="I166" s="159"/>
    </row>
    <row r="167" spans="1:10" x14ac:dyDescent="0.3">
      <c r="A167" s="28">
        <f t="shared" si="6"/>
        <v>7</v>
      </c>
      <c r="C167" s="28"/>
      <c r="D167" s="28"/>
      <c r="E167" s="103"/>
      <c r="G167" s="28"/>
      <c r="H167" s="28">
        <f t="shared" si="7"/>
        <v>7</v>
      </c>
    </row>
    <row r="168" spans="1:10" x14ac:dyDescent="0.3">
      <c r="A168" s="28">
        <f t="shared" si="6"/>
        <v>8</v>
      </c>
      <c r="B168" s="96" t="s">
        <v>193</v>
      </c>
      <c r="E168" s="103"/>
      <c r="G168" s="28"/>
      <c r="H168" s="28">
        <f t="shared" si="7"/>
        <v>8</v>
      </c>
    </row>
    <row r="169" spans="1:10" x14ac:dyDescent="0.3">
      <c r="A169" s="28">
        <f t="shared" si="6"/>
        <v>9</v>
      </c>
      <c r="B169" s="27" t="s">
        <v>194</v>
      </c>
      <c r="E169" s="128">
        <v>1386289.2768323075</v>
      </c>
      <c r="F169" s="117"/>
      <c r="G169" s="28" t="s">
        <v>273</v>
      </c>
      <c r="H169" s="28">
        <f t="shared" si="7"/>
        <v>9</v>
      </c>
    </row>
    <row r="170" spans="1:10" x14ac:dyDescent="0.3">
      <c r="A170" s="28">
        <f t="shared" si="6"/>
        <v>10</v>
      </c>
      <c r="B170" s="27" t="s">
        <v>196</v>
      </c>
      <c r="E170" s="158">
        <v>28441.990363603276</v>
      </c>
      <c r="F170" s="117"/>
      <c r="G170" s="28" t="s">
        <v>274</v>
      </c>
      <c r="H170" s="28">
        <f t="shared" si="7"/>
        <v>10</v>
      </c>
    </row>
    <row r="171" spans="1:10" x14ac:dyDescent="0.3">
      <c r="A171" s="28">
        <f t="shared" si="6"/>
        <v>11</v>
      </c>
      <c r="B171" s="27" t="s">
        <v>198</v>
      </c>
      <c r="E171" s="158">
        <v>35374.192307277262</v>
      </c>
      <c r="F171" s="97"/>
      <c r="G171" s="28" t="s">
        <v>275</v>
      </c>
      <c r="H171" s="28">
        <f t="shared" si="7"/>
        <v>11</v>
      </c>
    </row>
    <row r="172" spans="1:10" x14ac:dyDescent="0.3">
      <c r="A172" s="28">
        <f t="shared" si="6"/>
        <v>12</v>
      </c>
      <c r="B172" s="27" t="s">
        <v>200</v>
      </c>
      <c r="E172" s="122">
        <v>106512.53238466283</v>
      </c>
      <c r="F172" s="97"/>
      <c r="G172" s="28" t="s">
        <v>276</v>
      </c>
      <c r="H172" s="28">
        <f t="shared" si="7"/>
        <v>12</v>
      </c>
    </row>
    <row r="173" spans="1:10" x14ac:dyDescent="0.3">
      <c r="A173" s="28">
        <f t="shared" si="6"/>
        <v>13</v>
      </c>
      <c r="B173" s="159" t="s">
        <v>202</v>
      </c>
      <c r="C173" s="159"/>
      <c r="D173" s="159"/>
      <c r="E173" s="161">
        <f>SUM(E169:E172)</f>
        <v>1556617.9918878509</v>
      </c>
      <c r="F173" s="117"/>
      <c r="G173" s="28" t="s">
        <v>203</v>
      </c>
      <c r="H173" s="28">
        <f t="shared" si="7"/>
        <v>13</v>
      </c>
    </row>
    <row r="174" spans="1:10" x14ac:dyDescent="0.3">
      <c r="A174" s="28">
        <f t="shared" si="6"/>
        <v>14</v>
      </c>
      <c r="B174" s="159"/>
      <c r="C174" s="159"/>
      <c r="D174" s="159"/>
      <c r="E174" s="152"/>
      <c r="G174" s="28"/>
      <c r="H174" s="28">
        <f t="shared" si="7"/>
        <v>14</v>
      </c>
    </row>
    <row r="175" spans="1:10" x14ac:dyDescent="0.3">
      <c r="A175" s="28">
        <f t="shared" si="6"/>
        <v>15</v>
      </c>
      <c r="B175" s="143" t="s">
        <v>130</v>
      </c>
      <c r="C175" s="159"/>
      <c r="D175" s="159"/>
      <c r="E175" s="152"/>
      <c r="G175" s="28"/>
      <c r="H175" s="28">
        <f t="shared" si="7"/>
        <v>15</v>
      </c>
    </row>
    <row r="176" spans="1:10" x14ac:dyDescent="0.3">
      <c r="A176" s="28">
        <f t="shared" si="6"/>
        <v>16</v>
      </c>
      <c r="B176" s="32" t="s">
        <v>131</v>
      </c>
      <c r="E176" s="53">
        <f>+E162-E169</f>
        <v>5246121.1315707676</v>
      </c>
      <c r="F176" s="117"/>
      <c r="G176" s="28" t="s">
        <v>277</v>
      </c>
      <c r="H176" s="28">
        <f t="shared" si="7"/>
        <v>16</v>
      </c>
    </row>
    <row r="177" spans="1:8" x14ac:dyDescent="0.3">
      <c r="A177" s="28">
        <f t="shared" si="6"/>
        <v>17</v>
      </c>
      <c r="B177" s="32" t="s">
        <v>133</v>
      </c>
      <c r="E177" s="121">
        <f>+E163-E170</f>
        <v>6185.413608726165</v>
      </c>
      <c r="F177" s="117"/>
      <c r="G177" s="28" t="s">
        <v>278</v>
      </c>
      <c r="H177" s="28">
        <f t="shared" si="7"/>
        <v>17</v>
      </c>
    </row>
    <row r="178" spans="1:8" x14ac:dyDescent="0.3">
      <c r="A178" s="28">
        <f t="shared" si="6"/>
        <v>18</v>
      </c>
      <c r="B178" s="32" t="s">
        <v>135</v>
      </c>
      <c r="E178" s="121">
        <f>+E164-E171</f>
        <v>51220.11925408426</v>
      </c>
      <c r="G178" s="28" t="s">
        <v>279</v>
      </c>
      <c r="H178" s="28">
        <f t="shared" si="7"/>
        <v>18</v>
      </c>
    </row>
    <row r="179" spans="1:8" x14ac:dyDescent="0.3">
      <c r="A179" s="28">
        <f t="shared" si="6"/>
        <v>19</v>
      </c>
      <c r="B179" s="32" t="s">
        <v>137</v>
      </c>
      <c r="E179" s="162">
        <f>+E165-E172</f>
        <v>107749.97527197437</v>
      </c>
      <c r="G179" s="28" t="s">
        <v>280</v>
      </c>
      <c r="H179" s="28">
        <f t="shared" si="7"/>
        <v>19</v>
      </c>
    </row>
    <row r="180" spans="1:8" ht="16.2" thickBot="1" x14ac:dyDescent="0.35">
      <c r="A180" s="28">
        <f t="shared" si="6"/>
        <v>20</v>
      </c>
      <c r="B180" s="27" t="s">
        <v>139</v>
      </c>
      <c r="E180" s="163">
        <f>SUM(E176:E179)</f>
        <v>5411276.6397055527</v>
      </c>
      <c r="F180" s="117"/>
      <c r="G180" s="28" t="s">
        <v>208</v>
      </c>
      <c r="H180" s="28">
        <f t="shared" si="7"/>
        <v>20</v>
      </c>
    </row>
    <row r="181" spans="1:8" ht="16.2" thickTop="1" x14ac:dyDescent="0.3">
      <c r="A181" s="28">
        <f t="shared" si="6"/>
        <v>21</v>
      </c>
      <c r="E181" s="53"/>
      <c r="G181" s="28"/>
      <c r="H181" s="28">
        <f t="shared" si="7"/>
        <v>21</v>
      </c>
    </row>
    <row r="182" spans="1:8" ht="18" x14ac:dyDescent="0.3">
      <c r="A182" s="28">
        <f t="shared" si="6"/>
        <v>22</v>
      </c>
      <c r="B182" s="44" t="s">
        <v>209</v>
      </c>
      <c r="E182" s="53"/>
      <c r="G182" s="28"/>
      <c r="H182" s="28">
        <f t="shared" si="7"/>
        <v>22</v>
      </c>
    </row>
    <row r="183" spans="1:8" x14ac:dyDescent="0.3">
      <c r="A183" s="28">
        <f t="shared" si="6"/>
        <v>23</v>
      </c>
      <c r="B183" s="32" t="s">
        <v>210</v>
      </c>
      <c r="E183" s="136">
        <v>0</v>
      </c>
      <c r="G183" s="28" t="s">
        <v>281</v>
      </c>
      <c r="H183" s="28">
        <f t="shared" si="7"/>
        <v>23</v>
      </c>
    </row>
    <row r="184" spans="1:8" x14ac:dyDescent="0.3">
      <c r="A184" s="28">
        <f t="shared" si="6"/>
        <v>24</v>
      </c>
      <c r="B184" s="27" t="s">
        <v>212</v>
      </c>
      <c r="E184" s="131">
        <v>0</v>
      </c>
      <c r="G184" s="28" t="s">
        <v>282</v>
      </c>
      <c r="H184" s="28">
        <f t="shared" si="7"/>
        <v>24</v>
      </c>
    </row>
    <row r="185" spans="1:8" ht="16.2" thickBot="1" x14ac:dyDescent="0.35">
      <c r="A185" s="28">
        <f t="shared" si="6"/>
        <v>25</v>
      </c>
      <c r="B185" s="32" t="s">
        <v>214</v>
      </c>
      <c r="E185" s="164">
        <f>E183-E184</f>
        <v>0</v>
      </c>
      <c r="G185" s="28" t="s">
        <v>215</v>
      </c>
      <c r="H185" s="28">
        <f t="shared" si="7"/>
        <v>25</v>
      </c>
    </row>
    <row r="186" spans="1:8" ht="16.2" thickTop="1" x14ac:dyDescent="0.3">
      <c r="A186" s="28"/>
      <c r="B186" s="32"/>
      <c r="E186" s="53"/>
      <c r="G186" s="28"/>
    </row>
    <row r="187" spans="1:8" ht="18" x14ac:dyDescent="0.3">
      <c r="A187" s="43">
        <v>1</v>
      </c>
      <c r="B187" s="27" t="s">
        <v>216</v>
      </c>
      <c r="E187" s="53"/>
      <c r="G187" s="28"/>
    </row>
    <row r="193" spans="5:5" x14ac:dyDescent="0.3">
      <c r="E193" s="165"/>
    </row>
  </sheetData>
  <mergeCells count="20">
    <mergeCell ref="B155:G155"/>
    <mergeCell ref="B156:G156"/>
    <mergeCell ref="B154:G154"/>
    <mergeCell ref="B47:G47"/>
    <mergeCell ref="B48:G48"/>
    <mergeCell ref="B49:G49"/>
    <mergeCell ref="B50:G50"/>
    <mergeCell ref="B100:G100"/>
    <mergeCell ref="B101:G101"/>
    <mergeCell ref="B102:G102"/>
    <mergeCell ref="B103:G103"/>
    <mergeCell ref="B104:G104"/>
    <mergeCell ref="B152:G152"/>
    <mergeCell ref="B153:G153"/>
    <mergeCell ref="B46:G46"/>
    <mergeCell ref="B3:G3"/>
    <mergeCell ref="B4:G4"/>
    <mergeCell ref="B5:G5"/>
    <mergeCell ref="B6:G6"/>
    <mergeCell ref="B7:G7"/>
  </mergeCells>
  <printOptions horizontalCentered="1"/>
  <pageMargins left="0.25" right="0.25" top="0.35" bottom="0.5" header="0.25" footer="0.25"/>
  <pageSetup scale="50" orientation="portrait" r:id="rId1"/>
  <headerFooter scaleWithDoc="0" alignWithMargins="0">
    <oddHeader>&amp;C&amp;"Times New Roman,Bold"&amp;8AS FILED</oddHeader>
    <oddFooter>&amp;CPage 4.&amp;P&amp;R&amp;F</oddFooter>
  </headerFooter>
  <rowBreaks count="3" manualBreakCount="3">
    <brk id="44" max="16383" man="1"/>
    <brk id="98" max="16383" man="1"/>
    <brk id="1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765B-9CF2-4F76-AC71-AF4D0AD72DE2}">
  <sheetPr>
    <pageSetUpPr fitToPage="1"/>
  </sheetPr>
  <dimension ref="A1:N29"/>
  <sheetViews>
    <sheetView zoomScale="80" zoomScaleNormal="80" workbookViewId="0"/>
  </sheetViews>
  <sheetFormatPr defaultColWidth="9.109375" defaultRowHeight="15.6" x14ac:dyDescent="0.3"/>
  <cols>
    <col min="1" max="1" width="5.109375" style="168" customWidth="1"/>
    <col min="2" max="2" width="56" style="169" customWidth="1"/>
    <col min="3" max="3" width="29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16.88671875" style="169" customWidth="1"/>
    <col min="8" max="8" width="1.5546875" style="169" customWidth="1"/>
    <col min="9" max="9" width="16.88671875" style="169" customWidth="1"/>
    <col min="10" max="10" width="1.5546875" style="169" customWidth="1"/>
    <col min="11" max="11" width="49.109375" style="169" bestFit="1" customWidth="1"/>
    <col min="12" max="12" width="5.109375" style="169" customWidth="1"/>
    <col min="13" max="13" width="9.109375" style="169"/>
    <col min="14" max="14" width="20.44140625" style="169" bestFit="1" customWidth="1"/>
    <col min="15" max="16384" width="9.109375" style="169"/>
  </cols>
  <sheetData>
    <row r="1" spans="1:14" x14ac:dyDescent="0.3">
      <c r="H1" s="168"/>
      <c r="I1" s="168"/>
      <c r="J1" s="168"/>
      <c r="K1" s="168"/>
      <c r="L1" s="168"/>
    </row>
    <row r="2" spans="1:14" x14ac:dyDescent="0.3">
      <c r="B2" s="861" t="s">
        <v>217</v>
      </c>
      <c r="C2" s="861"/>
      <c r="D2" s="861"/>
      <c r="E2" s="861"/>
      <c r="F2" s="861"/>
      <c r="G2" s="861"/>
      <c r="H2" s="861"/>
      <c r="I2" s="861"/>
      <c r="J2" s="861"/>
      <c r="K2" s="861"/>
      <c r="L2" s="168"/>
    </row>
    <row r="3" spans="1:14" x14ac:dyDescent="0.3">
      <c r="B3" s="861" t="s">
        <v>292</v>
      </c>
      <c r="C3" s="861"/>
      <c r="D3" s="861"/>
      <c r="E3" s="861"/>
      <c r="F3" s="861"/>
      <c r="G3" s="861"/>
      <c r="H3" s="861"/>
      <c r="I3" s="861"/>
      <c r="J3" s="861"/>
      <c r="K3" s="861"/>
      <c r="L3" s="168"/>
    </row>
    <row r="4" spans="1:14" x14ac:dyDescent="0.3">
      <c r="B4" s="861" t="s">
        <v>293</v>
      </c>
      <c r="C4" s="861"/>
      <c r="D4" s="861"/>
      <c r="E4" s="861"/>
      <c r="F4" s="861"/>
      <c r="G4" s="861"/>
      <c r="H4" s="861"/>
      <c r="I4" s="861"/>
      <c r="J4" s="861"/>
      <c r="K4" s="861"/>
      <c r="L4" s="168"/>
    </row>
    <row r="5" spans="1:14" x14ac:dyDescent="0.3">
      <c r="B5" s="862" t="s">
        <v>294</v>
      </c>
      <c r="C5" s="862"/>
      <c r="D5" s="862"/>
      <c r="E5" s="862"/>
      <c r="F5" s="862"/>
      <c r="G5" s="862"/>
      <c r="H5" s="862"/>
      <c r="I5" s="862"/>
      <c r="J5" s="862"/>
      <c r="K5" s="862"/>
      <c r="L5" s="168"/>
    </row>
    <row r="6" spans="1:14" x14ac:dyDescent="0.3">
      <c r="B6" s="863" t="s">
        <v>3</v>
      </c>
      <c r="C6" s="864"/>
      <c r="D6" s="864"/>
      <c r="E6" s="864"/>
      <c r="F6" s="864"/>
      <c r="G6" s="864"/>
      <c r="H6" s="864"/>
      <c r="I6" s="864"/>
      <c r="J6" s="864"/>
      <c r="K6" s="864"/>
      <c r="L6" s="168"/>
    </row>
    <row r="7" spans="1:14" x14ac:dyDescent="0.3"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</row>
    <row r="8" spans="1:14" x14ac:dyDescent="0.3">
      <c r="A8" s="168" t="s">
        <v>4</v>
      </c>
      <c r="B8" s="171"/>
      <c r="C8" s="168" t="s">
        <v>295</v>
      </c>
      <c r="D8" s="171"/>
      <c r="E8" s="189" t="s">
        <v>296</v>
      </c>
      <c r="F8" s="168"/>
      <c r="G8" s="189" t="s">
        <v>297</v>
      </c>
      <c r="H8" s="168"/>
      <c r="I8" s="189" t="s">
        <v>298</v>
      </c>
      <c r="J8" s="168"/>
      <c r="K8" s="168"/>
      <c r="L8" s="168" t="s">
        <v>4</v>
      </c>
    </row>
    <row r="9" spans="1:14" x14ac:dyDescent="0.3">
      <c r="A9" s="168" t="s">
        <v>8</v>
      </c>
      <c r="C9" s="172" t="s">
        <v>299</v>
      </c>
      <c r="E9" s="525">
        <v>43830</v>
      </c>
      <c r="F9" s="171"/>
      <c r="G9" s="525">
        <v>44196</v>
      </c>
      <c r="H9" s="171"/>
      <c r="I9" s="173" t="s">
        <v>300</v>
      </c>
      <c r="J9" s="171"/>
      <c r="K9" s="172" t="s">
        <v>7</v>
      </c>
      <c r="L9" s="168" t="s">
        <v>8</v>
      </c>
    </row>
    <row r="10" spans="1:14" x14ac:dyDescent="0.3">
      <c r="H10" s="168"/>
      <c r="I10" s="168"/>
      <c r="J10" s="168"/>
      <c r="K10" s="168"/>
      <c r="L10" s="168"/>
    </row>
    <row r="11" spans="1:14" s="223" customFormat="1" x14ac:dyDescent="0.3">
      <c r="A11" s="168">
        <v>1</v>
      </c>
      <c r="B11" s="169" t="s">
        <v>301</v>
      </c>
      <c r="C11" s="168" t="s">
        <v>302</v>
      </c>
      <c r="D11" s="169"/>
      <c r="E11" s="526">
        <f>'Pg5.2 Rev AF-1'!I18</f>
        <v>229259.12075949862</v>
      </c>
      <c r="F11" s="169"/>
      <c r="G11" s="527">
        <f>'Pg5.3 Rev AF-2'!I18</f>
        <v>166268.59600825864</v>
      </c>
      <c r="H11" s="168"/>
      <c r="I11" s="182">
        <f>(E11+G11)/2</f>
        <v>197763.85838387863</v>
      </c>
      <c r="J11" s="168"/>
      <c r="K11" s="168" t="s">
        <v>303</v>
      </c>
      <c r="L11" s="168">
        <f>A11</f>
        <v>1</v>
      </c>
      <c r="M11" s="169"/>
    </row>
    <row r="12" spans="1:14" s="223" customFormat="1" x14ac:dyDescent="0.3">
      <c r="A12" s="168">
        <f>A11+1</f>
        <v>2</v>
      </c>
      <c r="B12" s="169"/>
      <c r="C12" s="169"/>
      <c r="D12" s="169"/>
      <c r="E12" s="169"/>
      <c r="F12" s="169"/>
      <c r="G12" s="169"/>
      <c r="H12" s="168"/>
      <c r="I12" s="168"/>
      <c r="J12" s="168"/>
      <c r="K12" s="168"/>
      <c r="L12" s="168">
        <f>L11+1</f>
        <v>2</v>
      </c>
    </row>
    <row r="13" spans="1:14" s="223" customFormat="1" x14ac:dyDescent="0.3">
      <c r="A13" s="168">
        <f>A12+1</f>
        <v>3</v>
      </c>
      <c r="B13" s="169" t="s">
        <v>304</v>
      </c>
      <c r="C13" s="168" t="s">
        <v>305</v>
      </c>
      <c r="D13" s="169"/>
      <c r="E13" s="629">
        <f>'Pg5.2 Rev AF-1'!I25</f>
        <v>-1120209.8408678907</v>
      </c>
      <c r="F13" s="42" t="s">
        <v>42</v>
      </c>
      <c r="G13" s="629">
        <f>'Pg5.3 Rev AF-2'!I25</f>
        <v>-1130040.9641337623</v>
      </c>
      <c r="H13" s="42" t="s">
        <v>42</v>
      </c>
      <c r="I13" s="630">
        <f>(E13+G13)/2</f>
        <v>-1125125.4025008264</v>
      </c>
      <c r="J13" s="42" t="s">
        <v>42</v>
      </c>
      <c r="K13" s="168" t="s">
        <v>306</v>
      </c>
      <c r="L13" s="168">
        <f>L12+1</f>
        <v>3</v>
      </c>
      <c r="M13" s="169"/>
    </row>
    <row r="14" spans="1:14" s="223" customFormat="1" x14ac:dyDescent="0.3">
      <c r="A14" s="168">
        <f t="shared" ref="A14:A15" si="0">A13+1</f>
        <v>4</v>
      </c>
      <c r="B14" s="169"/>
      <c r="C14" s="169"/>
      <c r="D14" s="169"/>
      <c r="E14" s="169"/>
      <c r="F14" s="169"/>
      <c r="G14" s="169"/>
      <c r="H14" s="168"/>
      <c r="I14" s="168"/>
      <c r="J14" s="168"/>
      <c r="K14" s="168"/>
      <c r="L14" s="168">
        <f t="shared" ref="L14:L23" si="1">L13+1</f>
        <v>4</v>
      </c>
      <c r="M14" s="169"/>
    </row>
    <row r="15" spans="1:14" s="223" customFormat="1" x14ac:dyDescent="0.3">
      <c r="A15" s="168">
        <f t="shared" si="0"/>
        <v>5</v>
      </c>
      <c r="B15" s="169" t="s">
        <v>307</v>
      </c>
      <c r="C15" s="168" t="s">
        <v>308</v>
      </c>
      <c r="D15" s="169"/>
      <c r="E15" s="530">
        <f>'Pg5.2 Rev AF-1'!I33</f>
        <v>-5987.5143200000075</v>
      </c>
      <c r="F15" s="169"/>
      <c r="G15" s="530">
        <f>'Pg5.3 Rev AF-2'!I33</f>
        <v>-7906.4293200000075</v>
      </c>
      <c r="H15" s="168"/>
      <c r="I15" s="531">
        <f>(E15+G15)/2</f>
        <v>-6946.9718200000079</v>
      </c>
      <c r="J15" s="168"/>
      <c r="K15" s="168" t="s">
        <v>309</v>
      </c>
      <c r="L15" s="168">
        <f t="shared" si="1"/>
        <v>5</v>
      </c>
      <c r="M15" s="169"/>
      <c r="N15" s="169"/>
    </row>
    <row r="16" spans="1:14" x14ac:dyDescent="0.3">
      <c r="A16" s="168">
        <f>A15+1</f>
        <v>6</v>
      </c>
      <c r="E16" s="182"/>
      <c r="F16" s="182"/>
      <c r="G16" s="182"/>
      <c r="I16" s="182"/>
      <c r="J16" s="168"/>
      <c r="K16" s="168"/>
      <c r="L16" s="168">
        <f>L15+1</f>
        <v>6</v>
      </c>
    </row>
    <row r="17" spans="1:12" ht="18.600000000000001" thickBot="1" x14ac:dyDescent="0.35">
      <c r="A17" s="168">
        <f t="shared" ref="A17:A23" si="2">A16+1</f>
        <v>7</v>
      </c>
      <c r="B17" s="169" t="s">
        <v>310</v>
      </c>
      <c r="C17" s="168"/>
      <c r="E17" s="631">
        <f>SUM(E11:E15)</f>
        <v>-896938.23442839214</v>
      </c>
      <c r="F17" s="42" t="s">
        <v>42</v>
      </c>
      <c r="G17" s="631">
        <f>SUM(G11:G15)</f>
        <v>-971678.79744550365</v>
      </c>
      <c r="H17" s="42" t="s">
        <v>42</v>
      </c>
      <c r="I17" s="631">
        <f>SUM(I11:I15)</f>
        <v>-934308.51593694778</v>
      </c>
      <c r="J17" s="42" t="s">
        <v>42</v>
      </c>
      <c r="K17" s="533" t="s">
        <v>47</v>
      </c>
      <c r="L17" s="168">
        <f t="shared" si="1"/>
        <v>7</v>
      </c>
    </row>
    <row r="18" spans="1:12" ht="16.2" thickTop="1" x14ac:dyDescent="0.3">
      <c r="A18" s="168">
        <f t="shared" si="2"/>
        <v>8</v>
      </c>
      <c r="J18" s="168"/>
      <c r="K18" s="534"/>
      <c r="L18" s="168">
        <f t="shared" si="1"/>
        <v>8</v>
      </c>
    </row>
    <row r="19" spans="1:12" ht="16.2" thickBot="1" x14ac:dyDescent="0.35">
      <c r="A19" s="168">
        <f t="shared" si="2"/>
        <v>9</v>
      </c>
      <c r="B19" s="169" t="s">
        <v>311</v>
      </c>
      <c r="E19" s="527">
        <v>0</v>
      </c>
      <c r="F19" s="182"/>
      <c r="G19" s="527">
        <v>0</v>
      </c>
      <c r="H19" s="182"/>
      <c r="I19" s="532">
        <f>(E19+G19)/2</f>
        <v>0</v>
      </c>
      <c r="K19" s="168" t="s">
        <v>312</v>
      </c>
      <c r="L19" s="168">
        <f t="shared" si="1"/>
        <v>9</v>
      </c>
    </row>
    <row r="20" spans="1:12" ht="16.2" thickTop="1" x14ac:dyDescent="0.3">
      <c r="A20" s="168">
        <f t="shared" si="2"/>
        <v>10</v>
      </c>
      <c r="E20" s="188"/>
      <c r="F20" s="188"/>
      <c r="G20" s="188"/>
      <c r="H20" s="188"/>
      <c r="I20" s="188"/>
      <c r="K20" s="168"/>
      <c r="L20" s="168">
        <f t="shared" si="1"/>
        <v>10</v>
      </c>
    </row>
    <row r="21" spans="1:12" ht="16.2" thickBot="1" x14ac:dyDescent="0.35">
      <c r="A21" s="168">
        <f t="shared" si="2"/>
        <v>11</v>
      </c>
      <c r="B21" s="169" t="s">
        <v>313</v>
      </c>
      <c r="E21" s="527">
        <v>0</v>
      </c>
      <c r="F21" s="535"/>
      <c r="G21" s="527">
        <v>0</v>
      </c>
      <c r="H21" s="535"/>
      <c r="I21" s="532">
        <f>(E21+G21)/2</f>
        <v>0</v>
      </c>
      <c r="K21" s="168" t="s">
        <v>314</v>
      </c>
      <c r="L21" s="168">
        <f t="shared" si="1"/>
        <v>11</v>
      </c>
    </row>
    <row r="22" spans="1:12" ht="16.2" thickTop="1" x14ac:dyDescent="0.3">
      <c r="A22" s="168">
        <f t="shared" si="2"/>
        <v>12</v>
      </c>
      <c r="E22" s="188"/>
      <c r="F22" s="188"/>
      <c r="G22" s="188"/>
      <c r="H22" s="188"/>
      <c r="I22" s="188"/>
      <c r="L22" s="168">
        <f t="shared" si="1"/>
        <v>12</v>
      </c>
    </row>
    <row r="23" spans="1:12" ht="16.2" thickBot="1" x14ac:dyDescent="0.35">
      <c r="A23" s="168">
        <f t="shared" si="2"/>
        <v>13</v>
      </c>
      <c r="B23" s="169" t="s">
        <v>315</v>
      </c>
      <c r="E23" s="527">
        <v>0</v>
      </c>
      <c r="F23" s="182"/>
      <c r="G23" s="527">
        <v>0</v>
      </c>
      <c r="H23" s="182"/>
      <c r="I23" s="532">
        <f>(E23+G23)/2</f>
        <v>0</v>
      </c>
      <c r="K23" s="168" t="s">
        <v>316</v>
      </c>
      <c r="L23" s="168">
        <f t="shared" si="1"/>
        <v>13</v>
      </c>
    </row>
    <row r="24" spans="1:12" ht="16.2" thickTop="1" x14ac:dyDescent="0.3"/>
    <row r="26" spans="1:12" x14ac:dyDescent="0.3">
      <c r="A26" s="42" t="s">
        <v>42</v>
      </c>
      <c r="B26" s="632" t="s">
        <v>317</v>
      </c>
    </row>
    <row r="27" spans="1:12" ht="18" x14ac:dyDescent="0.3">
      <c r="A27" s="536">
        <v>1</v>
      </c>
      <c r="B27" s="169" t="s">
        <v>318</v>
      </c>
    </row>
    <row r="28" spans="1:12" ht="18" x14ac:dyDescent="0.3">
      <c r="A28" s="537"/>
      <c r="B28" s="175" t="s">
        <v>319</v>
      </c>
    </row>
    <row r="29" spans="1:12" ht="18" x14ac:dyDescent="0.3">
      <c r="A29" s="536">
        <v>2</v>
      </c>
      <c r="B29" s="169" t="s">
        <v>320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50" orientation="portrait" r:id="rId1"/>
  <headerFooter scaleWithDoc="0" alignWithMargins="0">
    <oddHeader>&amp;C&amp;"Times New Roman,Bold"&amp;8REVISED</oddHeader>
    <oddFooter>&amp;CPage 5&amp;R&amp;F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3AD74-0BFD-41AE-95EC-C01EB8E50782}">
  <sheetPr>
    <pageSetUpPr fitToPage="1"/>
  </sheetPr>
  <dimension ref="A1:N29"/>
  <sheetViews>
    <sheetView zoomScale="80" zoomScaleNormal="80" workbookViewId="0"/>
  </sheetViews>
  <sheetFormatPr defaultColWidth="9.109375" defaultRowHeight="15.6" x14ac:dyDescent="0.3"/>
  <cols>
    <col min="1" max="1" width="5.109375" style="168" customWidth="1"/>
    <col min="2" max="2" width="56" style="169" customWidth="1"/>
    <col min="3" max="3" width="2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16.88671875" style="169" customWidth="1"/>
    <col min="8" max="8" width="1.5546875" style="169" customWidth="1"/>
    <col min="9" max="9" width="16.88671875" style="169" customWidth="1"/>
    <col min="10" max="10" width="1.5546875" style="169" customWidth="1"/>
    <col min="11" max="11" width="34.5546875" style="169" customWidth="1"/>
    <col min="12" max="12" width="5.109375" style="169" customWidth="1"/>
    <col min="13" max="13" width="9.109375" style="169"/>
    <col min="14" max="14" width="20.44140625" style="169" bestFit="1" customWidth="1"/>
    <col min="15" max="16384" width="9.109375" style="169"/>
  </cols>
  <sheetData>
    <row r="1" spans="1:14" x14ac:dyDescent="0.3">
      <c r="A1" s="556" t="s">
        <v>283</v>
      </c>
    </row>
    <row r="2" spans="1:14" x14ac:dyDescent="0.3">
      <c r="H2" s="168"/>
      <c r="I2" s="168"/>
      <c r="J2" s="168"/>
      <c r="K2" s="168"/>
      <c r="L2" s="168"/>
    </row>
    <row r="3" spans="1:14" x14ac:dyDescent="0.3">
      <c r="B3" s="861" t="s">
        <v>217</v>
      </c>
      <c r="C3" s="861"/>
      <c r="D3" s="861"/>
      <c r="E3" s="861"/>
      <c r="F3" s="861"/>
      <c r="G3" s="861"/>
      <c r="H3" s="861"/>
      <c r="I3" s="861"/>
      <c r="J3" s="861"/>
      <c r="K3" s="861"/>
      <c r="L3" s="168"/>
    </row>
    <row r="4" spans="1:14" x14ac:dyDescent="0.3">
      <c r="B4" s="861" t="s">
        <v>292</v>
      </c>
      <c r="C4" s="861"/>
      <c r="D4" s="861"/>
      <c r="E4" s="861"/>
      <c r="F4" s="861"/>
      <c r="G4" s="861"/>
      <c r="H4" s="861"/>
      <c r="I4" s="861"/>
      <c r="J4" s="861"/>
      <c r="K4" s="861"/>
      <c r="L4" s="168"/>
    </row>
    <row r="5" spans="1:14" x14ac:dyDescent="0.3">
      <c r="B5" s="861" t="s">
        <v>293</v>
      </c>
      <c r="C5" s="861"/>
      <c r="D5" s="861"/>
      <c r="E5" s="861"/>
      <c r="F5" s="861"/>
      <c r="G5" s="861"/>
      <c r="H5" s="861"/>
      <c r="I5" s="861"/>
      <c r="J5" s="861"/>
      <c r="K5" s="861"/>
      <c r="L5" s="168"/>
    </row>
    <row r="6" spans="1:14" x14ac:dyDescent="0.3">
      <c r="B6" s="862" t="s">
        <v>294</v>
      </c>
      <c r="C6" s="862"/>
      <c r="D6" s="862"/>
      <c r="E6" s="862"/>
      <c r="F6" s="862"/>
      <c r="G6" s="862"/>
      <c r="H6" s="862"/>
      <c r="I6" s="862"/>
      <c r="J6" s="862"/>
      <c r="K6" s="862"/>
      <c r="L6" s="168"/>
    </row>
    <row r="7" spans="1:14" x14ac:dyDescent="0.3">
      <c r="B7" s="863" t="s">
        <v>3</v>
      </c>
      <c r="C7" s="864"/>
      <c r="D7" s="864"/>
      <c r="E7" s="864"/>
      <c r="F7" s="864"/>
      <c r="G7" s="864"/>
      <c r="H7" s="864"/>
      <c r="I7" s="864"/>
      <c r="J7" s="864"/>
      <c r="K7" s="864"/>
      <c r="L7" s="168"/>
    </row>
    <row r="8" spans="1:14" x14ac:dyDescent="0.3"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</row>
    <row r="9" spans="1:14" x14ac:dyDescent="0.3">
      <c r="A9" s="168" t="s">
        <v>4</v>
      </c>
      <c r="B9" s="171"/>
      <c r="C9" s="168" t="s">
        <v>295</v>
      </c>
      <c r="D9" s="171"/>
      <c r="E9" s="189" t="s">
        <v>296</v>
      </c>
      <c r="F9" s="168"/>
      <c r="G9" s="189" t="s">
        <v>297</v>
      </c>
      <c r="H9" s="168"/>
      <c r="I9" s="189" t="s">
        <v>298</v>
      </c>
      <c r="J9" s="168"/>
      <c r="K9" s="168"/>
      <c r="L9" s="168" t="s">
        <v>4</v>
      </c>
    </row>
    <row r="10" spans="1:14" x14ac:dyDescent="0.3">
      <c r="A10" s="168" t="s">
        <v>8</v>
      </c>
      <c r="C10" s="172" t="s">
        <v>299</v>
      </c>
      <c r="E10" s="548">
        <v>43830</v>
      </c>
      <c r="F10" s="466"/>
      <c r="G10" s="548">
        <v>44196</v>
      </c>
      <c r="H10" s="171"/>
      <c r="I10" s="173" t="s">
        <v>300</v>
      </c>
      <c r="J10" s="171"/>
      <c r="K10" s="172" t="s">
        <v>7</v>
      </c>
      <c r="L10" s="168" t="s">
        <v>8</v>
      </c>
    </row>
    <row r="11" spans="1:14" x14ac:dyDescent="0.3">
      <c r="H11" s="168"/>
      <c r="I11" s="168"/>
      <c r="J11" s="168"/>
      <c r="K11" s="168"/>
      <c r="L11" s="168"/>
    </row>
    <row r="12" spans="1:14" s="223" customFormat="1" x14ac:dyDescent="0.3">
      <c r="A12" s="168">
        <v>1</v>
      </c>
      <c r="B12" s="169" t="s">
        <v>301</v>
      </c>
      <c r="C12" s="168" t="s">
        <v>321</v>
      </c>
      <c r="D12" s="169"/>
      <c r="E12" s="549">
        <f>'Pg5.2A As Filed AF-1'!I19</f>
        <v>229259.12075949862</v>
      </c>
      <c r="F12" s="169"/>
      <c r="G12" s="550">
        <f>'Pg5.3A As Filed AF-2'!I19</f>
        <v>166268.59600825864</v>
      </c>
      <c r="H12" s="168"/>
      <c r="I12" s="193">
        <f>(E12+G12)/2</f>
        <v>197763.85838387863</v>
      </c>
      <c r="J12" s="168"/>
      <c r="K12" s="168" t="s">
        <v>303</v>
      </c>
      <c r="L12" s="168">
        <f>A12</f>
        <v>1</v>
      </c>
      <c r="M12" s="169"/>
    </row>
    <row r="13" spans="1:14" s="223" customFormat="1" x14ac:dyDescent="0.3">
      <c r="A13" s="168">
        <f t="shared" ref="A13:A24" si="0">A12+1</f>
        <v>2</v>
      </c>
      <c r="B13" s="169"/>
      <c r="C13" s="169"/>
      <c r="D13" s="169"/>
      <c r="E13" s="169"/>
      <c r="F13" s="169"/>
      <c r="G13" s="169"/>
      <c r="H13" s="168"/>
      <c r="I13" s="168"/>
      <c r="J13" s="168"/>
      <c r="K13" s="168"/>
      <c r="L13" s="168">
        <f>L12+1</f>
        <v>2</v>
      </c>
    </row>
    <row r="14" spans="1:14" s="223" customFormat="1" x14ac:dyDescent="0.3">
      <c r="A14" s="168">
        <f t="shared" si="0"/>
        <v>3</v>
      </c>
      <c r="B14" s="169" t="s">
        <v>304</v>
      </c>
      <c r="C14" s="168" t="s">
        <v>305</v>
      </c>
      <c r="D14" s="169"/>
      <c r="E14" s="528">
        <f>'Pg5.2A As Filed AF-1'!I26</f>
        <v>-1101175.936433366</v>
      </c>
      <c r="F14" s="169"/>
      <c r="G14" s="528">
        <f>'Pg5.3A As Filed AF-2'!I26</f>
        <v>-1108871.2753609668</v>
      </c>
      <c r="H14" s="168"/>
      <c r="I14" s="529">
        <f>(E14+G14)/2</f>
        <v>-1105023.6058971663</v>
      </c>
      <c r="J14" s="168"/>
      <c r="K14" s="168" t="s">
        <v>322</v>
      </c>
      <c r="L14" s="168">
        <f>L13+1</f>
        <v>3</v>
      </c>
      <c r="M14" s="169"/>
    </row>
    <row r="15" spans="1:14" s="223" customFormat="1" x14ac:dyDescent="0.3">
      <c r="A15" s="168">
        <f t="shared" si="0"/>
        <v>4</v>
      </c>
      <c r="B15" s="169"/>
      <c r="C15" s="169"/>
      <c r="D15" s="169"/>
      <c r="E15" s="169"/>
      <c r="F15" s="169"/>
      <c r="G15" s="169"/>
      <c r="H15" s="168"/>
      <c r="I15" s="168"/>
      <c r="J15" s="168"/>
      <c r="K15" s="168"/>
      <c r="L15" s="168">
        <f t="shared" ref="L15:L21" si="1">L14+1</f>
        <v>4</v>
      </c>
      <c r="M15" s="169"/>
    </row>
    <row r="16" spans="1:14" s="223" customFormat="1" x14ac:dyDescent="0.3">
      <c r="A16" s="168">
        <f t="shared" si="0"/>
        <v>5</v>
      </c>
      <c r="B16" s="169" t="s">
        <v>307</v>
      </c>
      <c r="C16" s="168" t="s">
        <v>323</v>
      </c>
      <c r="D16" s="169"/>
      <c r="E16" s="551">
        <f>'Pg5.2A As Filed AF-1'!I34</f>
        <v>-5987.5143200000075</v>
      </c>
      <c r="F16" s="169"/>
      <c r="G16" s="437">
        <f>'Pg5.3A As Filed AF-2'!I34</f>
        <v>-7906.4293200000075</v>
      </c>
      <c r="H16" s="168"/>
      <c r="I16" s="531">
        <f>(E16+G16)/2</f>
        <v>-6946.9718200000079</v>
      </c>
      <c r="J16" s="168"/>
      <c r="K16" s="168" t="s">
        <v>309</v>
      </c>
      <c r="L16" s="168">
        <f t="shared" si="1"/>
        <v>5</v>
      </c>
      <c r="M16" s="169"/>
      <c r="N16" s="169"/>
    </row>
    <row r="17" spans="1:12" x14ac:dyDescent="0.3">
      <c r="A17" s="168">
        <f t="shared" si="0"/>
        <v>6</v>
      </c>
      <c r="E17" s="314"/>
      <c r="F17" s="314"/>
      <c r="G17" s="314"/>
      <c r="I17" s="314"/>
      <c r="J17" s="168"/>
      <c r="K17" s="168"/>
      <c r="L17" s="168">
        <f>L16+1</f>
        <v>6</v>
      </c>
    </row>
    <row r="18" spans="1:12" ht="18.600000000000001" thickBot="1" x14ac:dyDescent="0.35">
      <c r="A18" s="168">
        <f t="shared" si="0"/>
        <v>7</v>
      </c>
      <c r="B18" s="169" t="s">
        <v>324</v>
      </c>
      <c r="C18" s="168"/>
      <c r="E18" s="340">
        <f>SUM(E12:E16)</f>
        <v>-877904.32999386743</v>
      </c>
      <c r="F18" s="552"/>
      <c r="G18" s="340">
        <f>SUM(G12:G16)</f>
        <v>-950509.10867270816</v>
      </c>
      <c r="H18" s="552"/>
      <c r="I18" s="340">
        <f>SUM(I12:I16)</f>
        <v>-914206.71933328768</v>
      </c>
      <c r="J18" s="168"/>
      <c r="K18" s="533" t="s">
        <v>47</v>
      </c>
      <c r="L18" s="168">
        <f t="shared" si="1"/>
        <v>7</v>
      </c>
    </row>
    <row r="19" spans="1:12" ht="16.2" thickTop="1" x14ac:dyDescent="0.3">
      <c r="A19" s="168">
        <f t="shared" si="0"/>
        <v>8</v>
      </c>
      <c r="J19" s="168"/>
      <c r="K19" s="534"/>
      <c r="L19" s="168">
        <f t="shared" si="1"/>
        <v>8</v>
      </c>
    </row>
    <row r="20" spans="1:12" ht="16.2" thickBot="1" x14ac:dyDescent="0.35">
      <c r="A20" s="168">
        <f t="shared" si="0"/>
        <v>9</v>
      </c>
      <c r="B20" s="169" t="s">
        <v>311</v>
      </c>
      <c r="E20" s="553">
        <v>0</v>
      </c>
      <c r="F20" s="193"/>
      <c r="G20" s="553">
        <v>0</v>
      </c>
      <c r="H20" s="314"/>
      <c r="I20" s="554">
        <f>(E20+G20)/2</f>
        <v>0</v>
      </c>
      <c r="K20" s="168" t="s">
        <v>312</v>
      </c>
      <c r="L20" s="168">
        <f t="shared" si="1"/>
        <v>9</v>
      </c>
    </row>
    <row r="21" spans="1:12" ht="16.2" thickTop="1" x14ac:dyDescent="0.3">
      <c r="A21" s="168">
        <f t="shared" si="0"/>
        <v>10</v>
      </c>
      <c r="E21" s="188"/>
      <c r="F21" s="188"/>
      <c r="G21" s="188"/>
      <c r="H21" s="188"/>
      <c r="I21" s="188"/>
      <c r="K21" s="168"/>
      <c r="L21" s="168">
        <f t="shared" si="1"/>
        <v>10</v>
      </c>
    </row>
    <row r="22" spans="1:12" ht="16.2" thickBot="1" x14ac:dyDescent="0.35">
      <c r="A22" s="168">
        <f t="shared" si="0"/>
        <v>11</v>
      </c>
      <c r="B22" s="169" t="s">
        <v>313</v>
      </c>
      <c r="E22" s="553">
        <v>0</v>
      </c>
      <c r="F22" s="334"/>
      <c r="G22" s="553">
        <v>0</v>
      </c>
      <c r="H22" s="555"/>
      <c r="I22" s="554">
        <f>(E22+G22)/2</f>
        <v>0</v>
      </c>
      <c r="K22" s="168" t="s">
        <v>314</v>
      </c>
      <c r="L22" s="168">
        <f>L21+1</f>
        <v>11</v>
      </c>
    </row>
    <row r="23" spans="1:12" ht="16.2" thickTop="1" x14ac:dyDescent="0.3">
      <c r="A23" s="168">
        <f t="shared" si="0"/>
        <v>12</v>
      </c>
      <c r="E23" s="188"/>
      <c r="F23" s="188"/>
      <c r="G23" s="188"/>
      <c r="H23" s="188"/>
      <c r="I23" s="188"/>
      <c r="L23" s="168">
        <f>L22+1</f>
        <v>12</v>
      </c>
    </row>
    <row r="24" spans="1:12" ht="16.2" thickBot="1" x14ac:dyDescent="0.35">
      <c r="A24" s="168">
        <f t="shared" si="0"/>
        <v>13</v>
      </c>
      <c r="B24" s="169" t="s">
        <v>315</v>
      </c>
      <c r="E24" s="553">
        <v>0</v>
      </c>
      <c r="F24" s="193"/>
      <c r="G24" s="553">
        <v>0</v>
      </c>
      <c r="H24" s="314"/>
      <c r="I24" s="554">
        <f>(E24+G24)/2</f>
        <v>0</v>
      </c>
      <c r="K24" s="168" t="s">
        <v>316</v>
      </c>
      <c r="L24" s="168">
        <f>L23+1</f>
        <v>13</v>
      </c>
    </row>
    <row r="25" spans="1:12" ht="16.2" thickTop="1" x14ac:dyDescent="0.3"/>
    <row r="27" spans="1:12" ht="18" x14ac:dyDescent="0.3">
      <c r="A27" s="498">
        <v>1</v>
      </c>
      <c r="B27" s="169" t="s">
        <v>318</v>
      </c>
    </row>
    <row r="28" spans="1:12" ht="18" x14ac:dyDescent="0.3">
      <c r="A28" s="537"/>
      <c r="B28" s="175" t="s">
        <v>319</v>
      </c>
    </row>
    <row r="29" spans="1:12" x14ac:dyDescent="0.3">
      <c r="A29" s="169"/>
    </row>
  </sheetData>
  <mergeCells count="5">
    <mergeCell ref="B3:K3"/>
    <mergeCell ref="B4:K4"/>
    <mergeCell ref="B5:K5"/>
    <mergeCell ref="B6:K6"/>
    <mergeCell ref="B7:K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Roman,Bold"&amp;8AS FILED</oddHeader>
    <oddFooter>&amp;CPage 5.1&amp;R&amp;F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BD4C9-6018-4062-A1BB-AF471FF311DA}">
  <sheetPr>
    <pageSetUpPr fitToPage="1"/>
  </sheetPr>
  <dimension ref="A2:L36"/>
  <sheetViews>
    <sheetView zoomScale="80" zoomScaleNormal="80" workbookViewId="0"/>
  </sheetViews>
  <sheetFormatPr defaultColWidth="8.88671875" defaultRowHeight="15.6" x14ac:dyDescent="0.3"/>
  <cols>
    <col min="1" max="1" width="5.88671875" style="168" customWidth="1"/>
    <col min="2" max="2" width="50.88671875" style="169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16.88671875" style="169" customWidth="1"/>
    <col min="8" max="8" width="1.5546875" style="169" customWidth="1"/>
    <col min="9" max="9" width="23.44140625" style="169" bestFit="1" customWidth="1"/>
    <col min="10" max="10" width="2.109375" style="169" bestFit="1" customWidth="1"/>
    <col min="11" max="11" width="62.5546875" style="169" customWidth="1"/>
    <col min="12" max="12" width="5.109375" style="168" customWidth="1"/>
    <col min="13" max="16384" width="8.88671875" style="169"/>
  </cols>
  <sheetData>
    <row r="2" spans="1:12" x14ac:dyDescent="0.3">
      <c r="B2" s="861" t="s">
        <v>217</v>
      </c>
      <c r="C2" s="861"/>
      <c r="D2" s="861"/>
      <c r="E2" s="861"/>
      <c r="F2" s="861"/>
      <c r="G2" s="861"/>
      <c r="H2" s="861"/>
      <c r="I2" s="861"/>
      <c r="J2" s="861"/>
      <c r="K2" s="861"/>
    </row>
    <row r="3" spans="1:12" x14ac:dyDescent="0.3">
      <c r="B3" s="861" t="s">
        <v>325</v>
      </c>
      <c r="C3" s="861"/>
      <c r="D3" s="861"/>
      <c r="E3" s="861"/>
      <c r="F3" s="861"/>
      <c r="G3" s="861"/>
      <c r="H3" s="861"/>
      <c r="I3" s="861"/>
      <c r="J3" s="861"/>
      <c r="K3" s="861"/>
    </row>
    <row r="4" spans="1:12" x14ac:dyDescent="0.3">
      <c r="B4" s="861" t="s">
        <v>326</v>
      </c>
      <c r="C4" s="861"/>
      <c r="D4" s="861"/>
      <c r="E4" s="861"/>
      <c r="F4" s="861"/>
      <c r="G4" s="861"/>
      <c r="H4" s="861"/>
      <c r="I4" s="861"/>
      <c r="J4" s="861"/>
      <c r="K4" s="861"/>
    </row>
    <row r="5" spans="1:12" x14ac:dyDescent="0.3">
      <c r="B5" s="861" t="s">
        <v>327</v>
      </c>
      <c r="C5" s="861"/>
      <c r="D5" s="861"/>
      <c r="E5" s="861"/>
      <c r="F5" s="861"/>
      <c r="G5" s="861"/>
      <c r="H5" s="861"/>
      <c r="I5" s="861"/>
      <c r="J5" s="861"/>
      <c r="K5" s="861"/>
    </row>
    <row r="6" spans="1:12" x14ac:dyDescent="0.3">
      <c r="B6" s="863" t="s">
        <v>3</v>
      </c>
      <c r="C6" s="863"/>
      <c r="D6" s="863"/>
      <c r="E6" s="863"/>
      <c r="F6" s="863"/>
      <c r="G6" s="863"/>
      <c r="H6" s="863"/>
      <c r="I6" s="863"/>
      <c r="J6" s="863"/>
      <c r="K6" s="863"/>
    </row>
    <row r="8" spans="1:12" x14ac:dyDescent="0.3">
      <c r="B8" s="188"/>
      <c r="C8" s="305" t="s">
        <v>296</v>
      </c>
      <c r="D8" s="305"/>
      <c r="E8" s="305" t="s">
        <v>297</v>
      </c>
      <c r="F8" s="305"/>
      <c r="G8" s="305" t="s">
        <v>328</v>
      </c>
      <c r="H8" s="305"/>
      <c r="I8" s="305" t="s">
        <v>329</v>
      </c>
      <c r="J8" s="305"/>
      <c r="K8" s="305"/>
    </row>
    <row r="9" spans="1:12" x14ac:dyDescent="0.3">
      <c r="A9" s="168" t="s">
        <v>4</v>
      </c>
      <c r="B9" s="188"/>
      <c r="C9" s="305" t="s">
        <v>330</v>
      </c>
      <c r="D9" s="305"/>
      <c r="E9" s="305" t="s">
        <v>331</v>
      </c>
      <c r="F9" s="305"/>
      <c r="G9" s="305" t="s">
        <v>331</v>
      </c>
      <c r="H9" s="305"/>
      <c r="I9" s="305"/>
      <c r="J9" s="305"/>
      <c r="K9" s="305"/>
      <c r="L9" s="168" t="s">
        <v>4</v>
      </c>
    </row>
    <row r="10" spans="1:12" x14ac:dyDescent="0.3">
      <c r="A10" s="168" t="s">
        <v>8</v>
      </c>
      <c r="B10" s="190" t="s">
        <v>5</v>
      </c>
      <c r="C10" s="310" t="s">
        <v>332</v>
      </c>
      <c r="D10" s="310"/>
      <c r="E10" s="310" t="s">
        <v>333</v>
      </c>
      <c r="F10" s="310"/>
      <c r="G10" s="310" t="s">
        <v>334</v>
      </c>
      <c r="H10" s="310"/>
      <c r="I10" s="190" t="s">
        <v>335</v>
      </c>
      <c r="J10" s="190"/>
      <c r="K10" s="190" t="s">
        <v>7</v>
      </c>
      <c r="L10" s="168" t="s">
        <v>8</v>
      </c>
    </row>
    <row r="11" spans="1:12" x14ac:dyDescent="0.3">
      <c r="B11" s="188"/>
      <c r="C11" s="317"/>
      <c r="D11" s="317"/>
      <c r="E11" s="317"/>
      <c r="F11" s="317"/>
      <c r="G11" s="317"/>
      <c r="H11" s="317"/>
      <c r="I11" s="180"/>
      <c r="J11" s="180"/>
      <c r="K11" s="180"/>
    </row>
    <row r="12" spans="1:12" x14ac:dyDescent="0.3">
      <c r="A12" s="168">
        <v>1</v>
      </c>
      <c r="B12" s="175" t="s">
        <v>336</v>
      </c>
      <c r="C12" s="318"/>
      <c r="D12" s="318"/>
      <c r="E12" s="318"/>
      <c r="F12" s="318"/>
      <c r="G12" s="318"/>
      <c r="H12" s="318"/>
      <c r="I12" s="180"/>
      <c r="J12" s="180"/>
      <c r="K12" s="180"/>
      <c r="L12" s="168">
        <f>A12</f>
        <v>1</v>
      </c>
    </row>
    <row r="13" spans="1:12" x14ac:dyDescent="0.3">
      <c r="A13" s="168">
        <f>A12+1</f>
        <v>2</v>
      </c>
      <c r="B13" s="175" t="s">
        <v>337</v>
      </c>
      <c r="C13" s="185">
        <v>772.52322837828797</v>
      </c>
      <c r="D13" s="185"/>
      <c r="E13" s="185">
        <v>0</v>
      </c>
      <c r="F13" s="185"/>
      <c r="G13" s="185">
        <v>214.49058265600002</v>
      </c>
      <c r="H13" s="557"/>
      <c r="I13" s="314">
        <f>SUM(C13:G13)</f>
        <v>987.01381103428798</v>
      </c>
      <c r="J13" s="314"/>
      <c r="K13" s="280" t="s">
        <v>338</v>
      </c>
      <c r="L13" s="168">
        <f>L12+1</f>
        <v>2</v>
      </c>
    </row>
    <row r="14" spans="1:12" x14ac:dyDescent="0.3">
      <c r="A14" s="168">
        <f t="shared" ref="A14:A33" si="0">A13+1</f>
        <v>3</v>
      </c>
      <c r="B14" s="175" t="s">
        <v>339</v>
      </c>
      <c r="C14" s="215">
        <v>245.18064680224461</v>
      </c>
      <c r="D14" s="215"/>
      <c r="E14" s="215">
        <v>0</v>
      </c>
      <c r="F14" s="215"/>
      <c r="G14" s="215">
        <v>555.45000000000005</v>
      </c>
      <c r="H14" s="215"/>
      <c r="I14" s="179">
        <f>SUM(C14:G14)</f>
        <v>800.63064680224466</v>
      </c>
      <c r="J14" s="179"/>
      <c r="K14" s="280" t="s">
        <v>338</v>
      </c>
      <c r="L14" s="168">
        <f t="shared" ref="L14:L33" si="1">L13+1</f>
        <v>3</v>
      </c>
    </row>
    <row r="15" spans="1:12" x14ac:dyDescent="0.3">
      <c r="A15" s="168">
        <f t="shared" si="0"/>
        <v>4</v>
      </c>
      <c r="B15" s="175" t="s">
        <v>340</v>
      </c>
      <c r="C15" s="215">
        <v>119232.95199162784</v>
      </c>
      <c r="D15" s="215"/>
      <c r="E15" s="215">
        <v>108238.52431003426</v>
      </c>
      <c r="F15" s="215"/>
      <c r="G15" s="215">
        <v>0</v>
      </c>
      <c r="H15" s="215"/>
      <c r="I15" s="179">
        <f>SUM(C15:G15)</f>
        <v>227471.4763016621</v>
      </c>
      <c r="J15" s="179"/>
      <c r="K15" s="280" t="s">
        <v>338</v>
      </c>
      <c r="L15" s="168">
        <f t="shared" si="1"/>
        <v>4</v>
      </c>
    </row>
    <row r="16" spans="1:12" x14ac:dyDescent="0.3">
      <c r="A16" s="168">
        <f t="shared" si="0"/>
        <v>5</v>
      </c>
      <c r="B16" s="175"/>
      <c r="C16" s="215">
        <v>0</v>
      </c>
      <c r="D16" s="179"/>
      <c r="E16" s="215">
        <v>0</v>
      </c>
      <c r="F16" s="215"/>
      <c r="G16" s="215">
        <v>0</v>
      </c>
      <c r="H16" s="179"/>
      <c r="I16" s="179">
        <f>SUM(C16:G16)</f>
        <v>0</v>
      </c>
      <c r="J16" s="179"/>
      <c r="K16" s="179"/>
      <c r="L16" s="168">
        <f t="shared" si="1"/>
        <v>5</v>
      </c>
    </row>
    <row r="17" spans="1:12" x14ac:dyDescent="0.3">
      <c r="A17" s="168">
        <f t="shared" si="0"/>
        <v>6</v>
      </c>
      <c r="C17" s="179">
        <v>0</v>
      </c>
      <c r="D17" s="179"/>
      <c r="E17" s="179">
        <v>0</v>
      </c>
      <c r="F17" s="179"/>
      <c r="G17" s="179">
        <v>0</v>
      </c>
      <c r="H17" s="179"/>
      <c r="I17" s="179">
        <f>SUM(C17:G17)</f>
        <v>0</v>
      </c>
      <c r="J17" s="179"/>
      <c r="K17" s="179"/>
      <c r="L17" s="168">
        <f t="shared" si="1"/>
        <v>6</v>
      </c>
    </row>
    <row r="18" spans="1:12" ht="16.2" thickBot="1" x14ac:dyDescent="0.35">
      <c r="A18" s="168">
        <f t="shared" si="0"/>
        <v>7</v>
      </c>
      <c r="B18" s="184" t="s">
        <v>341</v>
      </c>
      <c r="C18" s="452">
        <f>SUM(C13:C17)</f>
        <v>120250.65586680837</v>
      </c>
      <c r="D18" s="179"/>
      <c r="E18" s="452">
        <f>SUM(E13:E17)</f>
        <v>108238.52431003426</v>
      </c>
      <c r="F18" s="193"/>
      <c r="G18" s="452">
        <f>SUM(G13:G17)</f>
        <v>769.94058265600006</v>
      </c>
      <c r="H18" s="179"/>
      <c r="I18" s="452">
        <f>SUM(I13:I17)</f>
        <v>229259.12075949862</v>
      </c>
      <c r="J18" s="193"/>
      <c r="K18" s="313" t="s">
        <v>342</v>
      </c>
      <c r="L18" s="168">
        <f t="shared" si="1"/>
        <v>7</v>
      </c>
    </row>
    <row r="19" spans="1:12" ht="16.2" thickTop="1" x14ac:dyDescent="0.3">
      <c r="A19" s="168">
        <f t="shared" si="0"/>
        <v>8</v>
      </c>
      <c r="C19" s="322"/>
      <c r="D19" s="322"/>
      <c r="E19" s="322"/>
      <c r="F19" s="322"/>
      <c r="G19" s="322"/>
      <c r="H19" s="322"/>
      <c r="I19" s="322"/>
      <c r="J19" s="322"/>
      <c r="K19" s="322"/>
      <c r="L19" s="168">
        <f t="shared" si="1"/>
        <v>8</v>
      </c>
    </row>
    <row r="20" spans="1:12" x14ac:dyDescent="0.3">
      <c r="A20" s="168">
        <f t="shared" si="0"/>
        <v>9</v>
      </c>
      <c r="B20" s="175" t="s">
        <v>343</v>
      </c>
      <c r="C20" s="318"/>
      <c r="D20" s="318"/>
      <c r="E20" s="318"/>
      <c r="F20" s="318"/>
      <c r="G20" s="318"/>
      <c r="H20" s="318"/>
      <c r="I20" s="180"/>
      <c r="J20" s="180"/>
      <c r="K20" s="180"/>
      <c r="L20" s="168">
        <f t="shared" si="1"/>
        <v>9</v>
      </c>
    </row>
    <row r="21" spans="1:12" x14ac:dyDescent="0.3">
      <c r="A21" s="168">
        <f t="shared" si="0"/>
        <v>10</v>
      </c>
      <c r="B21" s="539" t="s">
        <v>344</v>
      </c>
      <c r="C21" s="329">
        <v>-733916.84893159161</v>
      </c>
      <c r="D21" s="42" t="s">
        <v>42</v>
      </c>
      <c r="E21" s="329">
        <v>-378242.87900000002</v>
      </c>
      <c r="F21" s="42" t="s">
        <v>42</v>
      </c>
      <c r="G21" s="314">
        <v>-8050.1129362991414</v>
      </c>
      <c r="H21" s="314"/>
      <c r="I21" s="329">
        <f>SUM(C21:G21)</f>
        <v>-1120209.8408678907</v>
      </c>
      <c r="J21" s="42" t="s">
        <v>42</v>
      </c>
      <c r="K21" s="280" t="s">
        <v>345</v>
      </c>
      <c r="L21" s="168">
        <f t="shared" si="1"/>
        <v>10</v>
      </c>
    </row>
    <row r="22" spans="1:12" x14ac:dyDescent="0.3">
      <c r="A22" s="168">
        <f t="shared" si="0"/>
        <v>11</v>
      </c>
      <c r="C22" s="179">
        <v>0</v>
      </c>
      <c r="D22" s="179"/>
      <c r="E22" s="179">
        <v>0</v>
      </c>
      <c r="F22" s="179"/>
      <c r="G22" s="179">
        <v>0</v>
      </c>
      <c r="H22" s="179"/>
      <c r="I22" s="179">
        <f>SUM(C22:G22)</f>
        <v>0</v>
      </c>
      <c r="J22" s="179"/>
      <c r="K22" s="179"/>
      <c r="L22" s="168">
        <f t="shared" si="1"/>
        <v>11</v>
      </c>
    </row>
    <row r="23" spans="1:12" x14ac:dyDescent="0.3">
      <c r="A23" s="168">
        <f t="shared" si="0"/>
        <v>12</v>
      </c>
      <c r="C23" s="179">
        <v>0</v>
      </c>
      <c r="D23" s="179"/>
      <c r="E23" s="179">
        <v>0</v>
      </c>
      <c r="F23" s="179"/>
      <c r="G23" s="179">
        <v>0</v>
      </c>
      <c r="H23" s="179"/>
      <c r="I23" s="179">
        <f>SUM(C23:G23)</f>
        <v>0</v>
      </c>
      <c r="J23" s="179"/>
      <c r="K23" s="179"/>
      <c r="L23" s="168">
        <f t="shared" si="1"/>
        <v>12</v>
      </c>
    </row>
    <row r="24" spans="1:12" x14ac:dyDescent="0.3">
      <c r="A24" s="168">
        <f t="shared" si="0"/>
        <v>13</v>
      </c>
      <c r="C24" s="179">
        <v>0</v>
      </c>
      <c r="D24" s="179"/>
      <c r="E24" s="179">
        <v>0</v>
      </c>
      <c r="F24" s="179"/>
      <c r="G24" s="179">
        <v>0</v>
      </c>
      <c r="H24" s="179"/>
      <c r="I24" s="179">
        <f>SUM(C24:G24)</f>
        <v>0</v>
      </c>
      <c r="J24" s="179"/>
      <c r="K24" s="179"/>
      <c r="L24" s="168">
        <f t="shared" si="1"/>
        <v>13</v>
      </c>
    </row>
    <row r="25" spans="1:12" ht="16.2" thickBot="1" x14ac:dyDescent="0.35">
      <c r="A25" s="168">
        <f t="shared" si="0"/>
        <v>14</v>
      </c>
      <c r="B25" s="184" t="s">
        <v>346</v>
      </c>
      <c r="C25" s="320">
        <f>SUM(C21:C24)</f>
        <v>-733916.84893159161</v>
      </c>
      <c r="D25" s="42" t="s">
        <v>42</v>
      </c>
      <c r="E25" s="320">
        <f>SUM(E21:E24)</f>
        <v>-378242.87900000002</v>
      </c>
      <c r="F25" s="42" t="s">
        <v>42</v>
      </c>
      <c r="G25" s="452">
        <f>SUM(G21:G24)</f>
        <v>-8050.1129362991414</v>
      </c>
      <c r="H25" s="179"/>
      <c r="I25" s="320">
        <f>SUM(I21:I24)</f>
        <v>-1120209.8408678907</v>
      </c>
      <c r="J25" s="42" t="s">
        <v>42</v>
      </c>
      <c r="K25" s="313" t="s">
        <v>347</v>
      </c>
      <c r="L25" s="168">
        <f t="shared" si="1"/>
        <v>14</v>
      </c>
    </row>
    <row r="26" spans="1:12" ht="16.2" thickTop="1" x14ac:dyDescent="0.3">
      <c r="A26" s="168">
        <f t="shared" si="0"/>
        <v>15</v>
      </c>
      <c r="L26" s="168">
        <f t="shared" si="1"/>
        <v>15</v>
      </c>
    </row>
    <row r="27" spans="1:12" x14ac:dyDescent="0.3">
      <c r="A27" s="168">
        <f t="shared" si="0"/>
        <v>16</v>
      </c>
      <c r="B27" s="175" t="s">
        <v>348</v>
      </c>
      <c r="C27" s="318"/>
      <c r="D27" s="318"/>
      <c r="E27" s="318"/>
      <c r="F27" s="318"/>
      <c r="G27" s="318"/>
      <c r="H27" s="318"/>
      <c r="I27" s="180"/>
      <c r="J27" s="180"/>
      <c r="K27" s="168"/>
      <c r="L27" s="168">
        <f t="shared" si="1"/>
        <v>16</v>
      </c>
    </row>
    <row r="28" spans="1:12" x14ac:dyDescent="0.3">
      <c r="A28" s="168">
        <f t="shared" si="0"/>
        <v>17</v>
      </c>
      <c r="B28" s="175" t="s">
        <v>349</v>
      </c>
      <c r="C28" s="185">
        <v>-5987.5143200000075</v>
      </c>
      <c r="D28" s="185"/>
      <c r="E28" s="185">
        <v>0</v>
      </c>
      <c r="F28" s="185"/>
      <c r="G28" s="185">
        <v>0</v>
      </c>
      <c r="H28" s="557"/>
      <c r="I28" s="314">
        <f>SUM(C28:G28)</f>
        <v>-5987.5143200000075</v>
      </c>
      <c r="J28" s="314"/>
      <c r="K28" s="280" t="s">
        <v>350</v>
      </c>
      <c r="L28" s="168">
        <f t="shared" si="1"/>
        <v>17</v>
      </c>
    </row>
    <row r="29" spans="1:12" x14ac:dyDescent="0.3">
      <c r="A29" s="168">
        <f t="shared" si="0"/>
        <v>18</v>
      </c>
      <c r="B29" s="175"/>
      <c r="C29" s="215">
        <v>0</v>
      </c>
      <c r="D29" s="179"/>
      <c r="E29" s="215">
        <v>0</v>
      </c>
      <c r="F29" s="215"/>
      <c r="G29" s="215">
        <v>0</v>
      </c>
      <c r="H29" s="179"/>
      <c r="I29" s="179">
        <f>SUM(C29:G29)</f>
        <v>0</v>
      </c>
      <c r="J29" s="179"/>
      <c r="K29" s="168"/>
      <c r="L29" s="168">
        <f t="shared" si="1"/>
        <v>18</v>
      </c>
    </row>
    <row r="30" spans="1:12" x14ac:dyDescent="0.3">
      <c r="A30" s="168">
        <f t="shared" si="0"/>
        <v>19</v>
      </c>
      <c r="B30" s="175"/>
      <c r="C30" s="179">
        <v>0</v>
      </c>
      <c r="D30" s="179"/>
      <c r="E30" s="179">
        <v>0</v>
      </c>
      <c r="F30" s="179"/>
      <c r="G30" s="179">
        <v>0</v>
      </c>
      <c r="H30" s="179"/>
      <c r="I30" s="179">
        <f>SUM(C30:G30)</f>
        <v>0</v>
      </c>
      <c r="J30" s="179"/>
      <c r="K30" s="179"/>
      <c r="L30" s="168">
        <f t="shared" si="1"/>
        <v>19</v>
      </c>
    </row>
    <row r="31" spans="1:12" x14ac:dyDescent="0.3">
      <c r="A31" s="168">
        <f t="shared" si="0"/>
        <v>20</v>
      </c>
      <c r="B31" s="175"/>
      <c r="C31" s="179">
        <v>0</v>
      </c>
      <c r="D31" s="179"/>
      <c r="E31" s="179">
        <v>0</v>
      </c>
      <c r="F31" s="179"/>
      <c r="G31" s="179">
        <v>0</v>
      </c>
      <c r="H31" s="179"/>
      <c r="I31" s="179">
        <f>SUM(C31:G31)</f>
        <v>0</v>
      </c>
      <c r="J31" s="179"/>
      <c r="K31" s="179"/>
      <c r="L31" s="168">
        <f t="shared" si="1"/>
        <v>20</v>
      </c>
    </row>
    <row r="32" spans="1:12" x14ac:dyDescent="0.3">
      <c r="A32" s="168">
        <f t="shared" si="0"/>
        <v>21</v>
      </c>
      <c r="B32" s="175"/>
      <c r="C32" s="179">
        <v>0</v>
      </c>
      <c r="D32" s="179"/>
      <c r="E32" s="179">
        <v>0</v>
      </c>
      <c r="F32" s="179"/>
      <c r="G32" s="179">
        <v>0</v>
      </c>
      <c r="H32" s="179"/>
      <c r="I32" s="179">
        <f>SUM(C32:G32)</f>
        <v>0</v>
      </c>
      <c r="J32" s="179"/>
      <c r="K32" s="179"/>
      <c r="L32" s="168">
        <f t="shared" si="1"/>
        <v>21</v>
      </c>
    </row>
    <row r="33" spans="1:12" ht="16.2" thickBot="1" x14ac:dyDescent="0.35">
      <c r="A33" s="168">
        <f t="shared" si="0"/>
        <v>22</v>
      </c>
      <c r="B33" s="184" t="s">
        <v>351</v>
      </c>
      <c r="C33" s="452">
        <f>SUM(C28:C32)</f>
        <v>-5987.5143200000075</v>
      </c>
      <c r="D33" s="179"/>
      <c r="E33" s="452">
        <f>SUM(E28:E32)</f>
        <v>0</v>
      </c>
      <c r="F33" s="193"/>
      <c r="G33" s="452">
        <f>SUM(G28:G32)</f>
        <v>0</v>
      </c>
      <c r="H33" s="179"/>
      <c r="I33" s="452">
        <f>SUM(I28:I32)</f>
        <v>-5987.5143200000075</v>
      </c>
      <c r="J33" s="193"/>
      <c r="K33" s="313" t="s">
        <v>352</v>
      </c>
      <c r="L33" s="168">
        <f t="shared" si="1"/>
        <v>22</v>
      </c>
    </row>
    <row r="34" spans="1:12" ht="16.2" thickTop="1" x14ac:dyDescent="0.3"/>
    <row r="36" spans="1:12" x14ac:dyDescent="0.3">
      <c r="A36" s="42" t="s">
        <v>42</v>
      </c>
      <c r="B36" s="12" t="str">
        <f>'Pg5 Rev Stmt AF'!B26</f>
        <v>Items in BOLD have changed due to the removal of CIAC related ADIT per TO5 Cycle 4 Letter Order determination in ER22-527 as compared to the original TO5 Cycle 4 filing.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65" orientation="landscape" r:id="rId1"/>
  <headerFooter scaleWithDoc="0" alignWithMargins="0">
    <oddHeader>&amp;C&amp;"Times New Roman,Bold"&amp;8REVISED</oddHeader>
    <oddFooter>&amp;CPAGE 5.2&amp;R&amp;F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6AEA2-0969-4EF3-8297-EC6BEA4B4A64}">
  <sheetPr>
    <pageSetUpPr fitToPage="1"/>
  </sheetPr>
  <dimension ref="A1:K35"/>
  <sheetViews>
    <sheetView zoomScale="80" zoomScaleNormal="80" workbookViewId="0"/>
  </sheetViews>
  <sheetFormatPr defaultColWidth="8.88671875" defaultRowHeight="15.6" x14ac:dyDescent="0.3"/>
  <cols>
    <col min="1" max="1" width="5.88671875" style="168" customWidth="1"/>
    <col min="2" max="2" width="50.88671875" style="169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16.88671875" style="169" customWidth="1"/>
    <col min="8" max="8" width="1.5546875" style="169" customWidth="1"/>
    <col min="9" max="9" width="23.44140625" style="169" bestFit="1" customWidth="1"/>
    <col min="10" max="10" width="62.5546875" style="169" customWidth="1"/>
    <col min="11" max="11" width="5.109375" style="168" customWidth="1"/>
    <col min="12" max="16384" width="8.88671875" style="169"/>
  </cols>
  <sheetData>
    <row r="1" spans="1:11" x14ac:dyDescent="0.3">
      <c r="A1" s="556" t="s">
        <v>283</v>
      </c>
    </row>
    <row r="3" spans="1:11" x14ac:dyDescent="0.3">
      <c r="B3" s="861" t="s">
        <v>217</v>
      </c>
      <c r="C3" s="861"/>
      <c r="D3" s="861"/>
      <c r="E3" s="861"/>
      <c r="F3" s="861"/>
      <c r="G3" s="861"/>
      <c r="H3" s="861"/>
      <c r="I3" s="861"/>
      <c r="J3" s="861"/>
    </row>
    <row r="4" spans="1:11" x14ac:dyDescent="0.3">
      <c r="B4" s="861" t="s">
        <v>325</v>
      </c>
      <c r="C4" s="861"/>
      <c r="D4" s="861"/>
      <c r="E4" s="861"/>
      <c r="F4" s="861"/>
      <c r="G4" s="861"/>
      <c r="H4" s="861"/>
      <c r="I4" s="861"/>
      <c r="J4" s="861"/>
    </row>
    <row r="5" spans="1:11" x14ac:dyDescent="0.3">
      <c r="B5" s="861" t="s">
        <v>326</v>
      </c>
      <c r="C5" s="861"/>
      <c r="D5" s="861"/>
      <c r="E5" s="861"/>
      <c r="F5" s="861"/>
      <c r="G5" s="861"/>
      <c r="H5" s="861"/>
      <c r="I5" s="861"/>
      <c r="J5" s="861"/>
    </row>
    <row r="6" spans="1:11" x14ac:dyDescent="0.3">
      <c r="B6" s="861" t="s">
        <v>327</v>
      </c>
      <c r="C6" s="861"/>
      <c r="D6" s="861"/>
      <c r="E6" s="861"/>
      <c r="F6" s="861"/>
      <c r="G6" s="861"/>
      <c r="H6" s="861"/>
      <c r="I6" s="861"/>
      <c r="J6" s="861"/>
    </row>
    <row r="7" spans="1:11" x14ac:dyDescent="0.3">
      <c r="B7" s="863" t="s">
        <v>3</v>
      </c>
      <c r="C7" s="863"/>
      <c r="D7" s="863"/>
      <c r="E7" s="863"/>
      <c r="F7" s="863"/>
      <c r="G7" s="863"/>
      <c r="H7" s="863"/>
      <c r="I7" s="863"/>
      <c r="J7" s="863"/>
    </row>
    <row r="9" spans="1:11" x14ac:dyDescent="0.3">
      <c r="B9" s="188"/>
      <c r="C9" s="305" t="s">
        <v>296</v>
      </c>
      <c r="D9" s="305"/>
      <c r="E9" s="305" t="s">
        <v>297</v>
      </c>
      <c r="F9" s="305"/>
      <c r="G9" s="305" t="s">
        <v>328</v>
      </c>
      <c r="H9" s="305"/>
      <c r="I9" s="305" t="s">
        <v>329</v>
      </c>
      <c r="J9" s="305"/>
    </row>
    <row r="10" spans="1:11" x14ac:dyDescent="0.3">
      <c r="A10" s="168" t="s">
        <v>4</v>
      </c>
      <c r="B10" s="188"/>
      <c r="C10" s="305" t="s">
        <v>330</v>
      </c>
      <c r="D10" s="305"/>
      <c r="E10" s="305" t="s">
        <v>331</v>
      </c>
      <c r="F10" s="305"/>
      <c r="G10" s="305" t="s">
        <v>331</v>
      </c>
      <c r="H10" s="305"/>
      <c r="I10" s="305"/>
      <c r="J10" s="305"/>
      <c r="K10" s="168" t="s">
        <v>4</v>
      </c>
    </row>
    <row r="11" spans="1:11" x14ac:dyDescent="0.3">
      <c r="A11" s="168" t="s">
        <v>8</v>
      </c>
      <c r="B11" s="190" t="s">
        <v>5</v>
      </c>
      <c r="C11" s="310" t="s">
        <v>332</v>
      </c>
      <c r="D11" s="310"/>
      <c r="E11" s="310" t="s">
        <v>333</v>
      </c>
      <c r="F11" s="310"/>
      <c r="G11" s="310" t="s">
        <v>334</v>
      </c>
      <c r="H11" s="310"/>
      <c r="I11" s="190" t="s">
        <v>335</v>
      </c>
      <c r="J11" s="190" t="s">
        <v>7</v>
      </c>
      <c r="K11" s="168" t="s">
        <v>8</v>
      </c>
    </row>
    <row r="12" spans="1:11" x14ac:dyDescent="0.3">
      <c r="B12" s="188"/>
      <c r="C12" s="317"/>
      <c r="D12" s="317"/>
      <c r="E12" s="317"/>
      <c r="F12" s="317"/>
      <c r="G12" s="317"/>
      <c r="H12" s="317"/>
      <c r="I12" s="180"/>
      <c r="J12" s="180"/>
    </row>
    <row r="13" spans="1:11" x14ac:dyDescent="0.3">
      <c r="A13" s="168">
        <v>1</v>
      </c>
      <c r="B13" s="175" t="s">
        <v>336</v>
      </c>
      <c r="C13" s="318"/>
      <c r="D13" s="318"/>
      <c r="E13" s="318"/>
      <c r="F13" s="318"/>
      <c r="G13" s="318"/>
      <c r="H13" s="318"/>
      <c r="I13" s="180"/>
      <c r="J13" s="180"/>
      <c r="K13" s="168">
        <f>A13</f>
        <v>1</v>
      </c>
    </row>
    <row r="14" spans="1:11" x14ac:dyDescent="0.3">
      <c r="A14" s="168">
        <f>A13+1</f>
        <v>2</v>
      </c>
      <c r="B14" s="175" t="s">
        <v>337</v>
      </c>
      <c r="C14" s="185">
        <v>772.52322837828797</v>
      </c>
      <c r="D14" s="185"/>
      <c r="E14" s="185">
        <v>0</v>
      </c>
      <c r="F14" s="185"/>
      <c r="G14" s="185">
        <v>214.49058265600002</v>
      </c>
      <c r="H14" s="557"/>
      <c r="I14" s="314">
        <f>SUM(C14:G14)</f>
        <v>987.01381103428798</v>
      </c>
      <c r="J14" s="280" t="s">
        <v>338</v>
      </c>
      <c r="K14" s="168">
        <f>K13+1</f>
        <v>2</v>
      </c>
    </row>
    <row r="15" spans="1:11" x14ac:dyDescent="0.3">
      <c r="A15" s="168">
        <f t="shared" ref="A15:A34" si="0">A14+1</f>
        <v>3</v>
      </c>
      <c r="B15" s="175" t="s">
        <v>339</v>
      </c>
      <c r="C15" s="215">
        <v>245.18064680224461</v>
      </c>
      <c r="D15" s="215"/>
      <c r="E15" s="215">
        <v>0</v>
      </c>
      <c r="F15" s="215"/>
      <c r="G15" s="215">
        <v>555.45000000000005</v>
      </c>
      <c r="H15" s="215"/>
      <c r="I15" s="179">
        <f>SUM(C15:G15)</f>
        <v>800.63064680224466</v>
      </c>
      <c r="J15" s="280" t="s">
        <v>338</v>
      </c>
      <c r="K15" s="168">
        <f t="shared" ref="K15:K34" si="1">K14+1</f>
        <v>3</v>
      </c>
    </row>
    <row r="16" spans="1:11" x14ac:dyDescent="0.3">
      <c r="A16" s="168">
        <f t="shared" si="0"/>
        <v>4</v>
      </c>
      <c r="B16" s="175" t="s">
        <v>340</v>
      </c>
      <c r="C16" s="215">
        <v>119232.95199162784</v>
      </c>
      <c r="D16" s="215"/>
      <c r="E16" s="215">
        <v>108238.52431003426</v>
      </c>
      <c r="F16" s="215"/>
      <c r="G16" s="215">
        <v>0</v>
      </c>
      <c r="H16" s="215"/>
      <c r="I16" s="179">
        <f>SUM(C16:G16)</f>
        <v>227471.4763016621</v>
      </c>
      <c r="J16" s="280" t="s">
        <v>338</v>
      </c>
      <c r="K16" s="168">
        <f t="shared" si="1"/>
        <v>4</v>
      </c>
    </row>
    <row r="17" spans="1:11" x14ac:dyDescent="0.3">
      <c r="A17" s="168">
        <f t="shared" si="0"/>
        <v>5</v>
      </c>
      <c r="B17" s="175"/>
      <c r="C17" s="215">
        <v>0</v>
      </c>
      <c r="D17" s="179"/>
      <c r="E17" s="215">
        <v>0</v>
      </c>
      <c r="F17" s="215"/>
      <c r="G17" s="215">
        <v>0</v>
      </c>
      <c r="H17" s="179"/>
      <c r="I17" s="179">
        <f>SUM(C17:G17)</f>
        <v>0</v>
      </c>
      <c r="J17" s="179"/>
      <c r="K17" s="168">
        <f t="shared" si="1"/>
        <v>5</v>
      </c>
    </row>
    <row r="18" spans="1:11" x14ac:dyDescent="0.3">
      <c r="A18" s="168">
        <f t="shared" si="0"/>
        <v>6</v>
      </c>
      <c r="C18" s="179">
        <v>0</v>
      </c>
      <c r="D18" s="179"/>
      <c r="E18" s="179">
        <v>0</v>
      </c>
      <c r="F18" s="179"/>
      <c r="G18" s="179">
        <v>0</v>
      </c>
      <c r="H18" s="179"/>
      <c r="I18" s="179">
        <f>SUM(C18:G18)</f>
        <v>0</v>
      </c>
      <c r="J18" s="179"/>
      <c r="K18" s="168">
        <f t="shared" si="1"/>
        <v>6</v>
      </c>
    </row>
    <row r="19" spans="1:11" ht="16.2" thickBot="1" x14ac:dyDescent="0.35">
      <c r="A19" s="168">
        <f t="shared" si="0"/>
        <v>7</v>
      </c>
      <c r="B19" s="184" t="s">
        <v>341</v>
      </c>
      <c r="C19" s="320">
        <f>SUM(C14:C18)</f>
        <v>120250.65586680837</v>
      </c>
      <c r="D19" s="179"/>
      <c r="E19" s="320">
        <f>SUM(E14:E18)</f>
        <v>108238.52431003426</v>
      </c>
      <c r="F19" s="178"/>
      <c r="G19" s="320">
        <f>SUM(G14:G18)</f>
        <v>769.94058265600006</v>
      </c>
      <c r="H19" s="179"/>
      <c r="I19" s="320">
        <f>SUM(I14:I18)</f>
        <v>229259.12075949862</v>
      </c>
      <c r="J19" s="313" t="s">
        <v>342</v>
      </c>
      <c r="K19" s="168">
        <f t="shared" si="1"/>
        <v>7</v>
      </c>
    </row>
    <row r="20" spans="1:11" ht="16.2" thickTop="1" x14ac:dyDescent="0.3">
      <c r="A20" s="168">
        <f t="shared" si="0"/>
        <v>8</v>
      </c>
      <c r="C20" s="322"/>
      <c r="D20" s="322"/>
      <c r="E20" s="322"/>
      <c r="F20" s="322"/>
      <c r="G20" s="322"/>
      <c r="H20" s="322"/>
      <c r="I20" s="322"/>
      <c r="J20" s="322"/>
      <c r="K20" s="168">
        <f t="shared" si="1"/>
        <v>8</v>
      </c>
    </row>
    <row r="21" spans="1:11" x14ac:dyDescent="0.3">
      <c r="A21" s="168">
        <f t="shared" si="0"/>
        <v>9</v>
      </c>
      <c r="B21" s="175" t="s">
        <v>343</v>
      </c>
      <c r="C21" s="318"/>
      <c r="D21" s="318"/>
      <c r="E21" s="318"/>
      <c r="F21" s="318"/>
      <c r="G21" s="318"/>
      <c r="H21" s="318"/>
      <c r="I21" s="180"/>
      <c r="J21" s="180"/>
      <c r="K21" s="168">
        <f t="shared" si="1"/>
        <v>9</v>
      </c>
    </row>
    <row r="22" spans="1:11" x14ac:dyDescent="0.3">
      <c r="A22" s="168">
        <f t="shared" si="0"/>
        <v>10</v>
      </c>
      <c r="B22" s="539" t="s">
        <v>344</v>
      </c>
      <c r="C22" s="314">
        <v>-720245.32493159163</v>
      </c>
      <c r="D22" s="314"/>
      <c r="E22" s="314">
        <v>-372880.70933477907</v>
      </c>
      <c r="F22" s="314"/>
      <c r="G22" s="314">
        <v>-8049.9021669952472</v>
      </c>
      <c r="H22" s="314"/>
      <c r="I22" s="314">
        <f>SUM(C22:G22)</f>
        <v>-1101175.936433366</v>
      </c>
      <c r="J22" s="280" t="s">
        <v>353</v>
      </c>
      <c r="K22" s="168">
        <f t="shared" si="1"/>
        <v>10</v>
      </c>
    </row>
    <row r="23" spans="1:11" x14ac:dyDescent="0.3">
      <c r="A23" s="168">
        <f t="shared" si="0"/>
        <v>11</v>
      </c>
      <c r="C23" s="179">
        <v>0</v>
      </c>
      <c r="D23" s="179"/>
      <c r="E23" s="179">
        <v>0</v>
      </c>
      <c r="F23" s="179"/>
      <c r="G23" s="179">
        <v>0</v>
      </c>
      <c r="H23" s="179"/>
      <c r="I23" s="179">
        <f>SUM(C23:G23)</f>
        <v>0</v>
      </c>
      <c r="J23" s="179"/>
      <c r="K23" s="168">
        <f t="shared" si="1"/>
        <v>11</v>
      </c>
    </row>
    <row r="24" spans="1:11" x14ac:dyDescent="0.3">
      <c r="A24" s="168">
        <f t="shared" si="0"/>
        <v>12</v>
      </c>
      <c r="C24" s="179">
        <v>0</v>
      </c>
      <c r="D24" s="179"/>
      <c r="E24" s="179">
        <v>0</v>
      </c>
      <c r="F24" s="179"/>
      <c r="G24" s="179">
        <v>0</v>
      </c>
      <c r="H24" s="179"/>
      <c r="I24" s="179">
        <f>SUM(C24:G24)</f>
        <v>0</v>
      </c>
      <c r="J24" s="179"/>
      <c r="K24" s="168">
        <f t="shared" si="1"/>
        <v>12</v>
      </c>
    </row>
    <row r="25" spans="1:11" x14ac:dyDescent="0.3">
      <c r="A25" s="168">
        <f t="shared" si="0"/>
        <v>13</v>
      </c>
      <c r="C25" s="179">
        <v>0</v>
      </c>
      <c r="D25" s="179"/>
      <c r="E25" s="179">
        <v>0</v>
      </c>
      <c r="F25" s="179"/>
      <c r="G25" s="179">
        <v>0</v>
      </c>
      <c r="H25" s="179"/>
      <c r="I25" s="179">
        <f>SUM(C25:G25)</f>
        <v>0</v>
      </c>
      <c r="J25" s="179"/>
      <c r="K25" s="168">
        <f t="shared" si="1"/>
        <v>13</v>
      </c>
    </row>
    <row r="26" spans="1:11" ht="16.2" thickBot="1" x14ac:dyDescent="0.35">
      <c r="A26" s="168">
        <f t="shared" si="0"/>
        <v>14</v>
      </c>
      <c r="B26" s="184" t="s">
        <v>346</v>
      </c>
      <c r="C26" s="320">
        <f>SUM(C22:C25)</f>
        <v>-720245.32493159163</v>
      </c>
      <c r="D26" s="179"/>
      <c r="E26" s="320">
        <f>SUM(E22:E25)</f>
        <v>-372880.70933477907</v>
      </c>
      <c r="F26" s="178"/>
      <c r="G26" s="320">
        <f>SUM(G22:G25)</f>
        <v>-8049.9021669952472</v>
      </c>
      <c r="H26" s="179"/>
      <c r="I26" s="320">
        <f>SUM(I22:I25)</f>
        <v>-1101175.936433366</v>
      </c>
      <c r="J26" s="313" t="s">
        <v>347</v>
      </c>
      <c r="K26" s="168">
        <f t="shared" si="1"/>
        <v>14</v>
      </c>
    </row>
    <row r="27" spans="1:11" ht="16.2" thickTop="1" x14ac:dyDescent="0.3">
      <c r="A27" s="168">
        <f t="shared" si="0"/>
        <v>15</v>
      </c>
      <c r="K27" s="168">
        <f t="shared" si="1"/>
        <v>15</v>
      </c>
    </row>
    <row r="28" spans="1:11" x14ac:dyDescent="0.3">
      <c r="A28" s="168">
        <f t="shared" si="0"/>
        <v>16</v>
      </c>
      <c r="B28" s="175" t="s">
        <v>348</v>
      </c>
      <c r="C28" s="318"/>
      <c r="D28" s="318"/>
      <c r="E28" s="318"/>
      <c r="F28" s="318"/>
      <c r="G28" s="318"/>
      <c r="H28" s="318"/>
      <c r="I28" s="180"/>
      <c r="J28" s="168"/>
      <c r="K28" s="168">
        <f t="shared" si="1"/>
        <v>16</v>
      </c>
    </row>
    <row r="29" spans="1:11" x14ac:dyDescent="0.3">
      <c r="A29" s="168">
        <f t="shared" si="0"/>
        <v>17</v>
      </c>
      <c r="B29" s="175" t="s">
        <v>349</v>
      </c>
      <c r="C29" s="185">
        <v>-5987.5143200000075</v>
      </c>
      <c r="D29" s="185"/>
      <c r="E29" s="185">
        <v>0</v>
      </c>
      <c r="F29" s="185"/>
      <c r="G29" s="185">
        <v>0</v>
      </c>
      <c r="H29" s="557"/>
      <c r="I29" s="314">
        <f>SUM(C29:G29)</f>
        <v>-5987.5143200000075</v>
      </c>
      <c r="J29" s="280" t="s">
        <v>350</v>
      </c>
      <c r="K29" s="168">
        <f t="shared" si="1"/>
        <v>17</v>
      </c>
    </row>
    <row r="30" spans="1:11" x14ac:dyDescent="0.3">
      <c r="A30" s="168">
        <f t="shared" si="0"/>
        <v>18</v>
      </c>
      <c r="B30" s="175"/>
      <c r="C30" s="215">
        <v>0</v>
      </c>
      <c r="D30" s="179"/>
      <c r="E30" s="215">
        <v>0</v>
      </c>
      <c r="F30" s="215"/>
      <c r="G30" s="215">
        <v>0</v>
      </c>
      <c r="H30" s="179"/>
      <c r="I30" s="179">
        <f>SUM(C30:G30)</f>
        <v>0</v>
      </c>
      <c r="J30" s="168"/>
      <c r="K30" s="168">
        <f t="shared" si="1"/>
        <v>18</v>
      </c>
    </row>
    <row r="31" spans="1:11" x14ac:dyDescent="0.3">
      <c r="A31" s="168">
        <f t="shared" si="0"/>
        <v>19</v>
      </c>
      <c r="B31" s="175"/>
      <c r="C31" s="179">
        <v>0</v>
      </c>
      <c r="D31" s="179"/>
      <c r="E31" s="179">
        <v>0</v>
      </c>
      <c r="F31" s="179"/>
      <c r="G31" s="179">
        <v>0</v>
      </c>
      <c r="H31" s="179"/>
      <c r="I31" s="179">
        <f>SUM(C31:G31)</f>
        <v>0</v>
      </c>
      <c r="J31" s="179"/>
      <c r="K31" s="168">
        <f t="shared" si="1"/>
        <v>19</v>
      </c>
    </row>
    <row r="32" spans="1:11" x14ac:dyDescent="0.3">
      <c r="A32" s="168">
        <f t="shared" si="0"/>
        <v>20</v>
      </c>
      <c r="B32" s="175"/>
      <c r="C32" s="179">
        <v>0</v>
      </c>
      <c r="D32" s="179"/>
      <c r="E32" s="179">
        <v>0</v>
      </c>
      <c r="F32" s="179"/>
      <c r="G32" s="179">
        <v>0</v>
      </c>
      <c r="H32" s="179"/>
      <c r="I32" s="179">
        <f>SUM(C32:G32)</f>
        <v>0</v>
      </c>
      <c r="J32" s="179"/>
      <c r="K32" s="168">
        <f t="shared" si="1"/>
        <v>20</v>
      </c>
    </row>
    <row r="33" spans="1:11" x14ac:dyDescent="0.3">
      <c r="A33" s="168">
        <f t="shared" si="0"/>
        <v>21</v>
      </c>
      <c r="B33" s="175"/>
      <c r="C33" s="179">
        <v>0</v>
      </c>
      <c r="D33" s="179"/>
      <c r="E33" s="179">
        <v>0</v>
      </c>
      <c r="F33" s="179"/>
      <c r="G33" s="179">
        <v>0</v>
      </c>
      <c r="H33" s="179"/>
      <c r="I33" s="179">
        <f>SUM(C33:G33)</f>
        <v>0</v>
      </c>
      <c r="J33" s="179"/>
      <c r="K33" s="168">
        <f t="shared" si="1"/>
        <v>21</v>
      </c>
    </row>
    <row r="34" spans="1:11" ht="16.2" thickBot="1" x14ac:dyDescent="0.35">
      <c r="A34" s="168">
        <f t="shared" si="0"/>
        <v>22</v>
      </c>
      <c r="B34" s="184" t="s">
        <v>351</v>
      </c>
      <c r="C34" s="320">
        <f>SUM(C29:C33)</f>
        <v>-5987.5143200000075</v>
      </c>
      <c r="D34" s="179"/>
      <c r="E34" s="320">
        <f>SUM(E29:E33)</f>
        <v>0</v>
      </c>
      <c r="F34" s="178"/>
      <c r="G34" s="320">
        <f>SUM(G29:G33)</f>
        <v>0</v>
      </c>
      <c r="H34" s="179"/>
      <c r="I34" s="320">
        <f>SUM(I29:I33)</f>
        <v>-5987.5143200000075</v>
      </c>
      <c r="J34" s="313" t="s">
        <v>352</v>
      </c>
      <c r="K34" s="168">
        <f t="shared" si="1"/>
        <v>22</v>
      </c>
    </row>
    <row r="35" spans="1:11" ht="16.2" thickTop="1" x14ac:dyDescent="0.3"/>
  </sheetData>
  <mergeCells count="5">
    <mergeCell ref="B3:J3"/>
    <mergeCell ref="B4:J4"/>
    <mergeCell ref="B5:J5"/>
    <mergeCell ref="B6:J6"/>
    <mergeCell ref="B7:J7"/>
  </mergeCells>
  <printOptions horizontalCentered="1"/>
  <pageMargins left="0.25" right="0.25" top="0.5" bottom="0.5" header="0.35" footer="0.25"/>
  <pageSetup scale="66" orientation="landscape" r:id="rId1"/>
  <headerFooter scaleWithDoc="0" alignWithMargins="0">
    <oddHeader>&amp;C&amp;"Times New Roman,Bold"&amp;8AS FILED</oddHeader>
    <oddFooter>&amp;CPage 5.2A&amp;R&amp;F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656D-EA1D-4C95-A3EF-F2633B22974C}">
  <sheetPr>
    <pageSetUpPr fitToPage="1"/>
  </sheetPr>
  <dimension ref="A2:L36"/>
  <sheetViews>
    <sheetView zoomScale="80" zoomScaleNormal="80" workbookViewId="0"/>
  </sheetViews>
  <sheetFormatPr defaultColWidth="8.88671875" defaultRowHeight="15.6" x14ac:dyDescent="0.3"/>
  <cols>
    <col min="1" max="1" width="5.109375" style="168" customWidth="1"/>
    <col min="2" max="2" width="48.109375" style="169" bestFit="1" customWidth="1"/>
    <col min="3" max="3" width="16.88671875" style="169" customWidth="1"/>
    <col min="4" max="4" width="1.5546875" style="169" customWidth="1"/>
    <col min="5" max="5" width="16.88671875" style="169" customWidth="1"/>
    <col min="6" max="6" width="1.5546875" style="169" customWidth="1"/>
    <col min="7" max="7" width="16.88671875" style="169" customWidth="1"/>
    <col min="8" max="8" width="1.5546875" style="169" customWidth="1"/>
    <col min="9" max="9" width="23.44140625" style="169" bestFit="1" customWidth="1"/>
    <col min="10" max="10" width="2.109375" style="169" bestFit="1" customWidth="1"/>
    <col min="11" max="11" width="55.109375" style="169" customWidth="1"/>
    <col min="12" max="12" width="5.109375" style="168" customWidth="1"/>
    <col min="13" max="16384" width="8.88671875" style="169"/>
  </cols>
  <sheetData>
    <row r="2" spans="1:12" x14ac:dyDescent="0.3">
      <c r="B2" s="861" t="s">
        <v>217</v>
      </c>
      <c r="C2" s="861"/>
      <c r="D2" s="861"/>
      <c r="E2" s="861"/>
      <c r="F2" s="861"/>
      <c r="G2" s="861"/>
      <c r="H2" s="861"/>
      <c r="I2" s="861"/>
      <c r="J2" s="861"/>
      <c r="K2" s="861"/>
    </row>
    <row r="3" spans="1:12" x14ac:dyDescent="0.3">
      <c r="B3" s="861" t="s">
        <v>325</v>
      </c>
      <c r="C3" s="861"/>
      <c r="D3" s="861"/>
      <c r="E3" s="861"/>
      <c r="F3" s="861"/>
      <c r="G3" s="861"/>
      <c r="H3" s="861"/>
      <c r="I3" s="861"/>
      <c r="J3" s="861"/>
      <c r="K3" s="861"/>
    </row>
    <row r="4" spans="1:12" x14ac:dyDescent="0.3">
      <c r="B4" s="861" t="s">
        <v>326</v>
      </c>
      <c r="C4" s="861"/>
      <c r="D4" s="861"/>
      <c r="E4" s="861"/>
      <c r="F4" s="861"/>
      <c r="G4" s="861"/>
      <c r="H4" s="861"/>
      <c r="I4" s="861"/>
      <c r="J4" s="861"/>
      <c r="K4" s="861"/>
    </row>
    <row r="5" spans="1:12" x14ac:dyDescent="0.3">
      <c r="B5" s="861" t="s">
        <v>354</v>
      </c>
      <c r="C5" s="861"/>
      <c r="D5" s="861"/>
      <c r="E5" s="861"/>
      <c r="F5" s="861"/>
      <c r="G5" s="861"/>
      <c r="H5" s="861"/>
      <c r="I5" s="861"/>
      <c r="J5" s="861"/>
      <c r="K5" s="861"/>
    </row>
    <row r="6" spans="1:12" x14ac:dyDescent="0.3">
      <c r="B6" s="863" t="s">
        <v>3</v>
      </c>
      <c r="C6" s="863"/>
      <c r="D6" s="863"/>
      <c r="E6" s="863"/>
      <c r="F6" s="863"/>
      <c r="G6" s="863"/>
      <c r="H6" s="863"/>
      <c r="I6" s="863"/>
      <c r="J6" s="863"/>
      <c r="K6" s="863"/>
    </row>
    <row r="8" spans="1:12" x14ac:dyDescent="0.3">
      <c r="B8" s="188"/>
      <c r="C8" s="305" t="s">
        <v>296</v>
      </c>
      <c r="D8" s="305"/>
      <c r="E8" s="305" t="s">
        <v>297</v>
      </c>
      <c r="F8" s="305"/>
      <c r="G8" s="305" t="s">
        <v>328</v>
      </c>
      <c r="H8" s="305"/>
      <c r="I8" s="305" t="s">
        <v>329</v>
      </c>
      <c r="J8" s="305"/>
      <c r="K8" s="305"/>
    </row>
    <row r="9" spans="1:12" x14ac:dyDescent="0.3">
      <c r="A9" s="168" t="s">
        <v>4</v>
      </c>
      <c r="B9" s="188"/>
      <c r="C9" s="305" t="s">
        <v>330</v>
      </c>
      <c r="D9" s="305"/>
      <c r="E9" s="305" t="s">
        <v>331</v>
      </c>
      <c r="F9" s="305"/>
      <c r="G9" s="305" t="s">
        <v>331</v>
      </c>
      <c r="H9" s="305"/>
      <c r="I9" s="305"/>
      <c r="J9" s="305"/>
      <c r="K9" s="305"/>
      <c r="L9" s="168" t="s">
        <v>4</v>
      </c>
    </row>
    <row r="10" spans="1:12" x14ac:dyDescent="0.3">
      <c r="A10" s="168" t="s">
        <v>8</v>
      </c>
      <c r="B10" s="190" t="s">
        <v>5</v>
      </c>
      <c r="C10" s="310" t="s">
        <v>332</v>
      </c>
      <c r="D10" s="310"/>
      <c r="E10" s="310" t="s">
        <v>333</v>
      </c>
      <c r="F10" s="310"/>
      <c r="G10" s="310" t="s">
        <v>334</v>
      </c>
      <c r="H10" s="310"/>
      <c r="I10" s="190" t="s">
        <v>335</v>
      </c>
      <c r="J10" s="190"/>
      <c r="K10" s="190" t="s">
        <v>7</v>
      </c>
      <c r="L10" s="168" t="s">
        <v>8</v>
      </c>
    </row>
    <row r="11" spans="1:12" x14ac:dyDescent="0.3">
      <c r="B11" s="188"/>
      <c r="C11" s="317"/>
      <c r="D11" s="317"/>
      <c r="E11" s="317"/>
      <c r="F11" s="317"/>
      <c r="G11" s="317"/>
      <c r="H11" s="317"/>
      <c r="I11" s="180"/>
      <c r="J11" s="180"/>
      <c r="K11" s="180"/>
    </row>
    <row r="12" spans="1:12" x14ac:dyDescent="0.3">
      <c r="A12" s="168">
        <v>1</v>
      </c>
      <c r="B12" s="175" t="s">
        <v>336</v>
      </c>
      <c r="C12" s="318"/>
      <c r="D12" s="318"/>
      <c r="E12" s="318"/>
      <c r="F12" s="318"/>
      <c r="G12" s="318"/>
      <c r="H12" s="318"/>
      <c r="I12" s="180"/>
      <c r="J12" s="180"/>
      <c r="K12" s="180"/>
      <c r="L12" s="168">
        <f>A12</f>
        <v>1</v>
      </c>
    </row>
    <row r="13" spans="1:12" x14ac:dyDescent="0.3">
      <c r="A13" s="168">
        <f>A12+1</f>
        <v>2</v>
      </c>
      <c r="B13" s="175" t="s">
        <v>337</v>
      </c>
      <c r="C13" s="185">
        <v>1631.0041476828096</v>
      </c>
      <c r="D13" s="185"/>
      <c r="E13" s="185">
        <v>0</v>
      </c>
      <c r="F13" s="557"/>
      <c r="G13" s="185">
        <v>214.49058265600002</v>
      </c>
      <c r="H13" s="557"/>
      <c r="I13" s="314">
        <f>SUM(C13:G13)</f>
        <v>1845.4947303388096</v>
      </c>
      <c r="J13" s="314"/>
      <c r="K13" s="280" t="s">
        <v>355</v>
      </c>
      <c r="L13" s="168">
        <f>L12+1</f>
        <v>2</v>
      </c>
    </row>
    <row r="14" spans="1:12" x14ac:dyDescent="0.3">
      <c r="A14" s="168">
        <f t="shared" ref="A14:A33" si="0">A13+1</f>
        <v>3</v>
      </c>
      <c r="B14" s="175" t="s">
        <v>339</v>
      </c>
      <c r="C14" s="215">
        <v>228.70718375781695</v>
      </c>
      <c r="D14" s="215"/>
      <c r="E14" s="215">
        <v>0</v>
      </c>
      <c r="F14" s="215"/>
      <c r="G14" s="215">
        <v>181.15539416209805</v>
      </c>
      <c r="H14" s="215"/>
      <c r="I14" s="179">
        <f>SUM(C14:G14)</f>
        <v>409.862577919915</v>
      </c>
      <c r="J14" s="179"/>
      <c r="K14" s="280" t="s">
        <v>355</v>
      </c>
      <c r="L14" s="168">
        <f t="shared" ref="L14:L33" si="1">L13+1</f>
        <v>3</v>
      </c>
    </row>
    <row r="15" spans="1:12" x14ac:dyDescent="0.3">
      <c r="A15" s="168">
        <f t="shared" si="0"/>
        <v>4</v>
      </c>
      <c r="B15" s="175" t="s">
        <v>340</v>
      </c>
      <c r="C15" s="215">
        <v>57302.915114485193</v>
      </c>
      <c r="D15" s="215"/>
      <c r="E15" s="215">
        <v>106710.32358551471</v>
      </c>
      <c r="F15" s="215"/>
      <c r="G15" s="215">
        <v>0</v>
      </c>
      <c r="H15" s="215"/>
      <c r="I15" s="179">
        <f>SUM(C15:G15)</f>
        <v>164013.2386999999</v>
      </c>
      <c r="J15" s="179"/>
      <c r="K15" s="280" t="s">
        <v>355</v>
      </c>
      <c r="L15" s="168">
        <f t="shared" si="1"/>
        <v>4</v>
      </c>
    </row>
    <row r="16" spans="1:12" x14ac:dyDescent="0.3">
      <c r="A16" s="168">
        <f t="shared" si="0"/>
        <v>5</v>
      </c>
      <c r="B16" s="175"/>
      <c r="C16" s="215">
        <v>0</v>
      </c>
      <c r="D16" s="179"/>
      <c r="E16" s="215">
        <v>0</v>
      </c>
      <c r="F16" s="179"/>
      <c r="G16" s="179">
        <v>0</v>
      </c>
      <c r="H16" s="179"/>
      <c r="I16" s="179">
        <f>SUM(C16:G16)</f>
        <v>0</v>
      </c>
      <c r="J16" s="179"/>
      <c r="K16" s="179"/>
      <c r="L16" s="168">
        <f t="shared" si="1"/>
        <v>5</v>
      </c>
    </row>
    <row r="17" spans="1:12" x14ac:dyDescent="0.3">
      <c r="A17" s="168">
        <f t="shared" si="0"/>
        <v>6</v>
      </c>
      <c r="C17" s="179">
        <v>0</v>
      </c>
      <c r="D17" s="179"/>
      <c r="E17" s="179">
        <v>0</v>
      </c>
      <c r="F17" s="179"/>
      <c r="G17" s="179">
        <v>0</v>
      </c>
      <c r="H17" s="179"/>
      <c r="I17" s="179">
        <f>SUM(C17:G17)</f>
        <v>0</v>
      </c>
      <c r="J17" s="179"/>
      <c r="K17" s="179"/>
      <c r="L17" s="168">
        <f t="shared" si="1"/>
        <v>6</v>
      </c>
    </row>
    <row r="18" spans="1:12" ht="16.2" thickBot="1" x14ac:dyDescent="0.35">
      <c r="A18" s="168">
        <f t="shared" si="0"/>
        <v>7</v>
      </c>
      <c r="B18" s="184" t="s">
        <v>341</v>
      </c>
      <c r="C18" s="452">
        <f>SUM(C13:C17)</f>
        <v>59162.626445925816</v>
      </c>
      <c r="D18" s="179"/>
      <c r="E18" s="452">
        <f>SUM(E13:E17)</f>
        <v>106710.32358551471</v>
      </c>
      <c r="F18" s="179"/>
      <c r="G18" s="452">
        <f>SUM(G13:G17)</f>
        <v>395.64597681809806</v>
      </c>
      <c r="H18" s="179"/>
      <c r="I18" s="452">
        <f>SUM(I13:I17)</f>
        <v>166268.59600825864</v>
      </c>
      <c r="J18" s="193"/>
      <c r="K18" s="313" t="s">
        <v>342</v>
      </c>
      <c r="L18" s="168">
        <f t="shared" si="1"/>
        <v>7</v>
      </c>
    </row>
    <row r="19" spans="1:12" ht="16.2" thickTop="1" x14ac:dyDescent="0.3">
      <c r="A19" s="168">
        <f t="shared" si="0"/>
        <v>8</v>
      </c>
      <c r="C19" s="322"/>
      <c r="D19" s="322"/>
      <c r="E19" s="322"/>
      <c r="F19" s="322"/>
      <c r="G19" s="322"/>
      <c r="H19" s="322"/>
      <c r="I19" s="322"/>
      <c r="J19" s="322"/>
      <c r="K19" s="322"/>
      <c r="L19" s="168">
        <f t="shared" si="1"/>
        <v>8</v>
      </c>
    </row>
    <row r="20" spans="1:12" x14ac:dyDescent="0.3">
      <c r="A20" s="168">
        <f t="shared" si="0"/>
        <v>9</v>
      </c>
      <c r="B20" s="175" t="s">
        <v>343</v>
      </c>
      <c r="C20" s="318"/>
      <c r="D20" s="318"/>
      <c r="E20" s="318"/>
      <c r="F20" s="318"/>
      <c r="G20" s="318"/>
      <c r="H20" s="318"/>
      <c r="I20" s="180"/>
      <c r="J20" s="180"/>
      <c r="K20" s="180"/>
      <c r="L20" s="168">
        <f t="shared" si="1"/>
        <v>9</v>
      </c>
    </row>
    <row r="21" spans="1:12" x14ac:dyDescent="0.3">
      <c r="A21" s="168">
        <f t="shared" si="0"/>
        <v>10</v>
      </c>
      <c r="B21" s="539" t="s">
        <v>344</v>
      </c>
      <c r="C21" s="329">
        <v>-748685.48836096679</v>
      </c>
      <c r="D21" s="42" t="s">
        <v>42</v>
      </c>
      <c r="E21" s="329">
        <v>-374936.34452875692</v>
      </c>
      <c r="F21" s="42" t="s">
        <v>42</v>
      </c>
      <c r="G21" s="314">
        <v>-6419.1312440387337</v>
      </c>
      <c r="H21" s="314"/>
      <c r="I21" s="329">
        <f>SUM(C21:G21)</f>
        <v>-1130040.9641337623</v>
      </c>
      <c r="J21" s="42" t="s">
        <v>42</v>
      </c>
      <c r="K21" s="280" t="s">
        <v>345</v>
      </c>
      <c r="L21" s="168">
        <f t="shared" si="1"/>
        <v>10</v>
      </c>
    </row>
    <row r="22" spans="1:12" x14ac:dyDescent="0.3">
      <c r="A22" s="168">
        <f t="shared" si="0"/>
        <v>11</v>
      </c>
      <c r="C22" s="179">
        <v>0</v>
      </c>
      <c r="D22" s="179"/>
      <c r="E22" s="179">
        <v>0</v>
      </c>
      <c r="F22" s="179"/>
      <c r="G22" s="179">
        <v>0</v>
      </c>
      <c r="H22" s="179"/>
      <c r="I22" s="179">
        <f>SUM(C22:G22)</f>
        <v>0</v>
      </c>
      <c r="J22" s="179"/>
      <c r="K22" s="179"/>
      <c r="L22" s="168">
        <f t="shared" si="1"/>
        <v>11</v>
      </c>
    </row>
    <row r="23" spans="1:12" x14ac:dyDescent="0.3">
      <c r="A23" s="168">
        <f t="shared" si="0"/>
        <v>12</v>
      </c>
      <c r="C23" s="179">
        <v>0</v>
      </c>
      <c r="D23" s="179"/>
      <c r="E23" s="179">
        <v>0</v>
      </c>
      <c r="F23" s="179"/>
      <c r="G23" s="179">
        <v>0</v>
      </c>
      <c r="H23" s="179"/>
      <c r="I23" s="179">
        <f>SUM(C23:G23)</f>
        <v>0</v>
      </c>
      <c r="J23" s="179"/>
      <c r="K23" s="179"/>
      <c r="L23" s="168">
        <f t="shared" si="1"/>
        <v>12</v>
      </c>
    </row>
    <row r="24" spans="1:12" x14ac:dyDescent="0.3">
      <c r="A24" s="168">
        <f t="shared" si="0"/>
        <v>13</v>
      </c>
      <c r="C24" s="179">
        <v>0</v>
      </c>
      <c r="D24" s="179"/>
      <c r="E24" s="179">
        <v>0</v>
      </c>
      <c r="F24" s="179"/>
      <c r="G24" s="179">
        <v>0</v>
      </c>
      <c r="H24" s="179"/>
      <c r="I24" s="179">
        <f>SUM(C24:G24)</f>
        <v>0</v>
      </c>
      <c r="J24" s="179"/>
      <c r="K24" s="179"/>
      <c r="L24" s="168">
        <f t="shared" si="1"/>
        <v>13</v>
      </c>
    </row>
    <row r="25" spans="1:12" ht="16.2" thickBot="1" x14ac:dyDescent="0.35">
      <c r="A25" s="168">
        <f t="shared" si="0"/>
        <v>14</v>
      </c>
      <c r="B25" s="184" t="s">
        <v>346</v>
      </c>
      <c r="C25" s="320">
        <f>SUM(C21:C24)</f>
        <v>-748685.48836096679</v>
      </c>
      <c r="D25" s="42" t="s">
        <v>42</v>
      </c>
      <c r="E25" s="320">
        <f>SUM(E21:E24)</f>
        <v>-374936.34452875692</v>
      </c>
      <c r="F25" s="42" t="s">
        <v>42</v>
      </c>
      <c r="G25" s="320">
        <f>SUM(G21:G24)</f>
        <v>-6419.1312440387337</v>
      </c>
      <c r="H25" s="179"/>
      <c r="I25" s="320">
        <f>SUM(I21:I24)</f>
        <v>-1130040.9641337623</v>
      </c>
      <c r="J25" s="42" t="s">
        <v>42</v>
      </c>
      <c r="K25" s="313" t="s">
        <v>347</v>
      </c>
      <c r="L25" s="168">
        <f t="shared" si="1"/>
        <v>14</v>
      </c>
    </row>
    <row r="26" spans="1:12" ht="16.2" thickTop="1" x14ac:dyDescent="0.3">
      <c r="A26" s="168">
        <f t="shared" si="0"/>
        <v>15</v>
      </c>
      <c r="L26" s="168">
        <f t="shared" si="1"/>
        <v>15</v>
      </c>
    </row>
    <row r="27" spans="1:12" x14ac:dyDescent="0.3">
      <c r="A27" s="168">
        <f t="shared" si="0"/>
        <v>16</v>
      </c>
      <c r="B27" s="175" t="s">
        <v>348</v>
      </c>
      <c r="C27" s="318"/>
      <c r="D27" s="318"/>
      <c r="E27" s="318"/>
      <c r="F27" s="318"/>
      <c r="G27" s="318"/>
      <c r="H27" s="318"/>
      <c r="I27" s="180"/>
      <c r="J27" s="180"/>
      <c r="K27" s="168"/>
      <c r="L27" s="168">
        <f t="shared" si="1"/>
        <v>16</v>
      </c>
    </row>
    <row r="28" spans="1:12" x14ac:dyDescent="0.3">
      <c r="A28" s="168">
        <f t="shared" si="0"/>
        <v>17</v>
      </c>
      <c r="B28" s="175" t="s">
        <v>349</v>
      </c>
      <c r="C28" s="185">
        <v>-7906.4293200000075</v>
      </c>
      <c r="D28" s="185"/>
      <c r="E28" s="185">
        <v>0</v>
      </c>
      <c r="F28" s="557"/>
      <c r="G28" s="185">
        <v>0</v>
      </c>
      <c r="H28" s="314"/>
      <c r="I28" s="314">
        <f>SUM(C28:G28)</f>
        <v>-7906.4293200000075</v>
      </c>
      <c r="J28" s="314"/>
      <c r="K28" s="280" t="s">
        <v>356</v>
      </c>
      <c r="L28" s="168">
        <f t="shared" si="1"/>
        <v>17</v>
      </c>
    </row>
    <row r="29" spans="1:12" x14ac:dyDescent="0.3">
      <c r="A29" s="168">
        <f t="shared" si="0"/>
        <v>18</v>
      </c>
      <c r="B29" s="175"/>
      <c r="C29" s="215">
        <v>0</v>
      </c>
      <c r="D29" s="179"/>
      <c r="E29" s="215">
        <v>0</v>
      </c>
      <c r="F29" s="179"/>
      <c r="G29" s="179">
        <v>0</v>
      </c>
      <c r="H29" s="179"/>
      <c r="I29" s="179">
        <f>SUM(C29:G29)</f>
        <v>0</v>
      </c>
      <c r="J29" s="179"/>
      <c r="K29" s="168"/>
      <c r="L29" s="168">
        <f t="shared" si="1"/>
        <v>18</v>
      </c>
    </row>
    <row r="30" spans="1:12" x14ac:dyDescent="0.3">
      <c r="A30" s="168">
        <f t="shared" si="0"/>
        <v>19</v>
      </c>
      <c r="B30" s="175"/>
      <c r="C30" s="179">
        <v>0</v>
      </c>
      <c r="D30" s="179"/>
      <c r="E30" s="179">
        <v>0</v>
      </c>
      <c r="F30" s="179"/>
      <c r="G30" s="179">
        <v>0</v>
      </c>
      <c r="H30" s="179"/>
      <c r="I30" s="179">
        <f>SUM(C30:G30)</f>
        <v>0</v>
      </c>
      <c r="J30" s="179"/>
      <c r="K30" s="179"/>
      <c r="L30" s="168">
        <f t="shared" si="1"/>
        <v>19</v>
      </c>
    </row>
    <row r="31" spans="1:12" x14ac:dyDescent="0.3">
      <c r="A31" s="168">
        <f t="shared" si="0"/>
        <v>20</v>
      </c>
      <c r="B31" s="175"/>
      <c r="C31" s="179">
        <v>0</v>
      </c>
      <c r="D31" s="179"/>
      <c r="E31" s="179">
        <v>0</v>
      </c>
      <c r="F31" s="179"/>
      <c r="G31" s="179">
        <v>0</v>
      </c>
      <c r="H31" s="179"/>
      <c r="I31" s="179">
        <f>SUM(C31:G31)</f>
        <v>0</v>
      </c>
      <c r="J31" s="179"/>
      <c r="K31" s="179"/>
      <c r="L31" s="168">
        <f t="shared" si="1"/>
        <v>20</v>
      </c>
    </row>
    <row r="32" spans="1:12" x14ac:dyDescent="0.3">
      <c r="A32" s="168">
        <f t="shared" si="0"/>
        <v>21</v>
      </c>
      <c r="B32" s="175"/>
      <c r="C32" s="179">
        <v>0</v>
      </c>
      <c r="D32" s="179"/>
      <c r="E32" s="179">
        <v>0</v>
      </c>
      <c r="F32" s="179"/>
      <c r="G32" s="179">
        <v>0</v>
      </c>
      <c r="H32" s="179"/>
      <c r="I32" s="179">
        <f>SUM(C32:G32)</f>
        <v>0</v>
      </c>
      <c r="J32" s="179"/>
      <c r="K32" s="179"/>
      <c r="L32" s="168">
        <f t="shared" si="1"/>
        <v>21</v>
      </c>
    </row>
    <row r="33" spans="1:12" ht="16.2" thickBot="1" x14ac:dyDescent="0.35">
      <c r="A33" s="168">
        <f t="shared" si="0"/>
        <v>22</v>
      </c>
      <c r="B33" s="184" t="s">
        <v>351</v>
      </c>
      <c r="C33" s="452">
        <f>SUM(C28:C32)</f>
        <v>-7906.4293200000075</v>
      </c>
      <c r="D33" s="179"/>
      <c r="E33" s="452">
        <f>SUM(E28:E32)</f>
        <v>0</v>
      </c>
      <c r="F33" s="179"/>
      <c r="G33" s="452">
        <f>SUM(G28:G32)</f>
        <v>0</v>
      </c>
      <c r="H33" s="179"/>
      <c r="I33" s="452">
        <f>SUM(I28:I32)</f>
        <v>-7906.4293200000075</v>
      </c>
      <c r="J33" s="193"/>
      <c r="K33" s="313" t="s">
        <v>352</v>
      </c>
      <c r="L33" s="168">
        <f t="shared" si="1"/>
        <v>22</v>
      </c>
    </row>
    <row r="34" spans="1:12" ht="16.2" thickTop="1" x14ac:dyDescent="0.3"/>
    <row r="36" spans="1:12" x14ac:dyDescent="0.3">
      <c r="A36" s="42" t="s">
        <v>42</v>
      </c>
      <c r="B36" s="12" t="str">
        <f>'Pg5 Rev Stmt AF'!B26</f>
        <v>Items in BOLD have changed due to the removal of CIAC related ADIT per TO5 Cycle 4 Letter Order determination in ER22-527 as compared to the original TO5 Cycle 4 filing.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68" orientation="landscape" r:id="rId1"/>
  <headerFooter scaleWithDoc="0" alignWithMargins="0">
    <oddHeader>&amp;C&amp;"Times New Roman,Bold"&amp;8REVISED</oddHeader>
    <oddFooter>&amp;CPage 5.3&amp;R&amp;F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68B23024258429DAC4122732B87ED" ma:contentTypeVersion="4" ma:contentTypeDescription="Create a new document." ma:contentTypeScope="" ma:versionID="636ff0a5a2bdf7d37862f872c94f0413">
  <xsd:schema xmlns:xsd="http://www.w3.org/2001/XMLSchema" xmlns:xs="http://www.w3.org/2001/XMLSchema" xmlns:p="http://schemas.microsoft.com/office/2006/metadata/properties" xmlns:ns2="af4f6bea-4661-4cda-b825-bd4d480ecdc0" targetNamespace="http://schemas.microsoft.com/office/2006/metadata/properties" ma:root="true" ma:fieldsID="1c3ab18bd271619b778fa6c53a5ac965" ns2:_="">
    <xsd:import namespace="af4f6bea-4661-4cda-b825-bd4d480ecd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f6bea-4661-4cda-b825-bd4d480ec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D6342-E549-431A-831F-EEE9CF50A8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7DC2C9-4169-4B47-B7EE-49D8E6C97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f6bea-4661-4cda-b825-bd4d480ec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2FD785-CC8F-46E3-95D7-21A8BE5BB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20</vt:i4>
      </vt:variant>
    </vt:vector>
  </HeadingPairs>
  <TitlesOfParts>
    <vt:vector size="55" baseType="lpstr">
      <vt:lpstr>Pg1 TO5 C4 BTRR Adj</vt:lpstr>
      <vt:lpstr>Pg2 BK-1 Comparison</vt:lpstr>
      <vt:lpstr>Pg3 BK-1 Rev TO5 C4-Cost Adj </vt:lpstr>
      <vt:lpstr>Pg4 BK-1 Retail TRR-As Filed</vt:lpstr>
      <vt:lpstr>Pg5 Rev Stmt AF</vt:lpstr>
      <vt:lpstr>Pg5.1 As Filed Stmt AF</vt:lpstr>
      <vt:lpstr>Pg5.2 Rev AF-1</vt:lpstr>
      <vt:lpstr>Pg5.2A As Filed AF-1</vt:lpstr>
      <vt:lpstr>Pg5.3 Rev AF-2</vt:lpstr>
      <vt:lpstr>Pg5.3A As Filed AF-2</vt:lpstr>
      <vt:lpstr>Pg6 Rev Stmt AH</vt:lpstr>
      <vt:lpstr>Pg6.1 Rev AH-2</vt:lpstr>
      <vt:lpstr>Pg7 Rev Stmt AL</vt:lpstr>
      <vt:lpstr>Pg7.1 As Filed Stmt AL</vt:lpstr>
      <vt:lpstr>Pg8 Rev Stmt AR</vt:lpstr>
      <vt:lpstr>Pg8.1 As Filed Stmt AR</vt:lpstr>
      <vt:lpstr>Pg8.2 Rev AR-1</vt:lpstr>
      <vt:lpstr>Pg8.2A As Filed AR-1</vt:lpstr>
      <vt:lpstr>Pg9 Rev Order 864-1</vt:lpstr>
      <vt:lpstr>Pg9.1 As Filed Order 864-1</vt:lpstr>
      <vt:lpstr>Pg9.2 Rev Order 864-3</vt:lpstr>
      <vt:lpstr>Pg9.3 As Filed Order 864-3</vt:lpstr>
      <vt:lpstr>Pg10 Rev Stmt Misc</vt:lpstr>
      <vt:lpstr>Pg10.1 As Filed Stmt Misc</vt:lpstr>
      <vt:lpstr>Pg10.2 Rev Misc.-1</vt:lpstr>
      <vt:lpstr>Pg10.2A As Filed Misc.-1</vt:lpstr>
      <vt:lpstr>Pg10.3 Rev Misc.-1.1</vt:lpstr>
      <vt:lpstr>Pg10.3A As Filed Misc.-1.1</vt:lpstr>
      <vt:lpstr>Pg11 Rev Stmt AV</vt:lpstr>
      <vt:lpstr>Pg12 As Filed Stmt AV</vt:lpstr>
      <vt:lpstr>Pg13 Rev Stmt AU</vt:lpstr>
      <vt:lpstr>Pg13.1 As Filed Stmt AU</vt:lpstr>
      <vt:lpstr>Pg14 Rev AU-1</vt:lpstr>
      <vt:lpstr>Pg15 As Filed AU-1</vt:lpstr>
      <vt:lpstr>Pg16 TO5 C4 Int Calc</vt:lpstr>
      <vt:lpstr>'Pg10.1 As Filed Stmt Misc'!Print_Area</vt:lpstr>
      <vt:lpstr>'Pg10.2A As Filed Misc.-1'!Print_Area</vt:lpstr>
      <vt:lpstr>'Pg10.3A As Filed Misc.-1.1'!Print_Area</vt:lpstr>
      <vt:lpstr>'Pg12 As Filed Stmt AV'!Print_Area</vt:lpstr>
      <vt:lpstr>'Pg13.1 As Filed Stmt AU'!Print_Area</vt:lpstr>
      <vt:lpstr>'Pg15 As Filed AU-1'!Print_Area</vt:lpstr>
      <vt:lpstr>'Pg2 BK-1 Comparison'!Print_Area</vt:lpstr>
      <vt:lpstr>'Pg4 BK-1 Retail TRR-As Filed'!Print_Area</vt:lpstr>
      <vt:lpstr>'Pg5.1 As Filed Stmt AF'!Print_Area</vt:lpstr>
      <vt:lpstr>'Pg5.2A As Filed AF-1'!Print_Area</vt:lpstr>
      <vt:lpstr>'Pg5.3A As Filed AF-2'!Print_Area</vt:lpstr>
      <vt:lpstr>'Pg6.1 Rev AH-2'!Print_Area</vt:lpstr>
      <vt:lpstr>'Pg7.1 As Filed Stmt AL'!Print_Area</vt:lpstr>
      <vt:lpstr>'Pg8 Rev Stmt AR'!Print_Area</vt:lpstr>
      <vt:lpstr>'Pg8.1 As Filed Stmt AR'!Print_Area</vt:lpstr>
      <vt:lpstr>'Pg8.2A As Filed AR-1'!Print_Area</vt:lpstr>
      <vt:lpstr>'Pg9 Rev Order 864-1'!Print_Area</vt:lpstr>
      <vt:lpstr>'Pg9.1 As Filed Order 864-1'!Print_Area</vt:lpstr>
      <vt:lpstr>'Pg9.2 Rev Order 864-3'!Print_Area</vt:lpstr>
      <vt:lpstr>'Pg9.3 As Filed Order 864-3'!Print_Area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dcterms:created xsi:type="dcterms:W3CDTF">2021-03-15T20:20:03Z</dcterms:created>
  <dcterms:modified xsi:type="dcterms:W3CDTF">2022-11-30T18:37:09Z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0x01010056268B23024258429DAC4122732B87ED</vt:lpwstr>
  </property>
</Properties>
</file>