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empra.sharepoint.com/teams/transmissionrevenue/2023/TO5-Cycle 6 Formula Rate Filing/December Filing/Cost Adjustment Workpapers/Other BTRR Adj - Various Errors/"/>
    </mc:Choice>
  </mc:AlternateContent>
  <xr:revisionPtr revIDLastSave="109" documentId="8_{41D4FC46-D28D-4F70-BA49-199DCFFC4435}" xr6:coauthVersionLast="47" xr6:coauthVersionMax="47" xr10:uidLastSave="{FB3A848E-E98E-4CF3-9F85-4129885DCC76}"/>
  <bookViews>
    <workbookView xWindow="-120" yWindow="-120" windowWidth="29040" windowHeight="15840" xr2:uid="{F2347CB9-C744-43C3-B93C-3F4EDD823EA7}"/>
  </bookViews>
  <sheets>
    <sheet name="Pg1 TO5 C4 BTRR Adj" sheetId="1" r:id="rId1"/>
    <sheet name="Pg2 BK-1 Comparison" sheetId="3" r:id="rId2"/>
    <sheet name="Pg3 BK-1 Rev TO5 C4" sheetId="4" r:id="rId3"/>
    <sheet name="Pg4 BK-1 Rev TO5 C4-Cost Adj " sheetId="58" r:id="rId4"/>
    <sheet name="Pg5 BK-1 Orig As Filed" sheetId="5" r:id="rId5"/>
    <sheet name="Pg6 Rev Stmt AH" sheetId="29" r:id="rId6"/>
    <sheet name="Pg6.1 As Filed Stmt AH-Cost Adj" sheetId="67" r:id="rId7"/>
    <sheet name="Pg6.2 Rev AH-2" sheetId="28" r:id="rId8"/>
    <sheet name="Pg6.3 As Filed AH-2-Cost Adj" sheetId="57" r:id="rId9"/>
    <sheet name="Pg7 Rev Stmt AL" sheetId="30" r:id="rId10"/>
    <sheet name="Pg7.1 As Filed Stmt AL-Cost Adj" sheetId="52" r:id="rId11"/>
    <sheet name="Pg8 Rev Stmt AV" sheetId="10" r:id="rId12"/>
    <sheet name="Pg9 As Filed Stmt AV-Cost Adj" sheetId="12" r:id="rId13"/>
    <sheet name="Pg10 TO5 C4 Int Calc" sheetId="13" r:id="rId14"/>
  </sheets>
  <definedNames>
    <definedName name="_xlnm.Print_Area" localSheetId="1">'Pg2 BK-1 Comparison'!$A$1:$L$194</definedName>
    <definedName name="_xlnm.Print_Area" localSheetId="3">'Pg4 BK-1 Rev TO5 C4-Cost Adj '!$A$2:$H$193</definedName>
    <definedName name="_xlnm.Print_Area" localSheetId="4">'Pg5 BK-1 Orig As Filed'!$A$2:$H$187</definedName>
    <definedName name="_xlnm.Print_Area" localSheetId="6">'Pg6.1 As Filed Stmt AH-Cost Adj'!$A$2:$H$67</definedName>
    <definedName name="_xlnm.Print_Area" localSheetId="7">'Pg6.2 Rev AH-2'!$A$1:$P$92</definedName>
    <definedName name="_xlnm.Print_Area" localSheetId="8">'Pg6.3 As Filed AH-2-Cost Adj'!$A$2:$L$78</definedName>
    <definedName name="_xlnm.Print_Area" localSheetId="10">'Pg7.1 As Filed Stmt AL-Cost Adj'!$A$2:$J$52</definedName>
    <definedName name="_xlnm.Print_Area" localSheetId="12">'Pg9 As Filed Stmt AV-Cost Adj'!$A$2:$J$261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30" l="1"/>
  <c r="B47" i="30"/>
  <c r="P50" i="28" l="1"/>
  <c r="P51" i="28"/>
  <c r="P52" i="28"/>
  <c r="P53" i="28"/>
  <c r="P54" i="28"/>
  <c r="A69" i="28"/>
  <c r="A70" i="28" s="1"/>
  <c r="P70" i="28" s="1"/>
  <c r="P40" i="28"/>
  <c r="P41" i="28"/>
  <c r="P42" i="28"/>
  <c r="L59" i="28"/>
  <c r="L55" i="28"/>
  <c r="L51" i="28"/>
  <c r="L41" i="28"/>
  <c r="L36" i="28"/>
  <c r="A40" i="28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P69" i="28" l="1"/>
  <c r="L25" i="28"/>
  <c r="H33" i="3" l="1"/>
  <c r="H29" i="3"/>
  <c r="L19" i="28"/>
  <c r="L18" i="28"/>
  <c r="L16" i="28"/>
  <c r="L14" i="28"/>
  <c r="L11" i="28"/>
  <c r="L75" i="28"/>
  <c r="B97" i="3" l="1"/>
  <c r="L13" i="28" l="1"/>
  <c r="B183" i="10" l="1"/>
  <c r="B193" i="4"/>
  <c r="B43" i="4"/>
  <c r="B97" i="4" s="1"/>
  <c r="B153" i="4" s="1"/>
  <c r="B193" i="3"/>
  <c r="B153" i="3"/>
  <c r="B182" i="10" l="1"/>
  <c r="B192" i="4" l="1"/>
  <c r="B42" i="4"/>
  <c r="I58" i="13" l="1"/>
  <c r="I59" i="13" s="1"/>
  <c r="I60" i="13" s="1"/>
  <c r="I61" i="13" s="1"/>
  <c r="I62" i="13" s="1"/>
  <c r="I63" i="13" s="1"/>
  <c r="I64" i="13" s="1"/>
  <c r="A58" i="13"/>
  <c r="A59" i="13" s="1"/>
  <c r="A60" i="13" s="1"/>
  <c r="A61" i="13" s="1"/>
  <c r="A62" i="13" s="1"/>
  <c r="A63" i="13" s="1"/>
  <c r="A64" i="13" s="1"/>
  <c r="H38" i="3" l="1"/>
  <c r="H37" i="3"/>
  <c r="H15" i="3"/>
  <c r="H189" i="3" l="1"/>
  <c r="H188" i="3"/>
  <c r="H184" i="3"/>
  <c r="H183" i="3"/>
  <c r="H182" i="3"/>
  <c r="H181" i="3"/>
  <c r="H177" i="3"/>
  <c r="H176" i="3"/>
  <c r="H175" i="3"/>
  <c r="H174" i="3"/>
  <c r="H170" i="3"/>
  <c r="H169" i="3"/>
  <c r="H168" i="3"/>
  <c r="H167" i="3"/>
  <c r="H150" i="3"/>
  <c r="H147" i="3"/>
  <c r="H146" i="3"/>
  <c r="H142" i="3"/>
  <c r="H141" i="3"/>
  <c r="H136" i="3"/>
  <c r="H135" i="3"/>
  <c r="H132" i="3"/>
  <c r="H131" i="3"/>
  <c r="H130" i="3"/>
  <c r="H126" i="3"/>
  <c r="H125" i="3"/>
  <c r="H121" i="3"/>
  <c r="H120" i="3"/>
  <c r="H116" i="3"/>
  <c r="H115" i="3"/>
  <c r="H114" i="3"/>
  <c r="H113" i="3"/>
  <c r="H87" i="3"/>
  <c r="H86" i="3"/>
  <c r="H83" i="3"/>
  <c r="H82" i="3"/>
  <c r="H76" i="3"/>
  <c r="H75" i="3"/>
  <c r="H72" i="3"/>
  <c r="H71" i="3"/>
  <c r="H69" i="3"/>
  <c r="H63" i="3"/>
  <c r="H62" i="3"/>
  <c r="H59" i="3"/>
  <c r="H58" i="3"/>
  <c r="H56" i="3"/>
  <c r="B192" i="3"/>
  <c r="H36" i="3" l="1"/>
  <c r="H35" i="3"/>
  <c r="H32" i="3"/>
  <c r="H31" i="3"/>
  <c r="H28" i="3"/>
  <c r="H27" i="3"/>
  <c r="H24" i="3"/>
  <c r="H22" i="3"/>
  <c r="H20" i="3"/>
  <c r="H18" i="3"/>
  <c r="H13" i="3"/>
  <c r="H11" i="3"/>
  <c r="G250" i="12" l="1"/>
  <c r="G248" i="12"/>
  <c r="G247" i="12"/>
  <c r="G238" i="12"/>
  <c r="G217" i="12"/>
  <c r="G215" i="12"/>
  <c r="G214" i="12"/>
  <c r="G205" i="12"/>
  <c r="J197" i="12"/>
  <c r="J198" i="12" s="1"/>
  <c r="J199" i="12" s="1"/>
  <c r="J200" i="12" s="1"/>
  <c r="J201" i="12" s="1"/>
  <c r="J202" i="12" s="1"/>
  <c r="J203" i="12" s="1"/>
  <c r="J204" i="12" s="1"/>
  <c r="J205" i="12" s="1"/>
  <c r="J206" i="12" s="1"/>
  <c r="J207" i="12" s="1"/>
  <c r="J208" i="12" s="1"/>
  <c r="J209" i="12" s="1"/>
  <c r="J210" i="12" s="1"/>
  <c r="J211" i="12" s="1"/>
  <c r="J212" i="12" s="1"/>
  <c r="J213" i="12" s="1"/>
  <c r="J214" i="12" s="1"/>
  <c r="J215" i="12" s="1"/>
  <c r="J216" i="12" s="1"/>
  <c r="J217" i="12" s="1"/>
  <c r="J218" i="12" s="1"/>
  <c r="J219" i="12" s="1"/>
  <c r="J220" i="12" s="1"/>
  <c r="J221" i="12" s="1"/>
  <c r="J222" i="12" s="1"/>
  <c r="J223" i="12" s="1"/>
  <c r="J224" i="12" s="1"/>
  <c r="J225" i="12" s="1"/>
  <c r="J226" i="12" s="1"/>
  <c r="J227" i="12" s="1"/>
  <c r="J228" i="12" s="1"/>
  <c r="J229" i="12" s="1"/>
  <c r="J230" i="12" s="1"/>
  <c r="J231" i="12" s="1"/>
  <c r="J232" i="12" s="1"/>
  <c r="J233" i="12" s="1"/>
  <c r="J234" i="12" s="1"/>
  <c r="J235" i="12" s="1"/>
  <c r="J236" i="12" s="1"/>
  <c r="J237" i="12" s="1"/>
  <c r="J238" i="12" s="1"/>
  <c r="J239" i="12" s="1"/>
  <c r="J240" i="12" s="1"/>
  <c r="J241" i="12" s="1"/>
  <c r="J242" i="12" s="1"/>
  <c r="J243" i="12" s="1"/>
  <c r="J244" i="12" s="1"/>
  <c r="J245" i="12" s="1"/>
  <c r="J246" i="12" s="1"/>
  <c r="J247" i="12" s="1"/>
  <c r="J248" i="12" s="1"/>
  <c r="J249" i="12" s="1"/>
  <c r="J250" i="12" s="1"/>
  <c r="J251" i="12" s="1"/>
  <c r="J252" i="12" s="1"/>
  <c r="J253" i="12" s="1"/>
  <c r="J254" i="12" s="1"/>
  <c r="J255" i="12" s="1"/>
  <c r="J256" i="12" s="1"/>
  <c r="J257" i="12" s="1"/>
  <c r="J258" i="12" s="1"/>
  <c r="J259" i="12" s="1"/>
  <c r="A197" i="12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A258" i="12" s="1"/>
  <c r="A259" i="12" s="1"/>
  <c r="B190" i="12"/>
  <c r="G169" i="12"/>
  <c r="G168" i="12"/>
  <c r="G136" i="12"/>
  <c r="G135" i="12"/>
  <c r="J118" i="12"/>
  <c r="J119" i="12" s="1"/>
  <c r="J120" i="12" s="1"/>
  <c r="J121" i="12" s="1"/>
  <c r="J122" i="12" s="1"/>
  <c r="J123" i="12" s="1"/>
  <c r="J124" i="12" s="1"/>
  <c r="J125" i="12" s="1"/>
  <c r="J126" i="12" s="1"/>
  <c r="J127" i="12" s="1"/>
  <c r="J128" i="12" s="1"/>
  <c r="J129" i="12" s="1"/>
  <c r="J130" i="12" s="1"/>
  <c r="J131" i="12" s="1"/>
  <c r="J132" i="12" s="1"/>
  <c r="J133" i="12" s="1"/>
  <c r="J134" i="12" s="1"/>
  <c r="J135" i="12" s="1"/>
  <c r="J136" i="12" s="1"/>
  <c r="J137" i="12" s="1"/>
  <c r="J138" i="12" s="1"/>
  <c r="J139" i="12" s="1"/>
  <c r="J140" i="12" s="1"/>
  <c r="J141" i="12" s="1"/>
  <c r="J142" i="12" s="1"/>
  <c r="J143" i="12" s="1"/>
  <c r="J144" i="12" s="1"/>
  <c r="J145" i="12" s="1"/>
  <c r="J146" i="12" s="1"/>
  <c r="J147" i="12" s="1"/>
  <c r="J148" i="12" s="1"/>
  <c r="J149" i="12" s="1"/>
  <c r="J150" i="12" s="1"/>
  <c r="J151" i="12" s="1"/>
  <c r="J152" i="12" s="1"/>
  <c r="J153" i="12" s="1"/>
  <c r="J154" i="12" s="1"/>
  <c r="J155" i="12" s="1"/>
  <c r="J156" i="12" s="1"/>
  <c r="J157" i="12" s="1"/>
  <c r="J158" i="12" s="1"/>
  <c r="J159" i="12" s="1"/>
  <c r="J160" i="12" s="1"/>
  <c r="J161" i="12" s="1"/>
  <c r="J162" i="12" s="1"/>
  <c r="J163" i="12" s="1"/>
  <c r="J164" i="12" s="1"/>
  <c r="J165" i="12" s="1"/>
  <c r="J166" i="12" s="1"/>
  <c r="J167" i="12" s="1"/>
  <c r="J168" i="12" s="1"/>
  <c r="J169" i="12" s="1"/>
  <c r="J170" i="12" s="1"/>
  <c r="J171" i="12" s="1"/>
  <c r="J172" i="12" s="1"/>
  <c r="J173" i="12" s="1"/>
  <c r="J174" i="12" s="1"/>
  <c r="J175" i="12" s="1"/>
  <c r="J176" i="12" s="1"/>
  <c r="J177" i="12" s="1"/>
  <c r="J178" i="12" s="1"/>
  <c r="J179" i="12" s="1"/>
  <c r="J180" i="12" s="1"/>
  <c r="A118" i="12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B111" i="12"/>
  <c r="E99" i="12"/>
  <c r="C98" i="12"/>
  <c r="E86" i="12"/>
  <c r="C85" i="12"/>
  <c r="A80" i="12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J79" i="12"/>
  <c r="J80" i="12" s="1"/>
  <c r="J81" i="12" s="1"/>
  <c r="J82" i="12" s="1"/>
  <c r="J83" i="12" s="1"/>
  <c r="J84" i="12" s="1"/>
  <c r="J85" i="12" s="1"/>
  <c r="J86" i="12" s="1"/>
  <c r="J87" i="12" s="1"/>
  <c r="J88" i="12" s="1"/>
  <c r="J89" i="12" s="1"/>
  <c r="J90" i="12" s="1"/>
  <c r="J91" i="12" s="1"/>
  <c r="J92" i="12" s="1"/>
  <c r="J93" i="12" s="1"/>
  <c r="J94" i="12" s="1"/>
  <c r="J95" i="12" s="1"/>
  <c r="J96" i="12" s="1"/>
  <c r="J97" i="12" s="1"/>
  <c r="J98" i="12" s="1"/>
  <c r="J99" i="12" s="1"/>
  <c r="J100" i="12" s="1"/>
  <c r="J101" i="12" s="1"/>
  <c r="J102" i="12" s="1"/>
  <c r="B73" i="12"/>
  <c r="E62" i="12"/>
  <c r="C61" i="12"/>
  <c r="E49" i="12"/>
  <c r="C48" i="12"/>
  <c r="C47" i="12"/>
  <c r="G36" i="12"/>
  <c r="G39" i="12" s="1"/>
  <c r="G32" i="12"/>
  <c r="E48" i="12" s="1"/>
  <c r="G25" i="12"/>
  <c r="G27" i="12" s="1"/>
  <c r="G17" i="12"/>
  <c r="C60" i="12" s="1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J11" i="12"/>
  <c r="J12" i="12" s="1"/>
  <c r="J13" i="12" s="1"/>
  <c r="J14" i="12" s="1"/>
  <c r="J15" i="12" s="1"/>
  <c r="J16" i="12" s="1"/>
  <c r="J17" i="12" s="1"/>
  <c r="J18" i="12" s="1"/>
  <c r="J19" i="12" s="1"/>
  <c r="J20" i="12" s="1"/>
  <c r="J21" i="12" s="1"/>
  <c r="J22" i="12" s="1"/>
  <c r="J23" i="12" s="1"/>
  <c r="J24" i="12" s="1"/>
  <c r="J25" i="12" s="1"/>
  <c r="J26" i="12" s="1"/>
  <c r="J27" i="12" s="1"/>
  <c r="J28" i="12" s="1"/>
  <c r="J29" i="12" s="1"/>
  <c r="J30" i="12" s="1"/>
  <c r="J31" i="12" s="1"/>
  <c r="J32" i="12" s="1"/>
  <c r="J33" i="12" s="1"/>
  <c r="J34" i="12" s="1"/>
  <c r="J35" i="12" s="1"/>
  <c r="J36" i="12" s="1"/>
  <c r="J37" i="12" s="1"/>
  <c r="J38" i="12" s="1"/>
  <c r="J39" i="12" s="1"/>
  <c r="J40" i="12" s="1"/>
  <c r="J41" i="12" s="1"/>
  <c r="J42" i="12" s="1"/>
  <c r="J43" i="12" s="1"/>
  <c r="J44" i="12" s="1"/>
  <c r="J45" i="12" s="1"/>
  <c r="J46" i="12" s="1"/>
  <c r="J47" i="12" s="1"/>
  <c r="J48" i="12" s="1"/>
  <c r="J49" i="12" s="1"/>
  <c r="J50" i="12" s="1"/>
  <c r="J51" i="12" s="1"/>
  <c r="J52" i="12" s="1"/>
  <c r="J53" i="12" s="1"/>
  <c r="J54" i="12" s="1"/>
  <c r="J55" i="12" s="1"/>
  <c r="J56" i="12" s="1"/>
  <c r="J57" i="12" s="1"/>
  <c r="J58" i="12" s="1"/>
  <c r="J59" i="12" s="1"/>
  <c r="J60" i="12" s="1"/>
  <c r="J61" i="12" s="1"/>
  <c r="J62" i="12" s="1"/>
  <c r="J63" i="12" s="1"/>
  <c r="J64" i="12" s="1"/>
  <c r="J65" i="12" s="1"/>
  <c r="G249" i="10"/>
  <c r="G247" i="10"/>
  <c r="G246" i="10"/>
  <c r="G237" i="10"/>
  <c r="G216" i="10"/>
  <c r="G214" i="10"/>
  <c r="G213" i="10"/>
  <c r="G204" i="10"/>
  <c r="J196" i="10"/>
  <c r="J197" i="10" s="1"/>
  <c r="J198" i="10" s="1"/>
  <c r="J199" i="10" s="1"/>
  <c r="J200" i="10" s="1"/>
  <c r="J201" i="10" s="1"/>
  <c r="J202" i="10" s="1"/>
  <c r="J203" i="10" s="1"/>
  <c r="J204" i="10" s="1"/>
  <c r="J205" i="10" s="1"/>
  <c r="J206" i="10" s="1"/>
  <c r="J207" i="10" s="1"/>
  <c r="J208" i="10" s="1"/>
  <c r="J209" i="10" s="1"/>
  <c r="J210" i="10" s="1"/>
  <c r="J211" i="10" s="1"/>
  <c r="J212" i="10" s="1"/>
  <c r="J213" i="10" s="1"/>
  <c r="J214" i="10" s="1"/>
  <c r="J215" i="10" s="1"/>
  <c r="J216" i="10" s="1"/>
  <c r="J217" i="10" s="1"/>
  <c r="J218" i="10" s="1"/>
  <c r="J219" i="10" s="1"/>
  <c r="J220" i="10" s="1"/>
  <c r="J221" i="10" s="1"/>
  <c r="J222" i="10" s="1"/>
  <c r="J223" i="10" s="1"/>
  <c r="J224" i="10" s="1"/>
  <c r="J225" i="10" s="1"/>
  <c r="J226" i="10" s="1"/>
  <c r="J227" i="10" s="1"/>
  <c r="J228" i="10" s="1"/>
  <c r="J229" i="10" s="1"/>
  <c r="J230" i="10" s="1"/>
  <c r="J231" i="10" s="1"/>
  <c r="J232" i="10" s="1"/>
  <c r="J233" i="10" s="1"/>
  <c r="J234" i="10" s="1"/>
  <c r="J235" i="10" s="1"/>
  <c r="J236" i="10" s="1"/>
  <c r="J237" i="10" s="1"/>
  <c r="J238" i="10" s="1"/>
  <c r="J239" i="10" s="1"/>
  <c r="J240" i="10" s="1"/>
  <c r="J241" i="10" s="1"/>
  <c r="J242" i="10" s="1"/>
  <c r="J243" i="10" s="1"/>
  <c r="J244" i="10" s="1"/>
  <c r="J245" i="10" s="1"/>
  <c r="J246" i="10" s="1"/>
  <c r="J247" i="10" s="1"/>
  <c r="J248" i="10" s="1"/>
  <c r="J249" i="10" s="1"/>
  <c r="J250" i="10" s="1"/>
  <c r="J251" i="10" s="1"/>
  <c r="J252" i="10" s="1"/>
  <c r="J253" i="10" s="1"/>
  <c r="J254" i="10" s="1"/>
  <c r="J255" i="10" s="1"/>
  <c r="J256" i="10" s="1"/>
  <c r="J257" i="10" s="1"/>
  <c r="J258" i="10" s="1"/>
  <c r="A196" i="10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B189" i="10"/>
  <c r="G167" i="10"/>
  <c r="G134" i="10"/>
  <c r="J117" i="10"/>
  <c r="J118" i="10" s="1"/>
  <c r="J119" i="10" s="1"/>
  <c r="J120" i="10" s="1"/>
  <c r="J121" i="10" s="1"/>
  <c r="J122" i="10" s="1"/>
  <c r="J123" i="10" s="1"/>
  <c r="J124" i="10" s="1"/>
  <c r="J125" i="10" s="1"/>
  <c r="J126" i="10" s="1"/>
  <c r="J127" i="10" s="1"/>
  <c r="J128" i="10" s="1"/>
  <c r="J129" i="10" s="1"/>
  <c r="J130" i="10" s="1"/>
  <c r="J131" i="10" s="1"/>
  <c r="J132" i="10" s="1"/>
  <c r="J133" i="10" s="1"/>
  <c r="J134" i="10" s="1"/>
  <c r="J135" i="10" s="1"/>
  <c r="J136" i="10" s="1"/>
  <c r="J137" i="10" s="1"/>
  <c r="J138" i="10" s="1"/>
  <c r="J139" i="10" s="1"/>
  <c r="J140" i="10" s="1"/>
  <c r="J141" i="10" s="1"/>
  <c r="J142" i="10" s="1"/>
  <c r="J143" i="10" s="1"/>
  <c r="J144" i="10" s="1"/>
  <c r="J145" i="10" s="1"/>
  <c r="J146" i="10" s="1"/>
  <c r="J147" i="10" s="1"/>
  <c r="J148" i="10" s="1"/>
  <c r="J149" i="10" s="1"/>
  <c r="J150" i="10" s="1"/>
  <c r="J151" i="10" s="1"/>
  <c r="J152" i="10" s="1"/>
  <c r="J153" i="10" s="1"/>
  <c r="J154" i="10" s="1"/>
  <c r="J155" i="10" s="1"/>
  <c r="J156" i="10" s="1"/>
  <c r="J157" i="10" s="1"/>
  <c r="J158" i="10" s="1"/>
  <c r="J159" i="10" s="1"/>
  <c r="J160" i="10" s="1"/>
  <c r="J161" i="10" s="1"/>
  <c r="J162" i="10" s="1"/>
  <c r="J163" i="10" s="1"/>
  <c r="J164" i="10" s="1"/>
  <c r="J165" i="10" s="1"/>
  <c r="J166" i="10" s="1"/>
  <c r="J167" i="10" s="1"/>
  <c r="J168" i="10" s="1"/>
  <c r="J169" i="10" s="1"/>
  <c r="J170" i="10" s="1"/>
  <c r="J171" i="10" s="1"/>
  <c r="J172" i="10" s="1"/>
  <c r="J173" i="10" s="1"/>
  <c r="J174" i="10" s="1"/>
  <c r="J175" i="10" s="1"/>
  <c r="J176" i="10" s="1"/>
  <c r="J177" i="10" s="1"/>
  <c r="J178" i="10" s="1"/>
  <c r="J179" i="10" s="1"/>
  <c r="A117" i="10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B110" i="10"/>
  <c r="E98" i="10"/>
  <c r="C97" i="10"/>
  <c r="E85" i="10"/>
  <c r="C84" i="10"/>
  <c r="A79" i="10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J78" i="10"/>
  <c r="J79" i="10" s="1"/>
  <c r="J80" i="10" s="1"/>
  <c r="J81" i="10" s="1"/>
  <c r="J82" i="10" s="1"/>
  <c r="J83" i="10" s="1"/>
  <c r="J84" i="10" s="1"/>
  <c r="J85" i="10" s="1"/>
  <c r="J86" i="10" s="1"/>
  <c r="J87" i="10" s="1"/>
  <c r="J88" i="10" s="1"/>
  <c r="J89" i="10" s="1"/>
  <c r="J90" i="10" s="1"/>
  <c r="J91" i="10" s="1"/>
  <c r="J92" i="10" s="1"/>
  <c r="J93" i="10" s="1"/>
  <c r="J94" i="10" s="1"/>
  <c r="J95" i="10" s="1"/>
  <c r="J96" i="10" s="1"/>
  <c r="J97" i="10" s="1"/>
  <c r="J98" i="10" s="1"/>
  <c r="J99" i="10" s="1"/>
  <c r="J100" i="10" s="1"/>
  <c r="J101" i="10" s="1"/>
  <c r="B72" i="10"/>
  <c r="E61" i="10"/>
  <c r="C60" i="10"/>
  <c r="E48" i="10"/>
  <c r="C47" i="10"/>
  <c r="G35" i="10"/>
  <c r="G38" i="10" s="1"/>
  <c r="C85" i="10" s="1"/>
  <c r="G31" i="10"/>
  <c r="E47" i="10" s="1"/>
  <c r="G24" i="10"/>
  <c r="G16" i="10"/>
  <c r="A11" i="10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J10" i="10"/>
  <c r="J11" i="10" s="1"/>
  <c r="J12" i="10" s="1"/>
  <c r="J13" i="10" s="1"/>
  <c r="J14" i="10" s="1"/>
  <c r="J15" i="10" s="1"/>
  <c r="J16" i="10" s="1"/>
  <c r="J17" i="10" s="1"/>
  <c r="J18" i="10" s="1"/>
  <c r="J19" i="10" s="1"/>
  <c r="J20" i="10" s="1"/>
  <c r="J21" i="10" s="1"/>
  <c r="J22" i="10" s="1"/>
  <c r="J23" i="10" s="1"/>
  <c r="J24" i="10" s="1"/>
  <c r="J25" i="10" s="1"/>
  <c r="J26" i="10" s="1"/>
  <c r="J27" i="10" s="1"/>
  <c r="J28" i="10" s="1"/>
  <c r="J29" i="10" s="1"/>
  <c r="J30" i="10" s="1"/>
  <c r="J31" i="10" s="1"/>
  <c r="J32" i="10" s="1"/>
  <c r="J33" i="10" s="1"/>
  <c r="J34" i="10" s="1"/>
  <c r="J35" i="10" s="1"/>
  <c r="J36" i="10" s="1"/>
  <c r="J37" i="10" s="1"/>
  <c r="J38" i="10" s="1"/>
  <c r="J39" i="10" s="1"/>
  <c r="J40" i="10" s="1"/>
  <c r="J41" i="10" s="1"/>
  <c r="J42" i="10" s="1"/>
  <c r="J43" i="10" s="1"/>
  <c r="J44" i="10" s="1"/>
  <c r="J45" i="10" s="1"/>
  <c r="J46" i="10" s="1"/>
  <c r="J47" i="10" s="1"/>
  <c r="J48" i="10" s="1"/>
  <c r="J49" i="10" s="1"/>
  <c r="J50" i="10" s="1"/>
  <c r="J51" i="10" s="1"/>
  <c r="J52" i="10" s="1"/>
  <c r="J53" i="10" s="1"/>
  <c r="J54" i="10" s="1"/>
  <c r="J55" i="10" s="1"/>
  <c r="J56" i="10" s="1"/>
  <c r="J57" i="10" s="1"/>
  <c r="J58" i="10" s="1"/>
  <c r="J59" i="10" s="1"/>
  <c r="J60" i="10" s="1"/>
  <c r="J61" i="10" s="1"/>
  <c r="J62" i="10" s="1"/>
  <c r="J63" i="10" s="1"/>
  <c r="J64" i="10" s="1"/>
  <c r="E35" i="52"/>
  <c r="E33" i="52"/>
  <c r="E28" i="52"/>
  <c r="E26" i="52"/>
  <c r="E30" i="52" s="1"/>
  <c r="G20" i="52"/>
  <c r="G16" i="52"/>
  <c r="A13" i="52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A28" i="52" s="1"/>
  <c r="A29" i="52" s="1"/>
  <c r="A30" i="52" s="1"/>
  <c r="A31" i="52" s="1"/>
  <c r="A32" i="52" s="1"/>
  <c r="A33" i="52" s="1"/>
  <c r="A34" i="52" s="1"/>
  <c r="A35" i="52" s="1"/>
  <c r="A36" i="52" s="1"/>
  <c r="A37" i="52" s="1"/>
  <c r="A38" i="52" s="1"/>
  <c r="A39" i="52" s="1"/>
  <c r="A40" i="52" s="1"/>
  <c r="A41" i="52" s="1"/>
  <c r="A42" i="52" s="1"/>
  <c r="A43" i="52" s="1"/>
  <c r="A44" i="52" s="1"/>
  <c r="A45" i="52" s="1"/>
  <c r="J12" i="52"/>
  <c r="J13" i="52" s="1"/>
  <c r="J14" i="52" s="1"/>
  <c r="J15" i="52" s="1"/>
  <c r="J16" i="52" s="1"/>
  <c r="J17" i="52" s="1"/>
  <c r="J18" i="52" s="1"/>
  <c r="J19" i="52" s="1"/>
  <c r="J20" i="52" s="1"/>
  <c r="J21" i="52" s="1"/>
  <c r="J22" i="52" s="1"/>
  <c r="J23" i="52" s="1"/>
  <c r="J24" i="52" s="1"/>
  <c r="J25" i="52" s="1"/>
  <c r="J26" i="52" s="1"/>
  <c r="J27" i="52" s="1"/>
  <c r="J28" i="52" s="1"/>
  <c r="J29" i="52" s="1"/>
  <c r="J30" i="52" s="1"/>
  <c r="J31" i="52" s="1"/>
  <c r="J32" i="52" s="1"/>
  <c r="J33" i="52" s="1"/>
  <c r="J34" i="52" s="1"/>
  <c r="J35" i="52" s="1"/>
  <c r="J36" i="52" s="1"/>
  <c r="J37" i="52" s="1"/>
  <c r="J38" i="52" s="1"/>
  <c r="J39" i="52" s="1"/>
  <c r="J40" i="52" s="1"/>
  <c r="J41" i="52" s="1"/>
  <c r="J42" i="52" s="1"/>
  <c r="J43" i="52" s="1"/>
  <c r="J44" i="52" s="1"/>
  <c r="J45" i="52" s="1"/>
  <c r="E32" i="30"/>
  <c r="E27" i="30"/>
  <c r="E34" i="30" s="1"/>
  <c r="A12" i="30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J11" i="30"/>
  <c r="J12" i="30" s="1"/>
  <c r="J13" i="30" s="1"/>
  <c r="J14" i="30" s="1"/>
  <c r="J15" i="30" s="1"/>
  <c r="J16" i="30" s="1"/>
  <c r="J17" i="30" s="1"/>
  <c r="J18" i="30" s="1"/>
  <c r="J19" i="30" s="1"/>
  <c r="J20" i="30" s="1"/>
  <c r="J21" i="30" s="1"/>
  <c r="J22" i="30" s="1"/>
  <c r="J23" i="30" s="1"/>
  <c r="J24" i="30" s="1"/>
  <c r="J25" i="30" s="1"/>
  <c r="J26" i="30" s="1"/>
  <c r="J27" i="30" s="1"/>
  <c r="J28" i="30" s="1"/>
  <c r="J29" i="30" s="1"/>
  <c r="J30" i="30" s="1"/>
  <c r="J31" i="30" s="1"/>
  <c r="J32" i="30" s="1"/>
  <c r="J33" i="30" s="1"/>
  <c r="J34" i="30" s="1"/>
  <c r="J35" i="30" s="1"/>
  <c r="J36" i="30" s="1"/>
  <c r="J37" i="30" s="1"/>
  <c r="J38" i="30" s="1"/>
  <c r="J39" i="30" s="1"/>
  <c r="J40" i="30" s="1"/>
  <c r="J41" i="30" s="1"/>
  <c r="J42" i="30" s="1"/>
  <c r="J43" i="30" s="1"/>
  <c r="J44" i="30" s="1"/>
  <c r="E62" i="57"/>
  <c r="E25" i="57" s="1"/>
  <c r="F25" i="57" s="1"/>
  <c r="J25" i="57" s="1"/>
  <c r="D58" i="57"/>
  <c r="E60" i="57" s="1"/>
  <c r="E23" i="57" s="1"/>
  <c r="F23" i="57" s="1"/>
  <c r="J23" i="57" s="1"/>
  <c r="E56" i="57"/>
  <c r="E20" i="57" s="1"/>
  <c r="F20" i="57" s="1"/>
  <c r="J20" i="57" s="1"/>
  <c r="E49" i="57"/>
  <c r="E18" i="57" s="1"/>
  <c r="F18" i="57" s="1"/>
  <c r="J18" i="57" s="1"/>
  <c r="E46" i="57"/>
  <c r="E17" i="57" s="1"/>
  <c r="F17" i="57" s="1"/>
  <c r="J17" i="57" s="1"/>
  <c r="E43" i="57"/>
  <c r="E15" i="57" s="1"/>
  <c r="F15" i="57" s="1"/>
  <c r="J15" i="57" s="1"/>
  <c r="E36" i="57"/>
  <c r="E13" i="57" s="1"/>
  <c r="F13" i="57" s="1"/>
  <c r="J13" i="57" s="1"/>
  <c r="E33" i="57"/>
  <c r="E12" i="57" s="1"/>
  <c r="H27" i="57"/>
  <c r="D27" i="57"/>
  <c r="F24" i="57"/>
  <c r="J24" i="57" s="1"/>
  <c r="E22" i="57"/>
  <c r="F22" i="57" s="1"/>
  <c r="J22" i="57" s="1"/>
  <c r="F21" i="57"/>
  <c r="J21" i="57" s="1"/>
  <c r="E19" i="57"/>
  <c r="F19" i="57" s="1"/>
  <c r="J19" i="57" s="1"/>
  <c r="F16" i="57"/>
  <c r="J16" i="57" s="1"/>
  <c r="E14" i="57"/>
  <c r="F14" i="57" s="1"/>
  <c r="J14" i="57" s="1"/>
  <c r="A13" i="57"/>
  <c r="A14" i="57" s="1"/>
  <c r="L12" i="57"/>
  <c r="E52" i="67"/>
  <c r="E60" i="67" s="1"/>
  <c r="E50" i="67"/>
  <c r="E35" i="67"/>
  <c r="E34" i="67"/>
  <c r="E33" i="67"/>
  <c r="E32" i="67"/>
  <c r="E31" i="67"/>
  <c r="E29" i="67"/>
  <c r="E28" i="67"/>
  <c r="E27" i="67"/>
  <c r="E26" i="67"/>
  <c r="E20" i="67"/>
  <c r="A13" i="67"/>
  <c r="A14" i="67" s="1"/>
  <c r="A15" i="67" s="1"/>
  <c r="A16" i="67" s="1"/>
  <c r="A17" i="67" s="1"/>
  <c r="A18" i="67" s="1"/>
  <c r="A19" i="67" s="1"/>
  <c r="A20" i="67" s="1"/>
  <c r="A21" i="67" s="1"/>
  <c r="A22" i="67" s="1"/>
  <c r="A23" i="67" s="1"/>
  <c r="A24" i="67" s="1"/>
  <c r="A25" i="67" s="1"/>
  <c r="A26" i="67" s="1"/>
  <c r="A27" i="67" s="1"/>
  <c r="A28" i="67" s="1"/>
  <c r="A29" i="67" s="1"/>
  <c r="A30" i="67" s="1"/>
  <c r="A31" i="67" s="1"/>
  <c r="A32" i="67" s="1"/>
  <c r="A33" i="67" s="1"/>
  <c r="A34" i="67" s="1"/>
  <c r="A35" i="67" s="1"/>
  <c r="A36" i="67" s="1"/>
  <c r="A37" i="67" s="1"/>
  <c r="A38" i="67" s="1"/>
  <c r="A39" i="67" s="1"/>
  <c r="A40" i="67" s="1"/>
  <c r="A41" i="67" s="1"/>
  <c r="A42" i="67" s="1"/>
  <c r="A43" i="67" s="1"/>
  <c r="A44" i="67" s="1"/>
  <c r="A45" i="67" s="1"/>
  <c r="A46" i="67" s="1"/>
  <c r="A47" i="67" s="1"/>
  <c r="A48" i="67" s="1"/>
  <c r="A49" i="67" s="1"/>
  <c r="A50" i="67" s="1"/>
  <c r="A51" i="67" s="1"/>
  <c r="A52" i="67" s="1"/>
  <c r="A53" i="67" s="1"/>
  <c r="A54" i="67" s="1"/>
  <c r="A55" i="67" s="1"/>
  <c r="A56" i="67" s="1"/>
  <c r="A57" i="67" s="1"/>
  <c r="A58" i="67" s="1"/>
  <c r="A59" i="67" s="1"/>
  <c r="A60" i="67" s="1"/>
  <c r="A61" i="67" s="1"/>
  <c r="A62" i="67" s="1"/>
  <c r="H12" i="67"/>
  <c r="H13" i="67" s="1"/>
  <c r="H14" i="67" s="1"/>
  <c r="H15" i="67" s="1"/>
  <c r="H16" i="67" s="1"/>
  <c r="H17" i="67" s="1"/>
  <c r="H18" i="67" s="1"/>
  <c r="H19" i="67" s="1"/>
  <c r="H20" i="67" s="1"/>
  <c r="H21" i="67" s="1"/>
  <c r="H22" i="67" s="1"/>
  <c r="H23" i="67" s="1"/>
  <c r="H24" i="67" s="1"/>
  <c r="H25" i="67" s="1"/>
  <c r="H26" i="67" s="1"/>
  <c r="H27" i="67" s="1"/>
  <c r="H28" i="67" s="1"/>
  <c r="H29" i="67" s="1"/>
  <c r="H30" i="67" s="1"/>
  <c r="H31" i="67" s="1"/>
  <c r="H32" i="67" s="1"/>
  <c r="H33" i="67" s="1"/>
  <c r="H34" i="67" s="1"/>
  <c r="H35" i="67" s="1"/>
  <c r="H36" i="67" s="1"/>
  <c r="H37" i="67" s="1"/>
  <c r="H38" i="67" s="1"/>
  <c r="H39" i="67" s="1"/>
  <c r="H40" i="67" s="1"/>
  <c r="H41" i="67" s="1"/>
  <c r="H42" i="67" s="1"/>
  <c r="H43" i="67" s="1"/>
  <c r="H44" i="67" s="1"/>
  <c r="H45" i="67" s="1"/>
  <c r="H46" i="67" s="1"/>
  <c r="H47" i="67" s="1"/>
  <c r="H48" i="67" s="1"/>
  <c r="H49" i="67" s="1"/>
  <c r="H50" i="67" s="1"/>
  <c r="H51" i="67" s="1"/>
  <c r="H52" i="67" s="1"/>
  <c r="H53" i="67" s="1"/>
  <c r="H54" i="67" s="1"/>
  <c r="H55" i="67" s="1"/>
  <c r="H56" i="67" s="1"/>
  <c r="H57" i="67" s="1"/>
  <c r="H58" i="67" s="1"/>
  <c r="H59" i="67" s="1"/>
  <c r="H60" i="67" s="1"/>
  <c r="H61" i="67" s="1"/>
  <c r="H62" i="67" s="1"/>
  <c r="E29" i="58"/>
  <c r="E85" i="12" l="1"/>
  <c r="E37" i="52"/>
  <c r="E36" i="30"/>
  <c r="C97" i="12"/>
  <c r="C100" i="12" s="1"/>
  <c r="D97" i="12" s="1"/>
  <c r="E47" i="12"/>
  <c r="E84" i="12"/>
  <c r="C86" i="12"/>
  <c r="C62" i="12"/>
  <c r="C63" i="12" s="1"/>
  <c r="C99" i="12"/>
  <c r="C49" i="12"/>
  <c r="C84" i="12"/>
  <c r="C59" i="10"/>
  <c r="C96" i="10"/>
  <c r="C46" i="10"/>
  <c r="C83" i="10"/>
  <c r="G26" i="10"/>
  <c r="C61" i="10"/>
  <c r="C98" i="10"/>
  <c r="E84" i="10"/>
  <c r="C48" i="10"/>
  <c r="E45" i="52"/>
  <c r="E41" i="52"/>
  <c r="A15" i="57"/>
  <c r="L14" i="57"/>
  <c r="E27" i="57"/>
  <c r="F12" i="57"/>
  <c r="E64" i="57"/>
  <c r="L13" i="57"/>
  <c r="E62" i="67"/>
  <c r="G97" i="12" l="1"/>
  <c r="G100" i="12" s="1"/>
  <c r="G257" i="12" s="1"/>
  <c r="D100" i="12"/>
  <c r="D60" i="12"/>
  <c r="D61" i="12"/>
  <c r="G61" i="12" s="1"/>
  <c r="C87" i="12"/>
  <c r="D85" i="12" s="1"/>
  <c r="G85" i="12" s="1"/>
  <c r="D98" i="12"/>
  <c r="G98" i="12" s="1"/>
  <c r="D99" i="12"/>
  <c r="G99" i="12" s="1"/>
  <c r="G102" i="12" s="1"/>
  <c r="G234" i="12" s="1"/>
  <c r="D62" i="12"/>
  <c r="G62" i="12" s="1"/>
  <c r="G65" i="12" s="1"/>
  <c r="G155" i="12" s="1"/>
  <c r="D86" i="12"/>
  <c r="G86" i="12" s="1"/>
  <c r="C50" i="12"/>
  <c r="E46" i="10"/>
  <c r="E83" i="10"/>
  <c r="C86" i="10"/>
  <c r="D83" i="10"/>
  <c r="C49" i="10"/>
  <c r="D47" i="10" s="1"/>
  <c r="G47" i="10" s="1"/>
  <c r="C99" i="10"/>
  <c r="D97" i="10" s="1"/>
  <c r="G97" i="10" s="1"/>
  <c r="C62" i="10"/>
  <c r="D60" i="10" s="1"/>
  <c r="G60" i="10" s="1"/>
  <c r="F27" i="57"/>
  <c r="J12" i="57"/>
  <c r="J27" i="57" s="1"/>
  <c r="A16" i="57"/>
  <c r="L15" i="57"/>
  <c r="D48" i="10" l="1"/>
  <c r="G48" i="10" s="1"/>
  <c r="D98" i="10"/>
  <c r="G98" i="10" s="1"/>
  <c r="G101" i="10" s="1"/>
  <c r="G233" i="10" s="1"/>
  <c r="G239" i="10" s="1"/>
  <c r="G248" i="10" s="1"/>
  <c r="G19" i="30"/>
  <c r="G15" i="30"/>
  <c r="D47" i="12"/>
  <c r="D48" i="12"/>
  <c r="G48" i="12" s="1"/>
  <c r="G246" i="12"/>
  <c r="G240" i="12"/>
  <c r="G249" i="12" s="1"/>
  <c r="D49" i="12"/>
  <c r="G49" i="12" s="1"/>
  <c r="D84" i="12"/>
  <c r="G161" i="12"/>
  <c r="G170" i="12" s="1"/>
  <c r="G167" i="12"/>
  <c r="G89" i="12"/>
  <c r="G201" i="12" s="1"/>
  <c r="G60" i="12"/>
  <c r="G63" i="12" s="1"/>
  <c r="G178" i="12" s="1"/>
  <c r="D63" i="12"/>
  <c r="G245" i="10"/>
  <c r="G51" i="10"/>
  <c r="G121" i="10" s="1"/>
  <c r="D59" i="10"/>
  <c r="D96" i="10"/>
  <c r="D46" i="10"/>
  <c r="G83" i="10"/>
  <c r="D84" i="10"/>
  <c r="G84" i="10" s="1"/>
  <c r="D85" i="10"/>
  <c r="G85" i="10" s="1"/>
  <c r="D61" i="10"/>
  <c r="G61" i="10" s="1"/>
  <c r="G64" i="10" s="1"/>
  <c r="G154" i="10" s="1"/>
  <c r="A17" i="57"/>
  <c r="L16" i="57"/>
  <c r="G52" i="12" l="1"/>
  <c r="G122" i="12" s="1"/>
  <c r="G128" i="12"/>
  <c r="G137" i="12" s="1"/>
  <c r="G134" i="12"/>
  <c r="D50" i="12"/>
  <c r="G47" i="12"/>
  <c r="G50" i="12" s="1"/>
  <c r="G145" i="12" s="1"/>
  <c r="G207" i="12"/>
  <c r="G216" i="12" s="1"/>
  <c r="G213" i="12"/>
  <c r="G173" i="12"/>
  <c r="G176" i="12" s="1"/>
  <c r="G180" i="12" s="1"/>
  <c r="D87" i="12"/>
  <c r="G84" i="12"/>
  <c r="G87" i="12" s="1"/>
  <c r="G224" i="12" s="1"/>
  <c r="G252" i="12"/>
  <c r="G255" i="12" s="1"/>
  <c r="G259" i="12" s="1"/>
  <c r="G166" i="10"/>
  <c r="G251" i="10"/>
  <c r="G254" i="10" s="1"/>
  <c r="D86" i="10"/>
  <c r="G59" i="10"/>
  <c r="G62" i="10" s="1"/>
  <c r="G177" i="10" s="1"/>
  <c r="D62" i="10"/>
  <c r="G88" i="10"/>
  <c r="G200" i="10" s="1"/>
  <c r="G86" i="10"/>
  <c r="G223" i="10" s="1"/>
  <c r="D49" i="10"/>
  <c r="G46" i="10"/>
  <c r="G49" i="10" s="1"/>
  <c r="G144" i="10" s="1"/>
  <c r="G96" i="10"/>
  <c r="G99" i="10" s="1"/>
  <c r="G256" i="10" s="1"/>
  <c r="D99" i="10"/>
  <c r="G133" i="10"/>
  <c r="L17" i="57"/>
  <c r="A18" i="57"/>
  <c r="G140" i="12" l="1"/>
  <c r="G143" i="12" s="1"/>
  <c r="G147" i="12" s="1"/>
  <c r="G219" i="12"/>
  <c r="G222" i="12" s="1"/>
  <c r="G226" i="12" s="1"/>
  <c r="G206" i="10"/>
  <c r="G215" i="10" s="1"/>
  <c r="G212" i="10"/>
  <c r="G258" i="10"/>
  <c r="A19" i="57"/>
  <c r="L18" i="57"/>
  <c r="G218" i="10" l="1"/>
  <c r="G221" i="10" s="1"/>
  <c r="G225" i="10" s="1"/>
  <c r="L19" i="57"/>
  <c r="A20" i="57"/>
  <c r="A21" i="57" l="1"/>
  <c r="L20" i="57"/>
  <c r="L21" i="57" l="1"/>
  <c r="A22" i="57"/>
  <c r="A23" i="57" l="1"/>
  <c r="L22" i="57"/>
  <c r="A24" i="57" l="1"/>
  <c r="L23" i="57"/>
  <c r="A25" i="57" l="1"/>
  <c r="L24" i="57"/>
  <c r="K27" i="57" l="1"/>
  <c r="A26" i="57"/>
  <c r="L25" i="57"/>
  <c r="A27" i="57" l="1"/>
  <c r="L26" i="57"/>
  <c r="L27" i="57" l="1"/>
  <c r="A28" i="57"/>
  <c r="A29" i="57" l="1"/>
  <c r="L28" i="57"/>
  <c r="A30" i="57" l="1"/>
  <c r="L29" i="57"/>
  <c r="A31" i="57" l="1"/>
  <c r="L30" i="57"/>
  <c r="A32" i="57" l="1"/>
  <c r="L31" i="57"/>
  <c r="A33" i="57" l="1"/>
  <c r="L32" i="57"/>
  <c r="A34" i="57" l="1"/>
  <c r="L33" i="57"/>
  <c r="A35" i="57" l="1"/>
  <c r="L34" i="57"/>
  <c r="A36" i="57" l="1"/>
  <c r="L35" i="57"/>
  <c r="A37" i="57" l="1"/>
  <c r="L36" i="57"/>
  <c r="A38" i="57" l="1"/>
  <c r="L37" i="57"/>
  <c r="A39" i="57" l="1"/>
  <c r="L38" i="57"/>
  <c r="L39" i="57" l="1"/>
  <c r="A40" i="57"/>
  <c r="L40" i="57" l="1"/>
  <c r="A41" i="57"/>
  <c r="A42" i="57" l="1"/>
  <c r="L41" i="57"/>
  <c r="L42" i="57" l="1"/>
  <c r="A43" i="57"/>
  <c r="L43" i="57" l="1"/>
  <c r="A44" i="57"/>
  <c r="A45" i="57" l="1"/>
  <c r="L44" i="57"/>
  <c r="L45" i="57" l="1"/>
  <c r="A46" i="57"/>
  <c r="L46" i="57" l="1"/>
  <c r="A47" i="57"/>
  <c r="A48" i="57" l="1"/>
  <c r="L47" i="57"/>
  <c r="A49" i="57" l="1"/>
  <c r="L48" i="57"/>
  <c r="A50" i="57" l="1"/>
  <c r="L49" i="57"/>
  <c r="L50" i="57" l="1"/>
  <c r="A51" i="57"/>
  <c r="A52" i="57" l="1"/>
  <c r="L51" i="57"/>
  <c r="A53" i="57" l="1"/>
  <c r="L52" i="57"/>
  <c r="L53" i="57" l="1"/>
  <c r="A54" i="57"/>
  <c r="A55" i="57" l="1"/>
  <c r="L54" i="57"/>
  <c r="A56" i="57" l="1"/>
  <c r="L55" i="57"/>
  <c r="L56" i="57" l="1"/>
  <c r="A57" i="57"/>
  <c r="A58" i="57" l="1"/>
  <c r="L57" i="57"/>
  <c r="A59" i="57" l="1"/>
  <c r="L58" i="57"/>
  <c r="L59" i="57" l="1"/>
  <c r="A60" i="57"/>
  <c r="A61" i="57" l="1"/>
  <c r="L60" i="57"/>
  <c r="A62" i="57" l="1"/>
  <c r="L61" i="57"/>
  <c r="A63" i="57" l="1"/>
  <c r="L62" i="57"/>
  <c r="A64" i="57" l="1"/>
  <c r="L63" i="57"/>
  <c r="A65" i="57" l="1"/>
  <c r="L64" i="57"/>
  <c r="A66" i="57" l="1"/>
  <c r="L65" i="57"/>
  <c r="A67" i="57" l="1"/>
  <c r="L66" i="57"/>
  <c r="A68" i="57" l="1"/>
  <c r="L67" i="57"/>
  <c r="L68" i="57" l="1"/>
  <c r="A69" i="57"/>
  <c r="A70" i="57" l="1"/>
  <c r="L69" i="57"/>
  <c r="L70" i="57" l="1"/>
  <c r="A71" i="57"/>
  <c r="A72" i="57" l="1"/>
  <c r="L71" i="57"/>
  <c r="A73" i="57" l="1"/>
  <c r="L72" i="57"/>
  <c r="A74" i="57" l="1"/>
  <c r="L73" i="57"/>
  <c r="A75" i="57" l="1"/>
  <c r="L74" i="57"/>
  <c r="A76" i="57" l="1"/>
  <c r="L75" i="57"/>
  <c r="A77" i="57" l="1"/>
  <c r="L76" i="57"/>
  <c r="A78" i="57" l="1"/>
  <c r="L78" i="57" s="1"/>
  <c r="L77" i="57"/>
  <c r="E191" i="58" l="1"/>
  <c r="E142" i="58" s="1"/>
  <c r="E144" i="58" s="1"/>
  <c r="E185" i="58"/>
  <c r="E117" i="58" s="1"/>
  <c r="E184" i="58"/>
  <c r="E116" i="58" s="1"/>
  <c r="E183" i="58"/>
  <c r="E115" i="58" s="1"/>
  <c r="E182" i="58"/>
  <c r="E186" i="58" s="1"/>
  <c r="E179" i="58"/>
  <c r="E172" i="58"/>
  <c r="A168" i="58"/>
  <c r="A169" i="58" s="1"/>
  <c r="A170" i="58" s="1"/>
  <c r="A171" i="58" s="1"/>
  <c r="A172" i="58" s="1"/>
  <c r="A173" i="58" s="1"/>
  <c r="A174" i="58" s="1"/>
  <c r="A175" i="58" s="1"/>
  <c r="A176" i="58" s="1"/>
  <c r="A177" i="58" s="1"/>
  <c r="A178" i="58" s="1"/>
  <c r="A179" i="58" s="1"/>
  <c r="A180" i="58" s="1"/>
  <c r="A181" i="58" s="1"/>
  <c r="A182" i="58" s="1"/>
  <c r="A183" i="58" s="1"/>
  <c r="A184" i="58" s="1"/>
  <c r="A185" i="58" s="1"/>
  <c r="A186" i="58" s="1"/>
  <c r="A187" i="58" s="1"/>
  <c r="A188" i="58" s="1"/>
  <c r="A189" i="58" s="1"/>
  <c r="A190" i="58" s="1"/>
  <c r="A191" i="58" s="1"/>
  <c r="H167" i="58"/>
  <c r="H168" i="58" s="1"/>
  <c r="H169" i="58" s="1"/>
  <c r="H170" i="58" s="1"/>
  <c r="H171" i="58" s="1"/>
  <c r="H172" i="58" s="1"/>
  <c r="H173" i="58" s="1"/>
  <c r="H174" i="58" s="1"/>
  <c r="H175" i="58" s="1"/>
  <c r="H176" i="58" s="1"/>
  <c r="H177" i="58" s="1"/>
  <c r="H178" i="58" s="1"/>
  <c r="H179" i="58" s="1"/>
  <c r="H180" i="58" s="1"/>
  <c r="H181" i="58" s="1"/>
  <c r="H182" i="58" s="1"/>
  <c r="H183" i="58" s="1"/>
  <c r="H184" i="58" s="1"/>
  <c r="H185" i="58" s="1"/>
  <c r="H186" i="58" s="1"/>
  <c r="H187" i="58" s="1"/>
  <c r="H188" i="58" s="1"/>
  <c r="H189" i="58" s="1"/>
  <c r="H190" i="58" s="1"/>
  <c r="H191" i="58" s="1"/>
  <c r="B161" i="58"/>
  <c r="E149" i="58"/>
  <c r="E72" i="58" s="1"/>
  <c r="E134" i="58"/>
  <c r="E128" i="58"/>
  <c r="E123" i="58"/>
  <c r="H114" i="58"/>
  <c r="H115" i="58" s="1"/>
  <c r="H116" i="58" s="1"/>
  <c r="H117" i="58" s="1"/>
  <c r="H118" i="58" s="1"/>
  <c r="H119" i="58" s="1"/>
  <c r="H120" i="58" s="1"/>
  <c r="H121" i="58" s="1"/>
  <c r="H122" i="58" s="1"/>
  <c r="H123" i="58" s="1"/>
  <c r="H124" i="58" s="1"/>
  <c r="H125" i="58" s="1"/>
  <c r="H126" i="58" s="1"/>
  <c r="H127" i="58" s="1"/>
  <c r="H128" i="58" s="1"/>
  <c r="H129" i="58" s="1"/>
  <c r="H130" i="58" s="1"/>
  <c r="H131" i="58" s="1"/>
  <c r="H132" i="58" s="1"/>
  <c r="H133" i="58" s="1"/>
  <c r="H134" i="58" s="1"/>
  <c r="H135" i="58" s="1"/>
  <c r="H136" i="58" s="1"/>
  <c r="H137" i="58" s="1"/>
  <c r="H138" i="58" s="1"/>
  <c r="H139" i="58" s="1"/>
  <c r="H140" i="58" s="1"/>
  <c r="H141" i="58" s="1"/>
  <c r="H142" i="58" s="1"/>
  <c r="H143" i="58" s="1"/>
  <c r="H144" i="58" s="1"/>
  <c r="H145" i="58" s="1"/>
  <c r="H146" i="58" s="1"/>
  <c r="H147" i="58" s="1"/>
  <c r="H148" i="58" s="1"/>
  <c r="H149" i="58" s="1"/>
  <c r="H150" i="58" s="1"/>
  <c r="H151" i="58" s="1"/>
  <c r="E114" i="58"/>
  <c r="A114" i="58"/>
  <c r="A115" i="58" s="1"/>
  <c r="A116" i="58" s="1"/>
  <c r="A117" i="58" s="1"/>
  <c r="A118" i="58" s="1"/>
  <c r="A119" i="58" s="1"/>
  <c r="A120" i="58" s="1"/>
  <c r="A121" i="58" s="1"/>
  <c r="A122" i="58" s="1"/>
  <c r="A123" i="58" s="1"/>
  <c r="A124" i="58" s="1"/>
  <c r="A125" i="58" s="1"/>
  <c r="A126" i="58" s="1"/>
  <c r="A127" i="58" s="1"/>
  <c r="A128" i="58" s="1"/>
  <c r="A129" i="58" s="1"/>
  <c r="A130" i="58" s="1"/>
  <c r="A131" i="58" s="1"/>
  <c r="A132" i="58" s="1"/>
  <c r="A133" i="58" s="1"/>
  <c r="A134" i="58" s="1"/>
  <c r="A135" i="58" s="1"/>
  <c r="A136" i="58" s="1"/>
  <c r="A137" i="58" s="1"/>
  <c r="A138" i="58" s="1"/>
  <c r="A139" i="58" s="1"/>
  <c r="A140" i="58" s="1"/>
  <c r="A141" i="58" s="1"/>
  <c r="A142" i="58" s="1"/>
  <c r="A143" i="58" s="1"/>
  <c r="A144" i="58" s="1"/>
  <c r="A145" i="58" s="1"/>
  <c r="A146" i="58" s="1"/>
  <c r="A147" i="58" s="1"/>
  <c r="A148" i="58" s="1"/>
  <c r="A149" i="58" s="1"/>
  <c r="A150" i="58" s="1"/>
  <c r="A151" i="58" s="1"/>
  <c r="H113" i="58"/>
  <c r="B107" i="58"/>
  <c r="E87" i="58"/>
  <c r="E89" i="58" s="1"/>
  <c r="E85" i="58"/>
  <c r="E83" i="58"/>
  <c r="A58" i="58"/>
  <c r="A59" i="58" s="1"/>
  <c r="A60" i="58" s="1"/>
  <c r="A61" i="58" s="1"/>
  <c r="A62" i="58" s="1"/>
  <c r="A63" i="58" s="1"/>
  <c r="A64" i="58" s="1"/>
  <c r="A65" i="58" s="1"/>
  <c r="A66" i="58" s="1"/>
  <c r="A67" i="58" s="1"/>
  <c r="A68" i="58" s="1"/>
  <c r="A69" i="58" s="1"/>
  <c r="A70" i="58" s="1"/>
  <c r="A71" i="58" s="1"/>
  <c r="A72" i="58" s="1"/>
  <c r="A73" i="58" s="1"/>
  <c r="A74" i="58" s="1"/>
  <c r="A75" i="58" s="1"/>
  <c r="A76" i="58" s="1"/>
  <c r="A77" i="58" s="1"/>
  <c r="A78" i="58" s="1"/>
  <c r="A79" i="58" s="1"/>
  <c r="A80" i="58" s="1"/>
  <c r="A81" i="58" s="1"/>
  <c r="A82" i="58" s="1"/>
  <c r="A83" i="58" s="1"/>
  <c r="A84" i="58" s="1"/>
  <c r="A85" i="58" s="1"/>
  <c r="A86" i="58" s="1"/>
  <c r="A87" i="58" s="1"/>
  <c r="A88" i="58" s="1"/>
  <c r="A89" i="58" s="1"/>
  <c r="A90" i="58" s="1"/>
  <c r="A91" i="58" s="1"/>
  <c r="A92" i="58" s="1"/>
  <c r="A93" i="58" s="1"/>
  <c r="A94" i="58" s="1"/>
  <c r="A95" i="58" s="1"/>
  <c r="H57" i="58"/>
  <c r="H58" i="58" s="1"/>
  <c r="H59" i="58" s="1"/>
  <c r="H60" i="58" s="1"/>
  <c r="H61" i="58" s="1"/>
  <c r="H62" i="58" s="1"/>
  <c r="H63" i="58" s="1"/>
  <c r="H64" i="58" s="1"/>
  <c r="H65" i="58" s="1"/>
  <c r="H66" i="58" s="1"/>
  <c r="H67" i="58" s="1"/>
  <c r="H68" i="58" s="1"/>
  <c r="H69" i="58" s="1"/>
  <c r="H70" i="58" s="1"/>
  <c r="H71" i="58" s="1"/>
  <c r="H72" i="58" s="1"/>
  <c r="H73" i="58" s="1"/>
  <c r="H74" i="58" s="1"/>
  <c r="H75" i="58" s="1"/>
  <c r="H76" i="58" s="1"/>
  <c r="H77" i="58" s="1"/>
  <c r="H78" i="58" s="1"/>
  <c r="H79" i="58" s="1"/>
  <c r="H80" i="58" s="1"/>
  <c r="H81" i="58" s="1"/>
  <c r="H82" i="58" s="1"/>
  <c r="H83" i="58" s="1"/>
  <c r="H84" i="58" s="1"/>
  <c r="H85" i="58" s="1"/>
  <c r="H86" i="58" s="1"/>
  <c r="H87" i="58" s="1"/>
  <c r="H88" i="58" s="1"/>
  <c r="H89" i="58" s="1"/>
  <c r="H90" i="58" s="1"/>
  <c r="H91" i="58" s="1"/>
  <c r="H92" i="58" s="1"/>
  <c r="H93" i="58" s="1"/>
  <c r="H94" i="58" s="1"/>
  <c r="H95" i="58" s="1"/>
  <c r="B51" i="58"/>
  <c r="B98" i="58"/>
  <c r="B154" i="58" s="1"/>
  <c r="B97" i="58"/>
  <c r="B153" i="58" s="1"/>
  <c r="E17" i="58"/>
  <c r="E26" i="58" s="1"/>
  <c r="A13" i="58"/>
  <c r="A14" i="58" s="1"/>
  <c r="A15" i="58" s="1"/>
  <c r="A16" i="58" s="1"/>
  <c r="A17" i="58" s="1"/>
  <c r="A18" i="58" s="1"/>
  <c r="A19" i="58" s="1"/>
  <c r="A20" i="58" s="1"/>
  <c r="A21" i="58" s="1"/>
  <c r="A22" i="58" s="1"/>
  <c r="A23" i="58" s="1"/>
  <c r="A24" i="58" s="1"/>
  <c r="A25" i="58" s="1"/>
  <c r="A26" i="58" s="1"/>
  <c r="A27" i="58" s="1"/>
  <c r="A28" i="58" s="1"/>
  <c r="A29" i="58" s="1"/>
  <c r="A30" i="58" s="1"/>
  <c r="A31" i="58" s="1"/>
  <c r="A32" i="58" s="1"/>
  <c r="A33" i="58" s="1"/>
  <c r="A34" i="58" s="1"/>
  <c r="A35" i="58" s="1"/>
  <c r="A36" i="58" s="1"/>
  <c r="A37" i="58" s="1"/>
  <c r="A38" i="58" s="1"/>
  <c r="A39" i="58" s="1"/>
  <c r="A40" i="58" s="1"/>
  <c r="A41" i="58" s="1"/>
  <c r="H12" i="58"/>
  <c r="H13" i="58" s="1"/>
  <c r="H14" i="58" s="1"/>
  <c r="H15" i="58" s="1"/>
  <c r="H16" i="58" s="1"/>
  <c r="H17" i="58" s="1"/>
  <c r="H18" i="58" s="1"/>
  <c r="H19" i="58" s="1"/>
  <c r="H20" i="58" s="1"/>
  <c r="H21" i="58" s="1"/>
  <c r="H22" i="58" s="1"/>
  <c r="H23" i="58" s="1"/>
  <c r="H24" i="58" s="1"/>
  <c r="H25" i="58" s="1"/>
  <c r="H26" i="58" s="1"/>
  <c r="H27" i="58" s="1"/>
  <c r="H28" i="58" s="1"/>
  <c r="H29" i="58" s="1"/>
  <c r="H30" i="58" s="1"/>
  <c r="H31" i="58" s="1"/>
  <c r="H32" i="58" s="1"/>
  <c r="H33" i="58" s="1"/>
  <c r="H34" i="58" s="1"/>
  <c r="H35" i="58" s="1"/>
  <c r="H36" i="58" s="1"/>
  <c r="H37" i="58" s="1"/>
  <c r="H38" i="58" s="1"/>
  <c r="H39" i="58" s="1"/>
  <c r="H40" i="58" s="1"/>
  <c r="H41" i="58" s="1"/>
  <c r="E91" i="58" l="1"/>
  <c r="E74" i="58"/>
  <c r="E60" i="58"/>
  <c r="E61" i="58" s="1"/>
  <c r="E64" i="58"/>
  <c r="E65" i="58" s="1"/>
  <c r="E118" i="58"/>
  <c r="E139" i="58" s="1"/>
  <c r="E76" i="58"/>
  <c r="E78" i="58" s="1"/>
  <c r="E80" i="58" l="1"/>
  <c r="E67" i="58"/>
  <c r="E93" i="58" s="1"/>
  <c r="E33" i="58"/>
  <c r="E34" i="58" s="1"/>
  <c r="E30" i="58"/>
  <c r="E41" i="58" l="1"/>
  <c r="E95" i="58" s="1"/>
  <c r="L29" i="28" l="1"/>
  <c r="E36" i="29" s="1"/>
  <c r="E34" i="29" l="1"/>
  <c r="E33" i="29"/>
  <c r="E32" i="29"/>
  <c r="E31" i="29"/>
  <c r="E30" i="29"/>
  <c r="E28" i="29"/>
  <c r="E27" i="29"/>
  <c r="E26" i="29"/>
  <c r="E25" i="29"/>
  <c r="E50" i="29"/>
  <c r="E52" i="29"/>
  <c r="A12" i="29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H11" i="29"/>
  <c r="H12" i="29" s="1"/>
  <c r="H13" i="29" s="1"/>
  <c r="H14" i="29" s="1"/>
  <c r="H15" i="29" s="1"/>
  <c r="H16" i="29" s="1"/>
  <c r="H17" i="29" s="1"/>
  <c r="H18" i="29" s="1"/>
  <c r="H19" i="29" s="1"/>
  <c r="H20" i="29" s="1"/>
  <c r="H21" i="29" s="1"/>
  <c r="H22" i="29" s="1"/>
  <c r="H23" i="29" s="1"/>
  <c r="H24" i="29" s="1"/>
  <c r="H25" i="29" s="1"/>
  <c r="H26" i="29" s="1"/>
  <c r="H27" i="29" s="1"/>
  <c r="H28" i="29" s="1"/>
  <c r="H29" i="29" s="1"/>
  <c r="H30" i="29" s="1"/>
  <c r="H31" i="29" s="1"/>
  <c r="H32" i="29" s="1"/>
  <c r="H33" i="29" s="1"/>
  <c r="H34" i="29" s="1"/>
  <c r="H35" i="29" s="1"/>
  <c r="H36" i="29" s="1"/>
  <c r="H37" i="29" s="1"/>
  <c r="H29" i="28"/>
  <c r="E73" i="28"/>
  <c r="E27" i="28" s="1"/>
  <c r="F27" i="28" s="1"/>
  <c r="J27" i="28" s="1"/>
  <c r="N27" i="28" s="1"/>
  <c r="D68" i="28"/>
  <c r="E66" i="28"/>
  <c r="E21" i="28" s="1"/>
  <c r="F21" i="28" s="1"/>
  <c r="J21" i="28" s="1"/>
  <c r="N21" i="28" s="1"/>
  <c r="E58" i="28"/>
  <c r="E19" i="28" s="1"/>
  <c r="F19" i="28" s="1"/>
  <c r="J19" i="28" s="1"/>
  <c r="N19" i="28" s="1"/>
  <c r="E54" i="28"/>
  <c r="E18" i="28" s="1"/>
  <c r="F18" i="28" s="1"/>
  <c r="J18" i="28" s="1"/>
  <c r="N18" i="28" s="1"/>
  <c r="E49" i="28"/>
  <c r="E15" i="28" s="1"/>
  <c r="F15" i="28" s="1"/>
  <c r="J15" i="28" s="1"/>
  <c r="N15" i="28" s="1"/>
  <c r="E39" i="28"/>
  <c r="E12" i="28" s="1"/>
  <c r="F12" i="28" s="1"/>
  <c r="J12" i="28" s="1"/>
  <c r="N12" i="28" s="1"/>
  <c r="E35" i="28"/>
  <c r="D29" i="28"/>
  <c r="F26" i="28"/>
  <c r="J26" i="28" s="1"/>
  <c r="N26" i="28" s="1"/>
  <c r="E23" i="28"/>
  <c r="F23" i="28" s="1"/>
  <c r="J23" i="28" s="1"/>
  <c r="N23" i="28" s="1"/>
  <c r="F22" i="28"/>
  <c r="J22" i="28" s="1"/>
  <c r="N22" i="28" s="1"/>
  <c r="E20" i="28"/>
  <c r="F20" i="28" s="1"/>
  <c r="J20" i="28" s="1"/>
  <c r="N20" i="28" s="1"/>
  <c r="F17" i="28"/>
  <c r="E14" i="28"/>
  <c r="F14" i="28" s="1"/>
  <c r="J14" i="28" s="1"/>
  <c r="N14" i="28" s="1"/>
  <c r="A12" i="28"/>
  <c r="P11" i="28"/>
  <c r="P12" i="28" l="1"/>
  <c r="A13" i="28"/>
  <c r="E35" i="29"/>
  <c r="E36" i="67"/>
  <c r="J17" i="28"/>
  <c r="N17" i="28" s="1"/>
  <c r="E38" i="67"/>
  <c r="E42" i="67" s="1"/>
  <c r="E71" i="28"/>
  <c r="E24" i="28" s="1"/>
  <c r="F24" i="28" s="1"/>
  <c r="J24" i="28" s="1"/>
  <c r="N24" i="28" s="1"/>
  <c r="E25" i="67"/>
  <c r="E22" i="29"/>
  <c r="E23" i="67"/>
  <c r="E24" i="29"/>
  <c r="E38" i="29"/>
  <c r="H38" i="29"/>
  <c r="H39" i="29" s="1"/>
  <c r="H40" i="29" s="1"/>
  <c r="H41" i="29" s="1"/>
  <c r="H42" i="29" s="1"/>
  <c r="H43" i="29" s="1"/>
  <c r="H44" i="29" s="1"/>
  <c r="H45" i="29" s="1"/>
  <c r="H46" i="29" s="1"/>
  <c r="H47" i="29" s="1"/>
  <c r="H48" i="29" s="1"/>
  <c r="H49" i="29" s="1"/>
  <c r="H50" i="29" s="1"/>
  <c r="H51" i="29" s="1"/>
  <c r="H52" i="29" s="1"/>
  <c r="H53" i="29" s="1"/>
  <c r="H54" i="29" s="1"/>
  <c r="H55" i="29" s="1"/>
  <c r="H56" i="29" s="1"/>
  <c r="H57" i="29" s="1"/>
  <c r="H58" i="29" s="1"/>
  <c r="H59" i="29" s="1"/>
  <c r="H60" i="29" s="1"/>
  <c r="H61" i="29" s="1"/>
  <c r="H62" i="29" s="1"/>
  <c r="A39" i="29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E19" i="29"/>
  <c r="E60" i="29"/>
  <c r="E62" i="29" s="1"/>
  <c r="E11" i="28"/>
  <c r="E37" i="67" l="1"/>
  <c r="E39" i="67" s="1"/>
  <c r="E41" i="67" s="1"/>
  <c r="E43" i="67" s="1"/>
  <c r="A14" i="28"/>
  <c r="P13" i="28"/>
  <c r="E75" i="28"/>
  <c r="E37" i="29"/>
  <c r="E39" i="29" s="1"/>
  <c r="E41" i="29" s="1"/>
  <c r="E42" i="29"/>
  <c r="F11" i="28"/>
  <c r="E29" i="28"/>
  <c r="A15" i="28" l="1"/>
  <c r="P14" i="28"/>
  <c r="E43" i="29"/>
  <c r="E23" i="30" s="1"/>
  <c r="E25" i="30" s="1"/>
  <c r="E29" i="30" s="1"/>
  <c r="E132" i="4" s="1"/>
  <c r="F29" i="28"/>
  <c r="J11" i="28"/>
  <c r="N11" i="28" s="1"/>
  <c r="P15" i="28" l="1"/>
  <c r="A16" i="28"/>
  <c r="J29" i="28"/>
  <c r="N29" i="28"/>
  <c r="E13" i="4"/>
  <c r="A17" i="28" l="1"/>
  <c r="P16" i="28"/>
  <c r="P17" i="28" l="1"/>
  <c r="A18" i="28"/>
  <c r="A19" i="28" l="1"/>
  <c r="P18" i="28"/>
  <c r="A20" i="28" l="1"/>
  <c r="P19" i="28"/>
  <c r="P20" i="28" l="1"/>
  <c r="A21" i="28"/>
  <c r="P21" i="28" l="1"/>
  <c r="A22" i="28"/>
  <c r="A23" i="28" l="1"/>
  <c r="P22" i="28"/>
  <c r="A24" i="28" l="1"/>
  <c r="P23" i="28"/>
  <c r="A25" i="28" l="1"/>
  <c r="P24" i="28"/>
  <c r="A26" i="28" l="1"/>
  <c r="P25" i="28"/>
  <c r="P26" i="28" l="1"/>
  <c r="A27" i="28"/>
  <c r="O29" i="28" l="1"/>
  <c r="P27" i="28"/>
  <c r="A28" i="28"/>
  <c r="A29" i="28" l="1"/>
  <c r="P28" i="28"/>
  <c r="A30" i="28" l="1"/>
  <c r="P29" i="28"/>
  <c r="P30" i="28" l="1"/>
  <c r="A31" i="28"/>
  <c r="A32" i="28" l="1"/>
  <c r="P31" i="28"/>
  <c r="P32" i="28" l="1"/>
  <c r="A33" i="28"/>
  <c r="P33" i="28" l="1"/>
  <c r="A34" i="28"/>
  <c r="A35" i="28" l="1"/>
  <c r="P34" i="28"/>
  <c r="A36" i="28" l="1"/>
  <c r="P35" i="28"/>
  <c r="A37" i="28" l="1"/>
  <c r="P36" i="28"/>
  <c r="P37" i="28" l="1"/>
  <c r="A38" i="28"/>
  <c r="P38" i="28" l="1"/>
  <c r="A39" i="28"/>
  <c r="P39" i="28" l="1"/>
  <c r="P43" i="28" l="1"/>
  <c r="P44" i="28" l="1"/>
  <c r="P45" i="28" l="1"/>
  <c r="P46" i="28" l="1"/>
  <c r="P47" i="28" l="1"/>
  <c r="P48" i="28" l="1"/>
  <c r="P49" i="28" l="1"/>
  <c r="P55" i="28" l="1"/>
  <c r="P56" i="28" l="1"/>
  <c r="P57" i="28" l="1"/>
  <c r="C16" i="13"/>
  <c r="A59" i="28" l="1"/>
  <c r="P58" i="28"/>
  <c r="H53" i="3"/>
  <c r="F53" i="3"/>
  <c r="E33" i="5"/>
  <c r="E29" i="5"/>
  <c r="A60" i="28" l="1"/>
  <c r="P59" i="28"/>
  <c r="F189" i="3"/>
  <c r="F188" i="3"/>
  <c r="F176" i="3"/>
  <c r="F177" i="3"/>
  <c r="F175" i="3"/>
  <c r="F174" i="3"/>
  <c r="F169" i="3"/>
  <c r="F170" i="3"/>
  <c r="F168" i="3"/>
  <c r="F167" i="3"/>
  <c r="F150" i="3"/>
  <c r="F147" i="3"/>
  <c r="F146" i="3"/>
  <c r="F142" i="3"/>
  <c r="F136" i="3"/>
  <c r="F135" i="3"/>
  <c r="F131" i="3"/>
  <c r="F130" i="3"/>
  <c r="F126" i="3"/>
  <c r="F125" i="3"/>
  <c r="F121" i="3"/>
  <c r="F120" i="3"/>
  <c r="F76" i="3"/>
  <c r="F69" i="3"/>
  <c r="F56" i="3"/>
  <c r="F37" i="3"/>
  <c r="F38" i="3"/>
  <c r="F36" i="3"/>
  <c r="F35" i="3"/>
  <c r="F24" i="3"/>
  <c r="F22" i="3"/>
  <c r="F20" i="3"/>
  <c r="F18" i="3"/>
  <c r="F15" i="3"/>
  <c r="B159" i="3"/>
  <c r="B158" i="3"/>
  <c r="B105" i="3"/>
  <c r="B104" i="3"/>
  <c r="B49" i="3"/>
  <c r="B48" i="3"/>
  <c r="A61" i="28" l="1"/>
  <c r="P60" i="28"/>
  <c r="C17" i="13"/>
  <c r="C18" i="13" s="1"/>
  <c r="C19" i="13" s="1"/>
  <c r="C20" i="13" s="1"/>
  <c r="C21" i="13" s="1"/>
  <c r="C22" i="13" s="1"/>
  <c r="C23" i="13" s="1"/>
  <c r="C24" i="13" s="1"/>
  <c r="C25" i="13" s="1"/>
  <c r="C26" i="13" s="1"/>
  <c r="C27" i="13" s="1"/>
  <c r="C28" i="13" s="1"/>
  <c r="C29" i="13" s="1"/>
  <c r="C30" i="13" s="1"/>
  <c r="C31" i="13" s="1"/>
  <c r="C32" i="13" s="1"/>
  <c r="C33" i="13" s="1"/>
  <c r="C34" i="13" s="1"/>
  <c r="C35" i="13" s="1"/>
  <c r="C36" i="13" s="1"/>
  <c r="C37" i="13" s="1"/>
  <c r="C38" i="13" s="1"/>
  <c r="C39" i="13" s="1"/>
  <c r="I10" i="13"/>
  <c r="I11" i="13" s="1"/>
  <c r="I12" i="13" s="1"/>
  <c r="I13" i="13" s="1"/>
  <c r="I14" i="13" s="1"/>
  <c r="I15" i="13" s="1"/>
  <c r="I16" i="13" s="1"/>
  <c r="A10" i="13"/>
  <c r="A11" i="13" s="1"/>
  <c r="A12" i="13" s="1"/>
  <c r="A13" i="13" s="1"/>
  <c r="A14" i="13" s="1"/>
  <c r="A15" i="13" s="1"/>
  <c r="A16" i="13" s="1"/>
  <c r="A62" i="28" l="1"/>
  <c r="P61" i="28"/>
  <c r="A17" i="13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I17" i="13"/>
  <c r="I18" i="13" s="1"/>
  <c r="I19" i="13" s="1"/>
  <c r="I20" i="13" s="1"/>
  <c r="I21" i="13" s="1"/>
  <c r="I22" i="13" s="1"/>
  <c r="I23" i="13" s="1"/>
  <c r="I24" i="13" s="1"/>
  <c r="I25" i="13" s="1"/>
  <c r="I26" i="13" s="1"/>
  <c r="I27" i="13" s="1"/>
  <c r="I28" i="13" s="1"/>
  <c r="I29" i="13" s="1"/>
  <c r="I30" i="13" s="1"/>
  <c r="I31" i="13" s="1"/>
  <c r="I32" i="13" s="1"/>
  <c r="I33" i="13" s="1"/>
  <c r="I34" i="13" s="1"/>
  <c r="I35" i="13" s="1"/>
  <c r="I36" i="13" s="1"/>
  <c r="I37" i="13" s="1"/>
  <c r="I38" i="13" s="1"/>
  <c r="I39" i="13" s="1"/>
  <c r="I40" i="13" s="1"/>
  <c r="I41" i="13" s="1"/>
  <c r="I42" i="13" s="1"/>
  <c r="I43" i="13" s="1"/>
  <c r="I44" i="13" s="1"/>
  <c r="I45" i="13" s="1"/>
  <c r="I46" i="13" s="1"/>
  <c r="I47" i="13" s="1"/>
  <c r="I48" i="13" s="1"/>
  <c r="I49" i="13" s="1"/>
  <c r="I50" i="13" s="1"/>
  <c r="I51" i="13" s="1"/>
  <c r="I52" i="13" s="1"/>
  <c r="I53" i="13" s="1"/>
  <c r="I54" i="13" s="1"/>
  <c r="I55" i="13" s="1"/>
  <c r="I56" i="13" s="1"/>
  <c r="I57" i="13" s="1"/>
  <c r="B96" i="4"/>
  <c r="B152" i="4" s="1"/>
  <c r="B152" i="3"/>
  <c r="B96" i="3"/>
  <c r="P62" i="28" l="1"/>
  <c r="A63" i="28"/>
  <c r="F11" i="3"/>
  <c r="P63" i="28" l="1"/>
  <c r="A64" i="28"/>
  <c r="F13" i="3"/>
  <c r="F132" i="3"/>
  <c r="A65" i="28" l="1"/>
  <c r="P64" i="28"/>
  <c r="E62" i="4"/>
  <c r="F62" i="3" s="1"/>
  <c r="E58" i="4"/>
  <c r="F58" i="3" s="1"/>
  <c r="P65" i="28" l="1"/>
  <c r="A66" i="28"/>
  <c r="E179" i="5"/>
  <c r="E178" i="5"/>
  <c r="A162" i="5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H161" i="5"/>
  <c r="H162" i="5" s="1"/>
  <c r="H163" i="5" s="1"/>
  <c r="H164" i="5" s="1"/>
  <c r="H165" i="5" s="1"/>
  <c r="H166" i="5" s="1"/>
  <c r="H167" i="5" s="1"/>
  <c r="H168" i="5" s="1"/>
  <c r="H169" i="5" s="1"/>
  <c r="H170" i="5" s="1"/>
  <c r="H171" i="5" s="1"/>
  <c r="H172" i="5" s="1"/>
  <c r="H173" i="5" s="1"/>
  <c r="H174" i="5" s="1"/>
  <c r="H175" i="5" s="1"/>
  <c r="H176" i="5" s="1"/>
  <c r="H177" i="5" s="1"/>
  <c r="H178" i="5" s="1"/>
  <c r="H179" i="5" s="1"/>
  <c r="H180" i="5" s="1"/>
  <c r="H181" i="5" s="1"/>
  <c r="H182" i="5" s="1"/>
  <c r="H183" i="5" s="1"/>
  <c r="H184" i="5" s="1"/>
  <c r="H185" i="5" s="1"/>
  <c r="B155" i="5"/>
  <c r="E81" i="5"/>
  <c r="A110" i="5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H109" i="5"/>
  <c r="H110" i="5" s="1"/>
  <c r="H111" i="5" s="1"/>
  <c r="H112" i="5" s="1"/>
  <c r="H113" i="5" s="1"/>
  <c r="H114" i="5" s="1"/>
  <c r="H115" i="5" s="1"/>
  <c r="H116" i="5" s="1"/>
  <c r="H117" i="5" s="1"/>
  <c r="H118" i="5" s="1"/>
  <c r="H119" i="5" s="1"/>
  <c r="H120" i="5" s="1"/>
  <c r="H121" i="5" s="1"/>
  <c r="H122" i="5" s="1"/>
  <c r="H123" i="5" s="1"/>
  <c r="H124" i="5" s="1"/>
  <c r="H125" i="5" s="1"/>
  <c r="H126" i="5" s="1"/>
  <c r="H127" i="5" s="1"/>
  <c r="H128" i="5" s="1"/>
  <c r="H129" i="5" s="1"/>
  <c r="H130" i="5" s="1"/>
  <c r="H131" i="5" s="1"/>
  <c r="H132" i="5" s="1"/>
  <c r="H133" i="5" s="1"/>
  <c r="H134" i="5" s="1"/>
  <c r="H135" i="5" s="1"/>
  <c r="H136" i="5" s="1"/>
  <c r="H137" i="5" s="1"/>
  <c r="H138" i="5" s="1"/>
  <c r="H139" i="5" s="1"/>
  <c r="H140" i="5" s="1"/>
  <c r="H141" i="5" s="1"/>
  <c r="H142" i="5" s="1"/>
  <c r="H143" i="5" s="1"/>
  <c r="H144" i="5" s="1"/>
  <c r="H145" i="5" s="1"/>
  <c r="H146" i="5" s="1"/>
  <c r="H147" i="5" s="1"/>
  <c r="B103" i="5"/>
  <c r="A56" i="5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H55" i="5"/>
  <c r="H56" i="5" s="1"/>
  <c r="H57" i="5" s="1"/>
  <c r="H58" i="5" s="1"/>
  <c r="H59" i="5" s="1"/>
  <c r="H60" i="5" s="1"/>
  <c r="H61" i="5" s="1"/>
  <c r="H62" i="5" s="1"/>
  <c r="H63" i="5" s="1"/>
  <c r="H64" i="5" s="1"/>
  <c r="H65" i="5" s="1"/>
  <c r="H66" i="5" s="1"/>
  <c r="H67" i="5" s="1"/>
  <c r="H68" i="5" s="1"/>
  <c r="H69" i="5" s="1"/>
  <c r="H70" i="5" s="1"/>
  <c r="H71" i="5" s="1"/>
  <c r="H72" i="5" s="1"/>
  <c r="H73" i="5" s="1"/>
  <c r="H74" i="5" s="1"/>
  <c r="H75" i="5" s="1"/>
  <c r="H76" i="5" s="1"/>
  <c r="H77" i="5" s="1"/>
  <c r="H78" i="5" s="1"/>
  <c r="H79" i="5" s="1"/>
  <c r="H80" i="5" s="1"/>
  <c r="H81" i="5" s="1"/>
  <c r="H82" i="5" s="1"/>
  <c r="H83" i="5" s="1"/>
  <c r="H84" i="5" s="1"/>
  <c r="H85" i="5" s="1"/>
  <c r="H86" i="5" s="1"/>
  <c r="H87" i="5" s="1"/>
  <c r="H88" i="5" s="1"/>
  <c r="H89" i="5" s="1"/>
  <c r="H90" i="5" s="1"/>
  <c r="H91" i="5" s="1"/>
  <c r="H92" i="5" s="1"/>
  <c r="H93" i="5" s="1"/>
  <c r="B49" i="5"/>
  <c r="A13" i="5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H12" i="5"/>
  <c r="H13" i="5" s="1"/>
  <c r="H14" i="5" s="1"/>
  <c r="H15" i="5" s="1"/>
  <c r="H16" i="5" s="1"/>
  <c r="H17" i="5" s="1"/>
  <c r="H18" i="5" s="1"/>
  <c r="H19" i="5" s="1"/>
  <c r="H20" i="5" s="1"/>
  <c r="H21" i="5" s="1"/>
  <c r="H22" i="5" s="1"/>
  <c r="H23" i="5" s="1"/>
  <c r="H24" i="5" s="1"/>
  <c r="H25" i="5" s="1"/>
  <c r="H26" i="5" s="1"/>
  <c r="H27" i="5" s="1"/>
  <c r="H28" i="5" s="1"/>
  <c r="H29" i="5" s="1"/>
  <c r="H30" i="5" s="1"/>
  <c r="H31" i="5" s="1"/>
  <c r="H32" i="5" s="1"/>
  <c r="H33" i="5" s="1"/>
  <c r="H34" i="5" s="1"/>
  <c r="H35" i="5" s="1"/>
  <c r="H36" i="5" s="1"/>
  <c r="H37" i="5" s="1"/>
  <c r="H38" i="5" s="1"/>
  <c r="H39" i="5" s="1"/>
  <c r="H40" i="5" s="1"/>
  <c r="H41" i="5" s="1"/>
  <c r="P66" i="28" l="1"/>
  <c r="A67" i="28"/>
  <c r="E112" i="5"/>
  <c r="E113" i="5"/>
  <c r="E130" i="5"/>
  <c r="E83" i="5"/>
  <c r="E124" i="5"/>
  <c r="E145" i="5"/>
  <c r="E74" i="5" s="1"/>
  <c r="E85" i="5"/>
  <c r="E185" i="5"/>
  <c r="E138" i="5" s="1"/>
  <c r="E119" i="5"/>
  <c r="E173" i="5"/>
  <c r="E176" i="5"/>
  <c r="E17" i="5"/>
  <c r="E26" i="5" s="1"/>
  <c r="E166" i="5"/>
  <c r="E177" i="5"/>
  <c r="A68" i="28" l="1"/>
  <c r="P67" i="28"/>
  <c r="E140" i="5"/>
  <c r="E110" i="5"/>
  <c r="E111" i="5"/>
  <c r="E87" i="5"/>
  <c r="E89" i="5" s="1"/>
  <c r="E76" i="5"/>
  <c r="E62" i="5"/>
  <c r="E63" i="5" s="1"/>
  <c r="E58" i="5"/>
  <c r="E70" i="5"/>
  <c r="E180" i="5"/>
  <c r="P68" i="28" l="1"/>
  <c r="E114" i="5"/>
  <c r="E135" i="5" s="1"/>
  <c r="E72" i="5"/>
  <c r="E78" i="5" s="1"/>
  <c r="E59" i="5"/>
  <c r="E65" i="5" s="1"/>
  <c r="E30" i="5"/>
  <c r="A71" i="28" l="1"/>
  <c r="P71" i="28" s="1"/>
  <c r="E91" i="5"/>
  <c r="E34" i="5"/>
  <c r="E41" i="5" s="1"/>
  <c r="E93" i="5" s="1"/>
  <c r="A72" i="28" l="1"/>
  <c r="E190" i="4"/>
  <c r="E141" i="4" s="1"/>
  <c r="F141" i="3" s="1"/>
  <c r="E184" i="4"/>
  <c r="E183" i="4"/>
  <c r="E182" i="4"/>
  <c r="A167" i="4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H166" i="4"/>
  <c r="H167" i="4" s="1"/>
  <c r="H168" i="4" s="1"/>
  <c r="H169" i="4" s="1"/>
  <c r="H170" i="4" s="1"/>
  <c r="H171" i="4" s="1"/>
  <c r="H172" i="4" s="1"/>
  <c r="H173" i="4" s="1"/>
  <c r="H174" i="4" s="1"/>
  <c r="H175" i="4" s="1"/>
  <c r="H176" i="4" s="1"/>
  <c r="H177" i="4" s="1"/>
  <c r="H178" i="4" s="1"/>
  <c r="H179" i="4" s="1"/>
  <c r="H180" i="4" s="1"/>
  <c r="H181" i="4" s="1"/>
  <c r="H182" i="4" s="1"/>
  <c r="H183" i="4" s="1"/>
  <c r="H184" i="4" s="1"/>
  <c r="H185" i="4" s="1"/>
  <c r="H186" i="4" s="1"/>
  <c r="H187" i="4" s="1"/>
  <c r="H188" i="4" s="1"/>
  <c r="H189" i="4" s="1"/>
  <c r="H190" i="4" s="1"/>
  <c r="B160" i="4"/>
  <c r="A113" i="4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H112" i="4"/>
  <c r="H113" i="4" s="1"/>
  <c r="H114" i="4" s="1"/>
  <c r="H115" i="4" s="1"/>
  <c r="H116" i="4" s="1"/>
  <c r="H117" i="4" s="1"/>
  <c r="H118" i="4" s="1"/>
  <c r="H119" i="4" s="1"/>
  <c r="H120" i="4" s="1"/>
  <c r="H121" i="4" s="1"/>
  <c r="H122" i="4" s="1"/>
  <c r="H123" i="4" s="1"/>
  <c r="H124" i="4" s="1"/>
  <c r="H125" i="4" s="1"/>
  <c r="H126" i="4" s="1"/>
  <c r="H127" i="4" s="1"/>
  <c r="H128" i="4" s="1"/>
  <c r="H129" i="4" s="1"/>
  <c r="H130" i="4" s="1"/>
  <c r="H131" i="4" s="1"/>
  <c r="H132" i="4" s="1"/>
  <c r="H133" i="4" s="1"/>
  <c r="H134" i="4" s="1"/>
  <c r="H135" i="4" s="1"/>
  <c r="H136" i="4" s="1"/>
  <c r="H137" i="4" s="1"/>
  <c r="H138" i="4" s="1"/>
  <c r="H139" i="4" s="1"/>
  <c r="H140" i="4" s="1"/>
  <c r="H141" i="4" s="1"/>
  <c r="H142" i="4" s="1"/>
  <c r="H143" i="4" s="1"/>
  <c r="H144" i="4" s="1"/>
  <c r="H145" i="4" s="1"/>
  <c r="H146" i="4" s="1"/>
  <c r="H147" i="4" s="1"/>
  <c r="H148" i="4" s="1"/>
  <c r="H149" i="4" s="1"/>
  <c r="H150" i="4" s="1"/>
  <c r="B106" i="4"/>
  <c r="E86" i="4"/>
  <c r="F86" i="3" s="1"/>
  <c r="E82" i="4"/>
  <c r="F82" i="3" s="1"/>
  <c r="A57" i="4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H56" i="4"/>
  <c r="H57" i="4" s="1"/>
  <c r="H58" i="4" s="1"/>
  <c r="H59" i="4" s="1"/>
  <c r="H60" i="4" s="1"/>
  <c r="H61" i="4" s="1"/>
  <c r="H62" i="4" s="1"/>
  <c r="H63" i="4" s="1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H75" i="4" s="1"/>
  <c r="H76" i="4" s="1"/>
  <c r="H77" i="4" s="1"/>
  <c r="H78" i="4" s="1"/>
  <c r="H79" i="4" s="1"/>
  <c r="H80" i="4" s="1"/>
  <c r="H81" i="4" s="1"/>
  <c r="H82" i="4" s="1"/>
  <c r="H83" i="4" s="1"/>
  <c r="H84" i="4" s="1"/>
  <c r="H85" i="4" s="1"/>
  <c r="H86" i="4" s="1"/>
  <c r="H87" i="4" s="1"/>
  <c r="H88" i="4" s="1"/>
  <c r="H89" i="4" s="1"/>
  <c r="H90" i="4" s="1"/>
  <c r="H91" i="4" s="1"/>
  <c r="H92" i="4" s="1"/>
  <c r="H93" i="4" s="1"/>
  <c r="H94" i="4" s="1"/>
  <c r="B50" i="4"/>
  <c r="A12" i="4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H11" i="4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P72" i="28" l="1"/>
  <c r="A73" i="28"/>
  <c r="E116" i="4"/>
  <c r="F116" i="3" s="1"/>
  <c r="F184" i="3"/>
  <c r="E115" i="4"/>
  <c r="F115" i="3" s="1"/>
  <c r="F183" i="3"/>
  <c r="E114" i="4"/>
  <c r="F114" i="3" s="1"/>
  <c r="F182" i="3"/>
  <c r="E143" i="4"/>
  <c r="E133" i="4"/>
  <c r="E127" i="4"/>
  <c r="E178" i="4"/>
  <c r="E122" i="4"/>
  <c r="E148" i="4"/>
  <c r="E181" i="4"/>
  <c r="F181" i="3" s="1"/>
  <c r="E16" i="4"/>
  <c r="E25" i="4" s="1"/>
  <c r="E171" i="4"/>
  <c r="P73" i="28" l="1"/>
  <c r="A74" i="28"/>
  <c r="E59" i="4"/>
  <c r="E63" i="4"/>
  <c r="E75" i="4"/>
  <c r="E71" i="4"/>
  <c r="E185" i="4"/>
  <c r="E113" i="4"/>
  <c r="P74" i="28" l="1"/>
  <c r="A75" i="28"/>
  <c r="E117" i="4"/>
  <c r="E138" i="4" s="1"/>
  <c r="F113" i="3"/>
  <c r="F71" i="3"/>
  <c r="E77" i="4"/>
  <c r="F75" i="3"/>
  <c r="F63" i="3"/>
  <c r="E64" i="4"/>
  <c r="F59" i="3"/>
  <c r="E60" i="4"/>
  <c r="P75" i="28" l="1"/>
  <c r="A76" i="28"/>
  <c r="G157" i="10"/>
  <c r="G124" i="10"/>
  <c r="E66" i="4"/>
  <c r="E32" i="4"/>
  <c r="F32" i="3" s="1"/>
  <c r="E28" i="4"/>
  <c r="F28" i="3" s="1"/>
  <c r="A77" i="28" l="1"/>
  <c r="P76" i="28"/>
  <c r="G135" i="10"/>
  <c r="G127" i="10"/>
  <c r="G136" i="10" s="1"/>
  <c r="G168" i="10"/>
  <c r="G160" i="10"/>
  <c r="G169" i="10" s="1"/>
  <c r="H190" i="3"/>
  <c r="F190" i="3"/>
  <c r="J189" i="3"/>
  <c r="J188" i="3"/>
  <c r="H178" i="3"/>
  <c r="F178" i="3"/>
  <c r="J177" i="3"/>
  <c r="J176" i="3"/>
  <c r="J175" i="3"/>
  <c r="J174" i="3"/>
  <c r="H171" i="3"/>
  <c r="F171" i="3"/>
  <c r="J170" i="3"/>
  <c r="J169" i="3"/>
  <c r="J168" i="3"/>
  <c r="L167" i="3"/>
  <c r="L168" i="3" s="1"/>
  <c r="L169" i="3" s="1"/>
  <c r="L170" i="3" s="1"/>
  <c r="L171" i="3" s="1"/>
  <c r="L172" i="3" s="1"/>
  <c r="L173" i="3" s="1"/>
  <c r="L174" i="3" s="1"/>
  <c r="L175" i="3" s="1"/>
  <c r="L176" i="3" s="1"/>
  <c r="L177" i="3" s="1"/>
  <c r="L178" i="3" s="1"/>
  <c r="L179" i="3" s="1"/>
  <c r="L180" i="3" s="1"/>
  <c r="L181" i="3" s="1"/>
  <c r="L182" i="3" s="1"/>
  <c r="L183" i="3" s="1"/>
  <c r="L184" i="3" s="1"/>
  <c r="L185" i="3" s="1"/>
  <c r="L186" i="3" s="1"/>
  <c r="L187" i="3" s="1"/>
  <c r="L188" i="3" s="1"/>
  <c r="L189" i="3" s="1"/>
  <c r="L190" i="3" s="1"/>
  <c r="J167" i="3"/>
  <c r="A167" i="3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H163" i="3"/>
  <c r="F163" i="3"/>
  <c r="J150" i="3"/>
  <c r="H148" i="3"/>
  <c r="H77" i="3" s="1"/>
  <c r="F148" i="3"/>
  <c r="J147" i="3"/>
  <c r="J146" i="3"/>
  <c r="H143" i="3"/>
  <c r="H60" i="3" s="1"/>
  <c r="J142" i="3"/>
  <c r="F143" i="3"/>
  <c r="J136" i="3"/>
  <c r="J135" i="3"/>
  <c r="H133" i="3"/>
  <c r="F133" i="3"/>
  <c r="J132" i="3"/>
  <c r="J131" i="3"/>
  <c r="J130" i="3"/>
  <c r="H127" i="3"/>
  <c r="F127" i="3"/>
  <c r="J126" i="3"/>
  <c r="J125" i="3"/>
  <c r="H122" i="3"/>
  <c r="F122" i="3"/>
  <c r="J121" i="3"/>
  <c r="J120" i="3"/>
  <c r="L113" i="3"/>
  <c r="L114" i="3" s="1"/>
  <c r="L115" i="3" s="1"/>
  <c r="L116" i="3" s="1"/>
  <c r="L117" i="3" s="1"/>
  <c r="L118" i="3" s="1"/>
  <c r="L119" i="3" s="1"/>
  <c r="L120" i="3" s="1"/>
  <c r="L121" i="3" s="1"/>
  <c r="L122" i="3" s="1"/>
  <c r="L123" i="3" s="1"/>
  <c r="L124" i="3" s="1"/>
  <c r="L125" i="3" s="1"/>
  <c r="L126" i="3" s="1"/>
  <c r="L127" i="3" s="1"/>
  <c r="L128" i="3" s="1"/>
  <c r="L129" i="3" s="1"/>
  <c r="L130" i="3" s="1"/>
  <c r="L131" i="3" s="1"/>
  <c r="L132" i="3" s="1"/>
  <c r="L133" i="3" s="1"/>
  <c r="L134" i="3" s="1"/>
  <c r="L135" i="3" s="1"/>
  <c r="L136" i="3" s="1"/>
  <c r="L137" i="3" s="1"/>
  <c r="L138" i="3" s="1"/>
  <c r="L139" i="3" s="1"/>
  <c r="L140" i="3" s="1"/>
  <c r="L141" i="3" s="1"/>
  <c r="L142" i="3" s="1"/>
  <c r="L143" i="3" s="1"/>
  <c r="L144" i="3" s="1"/>
  <c r="L145" i="3" s="1"/>
  <c r="L146" i="3" s="1"/>
  <c r="L147" i="3" s="1"/>
  <c r="L148" i="3" s="1"/>
  <c r="L149" i="3" s="1"/>
  <c r="L150" i="3" s="1"/>
  <c r="A113" i="3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H109" i="3"/>
  <c r="F109" i="3"/>
  <c r="H88" i="3"/>
  <c r="H84" i="3"/>
  <c r="J76" i="3"/>
  <c r="J69" i="3"/>
  <c r="J62" i="3"/>
  <c r="J58" i="3"/>
  <c r="L57" i="3"/>
  <c r="L58" i="3" s="1"/>
  <c r="L59" i="3" s="1"/>
  <c r="L60" i="3" s="1"/>
  <c r="L61" i="3" s="1"/>
  <c r="L62" i="3" s="1"/>
  <c r="L63" i="3" s="1"/>
  <c r="L64" i="3" s="1"/>
  <c r="L65" i="3" s="1"/>
  <c r="L66" i="3" s="1"/>
  <c r="L67" i="3" s="1"/>
  <c r="L68" i="3" s="1"/>
  <c r="L69" i="3" s="1"/>
  <c r="L70" i="3" s="1"/>
  <c r="L71" i="3" s="1"/>
  <c r="L72" i="3" s="1"/>
  <c r="L73" i="3" s="1"/>
  <c r="L74" i="3" s="1"/>
  <c r="L75" i="3" s="1"/>
  <c r="L76" i="3" s="1"/>
  <c r="L77" i="3" s="1"/>
  <c r="L78" i="3" s="1"/>
  <c r="L79" i="3" s="1"/>
  <c r="L80" i="3" s="1"/>
  <c r="L81" i="3" s="1"/>
  <c r="L82" i="3" s="1"/>
  <c r="L83" i="3" s="1"/>
  <c r="L84" i="3" s="1"/>
  <c r="L85" i="3" s="1"/>
  <c r="L86" i="3" s="1"/>
  <c r="L87" i="3" s="1"/>
  <c r="L88" i="3" s="1"/>
  <c r="L89" i="3" s="1"/>
  <c r="L90" i="3" s="1"/>
  <c r="L91" i="3" s="1"/>
  <c r="L92" i="3" s="1"/>
  <c r="L93" i="3" s="1"/>
  <c r="L94" i="3" s="1"/>
  <c r="A57" i="3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J56" i="3"/>
  <c r="J38" i="3"/>
  <c r="J37" i="3"/>
  <c r="J36" i="3"/>
  <c r="J35" i="3"/>
  <c r="J24" i="3"/>
  <c r="J22" i="3"/>
  <c r="J20" i="3"/>
  <c r="J18" i="3"/>
  <c r="H16" i="3"/>
  <c r="H25" i="3" s="1"/>
  <c r="F16" i="3"/>
  <c r="J15" i="3"/>
  <c r="J13" i="3"/>
  <c r="L11" i="3"/>
  <c r="L12" i="3" s="1"/>
  <c r="L13" i="3" s="1"/>
  <c r="L14" i="3" s="1"/>
  <c r="L15" i="3" s="1"/>
  <c r="L16" i="3" s="1"/>
  <c r="L17" i="3" s="1"/>
  <c r="L18" i="3" s="1"/>
  <c r="L19" i="3" s="1"/>
  <c r="L20" i="3" s="1"/>
  <c r="L21" i="3" s="1"/>
  <c r="L22" i="3" s="1"/>
  <c r="L23" i="3" s="1"/>
  <c r="L24" i="3" s="1"/>
  <c r="L25" i="3" s="1"/>
  <c r="L26" i="3" s="1"/>
  <c r="L27" i="3" s="1"/>
  <c r="L28" i="3" s="1"/>
  <c r="L29" i="3" s="1"/>
  <c r="L30" i="3" s="1"/>
  <c r="L31" i="3" s="1"/>
  <c r="L32" i="3" s="1"/>
  <c r="L33" i="3" s="1"/>
  <c r="L34" i="3" s="1"/>
  <c r="L35" i="3" s="1"/>
  <c r="L36" i="3" s="1"/>
  <c r="L37" i="3" s="1"/>
  <c r="L38" i="3" s="1"/>
  <c r="L39" i="3" s="1"/>
  <c r="L40" i="3" s="1"/>
  <c r="J11" i="3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78" i="28" l="1"/>
  <c r="P77" i="28"/>
  <c r="F25" i="3"/>
  <c r="J16" i="3"/>
  <c r="J25" i="3" s="1"/>
  <c r="G172" i="10"/>
  <c r="G175" i="10" s="1"/>
  <c r="G179" i="10" s="1"/>
  <c r="E42" i="30" s="1"/>
  <c r="E44" i="30" s="1"/>
  <c r="G139" i="10"/>
  <c r="G142" i="10" s="1"/>
  <c r="G146" i="10" s="1"/>
  <c r="E38" i="30" s="1"/>
  <c r="E40" i="30" s="1"/>
  <c r="H64" i="3"/>
  <c r="H66" i="3" s="1"/>
  <c r="J116" i="3"/>
  <c r="J86" i="3"/>
  <c r="J182" i="3"/>
  <c r="J184" i="3"/>
  <c r="J190" i="3"/>
  <c r="J133" i="3"/>
  <c r="J181" i="3"/>
  <c r="J183" i="3"/>
  <c r="H73" i="3"/>
  <c r="H79" i="3" s="1"/>
  <c r="H90" i="3"/>
  <c r="J115" i="3"/>
  <c r="J171" i="3"/>
  <c r="J122" i="3"/>
  <c r="J127" i="3"/>
  <c r="J141" i="3"/>
  <c r="J143" i="3" s="1"/>
  <c r="J148" i="3"/>
  <c r="H117" i="3"/>
  <c r="H138" i="3" s="1"/>
  <c r="J82" i="3"/>
  <c r="J114" i="3"/>
  <c r="H185" i="3"/>
  <c r="J59" i="3"/>
  <c r="F60" i="3"/>
  <c r="J63" i="3"/>
  <c r="F64" i="3"/>
  <c r="J178" i="3"/>
  <c r="F185" i="3"/>
  <c r="P78" i="28" l="1"/>
  <c r="A79" i="28"/>
  <c r="E31" i="4"/>
  <c r="F31" i="3" s="1"/>
  <c r="F33" i="3" s="1"/>
  <c r="E87" i="4"/>
  <c r="F87" i="3" s="1"/>
  <c r="E83" i="4"/>
  <c r="E27" i="4"/>
  <c r="E72" i="4"/>
  <c r="J64" i="3"/>
  <c r="H92" i="3"/>
  <c r="J185" i="3"/>
  <c r="H40" i="3"/>
  <c r="J75" i="3"/>
  <c r="F77" i="3"/>
  <c r="J77" i="3" s="1"/>
  <c r="F66" i="3"/>
  <c r="J60" i="3"/>
  <c r="F117" i="3"/>
  <c r="F138" i="3" s="1"/>
  <c r="J113" i="3"/>
  <c r="J117" i="3" s="1"/>
  <c r="J71" i="3"/>
  <c r="P79" i="28" l="1"/>
  <c r="A80" i="28"/>
  <c r="E88" i="4"/>
  <c r="E33" i="4"/>
  <c r="J31" i="3"/>
  <c r="J87" i="3"/>
  <c r="F88" i="3"/>
  <c r="J88" i="3" s="1"/>
  <c r="J138" i="3"/>
  <c r="F72" i="3"/>
  <c r="E73" i="4"/>
  <c r="E79" i="4" s="1"/>
  <c r="F27" i="3"/>
  <c r="F29" i="3" s="1"/>
  <c r="E29" i="4"/>
  <c r="F83" i="3"/>
  <c r="E84" i="4"/>
  <c r="H94" i="3"/>
  <c r="J66" i="3"/>
  <c r="P80" i="28" l="1"/>
  <c r="A81" i="28"/>
  <c r="E90" i="4"/>
  <c r="E92" i="4" s="1"/>
  <c r="E40" i="4"/>
  <c r="J27" i="3"/>
  <c r="J72" i="3"/>
  <c r="F73" i="3"/>
  <c r="J83" i="3"/>
  <c r="F84" i="3"/>
  <c r="J32" i="3"/>
  <c r="J33" i="3"/>
  <c r="J28" i="3"/>
  <c r="P81" i="28" l="1"/>
  <c r="A82" i="28"/>
  <c r="E94" i="4"/>
  <c r="J84" i="3"/>
  <c r="F90" i="3"/>
  <c r="J90" i="3" s="1"/>
  <c r="F79" i="3"/>
  <c r="J73" i="3"/>
  <c r="J29" i="3"/>
  <c r="F40" i="3"/>
  <c r="A83" i="28" l="1"/>
  <c r="P82" i="28"/>
  <c r="J79" i="3"/>
  <c r="F92" i="3"/>
  <c r="J92" i="3" s="1"/>
  <c r="J40" i="3"/>
  <c r="A84" i="28" l="1"/>
  <c r="P83" i="28"/>
  <c r="F94" i="3"/>
  <c r="J94" i="3" s="1"/>
  <c r="P84" i="28" l="1"/>
  <c r="A85" i="28"/>
  <c r="D16" i="13"/>
  <c r="G16" i="13" s="1"/>
  <c r="D10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11" i="1"/>
  <c r="G10" i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A10" i="1"/>
  <c r="A86" i="28" l="1"/>
  <c r="P85" i="28"/>
  <c r="D17" i="13"/>
  <c r="D18" i="13" s="1"/>
  <c r="D19" i="13" s="1"/>
  <c r="D20" i="13" s="1"/>
  <c r="D21" i="13" s="1"/>
  <c r="D22" i="13" s="1"/>
  <c r="D23" i="13" s="1"/>
  <c r="D24" i="13" s="1"/>
  <c r="D25" i="13" s="1"/>
  <c r="D26" i="13" s="1"/>
  <c r="D27" i="13" s="1"/>
  <c r="D64" i="13" s="1"/>
  <c r="F16" i="13"/>
  <c r="H16" i="13" s="1"/>
  <c r="P86" i="28" l="1"/>
  <c r="A87" i="28"/>
  <c r="F17" i="13"/>
  <c r="G17" i="13" s="1"/>
  <c r="A88" i="28" l="1"/>
  <c r="P87" i="28"/>
  <c r="H17" i="13"/>
  <c r="A89" i="28" l="1"/>
  <c r="P88" i="28"/>
  <c r="F18" i="13"/>
  <c r="A90" i="28" l="1"/>
  <c r="P89" i="28"/>
  <c r="G18" i="13"/>
  <c r="A91" i="28" l="1"/>
  <c r="P90" i="28"/>
  <c r="H18" i="13"/>
  <c r="F19" i="13" s="1"/>
  <c r="A92" i="28" l="1"/>
  <c r="P92" i="28" s="1"/>
  <c r="P91" i="28"/>
  <c r="G19" i="13"/>
  <c r="H19" i="13" s="1"/>
  <c r="F20" i="13" l="1"/>
  <c r="G20" i="13" l="1"/>
  <c r="H20" i="13" s="1"/>
  <c r="F21" i="13" l="1"/>
  <c r="G21" i="13" l="1"/>
  <c r="H21" i="13" s="1"/>
  <c r="F22" i="13" l="1"/>
  <c r="G22" i="13" l="1"/>
  <c r="H22" i="13" s="1"/>
  <c r="F23" i="13" l="1"/>
  <c r="G23" i="13" l="1"/>
  <c r="H23" i="13" s="1"/>
  <c r="F24" i="13" l="1"/>
  <c r="G24" i="13" l="1"/>
  <c r="H24" i="13" s="1"/>
  <c r="F25" i="13" l="1"/>
  <c r="G25" i="13" l="1"/>
  <c r="H25" i="13" s="1"/>
  <c r="F26" i="13" l="1"/>
  <c r="G26" i="13" l="1"/>
  <c r="H26" i="13" s="1"/>
  <c r="F27" i="13" l="1"/>
  <c r="G27" i="13" l="1"/>
  <c r="H27" i="13" s="1"/>
  <c r="F28" i="13" l="1"/>
  <c r="G28" i="13" l="1"/>
  <c r="H28" i="13" s="1"/>
  <c r="F29" i="13" l="1"/>
  <c r="G29" i="13" l="1"/>
  <c r="H29" i="13" s="1"/>
  <c r="F30" i="13" l="1"/>
  <c r="G30" i="13" l="1"/>
  <c r="H30" i="13" s="1"/>
  <c r="F31" i="13" l="1"/>
  <c r="G31" i="13" l="1"/>
  <c r="H31" i="13" s="1"/>
  <c r="F32" i="13" l="1"/>
  <c r="G32" i="13" l="1"/>
  <c r="H32" i="13" s="1"/>
  <c r="F33" i="13" l="1"/>
  <c r="G33" i="13" l="1"/>
  <c r="H33" i="13" s="1"/>
  <c r="F34" i="13" l="1"/>
  <c r="G34" i="13" l="1"/>
  <c r="H34" i="13" s="1"/>
  <c r="F35" i="13" l="1"/>
  <c r="G35" i="13" l="1"/>
  <c r="H35" i="13" s="1"/>
  <c r="F36" i="13" l="1"/>
  <c r="G36" i="13" l="1"/>
  <c r="H36" i="13" s="1"/>
  <c r="F37" i="13" l="1"/>
  <c r="G37" i="13" l="1"/>
  <c r="H37" i="13" s="1"/>
  <c r="F38" i="13" l="1"/>
  <c r="G38" i="13" l="1"/>
  <c r="H38" i="13" s="1"/>
  <c r="F39" i="13" l="1"/>
  <c r="G39" i="13" l="1"/>
  <c r="H39" i="13" l="1"/>
  <c r="F40" i="13" l="1"/>
  <c r="G40" i="13" l="1"/>
  <c r="H40" i="13" s="1"/>
  <c r="F41" i="13" l="1"/>
  <c r="G41" i="13" s="1"/>
  <c r="H41" i="13" s="1"/>
  <c r="F42" i="13" l="1"/>
  <c r="G42" i="13" s="1"/>
  <c r="H42" i="13" s="1"/>
  <c r="F43" i="13" l="1"/>
  <c r="G43" i="13" s="1"/>
  <c r="H43" i="13" s="1"/>
  <c r="F44" i="13" l="1"/>
  <c r="G44" i="13" s="1"/>
  <c r="H44" i="13" s="1"/>
  <c r="F45" i="13" l="1"/>
  <c r="G45" i="13" s="1"/>
  <c r="H45" i="13" s="1"/>
  <c r="F46" i="13" l="1"/>
  <c r="G46" i="13" s="1"/>
  <c r="H46" i="13" s="1"/>
  <c r="F47" i="13" l="1"/>
  <c r="G47" i="13" s="1"/>
  <c r="H47" i="13" s="1"/>
  <c r="F48" i="13" l="1"/>
  <c r="G48" i="13" s="1"/>
  <c r="H48" i="13" l="1"/>
  <c r="F49" i="13" l="1"/>
  <c r="G49" i="13" s="1"/>
  <c r="H49" i="13" s="1"/>
  <c r="F50" i="13" l="1"/>
  <c r="G50" i="13" s="1"/>
  <c r="H50" i="13" s="1"/>
  <c r="F51" i="13" l="1"/>
  <c r="G51" i="13" s="1"/>
  <c r="H51" i="13" l="1"/>
  <c r="F52" i="13" l="1"/>
  <c r="G52" i="13" s="1"/>
  <c r="H52" i="13" l="1"/>
  <c r="F53" i="13" l="1"/>
  <c r="G53" i="13" s="1"/>
  <c r="H53" i="13" s="1"/>
  <c r="F54" i="13" s="1"/>
  <c r="G54" i="13" l="1"/>
  <c r="H54" i="13" s="1"/>
  <c r="F55" i="13" l="1"/>
  <c r="G55" i="13" s="1"/>
  <c r="H55" i="13" s="1"/>
  <c r="F56" i="13" l="1"/>
  <c r="G56" i="13" s="1"/>
  <c r="H56" i="13" s="1"/>
  <c r="F57" i="13" l="1"/>
  <c r="G57" i="13" s="1"/>
  <c r="H57" i="13" l="1"/>
  <c r="F58" i="13" l="1"/>
  <c r="G58" i="13" l="1"/>
  <c r="H58" i="13" s="1"/>
  <c r="F59" i="13" l="1"/>
  <c r="G59" i="13" s="1"/>
  <c r="H59" i="13" s="1"/>
  <c r="F60" i="13" l="1"/>
  <c r="G60" i="13" s="1"/>
  <c r="H60" i="13" l="1"/>
  <c r="F61" i="13" l="1"/>
  <c r="G61" i="13" l="1"/>
  <c r="H61" i="13" s="1"/>
  <c r="F62" i="13" l="1"/>
  <c r="G62" i="13" s="1"/>
  <c r="H62" i="13" l="1"/>
  <c r="F63" i="13" l="1"/>
  <c r="G63" i="13" s="1"/>
  <c r="G64" i="13" s="1"/>
  <c r="D12" i="1" l="1"/>
  <c r="D14" i="1" s="1"/>
  <c r="H63" i="13"/>
  <c r="D20" i="1" l="1"/>
  <c r="D16" i="1"/>
  <c r="D18" i="1" s="1"/>
  <c r="D22" i="1" l="1"/>
</calcChain>
</file>

<file path=xl/sharedStrings.xml><?xml version="1.0" encoding="utf-8"?>
<sst xmlns="http://schemas.openxmlformats.org/spreadsheetml/2006/main" count="2527" uniqueCount="745">
  <si>
    <t>San Diego Gas &amp; Electric Company</t>
  </si>
  <si>
    <t>Derivation of Other BTRR Adjustment Applicable to TO5 Cycle 4</t>
  </si>
  <si>
    <t>($1,000)</t>
  </si>
  <si>
    <t>Line</t>
  </si>
  <si>
    <t>Description</t>
  </si>
  <si>
    <t>Amounts</t>
  </si>
  <si>
    <t>Reference</t>
  </si>
  <si>
    <t>No.</t>
  </si>
  <si>
    <t>Total BTRR Adjustment - Before Interest</t>
  </si>
  <si>
    <t>Page 2.2; Line 39</t>
  </si>
  <si>
    <t>Interest Expense</t>
  </si>
  <si>
    <t>Total BTRR Adjustment Excluding FF&amp;U</t>
  </si>
  <si>
    <t>Sum Lines 2 and 4</t>
  </si>
  <si>
    <t>Transmission Related Municipal Franchise Fees Expenses</t>
  </si>
  <si>
    <t>Line 6 x 1.0275%</t>
  </si>
  <si>
    <t>Total BTRR Adjustment Including Franchise Fees Expense (WHOLESALE)</t>
  </si>
  <si>
    <t>Sum Lines 6 and 8</t>
  </si>
  <si>
    <t>Transmission Related Uncollectible Expense</t>
  </si>
  <si>
    <t>Line 6 x 0.165%</t>
  </si>
  <si>
    <t>Total BTRR Adjustment Including FF&amp;U (RETAIL)</t>
  </si>
  <si>
    <t>Sum Lines 10 and 12</t>
  </si>
  <si>
    <t xml:space="preserve"> </t>
  </si>
  <si>
    <t>A</t>
  </si>
  <si>
    <t>B</t>
  </si>
  <si>
    <t>C = A - B</t>
  </si>
  <si>
    <t>Difference</t>
  </si>
  <si>
    <t xml:space="preserve">Amounts  </t>
  </si>
  <si>
    <t xml:space="preserve">Amounts </t>
  </si>
  <si>
    <t>Incr (Decr)</t>
  </si>
  <si>
    <t>A. Revenues:</t>
  </si>
  <si>
    <t>Transmission Operation &amp; Maintenance Expense</t>
  </si>
  <si>
    <t>Page 3.1 and Page 4.1, Line 1</t>
  </si>
  <si>
    <t>Transmission Related A&amp;G Expense</t>
  </si>
  <si>
    <t>√</t>
  </si>
  <si>
    <t>Page 3.1 and Page 4.1, Line 3</t>
  </si>
  <si>
    <t>CPUC Intervenor Funding Expense - Transmission</t>
  </si>
  <si>
    <t>Page 3.1 and Page 4.1, Line 5</t>
  </si>
  <si>
    <t xml:space="preserve">     Total O&amp;M Expenses</t>
  </si>
  <si>
    <t>Sum Lines 1 thru 5</t>
  </si>
  <si>
    <t>Transmission, General, Common Plant Depn. Exp., and Electric Misc. Intangible Plant Amort. Exp.</t>
  </si>
  <si>
    <t>Page 3.1 and Page 4.1, Line 8</t>
  </si>
  <si>
    <r>
      <t xml:space="preserve">Transmission Plant Abandoned Project Cost Amortization Expense </t>
    </r>
    <r>
      <rPr>
        <b/>
        <vertAlign val="superscript"/>
        <sz val="12"/>
        <rFont val="Times New Roman"/>
        <family val="1"/>
      </rPr>
      <t>1</t>
    </r>
  </si>
  <si>
    <t>Page 3.1 and Page 4.1, Line 10</t>
  </si>
  <si>
    <t>Transmission Related Property Taxes Expense</t>
  </si>
  <si>
    <t>Page 3.1 and Page 4.1, Line 12</t>
  </si>
  <si>
    <t>Transmission Related Payroll Taxes Expense</t>
  </si>
  <si>
    <t>Page 3.1 and Page 4.1, Line 14</t>
  </si>
  <si>
    <t xml:space="preserve">     Sub-Total Expense</t>
  </si>
  <si>
    <t>Sum Lines 6 thru 14</t>
  </si>
  <si>
    <r>
      <t xml:space="preserve">Cost of Capital Rate </t>
    </r>
    <r>
      <rPr>
        <vertAlign val="subscript"/>
        <sz val="12"/>
        <rFont val="Times New Roman"/>
        <family val="1"/>
      </rPr>
      <t>(COCR)</t>
    </r>
    <r>
      <rPr>
        <sz val="12"/>
        <rFont val="Times New Roman"/>
        <family val="1"/>
      </rPr>
      <t xml:space="preserve"> - Base ROE</t>
    </r>
  </si>
  <si>
    <t>Page 3.1 and Page 4.1, Line 17</t>
  </si>
  <si>
    <t>Transmission Rate Base</t>
  </si>
  <si>
    <t>Page 3.1 and Page 4.1, Line 18</t>
  </si>
  <si>
    <t xml:space="preserve">     Return and Associated Income Taxes - Base ROE</t>
  </si>
  <si>
    <t>Line 17 x Line 18</t>
  </si>
  <si>
    <r>
      <t xml:space="preserve">Cost of Capital Rate </t>
    </r>
    <r>
      <rPr>
        <vertAlign val="subscript"/>
        <sz val="12"/>
        <rFont val="Times New Roman"/>
        <family val="1"/>
      </rPr>
      <t>(COCR)</t>
    </r>
    <r>
      <rPr>
        <sz val="12"/>
        <rFont val="Times New Roman"/>
        <family val="1"/>
      </rPr>
      <t xml:space="preserve"> - CAISO Participation ROE Adder</t>
    </r>
  </si>
  <si>
    <t>Page 3.1 and Page 4.1, Line 21</t>
  </si>
  <si>
    <t>Page 3.1 and Page 4.1, Line 22</t>
  </si>
  <si>
    <t xml:space="preserve">     Return and Associated Income Taxes - CAISO Participation ROE Adder</t>
  </si>
  <si>
    <t>Line 21 x Line 22</t>
  </si>
  <si>
    <t>Total of Federal Income Tax Deductions, Other Than Interest</t>
  </si>
  <si>
    <t>Page 3.1 and Page 4.1, Line 25</t>
  </si>
  <si>
    <t>Transmission Related Revenue Credits</t>
  </si>
  <si>
    <t>Page 3.1 and Page 4.1, Line 26</t>
  </si>
  <si>
    <t>Transmission Related Regulatory Debits/Credits</t>
  </si>
  <si>
    <t>Page 3.1 and Page 4.1, Line 27</t>
  </si>
  <si>
    <t>(Gains)/Losses from Sale of Plant Held for Future Use</t>
  </si>
  <si>
    <t>Page 3.1 and Page 4.1, Line 28</t>
  </si>
  <si>
    <r>
      <t xml:space="preserve">     End of Prior Year Revenues (PYRR </t>
    </r>
    <r>
      <rPr>
        <vertAlign val="subscript"/>
        <sz val="12"/>
        <rFont val="Times New Roman"/>
        <family val="1"/>
      </rPr>
      <t>EU</t>
    </r>
    <r>
      <rPr>
        <sz val="12"/>
        <rFont val="Times New Roman"/>
        <family val="1"/>
      </rPr>
      <t>) Excluding FF&amp;U</t>
    </r>
  </si>
  <si>
    <t>Line 15 + Line 19 + Line 23 + (Sum Lines 25 thru 28)</t>
  </si>
  <si>
    <t>Blank lines that show up in the Formula Rate Spreadsheet will not be populated with any numbers absent a Section 205 filing to approve the blank lines.</t>
  </si>
  <si>
    <r>
      <t xml:space="preserve">Amounts  </t>
    </r>
    <r>
      <rPr>
        <b/>
        <vertAlign val="superscript"/>
        <sz val="12"/>
        <rFont val="Times New Roman"/>
        <family val="1"/>
      </rPr>
      <t>5</t>
    </r>
  </si>
  <si>
    <r>
      <t>B. Incentive ROE Project Transmission Revenue: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1, 2</t>
    </r>
  </si>
  <si>
    <t>Incentive Transmission Plant Depreciation Expense</t>
  </si>
  <si>
    <t>Page 3.2 and Page 4.2, Line 1</t>
  </si>
  <si>
    <r>
      <t xml:space="preserve">Incentive Cost of Capital Rate </t>
    </r>
    <r>
      <rPr>
        <vertAlign val="subscript"/>
        <sz val="12"/>
        <rFont val="Times New Roman"/>
        <family val="1"/>
      </rPr>
      <t>(ICOCR)</t>
    </r>
    <r>
      <rPr>
        <sz val="12"/>
        <rFont val="Times New Roman"/>
        <family val="1"/>
      </rPr>
      <t xml:space="preserve"> - Base ROE</t>
    </r>
  </si>
  <si>
    <t>Page 3.2 and Page 4.2, Line 3</t>
  </si>
  <si>
    <t>Total Incentive ROE Project Transmission Rate Base</t>
  </si>
  <si>
    <t>Page 3.2 and Page 4.2, Line 4</t>
  </si>
  <si>
    <t xml:space="preserve">     Incentive ROE Project Return and Associated Income Taxes - Base ROE</t>
  </si>
  <si>
    <t>Line 3 x Line 4</t>
  </si>
  <si>
    <t>Page 3.2 and Page 4.2, Line 7</t>
  </si>
  <si>
    <t>Page 3.2 and Page 4.2, Line 8</t>
  </si>
  <si>
    <t>Line 7 x Line 8</t>
  </si>
  <si>
    <t xml:space="preserve">     Total Incentive ROE Project Transmission Revenue</t>
  </si>
  <si>
    <t>Line 1 + Line 5 + Line 9</t>
  </si>
  <si>
    <r>
      <t>C. Incentive Transmission Plant Abandoned Project Revenue: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1, 2</t>
    </r>
  </si>
  <si>
    <t>Incentive Transmission Plant Abandoned Project Cost Amortization Expense</t>
  </si>
  <si>
    <t>Page 3.2 and Page 4.2, Line 14</t>
  </si>
  <si>
    <t>Total Incentive Transmission Plant Abandoned Project Cost Rate Base</t>
  </si>
  <si>
    <t>Page 3.2 and Page 4.2, Line 16</t>
  </si>
  <si>
    <t>Page 3.2 and Page 4.2, Line 17</t>
  </si>
  <si>
    <t xml:space="preserve">     Incentive Trans. Plant Aband. Proj. Return &amp; Assoc. Inc. Taxes - Base ROE</t>
  </si>
  <si>
    <t>Line 16 x Line 17</t>
  </si>
  <si>
    <t>Page 3.2 and Page 4.2, Line 20</t>
  </si>
  <si>
    <t>Page 3.2 and Page 4.2, Line 21</t>
  </si>
  <si>
    <t xml:space="preserve">     Incentive Trans. Plant Aband. Proj. Return &amp; Assoc. Inc. Taxes - CAISO Participation ROE Adder</t>
  </si>
  <si>
    <t>Line 20 x Line 21</t>
  </si>
  <si>
    <t xml:space="preserve">     Total Incentive Transmission Plant Abandoned Project Revenue</t>
  </si>
  <si>
    <t>Line 14 + Line 18 + Line 22</t>
  </si>
  <si>
    <r>
      <t>D. Incentive Transmission Construction Work In Progress (CWIP) Revenue: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1, 2</t>
    </r>
  </si>
  <si>
    <t>Incentive Transmission Construction Work In Progress</t>
  </si>
  <si>
    <t>Page 3.2 and Page 4.2, Line 27</t>
  </si>
  <si>
    <t>Page 3.2 and Page 4.2, Line 28</t>
  </si>
  <si>
    <t xml:space="preserve">     Incentive CWIP Return and Associated Income Taxes - Base ROE</t>
  </si>
  <si>
    <t>Line 27 x Line 28</t>
  </si>
  <si>
    <t>Page 3.2 and Page 4.2, Line 31</t>
  </si>
  <si>
    <t>Page 3.2 and Page 4.2, Line 32</t>
  </si>
  <si>
    <t xml:space="preserve">     Incentive CWIP Return and Associated Income Taxes - CAISO Participation ROE Adder</t>
  </si>
  <si>
    <t>Line 31 x Line 32</t>
  </si>
  <si>
    <t xml:space="preserve">     Total Incentive CWIP Revenue</t>
  </si>
  <si>
    <t>Line 29 + Line 33</t>
  </si>
  <si>
    <r>
      <t xml:space="preserve">     Total Incentive End of Prior Year Revenues (PYRR </t>
    </r>
    <r>
      <rPr>
        <vertAlign val="subscript"/>
        <sz val="12"/>
        <rFont val="Times New Roman"/>
        <family val="1"/>
      </rPr>
      <t>EU-IR</t>
    </r>
    <r>
      <rPr>
        <sz val="12"/>
        <rFont val="Times New Roman"/>
        <family val="1"/>
      </rPr>
      <t>) Excluding FF&amp;U</t>
    </r>
  </si>
  <si>
    <t>Sum Lines 11, 24, 35</t>
  </si>
  <si>
    <r>
      <t xml:space="preserve">E. Total (PYRR </t>
    </r>
    <r>
      <rPr>
        <b/>
        <u/>
        <vertAlign val="subscript"/>
        <sz val="12"/>
        <rFont val="Times New Roman"/>
        <family val="1"/>
      </rPr>
      <t>EU</t>
    </r>
    <r>
      <rPr>
        <b/>
        <u/>
        <sz val="12"/>
        <rFont val="Times New Roman"/>
        <family val="1"/>
      </rPr>
      <t>) Excluding FF&amp;U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3</t>
    </r>
  </si>
  <si>
    <t>Page 1; Line 30 + Line 37</t>
  </si>
  <si>
    <t>The FERC approved incentives for each project will be tracked and shown separately by repeating the applicable lines. As a result, the data on this page may carryover to the next page.</t>
  </si>
  <si>
    <t>Total Prior Year Revenues (PYRR) or Base Period Revenue is for 12 months ending the applicable cycle base period.</t>
  </si>
  <si>
    <t>A. Transmission Rate Base</t>
  </si>
  <si>
    <t>Net Transmission Plant:</t>
  </si>
  <si>
    <t>Transmission Plant</t>
  </si>
  <si>
    <t>Page 3.3 and Page 4.3, Line 2</t>
  </si>
  <si>
    <t>Transmission Related Electric Miscellaneous Intangible Plant</t>
  </si>
  <si>
    <t>Page 3.3 and Page 4.3, Line 3</t>
  </si>
  <si>
    <t>Transmission Related General Plant</t>
  </si>
  <si>
    <t>Page 3.3 and Page 4.3, Line 4</t>
  </si>
  <si>
    <t>Transmission Related Common Plant</t>
  </si>
  <si>
    <t>Page 3.3 and Page 4.3, Line 5</t>
  </si>
  <si>
    <t xml:space="preserve">     Total Net Transmission Plant</t>
  </si>
  <si>
    <t>Sum Lines 2 thru 5</t>
  </si>
  <si>
    <t>Rate Base Additions:</t>
  </si>
  <si>
    <t>Plant Held for Future Use</t>
  </si>
  <si>
    <t>Page 3.3 and Page 4.3, Line 9</t>
  </si>
  <si>
    <t>Transmission Plant Abandoned Project Cost</t>
  </si>
  <si>
    <t>Page 3.3 and Page 4.3, Line 10</t>
  </si>
  <si>
    <t xml:space="preserve">     Total Rate Base Additions</t>
  </si>
  <si>
    <t>Line 9 + Line 10</t>
  </si>
  <si>
    <t>Rate Base Reductions:</t>
  </si>
  <si>
    <t>Transmission Related Accum. Def. Inc. Taxes</t>
  </si>
  <si>
    <t>Page 3.3 and Page 4.3, Line 14</t>
  </si>
  <si>
    <t>Transmission Plant Abandoned Accum. Def. Inc. Taxes</t>
  </si>
  <si>
    <t>Page 3.3 and Page 4.3, Line 15</t>
  </si>
  <si>
    <t xml:space="preserve">     Total Rate Base Reductions</t>
  </si>
  <si>
    <t>Line 14 + Line 15</t>
  </si>
  <si>
    <t>Working Capital:</t>
  </si>
  <si>
    <t xml:space="preserve">Transmission Related Material and Supplies </t>
  </si>
  <si>
    <t>Page 3.3 and Page 4.3, Line 19</t>
  </si>
  <si>
    <t>Transmission Related Prepayments</t>
  </si>
  <si>
    <t>Page 3.3 and Page 4.3, Line 20</t>
  </si>
  <si>
    <t>Transmission Related Cash Working Capital</t>
  </si>
  <si>
    <t>Page 3.3 and Page 4.3, Line 21</t>
  </si>
  <si>
    <t xml:space="preserve">   Total Working Capital</t>
  </si>
  <si>
    <t>Sum Lines 19 thru 21</t>
  </si>
  <si>
    <t>Other Regulatory Assets/Liabilities</t>
  </si>
  <si>
    <t>Page 3.3 and Page 4.3, Line 24</t>
  </si>
  <si>
    <t>Unfunded Reserves</t>
  </si>
  <si>
    <t>Page 3.3 and Page 4.3, Line 25</t>
  </si>
  <si>
    <t xml:space="preserve">     Total Transmission Rate Base</t>
  </si>
  <si>
    <t>Sum Lines 6, 11, 16, 22, 24, 25</t>
  </si>
  <si>
    <r>
      <t>B. Incentive ROE Project Transmission Rate Base: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</si>
  <si>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Net Incentive Transmission Plant</t>
  </si>
  <si>
    <t>Page 3.3 and Page 4.3, Line 30</t>
  </si>
  <si>
    <t xml:space="preserve">Incentive Transmission Plant Accum. Def. Income Taxes </t>
  </si>
  <si>
    <t>Page 3.3 and Page 4.3, Line 31</t>
  </si>
  <si>
    <t xml:space="preserve">     Total Incentive ROE Project Transmission Rate Base</t>
  </si>
  <si>
    <t>Line 30 + Line 31</t>
  </si>
  <si>
    <r>
      <t>C. Incentive Transmission Plant Abandoned Project Rate Base:</t>
    </r>
    <r>
      <rPr>
        <b/>
        <vertAlign val="superscript"/>
        <sz val="12"/>
        <rFont val="Times New Roman"/>
        <family val="1"/>
      </rPr>
      <t xml:space="preserve"> 1</t>
    </r>
  </si>
  <si>
    <t>Incentive Transmission Plant Abandoned Project Cost</t>
  </si>
  <si>
    <t>Page 3.3 and Page 4.3, Line 35</t>
  </si>
  <si>
    <t>Incentive Transmission Plant Abandoned Project Cost Accum. Def. Inc. Taxes</t>
  </si>
  <si>
    <t>Page 3.3 and Page 4.3, Line 36</t>
  </si>
  <si>
    <t xml:space="preserve">     Total Incentive Transmission Plant Abandoned Project Cost Rate Base</t>
  </si>
  <si>
    <t>Line 35 + Line 36</t>
  </si>
  <si>
    <r>
      <t>D. Incentive Transmission Construction Work In Progress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</si>
  <si>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Page 3.3 and Page 4.3, Line 39</t>
  </si>
  <si>
    <t>A. Transmission Plant</t>
  </si>
  <si>
    <t>Gross Transmission Plant:</t>
  </si>
  <si>
    <t>Page 3.4 and Page 4.4, Line 2</t>
  </si>
  <si>
    <t>Page 3.4 and Page 4.4, Line 3</t>
  </si>
  <si>
    <t>Page 3.4 and Page 4.4, Line 4</t>
  </si>
  <si>
    <t>Page 3.4 and Page 4.4, Line 5</t>
  </si>
  <si>
    <t xml:space="preserve">     Total Gross Transmission Plant</t>
  </si>
  <si>
    <t>Transmission Related Depreciation Reserve:</t>
  </si>
  <si>
    <t xml:space="preserve">Transmission Plant Depreciation Reserve </t>
  </si>
  <si>
    <t>Page 3.4 and Page 4.4, Line 9</t>
  </si>
  <si>
    <t>Transmission Related Electric Misc. Intangible Plant Amortization Reserve</t>
  </si>
  <si>
    <t>Page 3.4 and Page 4.4, Line 10</t>
  </si>
  <si>
    <t>Transmission Related General Plant Depr Reserve</t>
  </si>
  <si>
    <t>Page 3.4 and Page 4.4, Line 11</t>
  </si>
  <si>
    <t>Transmission Related Common Plant Depr Reserve</t>
  </si>
  <si>
    <t>Page 3.4 and Page 4.4, Line 12</t>
  </si>
  <si>
    <t xml:space="preserve">     Total Transmission Related Depreciation Reserve</t>
  </si>
  <si>
    <t>Sum Lines 9 thru 12</t>
  </si>
  <si>
    <t>Page 3.4 and Page 4.4, Line 16</t>
  </si>
  <si>
    <t>Page 3.4 and Page 4.4, Line 17</t>
  </si>
  <si>
    <t>Page 3.4 and Page 4.4, Line 18</t>
  </si>
  <si>
    <t>Page 3.4 and Page 4.4, Line 19</t>
  </si>
  <si>
    <t>Sum Lines 16 thru 19</t>
  </si>
  <si>
    <r>
      <t>B. Incentive Project Transmission Plant:</t>
    </r>
    <r>
      <rPr>
        <b/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</si>
  <si>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Incentive Transmission Plant</t>
  </si>
  <si>
    <t>Page 3.4 and Page 4.4, Line 23</t>
  </si>
  <si>
    <t>Incentive Transmission Plant Depreciation Reserve</t>
  </si>
  <si>
    <t>Page 3.4 and Page 4.4, Line 24</t>
  </si>
  <si>
    <t xml:space="preserve">     Total Net Incentive Transmission Plant</t>
  </si>
  <si>
    <t>Line 23 Minus Line 24</t>
  </si>
  <si>
    <t>The Incentive ROE Transmission plant and depreciation reserve will be tracked and shown for each incentive project and lines 23 through 25 will be repeated for each project.</t>
  </si>
  <si>
    <t>SAN DIEGO GAS &amp; ELECTRIC COMPANY</t>
  </si>
  <si>
    <t>Statement BK-1</t>
  </si>
  <si>
    <r>
      <t xml:space="preserve">Derivation of End Use Prior Year Revenue Requirements (PYRR </t>
    </r>
    <r>
      <rPr>
        <b/>
        <vertAlign val="subscript"/>
        <sz val="12"/>
        <rFont val="Times New Roman"/>
        <family val="1"/>
      </rPr>
      <t>EU</t>
    </r>
    <r>
      <rPr>
        <b/>
        <sz val="12"/>
        <rFont val="Times New Roman"/>
        <family val="1"/>
      </rPr>
      <t>)</t>
    </r>
  </si>
  <si>
    <t>For the Base Period &amp; True-Up Period Ending December 31, 2020</t>
  </si>
  <si>
    <t>Statement AH; Line 10</t>
  </si>
  <si>
    <t>Negative of Statement AH; Line 17</t>
  </si>
  <si>
    <t>Statement AJ; Line 23</t>
  </si>
  <si>
    <t>Statement AK; Line 20</t>
  </si>
  <si>
    <t>Page 3; Line 27</t>
  </si>
  <si>
    <t>Statement AV; Page 3; Line 64</t>
  </si>
  <si>
    <t>Page 3; Line 27 - Line 10</t>
  </si>
  <si>
    <t>Statement AQ; Line 3</t>
  </si>
  <si>
    <t>Statement AU; Line 13</t>
  </si>
  <si>
    <t>Statement Misc; Line 1</t>
  </si>
  <si>
    <t>Statement AU; Line 15</t>
  </si>
  <si>
    <t>Statement AJ; Line 19</t>
  </si>
  <si>
    <t>Statement AV; Page 4; Line 31</t>
  </si>
  <si>
    <t>Page 3; Line 32</t>
  </si>
  <si>
    <t>Statement AV; Page 4; Line 64</t>
  </si>
  <si>
    <t>Statement AJ; Line 21</t>
  </si>
  <si>
    <t>Page 3; Line 37</t>
  </si>
  <si>
    <t>Shall be Zero</t>
  </si>
  <si>
    <t>Page 3; Line 39</t>
  </si>
  <si>
    <t>A. Transmission Rate Base:</t>
  </si>
  <si>
    <t>Page 4; Line 16</t>
  </si>
  <si>
    <t>Page 4; Line 17</t>
  </si>
  <si>
    <t>Page 4; Line 18</t>
  </si>
  <si>
    <t>Page 4; Line 19</t>
  </si>
  <si>
    <t>Transmission Plant Held for Future Use</t>
  </si>
  <si>
    <t>Statement AG; Line 1</t>
  </si>
  <si>
    <t>Statement Misc; Line 3</t>
  </si>
  <si>
    <t>Page 4; Rev. Stmt AF; Line 7</t>
  </si>
  <si>
    <t>Statement AF; Line 11</t>
  </si>
  <si>
    <t xml:space="preserve">Transmission Related Materials and Supplies </t>
  </si>
  <si>
    <t xml:space="preserve">     Total Working Capital</t>
  </si>
  <si>
    <t>Statement Misc; Line 5</t>
  </si>
  <si>
    <t>Statement Misc; Line 7</t>
  </si>
  <si>
    <t>Page 4; Line 25</t>
  </si>
  <si>
    <t>Statement AF; Line 9</t>
  </si>
  <si>
    <t>Statement Misc; Line 9</t>
  </si>
  <si>
    <t>Statement AF; Line 13</t>
  </si>
  <si>
    <t>Statement AM; Line 1</t>
  </si>
  <si>
    <t>A. Transmission Plant:</t>
  </si>
  <si>
    <t>Transmission Related Electric Misc. Intangible Plant</t>
  </si>
  <si>
    <t>Line 2 Minus Line 9</t>
  </si>
  <si>
    <t>Line 3 Minus Line 10</t>
  </si>
  <si>
    <t>Line 4 Minus Line 11</t>
  </si>
  <si>
    <t>Line 5 Minus Line 12</t>
  </si>
  <si>
    <t>Statement AD; Line 13</t>
  </si>
  <si>
    <t>Statement AE; Line 19</t>
  </si>
  <si>
    <t>Source: As Filed BK-1 incl. in TO5 C5 ER23-542; Cost Adj. WPs</t>
  </si>
  <si>
    <t>Page 6;  Rev. Stmnt AH; Line 32</t>
  </si>
  <si>
    <t>Statement AJ; Line 17</t>
  </si>
  <si>
    <t>Statement AK; Line 13</t>
  </si>
  <si>
    <t>Page 11; Rev. Stmnt AV; Page 3; Line 31</t>
  </si>
  <si>
    <t>Page 13; Rev. Stmnt AU; Line 13</t>
  </si>
  <si>
    <t xml:space="preserve">Items in BOLD have changed due to unfunded reserves error, A&amp;G adjustments, transmission revenue credits error,  and removal of CIAC related ADIT per TO5 Cycle 4 Letter Order </t>
  </si>
  <si>
    <t>determination in ER22-527 as compared to the original TO5 Cycle 4 filing.</t>
  </si>
  <si>
    <t>Page 11; Rev.  Stmnt AV; Page 3; Line 31</t>
  </si>
  <si>
    <t>Page 5; Rev. Stmnt AF; Line 7</t>
  </si>
  <si>
    <t>Statement AL; Line 5</t>
  </si>
  <si>
    <t>Statement AL; Line 9</t>
  </si>
  <si>
    <t>Page 7; Rev. Stmnt AL; Line 19</t>
  </si>
  <si>
    <t>Page 10, Rev. Stmnt Misc; Line 7</t>
  </si>
  <si>
    <t>Statement AD; Line 11</t>
  </si>
  <si>
    <t>Statement AD; Line 27</t>
  </si>
  <si>
    <t>Statement AD; Line 29</t>
  </si>
  <si>
    <t>Statement AD; Line 31</t>
  </si>
  <si>
    <t>Statement AE; Line 1</t>
  </si>
  <si>
    <t>Statement AE; Line 11</t>
  </si>
  <si>
    <t>Statement AE; Line 13</t>
  </si>
  <si>
    <t>Statement AE; Line 15</t>
  </si>
  <si>
    <t>Source: Orig. Filing TO5 Cycle 4; ER22-527</t>
  </si>
  <si>
    <t>Statement AH; Line 9</t>
  </si>
  <si>
    <t>Statement AH; Line 31</t>
  </si>
  <si>
    <t>Negative of Statement AH; Line 16</t>
  </si>
  <si>
    <t>Statement AV; Page 3; Line 31</t>
  </si>
  <si>
    <t>Statement AF; Line 7</t>
  </si>
  <si>
    <t>Statement AL; Line 19</t>
  </si>
  <si>
    <t>Base Period &amp; True-Up Period 12 - Months Ending December 31, 2020</t>
  </si>
  <si>
    <t>FERC Form 1</t>
  </si>
  <si>
    <t>(a)</t>
  </si>
  <si>
    <t>(b)</t>
  </si>
  <si>
    <t>Page; Line; Col.</t>
  </si>
  <si>
    <t>Average Balance</t>
  </si>
  <si>
    <t>Transmission Wages and Salaries Allocation Factor</t>
  </si>
  <si>
    <t>Statement AI; Line 15</t>
  </si>
  <si>
    <t>Total Transmission Plant &amp; Incentive Transmission Plant</t>
  </si>
  <si>
    <t xml:space="preserve">Transmission Related Common Plant </t>
  </si>
  <si>
    <t>Total</t>
  </si>
  <si>
    <t>Month</t>
  </si>
  <si>
    <t>Statement AH</t>
  </si>
  <si>
    <t>Operation and Maintenance Expenses</t>
  </si>
  <si>
    <t>Derivation of Transmission Operation and Maintenance Expense:</t>
  </si>
  <si>
    <t>Total Transmission O&amp;M Expense</t>
  </si>
  <si>
    <t>321; 112; b</t>
  </si>
  <si>
    <t>AH-1; Line 33; Col. a</t>
  </si>
  <si>
    <t>Adjustments to Per Book Transmission O&amp;M Expense:</t>
  </si>
  <si>
    <r>
      <rPr>
        <sz val="12"/>
        <color rgb="FFFF0000"/>
        <rFont val="Times New Roman"/>
        <family val="1"/>
      </rPr>
      <t xml:space="preserve">   </t>
    </r>
    <r>
      <rPr>
        <sz val="12"/>
        <rFont val="Times New Roman"/>
        <family val="1"/>
      </rPr>
      <t>Scheduling, System Control &amp; Dispatch Services</t>
    </r>
  </si>
  <si>
    <t>Negative of AH-1; Line 40; Col. b</t>
  </si>
  <si>
    <r>
      <rPr>
        <sz val="12"/>
        <color rgb="FFFF0000"/>
        <rFont val="Times New Roman"/>
        <family val="1"/>
      </rPr>
      <t xml:space="preserve">   </t>
    </r>
    <r>
      <rPr>
        <sz val="12"/>
        <rFont val="Times New Roman"/>
        <family val="1"/>
      </rPr>
      <t>Reliability, Planning &amp; Standards Development</t>
    </r>
  </si>
  <si>
    <t>Negative of AH-1; Line 41; Col. b</t>
  </si>
  <si>
    <r>
      <rPr>
        <sz val="12"/>
        <color rgb="FFFF0000"/>
        <rFont val="Times New Roman"/>
        <family val="1"/>
      </rPr>
      <t xml:space="preserve">   </t>
    </r>
    <r>
      <rPr>
        <sz val="12"/>
        <rFont val="Times New Roman"/>
        <family val="1"/>
      </rPr>
      <t>Transmission of Electricity by Others</t>
    </r>
  </si>
  <si>
    <t>Negative of AH-1; Line 43; Col. b</t>
  </si>
  <si>
    <r>
      <rPr>
        <sz val="12"/>
        <color rgb="FFFF0000"/>
        <rFont val="Times New Roman"/>
        <family val="1"/>
      </rPr>
      <t xml:space="preserve">   </t>
    </r>
    <r>
      <rPr>
        <sz val="12"/>
        <rFont val="Times New Roman"/>
        <family val="1"/>
      </rPr>
      <t xml:space="preserve">Miscellaneous Transmission Expense </t>
    </r>
  </si>
  <si>
    <t>Negative of AH-1; Line 50; Col. b</t>
  </si>
  <si>
    <t xml:space="preserve">   Other Transmission O&amp;M Exclusions </t>
  </si>
  <si>
    <t>Negative of AH-1; Sum Lines Line 39, 42 &amp; 51; Col. b</t>
  </si>
  <si>
    <t xml:space="preserve">     Total Adjusted Transmission O&amp;M Expenses </t>
  </si>
  <si>
    <t>Sum Lines 2 thru 8</t>
  </si>
  <si>
    <t>Derivation of Administrative and General Expense:</t>
  </si>
  <si>
    <t>Total Administrative &amp; General Expense</t>
  </si>
  <si>
    <t>323; 197; b</t>
  </si>
  <si>
    <t>AH-2; Line 17; Col. a</t>
  </si>
  <si>
    <t>Adjustments to Per Book A&amp;G Expense:</t>
  </si>
  <si>
    <t xml:space="preserve">   Abandoned Projects</t>
  </si>
  <si>
    <t>Negative of AH-2; Line 48; Col. a</t>
  </si>
  <si>
    <t xml:space="preserve">   CPUC energy efficiency programs</t>
  </si>
  <si>
    <t xml:space="preserve">Negative of AH-2; Sum Lines 21, 24, 28, 34, 37, 42, 51; Col. a </t>
  </si>
  <si>
    <r>
      <t xml:space="preserve">   CPUC Intervenor Funding Expense - Transmission </t>
    </r>
    <r>
      <rPr>
        <b/>
        <vertAlign val="superscript"/>
        <sz val="12"/>
        <rFont val="Times New Roman"/>
        <family val="1"/>
      </rPr>
      <t>1</t>
    </r>
  </si>
  <si>
    <t>Negative of AH-2; Line 43; Col. a</t>
  </si>
  <si>
    <t xml:space="preserve">   CPUC Intervenor Funding Expense - Distribution</t>
  </si>
  <si>
    <t>Negative of AH-2; Line 45; Col. a</t>
  </si>
  <si>
    <t xml:space="preserve">   CPUC reimbursement fees</t>
  </si>
  <si>
    <t>Negative of AH-2; Line 41; Col. a</t>
  </si>
  <si>
    <t xml:space="preserve">   Injuries &amp; Damages</t>
  </si>
  <si>
    <t>Not Applicable to 2020 Base Period</t>
  </si>
  <si>
    <t xml:space="preserve">   General Advertising Expenses </t>
  </si>
  <si>
    <t>Negative of AH-2; Line 47; Col. b</t>
  </si>
  <si>
    <t xml:space="preserve">   Franchise Requirements</t>
  </si>
  <si>
    <t>Negative of AH-2; Line 40; Col. b</t>
  </si>
  <si>
    <t xml:space="preserve">   Hazardous substances - Hazardous Substance Cleanup Cost Account</t>
  </si>
  <si>
    <t>Negative of AH-2; Line 52; Col. a</t>
  </si>
  <si>
    <t xml:space="preserve">   Litigation expenses - Litigation Cost Memorandum Account (LCMA)</t>
  </si>
  <si>
    <t xml:space="preserve">Negative of AH-2; Lines 43; Col. a   </t>
  </si>
  <si>
    <t xml:space="preserve">   Other A&amp;G Exclusions</t>
  </si>
  <si>
    <t>Negative of AH-2; Sum Lines 22,23,25,26,27,30,31,32,33,35,36,38,39,46,49,50; Col. a + Line 27; Col. b</t>
  </si>
  <si>
    <t xml:space="preserve">   Other Cost Adjustments</t>
  </si>
  <si>
    <t>AH-2; Line 16; Col. d</t>
  </si>
  <si>
    <t xml:space="preserve">     Total Adjusted A&amp;G Expenses Including Property Insurance</t>
  </si>
  <si>
    <t>Sum Lines 12 thru 26</t>
  </si>
  <si>
    <t>Less: Property Insurance (Due to different allocation factor)</t>
  </si>
  <si>
    <t>Negative of AH-2; Line 5; Col. c</t>
  </si>
  <si>
    <t>Total Adjusted A&amp;G Expenses Excluding Property Insurance</t>
  </si>
  <si>
    <t>Line 27 + Line 28</t>
  </si>
  <si>
    <t>Transmission Related Administrative &amp; General Expenses</t>
  </si>
  <si>
    <t>Line 29 x Line 30</t>
  </si>
  <si>
    <t>Property Insurance Allocated to Transmission, General, and Common Plant</t>
  </si>
  <si>
    <t>Negative of Line 28 x Line 52</t>
  </si>
  <si>
    <t xml:space="preserve">     Transmission Related A&amp;G Expense Including Property Insurance Expense</t>
  </si>
  <si>
    <t>Line 31 + Line 32</t>
  </si>
  <si>
    <t>Derivation of Transmission Plant Property Insurance Allocation Factor:</t>
  </si>
  <si>
    <t>Transmission Plant &amp; Incentive Transmission Plant</t>
  </si>
  <si>
    <t xml:space="preserve">     Total Transmission Related Investment in Plant</t>
  </si>
  <si>
    <t>Sum Lines 36 thru 39</t>
  </si>
  <si>
    <t>Line 36 Above</t>
  </si>
  <si>
    <t>Total Steam Production Plant</t>
  </si>
  <si>
    <t>Total Nuclear Production Plant</t>
  </si>
  <si>
    <t>Total Other Production Plant</t>
  </si>
  <si>
    <t>Total Distribution Plant</t>
  </si>
  <si>
    <t>Total General Plant</t>
  </si>
  <si>
    <t>Total Common Plant</t>
  </si>
  <si>
    <t xml:space="preserve">     Total Plant in Service Excluding SONGS</t>
  </si>
  <si>
    <t>Sum Lines 42 thru 49</t>
  </si>
  <si>
    <t>Transmission Property Insurance and Tax Allocation Factor</t>
  </si>
  <si>
    <t>Line 40 / Line 50</t>
  </si>
  <si>
    <t>The CPUC Intervenor Expense for Transmission shall be treated as an exclusion in A&amp;G but added back to the Retail BTRR on BK-1; Page 1; Line 5. This expense will be</t>
  </si>
  <si>
    <t>excluded in Wholesale BTRR on BK-2; Line 3.</t>
  </si>
  <si>
    <t>Source: As Filed - Rev. Stmt AH incl. in TO5 C5 ER23-542; Cost Adj. WPs</t>
  </si>
  <si>
    <t>Page 6.1; Rev. AH-2; Line 16; Col. d</t>
  </si>
  <si>
    <t>Sum Lines 12 thru 25</t>
  </si>
  <si>
    <t>Line 26 + Line 27</t>
  </si>
  <si>
    <t>Line 28 x Line 29</t>
  </si>
  <si>
    <t>Negative of Line 27 x Line 51</t>
  </si>
  <si>
    <t>Statement AD; Line 25</t>
  </si>
  <si>
    <t>Sum Lines 35 thru 38</t>
  </si>
  <si>
    <t>Line 35 Above</t>
  </si>
  <si>
    <t>Statement AD; Line 1</t>
  </si>
  <si>
    <t>Statement AD; Line 7</t>
  </si>
  <si>
    <t>Statement AD; Line 9</t>
  </si>
  <si>
    <t>Statement AD; Line 17</t>
  </si>
  <si>
    <t>Statement AD; Line 19</t>
  </si>
  <si>
    <t>Sum Lines 41 thru 48</t>
  </si>
  <si>
    <t>Line 39 / Line 49</t>
  </si>
  <si>
    <t>Items in BOLD have changed due to A&amp;G adjustments as compared to the original TO5 Cycle 4 filing per ER22-527.</t>
  </si>
  <si>
    <t>Administrative &amp; General Expenses</t>
  </si>
  <si>
    <t xml:space="preserve"> 12 Months Ending December 31, 2020</t>
  </si>
  <si>
    <t xml:space="preserve">(c) = (a) - (b) </t>
  </si>
  <si>
    <r>
      <t>(d)</t>
    </r>
    <r>
      <rPr>
        <b/>
        <vertAlign val="superscript"/>
        <sz val="12"/>
        <rFont val="Times New Roman"/>
        <family val="1"/>
      </rPr>
      <t xml:space="preserve"> </t>
    </r>
  </si>
  <si>
    <t>(e) = (c) + (d)</t>
  </si>
  <si>
    <t>(f)</t>
  </si>
  <si>
    <t>(g) = (e) + (f)</t>
  </si>
  <si>
    <t>FERC</t>
  </si>
  <si>
    <t>Excluded</t>
  </si>
  <si>
    <t xml:space="preserve">Add / (Deduct) </t>
  </si>
  <si>
    <t>Revised</t>
  </si>
  <si>
    <t>Adj A&amp;G</t>
  </si>
  <si>
    <t>Acct</t>
  </si>
  <si>
    <t>Per Books</t>
  </si>
  <si>
    <t>Expenses</t>
  </si>
  <si>
    <t>Adjusted</t>
  </si>
  <si>
    <t>A&amp;G Cost Adj</t>
  </si>
  <si>
    <t xml:space="preserve">A&amp;G </t>
  </si>
  <si>
    <t>Administrative &amp; General</t>
  </si>
  <si>
    <t>A&amp;G Salaries</t>
  </si>
  <si>
    <t>Form 1; Page 323; Line 181</t>
  </si>
  <si>
    <t>Office Supplies &amp; Expenses</t>
  </si>
  <si>
    <t>Form 1; Page 323; Line 182</t>
  </si>
  <si>
    <t>Less: Administrative Expenses Transferred-Credit</t>
  </si>
  <si>
    <t>Form 1; Page 323; Line 183</t>
  </si>
  <si>
    <t>Outside Services Employed</t>
  </si>
  <si>
    <t>Form 1; Page 323; Line 184</t>
  </si>
  <si>
    <t>Property Insurance</t>
  </si>
  <si>
    <t>Form 1; Page 323; Line 185</t>
  </si>
  <si>
    <t>Injuries &amp; Damages</t>
  </si>
  <si>
    <t>Form 1; Page 323; Line 186</t>
  </si>
  <si>
    <r>
      <t>Employee Pensions &amp; Benefits</t>
    </r>
    <r>
      <rPr>
        <b/>
        <vertAlign val="superscript"/>
        <sz val="12"/>
        <rFont val="Times New Roman"/>
        <family val="1"/>
      </rPr>
      <t xml:space="preserve"> 1</t>
    </r>
  </si>
  <si>
    <t>Form 1; Page 323; Line 187</t>
  </si>
  <si>
    <t xml:space="preserve">Franchise Requirements </t>
  </si>
  <si>
    <t>Form 1; Page 323; Line 188</t>
  </si>
  <si>
    <r>
      <t xml:space="preserve">Regulatory Commission Expenses </t>
    </r>
    <r>
      <rPr>
        <vertAlign val="superscript"/>
        <sz val="12"/>
        <rFont val="Times New Roman"/>
        <family val="1"/>
      </rPr>
      <t xml:space="preserve"> </t>
    </r>
  </si>
  <si>
    <t>Form 1; Page 323; Line 189</t>
  </si>
  <si>
    <t>Less: Duplicate Charges (Company Energy Use)</t>
  </si>
  <si>
    <t>Form 1; Page 323; Line 190</t>
  </si>
  <si>
    <t>General Advertising Expenses</t>
  </si>
  <si>
    <t>Form 1; Page 323; Line 191</t>
  </si>
  <si>
    <t>Miscellaneous General Expenses</t>
  </si>
  <si>
    <t>Form 1; Page 323; Line 192</t>
  </si>
  <si>
    <t>Rents</t>
  </si>
  <si>
    <t>Form 1; Page 323; Line 193</t>
  </si>
  <si>
    <t>Maintenance of General Plant</t>
  </si>
  <si>
    <t>Form 1; Page 323; Line 196</t>
  </si>
  <si>
    <t>Total Administrative &amp; General Expenses</t>
  </si>
  <si>
    <t>Excluded Expenses:</t>
  </si>
  <si>
    <t>CPUC energy efficiency programs</t>
  </si>
  <si>
    <t>CEMA Costs</t>
  </si>
  <si>
    <t>WMPMA Costs</t>
  </si>
  <si>
    <r>
      <t xml:space="preserve">Other Exclusion - 3P Adjustment </t>
    </r>
    <r>
      <rPr>
        <b/>
        <vertAlign val="superscript"/>
        <sz val="12"/>
        <rFont val="Times New Roman"/>
        <family val="1"/>
      </rPr>
      <t>2</t>
    </r>
  </si>
  <si>
    <r>
      <t xml:space="preserve">Other Exclusion - FERC Audit Adjustment (Finding #3) </t>
    </r>
    <r>
      <rPr>
        <b/>
        <vertAlign val="superscript"/>
        <sz val="12"/>
        <rFont val="Times New Roman"/>
        <family val="1"/>
      </rPr>
      <t>3</t>
    </r>
  </si>
  <si>
    <r>
      <t xml:space="preserve">Other Exclusion - FERC Audit Adjustment (Finding #8) </t>
    </r>
    <r>
      <rPr>
        <b/>
        <vertAlign val="superscript"/>
        <sz val="12"/>
        <rFont val="Times New Roman"/>
        <family val="1"/>
      </rPr>
      <t>3</t>
    </r>
  </si>
  <si>
    <t>Customer Information System</t>
  </si>
  <si>
    <t xml:space="preserve">CPUC reimbursement fees  </t>
  </si>
  <si>
    <t>Litigation expenses - Litigation Cost Memorandum Account (LCMA)</t>
  </si>
  <si>
    <t>CPUC Intervenor Funding Expense - Distribution</t>
  </si>
  <si>
    <r>
      <t xml:space="preserve">Other Exclusion - FERC Audit Adjustment (Finding #5) </t>
    </r>
    <r>
      <rPr>
        <b/>
        <vertAlign val="superscript"/>
        <sz val="12"/>
        <rFont val="Times New Roman"/>
        <family val="1"/>
      </rPr>
      <t>3</t>
    </r>
  </si>
  <si>
    <t>Abandoned Projects</t>
  </si>
  <si>
    <r>
      <t xml:space="preserve">Other Exclusion - FERC Audit Adjustment (Finding #7) </t>
    </r>
    <r>
      <rPr>
        <b/>
        <vertAlign val="superscript"/>
        <sz val="12"/>
        <rFont val="Times New Roman"/>
        <family val="1"/>
      </rPr>
      <t>3</t>
    </r>
  </si>
  <si>
    <r>
      <t xml:space="preserve">2019 Abandoned Projects Correction </t>
    </r>
    <r>
      <rPr>
        <b/>
        <vertAlign val="superscript"/>
        <sz val="12"/>
        <rFont val="Times New Roman"/>
        <family val="1"/>
      </rPr>
      <t>4</t>
    </r>
  </si>
  <si>
    <t xml:space="preserve">CPUC energy efficiency programs  </t>
  </si>
  <si>
    <t xml:space="preserve">Hazardous Substances-Hazardous Substance Cleanup Cost Account </t>
  </si>
  <si>
    <t>Total Excluded Expenses</t>
  </si>
  <si>
    <t>FERC Acct 926, Employee Pensions &amp; Benefits, does not include any PBOP costs for base period 2020.</t>
  </si>
  <si>
    <t>Represents reclassification of 2018 and 2019 3P (People, Process, Priorities) project costs from O&amp;M FERC Accounts 560, 566, 580, and 588 to A&amp;G FERC</t>
  </si>
  <si>
    <t>Account 923, in 2020. Entries are excluded here and reflected as an "Other BTRR Adjustment" in Cycle 4 (see separate Cost Adjustment workpapers).</t>
  </si>
  <si>
    <t>Adjusting journal entries related to prior year O&amp;M and A&amp;G costs (2016-2019) that resulted from the 2020 FERC Audit are excluded from TO5 Cycle 4.</t>
  </si>
  <si>
    <t>The impacts of the adjusting entries is reflected in the per book amount and were excluded from the adjusted 2020 total. The impact of FERC Audit</t>
  </si>
  <si>
    <t>adjustments and corresponding refunds will be accounted for in a separate refund analysis filed with FERC.</t>
  </si>
  <si>
    <t>Represents reclassification of 2019 abandoned project costs from A&amp;G FERC Account 930.2 to FERC Account 426.5. Entry is excluded here and reflected as</t>
  </si>
  <si>
    <t>an "Other BTRR Adjustment" in Cycle 4 (see separate Cost Adjustment workpapers).</t>
  </si>
  <si>
    <t>Removal of EPRI dues from TO5 Cycle 4 and going forward per response to Six Cities protest.</t>
  </si>
  <si>
    <t>Add back of credit balance included in FERC account 930.2 related to electric vehicles or clean transportation initiatives which is a balancing account.</t>
  </si>
  <si>
    <t>Source: As Filed - Rev. AH-2 incl. in TO5 C5 ER23-542; Cost Adj. WPs</t>
  </si>
  <si>
    <t>Statement AL</t>
  </si>
  <si>
    <t>Working Capital</t>
  </si>
  <si>
    <t>Working</t>
  </si>
  <si>
    <t>13-Months</t>
  </si>
  <si>
    <t>Cash</t>
  </si>
  <si>
    <r>
      <t xml:space="preserve">A. Plant Materials and Operating Supplies </t>
    </r>
    <r>
      <rPr>
        <b/>
        <vertAlign val="superscript"/>
        <sz val="12"/>
        <rFont val="Times New Roman"/>
        <family val="1"/>
      </rPr>
      <t>1, 2</t>
    </r>
  </si>
  <si>
    <t>450.1; Sch. Pg. 227; 12; c</t>
  </si>
  <si>
    <t>AL-1; Line 18</t>
  </si>
  <si>
    <t>Transmission Plant Allocation Factor</t>
  </si>
  <si>
    <t>Pg6 Rev Stmt AD; Line 35</t>
  </si>
  <si>
    <t xml:space="preserve">     Transmission Related Materials and Supplies </t>
  </si>
  <si>
    <t>Line 1 x Line 3</t>
  </si>
  <si>
    <r>
      <t xml:space="preserve">B. Prepayments </t>
    </r>
    <r>
      <rPr>
        <b/>
        <vertAlign val="superscript"/>
        <sz val="12"/>
        <rFont val="Times New Roman"/>
        <family val="1"/>
      </rPr>
      <t>1</t>
    </r>
  </si>
  <si>
    <t>450.1; Sch. Pg. 110; 57; c</t>
  </si>
  <si>
    <t>AL-2; Line 18</t>
  </si>
  <si>
    <t xml:space="preserve">     Transmission Related Prepayments </t>
  </si>
  <si>
    <t>Line 3 x Line 7</t>
  </si>
  <si>
    <t>C. Derivation of Transmission Related Cash Working Capital - Retail:</t>
  </si>
  <si>
    <t xml:space="preserve">   Transmission O&amp;M Expense</t>
  </si>
  <si>
    <t xml:space="preserve">   Transmission Related A&amp;G Expense - Excl. Intervenor Funding Expense</t>
  </si>
  <si>
    <t xml:space="preserve">   CPUC Intervenor Funding Expense - Transmission</t>
  </si>
  <si>
    <t xml:space="preserve">     Total</t>
  </si>
  <si>
    <t>Sum Lines 12 thru 14</t>
  </si>
  <si>
    <t xml:space="preserve">   One Eighth O&amp;M Rule</t>
  </si>
  <si>
    <t>FERC Method = 1/8 of O&amp;M Expense</t>
  </si>
  <si>
    <t xml:space="preserve">     Transmission Related Cash Working Capital - Retail Customers</t>
  </si>
  <si>
    <t>Line 15 x Line 17</t>
  </si>
  <si>
    <t>D. Adj. to Back Out CPUC Intervenor Funding Exp. Embedded in Retail Working Cash:</t>
  </si>
  <si>
    <t>Line 14 Above</t>
  </si>
  <si>
    <t>Line 17 Above</t>
  </si>
  <si>
    <t>Adj. to Transmission Related Cash Working Capital - Wholesale Customers</t>
  </si>
  <si>
    <t>Line 22 x Line 24</t>
  </si>
  <si>
    <r>
      <t xml:space="preserve">Cost of Capital Rate </t>
    </r>
    <r>
      <rPr>
        <vertAlign val="subscript"/>
        <sz val="12"/>
        <rFont val="Times New Roman"/>
        <family val="1"/>
      </rPr>
      <t>(COCR)</t>
    </r>
    <r>
      <rPr>
        <sz val="12"/>
        <rFont val="Times New Roman"/>
        <family val="1"/>
      </rPr>
      <t xml:space="preserve"> - Base ROE:</t>
    </r>
  </si>
  <si>
    <r>
      <t xml:space="preserve">     CPUC Intervenor Funding Expense Revenue Adj. - Base ROE </t>
    </r>
    <r>
      <rPr>
        <b/>
        <vertAlign val="superscript"/>
        <sz val="12"/>
        <rFont val="Times New Roman"/>
        <family val="1"/>
      </rPr>
      <t>3</t>
    </r>
  </si>
  <si>
    <t>Line 26 x Line 28</t>
  </si>
  <si>
    <r>
      <t xml:space="preserve">Cost of Capital Rate </t>
    </r>
    <r>
      <rPr>
        <vertAlign val="subscript"/>
        <sz val="12"/>
        <rFont val="Times New Roman"/>
        <family val="1"/>
      </rPr>
      <t>(COCR)</t>
    </r>
    <r>
      <rPr>
        <sz val="12"/>
        <rFont val="Times New Roman"/>
        <family val="1"/>
      </rPr>
      <t xml:space="preserve"> - CAISO Participation ROE Adder:</t>
    </r>
  </si>
  <si>
    <r>
      <t xml:space="preserve">     CPUC Intervenor Funding Expense Revenue Adj. - CAISO Participation ROE Adder </t>
    </r>
    <r>
      <rPr>
        <b/>
        <vertAlign val="superscript"/>
        <sz val="12"/>
        <rFont val="Times New Roman"/>
        <family val="1"/>
      </rPr>
      <t>3</t>
    </r>
  </si>
  <si>
    <t>Line 26 x Line 32</t>
  </si>
  <si>
    <t>The balances for Materials &amp; Supplies and Prepayments are derived based on a 13-month average balance.</t>
  </si>
  <si>
    <t>The 13-Month Avg. for Electric Materials &amp; Supplies included on FERC Form 1; Page 450.1; Sch. Pg. 227; Line 12; Col c is incorrect. During the preparation of the TO5 Cycle 4 filing an error</t>
  </si>
  <si>
    <t>was identified in the allocation used to prepare the footnote. The 13-Month Avg. included in TO5 Cycle 4 is the correct amount.</t>
  </si>
  <si>
    <t>Working Capital Adjustment to show that Wholesale customers do not pay for CPUC Intervenor Funding Expense.</t>
  </si>
  <si>
    <t>Source: As Filed - Rev. Stmt AL incl. in TO5 C5 ER23-542; Cost Adj. WPs</t>
  </si>
  <si>
    <t>Statement AD; Line 35</t>
  </si>
  <si>
    <t>Page 6; Rev. Stmnt AH; Line 32</t>
  </si>
  <si>
    <t>Statement AV</t>
  </si>
  <si>
    <t>Cost of Capital and Fair Rate of Return</t>
  </si>
  <si>
    <t>Long-Term Debt Component - Denominator:</t>
  </si>
  <si>
    <t>Bonds (Acct 221)</t>
  </si>
  <si>
    <t>112; 18; c</t>
  </si>
  <si>
    <t>Less: Reacquired Bonds (Acct 222)</t>
  </si>
  <si>
    <t>112; 19; c</t>
  </si>
  <si>
    <t>Other Long-Term Debt (Acct 224)</t>
  </si>
  <si>
    <t>112; 21; c</t>
  </si>
  <si>
    <t>Unamortized Premium on Long-Term Debt (Acct 225)</t>
  </si>
  <si>
    <t>112; 22; c</t>
  </si>
  <si>
    <t>Less: Unamortized Discount on Long-Term Debt-Debit (Acct 226)</t>
  </si>
  <si>
    <t>112; 23; c</t>
  </si>
  <si>
    <t xml:space="preserve">     LTD = Long Term Debt</t>
  </si>
  <si>
    <t>Sum Lines 2 thru 6</t>
  </si>
  <si>
    <t>Long-Term Debt Component - Numerator:</t>
  </si>
  <si>
    <t>Interest on Long-Term Debt (Acct 427)</t>
  </si>
  <si>
    <t>117; 62; c</t>
  </si>
  <si>
    <t>Amort. of Debt Disc. and Expense (Acct 428)</t>
  </si>
  <si>
    <t>117; 63; c</t>
  </si>
  <si>
    <t>Amortization of Loss on Reacquired Debt (Acct 428.1)</t>
  </si>
  <si>
    <t>117; 64; c</t>
  </si>
  <si>
    <t>Less: Amort. of Premium on Debt-Credit (Acct 429)</t>
  </si>
  <si>
    <t>117; 65; c</t>
  </si>
  <si>
    <t>Less: Amortization of Gain on Reacquired Debt-Credit (Acct 429.1)</t>
  </si>
  <si>
    <t>117; 66; c</t>
  </si>
  <si>
    <t xml:space="preserve">     i = LTD interest</t>
  </si>
  <si>
    <t>Sum Lines 10 thru 14</t>
  </si>
  <si>
    <t>Cost of Long-Term Debt:</t>
  </si>
  <si>
    <t>Line 15 / Line 7</t>
  </si>
  <si>
    <t>Preferred Equity Component:</t>
  </si>
  <si>
    <t>PF = Preferred Stock (Acct 204)</t>
  </si>
  <si>
    <t>112; 3; c</t>
  </si>
  <si>
    <t>d(pf) = Total Dividends Declared-Preferred Stocks (Acct 437)</t>
  </si>
  <si>
    <t>118; 29; c</t>
  </si>
  <si>
    <t xml:space="preserve">     Cost of Preferred Equity</t>
  </si>
  <si>
    <t>Line 21 / Line 20</t>
  </si>
  <si>
    <t>Common Equity Component:</t>
  </si>
  <si>
    <t>Proprietary Capital</t>
  </si>
  <si>
    <t>112; 16; c</t>
  </si>
  <si>
    <t>Less: Preferred Stock (Acct 204)</t>
  </si>
  <si>
    <t>Negative of Line 20 Above</t>
  </si>
  <si>
    <t>Less: Unappropriated Undistributed Subsidiary Earnings (Acct 216.1)</t>
  </si>
  <si>
    <t>112; 12; c</t>
  </si>
  <si>
    <t>Accumulated Other Comprehensive Income (Acct 219)</t>
  </si>
  <si>
    <t>112; 15; c</t>
  </si>
  <si>
    <t xml:space="preserve">     CS = Common Stock</t>
  </si>
  <si>
    <t>Sum Lines 25 thru 28</t>
  </si>
  <si>
    <t>Base Return on Common Equity:</t>
  </si>
  <si>
    <t>SDG&amp;E Base Return on Equity</t>
  </si>
  <si>
    <t>(c)</t>
  </si>
  <si>
    <t>(d) = (b) x (c)</t>
  </si>
  <si>
    <t>Cap. Struct.</t>
  </si>
  <si>
    <t>Cost of</t>
  </si>
  <si>
    <t>Weighted</t>
  </si>
  <si>
    <t>Weighted Cost of Capital:</t>
  </si>
  <si>
    <r>
      <t xml:space="preserve">Amounts </t>
    </r>
    <r>
      <rPr>
        <b/>
        <vertAlign val="superscript"/>
        <sz val="12"/>
        <rFont val="Times New Roman"/>
        <family val="1"/>
      </rPr>
      <t>1</t>
    </r>
  </si>
  <si>
    <t>Ratio</t>
  </si>
  <si>
    <t>Capital</t>
  </si>
  <si>
    <t>Cost of Capital</t>
  </si>
  <si>
    <t>Long-Term Debt</t>
  </si>
  <si>
    <t>Col. c = Line 17 Above</t>
  </si>
  <si>
    <t>Preferred Equity</t>
  </si>
  <si>
    <t>Col. c = Line 22 Above</t>
  </si>
  <si>
    <t>Common Equity</t>
  </si>
  <si>
    <t>Col. c = Line 32 Above</t>
  </si>
  <si>
    <t xml:space="preserve">     Total Capital</t>
  </si>
  <si>
    <t>Sum Lines 37 thru 39</t>
  </si>
  <si>
    <t>Cost of Equity Component (Preferred &amp; Common):</t>
  </si>
  <si>
    <t>Line 38 + Line 39; Col. d</t>
  </si>
  <si>
    <r>
      <t>CAISO Participation ROE Adder:</t>
    </r>
    <r>
      <rPr>
        <sz val="12"/>
        <rFont val="Times New Roman"/>
        <family val="1"/>
      </rPr>
      <t xml:space="preserve"> </t>
    </r>
  </si>
  <si>
    <t>Order No. 679, 116 FERC ¶ 61,057 at P 326</t>
  </si>
  <si>
    <t>Shall be Zero for ROE Adder</t>
  </si>
  <si>
    <t>Col. c = Line 45 Above</t>
  </si>
  <si>
    <t>Sum Lines 50 thru 52</t>
  </si>
  <si>
    <t>Cost of Common Equity Component (CAISO Participation ROE Adder):</t>
  </si>
  <si>
    <t>Line 52; Col. d</t>
  </si>
  <si>
    <t>Amount is based upon December 31 balances.</t>
  </si>
  <si>
    <r>
      <t>Incentive Return on Common Equity:</t>
    </r>
    <r>
      <rPr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</si>
  <si>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Incentive Weighted Cost of Capital:</t>
  </si>
  <si>
    <r>
      <t xml:space="preserve">Amounts </t>
    </r>
    <r>
      <rPr>
        <b/>
        <vertAlign val="superscript"/>
        <sz val="12"/>
        <rFont val="Times New Roman"/>
        <family val="1"/>
      </rPr>
      <t>2</t>
    </r>
  </si>
  <si>
    <t>Col. c = Page 1, Line 17</t>
  </si>
  <si>
    <t>Col. c = Page 1, Line 22</t>
  </si>
  <si>
    <t>Col. c = Line 1 Above</t>
  </si>
  <si>
    <t>Sum Lines 6 thru 8</t>
  </si>
  <si>
    <t>Incentive Cost of Equity Component (Preferred &amp; Common):</t>
  </si>
  <si>
    <t>Line 7 + Line 8; Col. d</t>
  </si>
  <si>
    <t>Col. c = Line 14 Above</t>
  </si>
  <si>
    <t>Line 21; Col. d</t>
  </si>
  <si>
    <t>The Incentive Return on Common Equity will be tracked and shown separately for each project. As a result, lines 1 through 24 will be repeated for each project.</t>
  </si>
  <si>
    <r>
      <t xml:space="preserve">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Calculation - Base ROE:</t>
    </r>
  </si>
  <si>
    <t>A. Federal Income Tax Component:</t>
  </si>
  <si>
    <t>Where:</t>
  </si>
  <si>
    <t xml:space="preserve">     A = Sum of Preferred Stock and Return on Equity Component</t>
  </si>
  <si>
    <t>Page 1; Line 42</t>
  </si>
  <si>
    <t xml:space="preserve">     B = Transmission Total Federal Tax Adjustments</t>
  </si>
  <si>
    <t>Page 8; Rev. Negative of Stmnt AR; Line 9</t>
  </si>
  <si>
    <t xml:space="preserve">     C = Equity AFUDC Component of Transmission Depreciation Expense</t>
  </si>
  <si>
    <t>AV-1A; Line 40</t>
  </si>
  <si>
    <t xml:space="preserve">     D = Transmission Rate Base</t>
  </si>
  <si>
    <t xml:space="preserve">     FT = Federal Income Tax Rate for Rate Effective Period</t>
  </si>
  <si>
    <t>21%</t>
  </si>
  <si>
    <t>Federal Income Tax Rate</t>
  </si>
  <si>
    <t>Federal Income Tax    =    (((A) + (C / D)) * FT) - (B / D)</t>
  </si>
  <si>
    <t>Federal Income Tax Expense</t>
  </si>
  <si>
    <t xml:space="preserve">                                                         (1 - FT)</t>
  </si>
  <si>
    <t>B. State Income Tax Component:</t>
  </si>
  <si>
    <t>Line 6 Above</t>
  </si>
  <si>
    <t xml:space="preserve">     B = Equity AFUDC Component of Transmission Depreciation Expense</t>
  </si>
  <si>
    <t>Line 8 Above</t>
  </si>
  <si>
    <t xml:space="preserve">     C = Transmission Rate Base</t>
  </si>
  <si>
    <t>Line 9 Above</t>
  </si>
  <si>
    <t xml:space="preserve">     FT = Federal Income Tax Expense</t>
  </si>
  <si>
    <t>Line 12 Above</t>
  </si>
  <si>
    <t xml:space="preserve">     ST = State Income Tax Rate for Rate Effective Period</t>
  </si>
  <si>
    <t>8.84%</t>
  </si>
  <si>
    <t>State Income Tax Rate</t>
  </si>
  <si>
    <t>State Income Tax    =    ((A) + (B / C) + Federal Income Tax)*(ST)</t>
  </si>
  <si>
    <t>State Income Tax Expense</t>
  </si>
  <si>
    <t xml:space="preserve">                                                               (1 - ST)</t>
  </si>
  <si>
    <t>C. Total Federal &amp; State Income Tax Rate:</t>
  </si>
  <si>
    <t>Line 12 + Line 24</t>
  </si>
  <si>
    <t>D. Total Weighted Cost of Capital:</t>
  </si>
  <si>
    <t>Page 1; Line 40</t>
  </si>
  <si>
    <r>
      <t xml:space="preserve">E.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- Base ROE:</t>
    </r>
  </si>
  <si>
    <t>Line 27 + Line 29</t>
  </si>
  <si>
    <r>
      <t xml:space="preserve">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Calculation - CAISO Participation ROE Adder:</t>
    </r>
  </si>
  <si>
    <t xml:space="preserve">     A = Cost of Common Equity Component - CAISO Participation ROE Adder</t>
  </si>
  <si>
    <t>Page 1; Line 55</t>
  </si>
  <si>
    <t>Line 39 Above</t>
  </si>
  <si>
    <t>Line 41 Above</t>
  </si>
  <si>
    <t>Line 42 Above</t>
  </si>
  <si>
    <t>Line 45 Above</t>
  </si>
  <si>
    <t>Line 45 + Line 57</t>
  </si>
  <si>
    <t>D. Total Weighted Cost of Common Equity - CAISO Participation ROE Adder:</t>
  </si>
  <si>
    <t>Page 1; Line 53</t>
  </si>
  <si>
    <r>
      <t xml:space="preserve">E. Cost of Capital Rate </t>
    </r>
    <r>
      <rPr>
        <u/>
        <vertAlign val="subscript"/>
        <sz val="12"/>
        <rFont val="Times New Roman"/>
        <family val="1"/>
      </rPr>
      <t>(COCR)</t>
    </r>
    <r>
      <rPr>
        <u/>
        <sz val="12"/>
        <rFont val="Times New Roman"/>
        <family val="1"/>
      </rPr>
      <t xml:space="preserve"> - CAISO Participation ROE Adder:</t>
    </r>
  </si>
  <si>
    <t>Line 60 + Line 62</t>
  </si>
  <si>
    <r>
      <t xml:space="preserve">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 xml:space="preserve"> Calculation - Base ROE:</t>
    </r>
    <r>
      <rPr>
        <sz val="12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1</t>
    </r>
  </si>
  <si>
    <t>Page 2; Line 11</t>
  </si>
  <si>
    <t>Shall be Zero for Incentive ROE Projects</t>
  </si>
  <si>
    <t xml:space="preserve">     D = Incentive ROE Project Transmission Rate Base</t>
  </si>
  <si>
    <t>Statement BK-1; Page 3; Line 32</t>
  </si>
  <si>
    <t>Page 3; Line 10</t>
  </si>
  <si>
    <t xml:space="preserve">Federal Income Tax    =    (((A) + (C / D)) * FT) - (B / D) </t>
  </si>
  <si>
    <t xml:space="preserve">Federal Income Tax Expense </t>
  </si>
  <si>
    <t xml:space="preserve">     C = Incentive ROE Project Transmission Rate Base</t>
  </si>
  <si>
    <t>Page 3; Line 22</t>
  </si>
  <si>
    <t>D. Total Incentive Weighted Cost of Capital:</t>
  </si>
  <si>
    <t>Page 2; Line 9</t>
  </si>
  <si>
    <r>
      <t xml:space="preserve">E. Incentive Cost of Capital Rate </t>
    </r>
    <r>
      <rPr>
        <u/>
        <vertAlign val="subscript"/>
        <sz val="12"/>
        <rFont val="Times New Roman"/>
        <family val="1"/>
      </rPr>
      <t>(ICOCR)</t>
    </r>
    <r>
      <rPr>
        <u/>
        <sz val="12"/>
        <rFont val="Times New Roman"/>
        <family val="1"/>
      </rPr>
      <t xml:space="preserve"> - Base ROE:</t>
    </r>
  </si>
  <si>
    <t>Page 2; Line 24</t>
  </si>
  <si>
    <t xml:space="preserve">     D = Total Incentive ROE Project Transmission Rate Base</t>
  </si>
  <si>
    <t xml:space="preserve">     C = Total Incentive ROE Project Transmission Rate Base</t>
  </si>
  <si>
    <t>Page 3; Line 55</t>
  </si>
  <si>
    <t>Page 2; Line 22</t>
  </si>
  <si>
    <t>The Incentive Cost of Capital Rate calculation will be tracked and shown separately for each project. As a result, lines 1 through 64 will be repeated for each project.</t>
  </si>
  <si>
    <t>Source: As Filed - Rev. Stmt AV incl. in TO5 C5 ER23-542; Cost Adj. WPs</t>
  </si>
  <si>
    <t>Page 3; Rev. Stmnt BK-1; Line 27</t>
  </si>
  <si>
    <t>Derivation of Interest Expense on Other BTRR Adjustment Applicable to TO5 Cycle 4</t>
  </si>
  <si>
    <t>Col. 1</t>
  </si>
  <si>
    <t>Col. 2</t>
  </si>
  <si>
    <t>Col. 3</t>
  </si>
  <si>
    <t>Col. 4</t>
  </si>
  <si>
    <t>Col. 5</t>
  </si>
  <si>
    <t>Col. 6</t>
  </si>
  <si>
    <t>Calculations:</t>
  </si>
  <si>
    <t>= Col. 2 - Col. 6</t>
  </si>
  <si>
    <t>See Footnote 2</t>
  </si>
  <si>
    <t>See Footnote 3</t>
  </si>
  <si>
    <t>= Col. 4 + Col. 5</t>
  </si>
  <si>
    <t>Cumulative</t>
  </si>
  <si>
    <t>Monthly</t>
  </si>
  <si>
    <t>Overcollection (-) or</t>
  </si>
  <si>
    <t>Undercollection (+)</t>
  </si>
  <si>
    <t>Interest</t>
  </si>
  <si>
    <t>in Revenue</t>
  </si>
  <si>
    <t>Year</t>
  </si>
  <si>
    <r>
      <t xml:space="preserve">Rate </t>
    </r>
    <r>
      <rPr>
        <b/>
        <vertAlign val="superscript"/>
        <sz val="12"/>
        <rFont val="Times New Roman"/>
        <family val="1"/>
      </rPr>
      <t>1</t>
    </r>
  </si>
  <si>
    <t>wo Interest</t>
  </si>
  <si>
    <t>with Interest</t>
  </si>
  <si>
    <t>January</t>
  </si>
  <si>
    <t>February</t>
  </si>
  <si>
    <t xml:space="preserve">March   </t>
  </si>
  <si>
    <t xml:space="preserve">April   </t>
  </si>
  <si>
    <t xml:space="preserve">May   </t>
  </si>
  <si>
    <t xml:space="preserve">June   </t>
  </si>
  <si>
    <t xml:space="preserve">July   </t>
  </si>
  <si>
    <t xml:space="preserve">August   </t>
  </si>
  <si>
    <t xml:space="preserve">September   </t>
  </si>
  <si>
    <t xml:space="preserve">October   </t>
  </si>
  <si>
    <t xml:space="preserve">November   </t>
  </si>
  <si>
    <t xml:space="preserve">December   </t>
  </si>
  <si>
    <t>Rates specified on the FERC website pursuant to Section 35.19a of the Commission regulation.</t>
  </si>
  <si>
    <t>Derived using the prior month balance in Column 6 plus the current month balance in Column 2.</t>
  </si>
  <si>
    <t>Interest is calculated using an average of beginning and ending balances: 1) in month 1, the average is 1/2 of balance in Column 2; and 2) in subsequent</t>
  </si>
  <si>
    <t>months is the average of prior month balance in Column 6 and the current month balance in Column 4.</t>
  </si>
  <si>
    <t>Pg3.3; BK-1 Rev TO5 C4-FERC Audit; Line 27</t>
  </si>
  <si>
    <t>Pg6; Rev. Stmt AH; Line 33</t>
  </si>
  <si>
    <t>Pg8; Rev. Stmt AV; Page 3; Line 31</t>
  </si>
  <si>
    <t>Pg8; Rev. Stmt AV; Page 3; Line 64</t>
  </si>
  <si>
    <t>Pg8 Rev Stmnt AV; Page 4; Line 31</t>
  </si>
  <si>
    <t>Pg8 Rev Stmnt AV; Page 4; Line 64</t>
  </si>
  <si>
    <t>BTRR Adjustment due to TO5 Cycle 4 Adjustments Calculation:</t>
  </si>
  <si>
    <t>Derivation of Other BTRR Adjustments Applicable to TO5 Cycle 4</t>
  </si>
  <si>
    <t>Addtl A&amp;G</t>
  </si>
  <si>
    <t>Excl.  Adj</t>
  </si>
  <si>
    <t>with Addtl Excl. Adj</t>
  </si>
  <si>
    <r>
      <t xml:space="preserve">Other Exclusion - FERC Audit Adjustment (Finding #3) </t>
    </r>
    <r>
      <rPr>
        <vertAlign val="superscript"/>
        <sz val="12"/>
        <rFont val="Times New Roman"/>
        <family val="1"/>
      </rPr>
      <t>3</t>
    </r>
  </si>
  <si>
    <t>Pg6 Rev Stmt AH; Line 33</t>
  </si>
  <si>
    <t>Pg7; Rev. Stmnt AL; Line 19</t>
  </si>
  <si>
    <t xml:space="preserve">   Other Cost Adjustments (included in TO5 C5; ER23-542)</t>
  </si>
  <si>
    <t>Pg 8; Rev. Stmt AV; Page 3; Line 31</t>
  </si>
  <si>
    <t>Reversal of A&amp;G exclusion on FERC Audit Finding #7 in the originally filed TO5 Cycle 4 filing. The total amount that should have been excluded in 2020 A&amp;G for the 2016 to 2019 is shown in footnote 7.</t>
  </si>
  <si>
    <t>Represents FERC Audit adjusting entry on Finding #7 - accounting for donations &amp; lobbying expenses related to prior year A&amp;G costs (2016 - 2019) credited in the 2020 balances that was missed in prior year cost adjustment filings</t>
  </si>
  <si>
    <t>Posted FERC Interest rates</t>
  </si>
  <si>
    <t xml:space="preserve">Revised TO5 C4 </t>
  </si>
  <si>
    <r>
      <t xml:space="preserve">TO5 Cycle 6 Annual Informational Filing </t>
    </r>
    <r>
      <rPr>
        <b/>
        <vertAlign val="superscript"/>
        <sz val="14"/>
        <color theme="1"/>
        <rFont val="Times New Roman"/>
        <family val="1"/>
      </rPr>
      <t>1</t>
    </r>
  </si>
  <si>
    <t>TO5 Cycle 6 Annual Informational Filing</t>
  </si>
  <si>
    <t>CEMA/WMPMA exclusion corrections</t>
  </si>
  <si>
    <t>TO5 Cycle 6 Cost Adjustment</t>
  </si>
  <si>
    <t>2020 CEMA/WMPMA exclusion corrections.</t>
  </si>
  <si>
    <r>
      <t>Employee Pensions &amp; Benefits</t>
    </r>
    <r>
      <rPr>
        <vertAlign val="superscript"/>
        <sz val="12"/>
        <rFont val="Times New Roman"/>
        <family val="1"/>
      </rPr>
      <t xml:space="preserve"> 1</t>
    </r>
  </si>
  <si>
    <t>Pg6.2 Rev AH-2; Line 19; Col. f</t>
  </si>
  <si>
    <t>resulting from the 2020 FERC Audit that should be added back in the TO5 Cycle 4 A&amp;G. The impact of FERC audit adjustments and corresponding refunds will be accounted for in a separate FERC Audit refund analysis filed with FERC.</t>
  </si>
  <si>
    <t>As Filed TO5 C4 ER22-527 and ER23-542</t>
  </si>
  <si>
    <t>incl. in TO5 Cycle 5 per ER23-542.</t>
  </si>
  <si>
    <t>Page 10; Line 56</t>
  </si>
  <si>
    <t>SDG&amp;E is correcting the TO5 Cycle 4 for approximately $3.8M for various A&amp;G 2020 adjustments.</t>
  </si>
  <si>
    <t>Items in BOLD have changed due to A&amp;G adj. missed in prior cost adj. filing and CEMA/WMPMA exclusion corrections compared to the original TO5 Cycle 4 filing per ER22-527 and cost adj.</t>
  </si>
  <si>
    <t>Items in BOLD have changed due to A&amp;G adj. missed in prior cost adj. filing and CEMA/WMPMA exclusion corrections compared to the original TO5 Cycle 4 filing per ER22-527 and cost adj. incl. in TO5 Cycle 5 per ER23-542.</t>
  </si>
  <si>
    <t xml:space="preserve">Section C.5 of the Protocols provides a mechanism for SDG&amp;E to correct errors that affected the TU TRR in a previous Informational Filing.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</si>
</sst>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4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.0_);\(#,##0.0\)"/>
    <numFmt numFmtId="167" formatCode="0.0000%"/>
    <numFmt numFmtId="168" formatCode="0.000000"/>
    <numFmt numFmtId="169" formatCode="0.000000000%"/>
    <numFmt numFmtId="170" formatCode="_(&quot;$&quot;* #,##0,_);_(&quot;$&quot;* \(#,##0,\);_(&quot;$&quot;* &quot;-&quot;??_);_(@_)"/>
    <numFmt numFmtId="171" formatCode="&quot;$&quot;#,##0,_);[Red]\(&quot;$&quot;#,##0,\)"/>
    <numFmt numFmtId="172" formatCode="_(* #,##0.000_);_(* \(#,##0.000\);_(* &quot;-&quot;??_);_(@_)"/>
    <numFmt numFmtId="173" formatCode="0.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b/>
      <vertAlign val="superscript"/>
      <sz val="12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2"/>
      <name val="Times New Roman"/>
      <family val="1"/>
    </font>
    <font>
      <b/>
      <sz val="12"/>
      <name val="Calibri"/>
      <family val="2"/>
    </font>
    <font>
      <vertAlign val="subscript"/>
      <sz val="12"/>
      <name val="Times New Roman"/>
      <family val="1"/>
    </font>
    <font>
      <b/>
      <u/>
      <vertAlign val="subscript"/>
      <sz val="12"/>
      <name val="Times New Roman"/>
      <family val="1"/>
    </font>
    <font>
      <u/>
      <sz val="12"/>
      <name val="Times New Roman"/>
      <family val="1"/>
    </font>
    <font>
      <b/>
      <vertAlign val="subscript"/>
      <sz val="12"/>
      <name val="Times New Roman"/>
      <family val="1"/>
    </font>
    <font>
      <i/>
      <sz val="12"/>
      <name val="Times New Roman"/>
      <family val="1"/>
    </font>
    <font>
      <strike/>
      <sz val="12"/>
      <color rgb="FFFF0000"/>
      <name val="Times New Roman"/>
      <family val="1"/>
    </font>
    <font>
      <strike/>
      <sz val="12"/>
      <name val="Times New Roman"/>
      <family val="1"/>
    </font>
    <font>
      <b/>
      <vertAlign val="superscript"/>
      <sz val="12"/>
      <color rgb="FFFF0000"/>
      <name val="Times New Roman"/>
      <family val="1"/>
    </font>
    <font>
      <u/>
      <vertAlign val="subscript"/>
      <sz val="12"/>
      <name val="Times New Roman"/>
      <family val="1"/>
    </font>
    <font>
      <b/>
      <i/>
      <u/>
      <sz val="12"/>
      <name val="Times New Roman"/>
      <family val="1"/>
    </font>
    <font>
      <vertAlign val="superscript"/>
      <sz val="12"/>
      <name val="Times New Roman"/>
      <family val="1"/>
    </font>
    <font>
      <b/>
      <vertAlign val="superscript"/>
      <sz val="13"/>
      <name val="Times New Roman"/>
      <family val="1"/>
    </font>
    <font>
      <sz val="11"/>
      <name val="Calibri"/>
      <family val="2"/>
      <scheme val="minor"/>
    </font>
    <font>
      <b/>
      <sz val="14"/>
      <name val="Times New Roman"/>
      <family val="1"/>
    </font>
    <font>
      <b/>
      <vertAlign val="superscript"/>
      <sz val="11"/>
      <name val="Times New Roman"/>
      <family val="1"/>
    </font>
    <font>
      <b/>
      <sz val="14"/>
      <color theme="1"/>
      <name val="Times New Roman"/>
      <family val="1"/>
    </font>
    <font>
      <b/>
      <vertAlign val="superscript"/>
      <sz val="14"/>
      <color theme="1"/>
      <name val="Times New Roman"/>
      <family val="1"/>
    </font>
    <font>
      <b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</cellStyleXfs>
  <cellXfs count="588">
    <xf numFmtId="0" fontId="0" fillId="0" borderId="0" xfId="0"/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4" applyFont="1"/>
    <xf numFmtId="0" fontId="6" fillId="0" borderId="0" xfId="0" applyFont="1"/>
    <xf numFmtId="164" fontId="6" fillId="0" borderId="0" xfId="2" applyNumberFormat="1" applyFont="1" applyBorder="1"/>
    <xf numFmtId="164" fontId="6" fillId="0" borderId="0" xfId="0" applyNumberFormat="1" applyFont="1"/>
    <xf numFmtId="0" fontId="3" fillId="0" borderId="0" xfId="0" quotePrefix="1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166" fontId="3" fillId="0" borderId="0" xfId="0" applyNumberFormat="1" applyFont="1" applyAlignment="1">
      <alignment horizontal="center" wrapText="1"/>
    </xf>
    <xf numFmtId="0" fontId="3" fillId="0" borderId="0" xfId="0" applyFont="1"/>
    <xf numFmtId="0" fontId="13" fillId="0" borderId="0" xfId="0" applyFont="1" applyAlignment="1">
      <alignment horizontal="center"/>
    </xf>
    <xf numFmtId="5" fontId="6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6" fillId="0" borderId="0" xfId="0" applyFont="1" applyAlignment="1">
      <alignment horizontal="fill"/>
    </xf>
    <xf numFmtId="0" fontId="6" fillId="0" borderId="0" xfId="0" applyFont="1" applyAlignment="1">
      <alignment horizontal="left"/>
    </xf>
    <xf numFmtId="3" fontId="6" fillId="0" borderId="0" xfId="0" applyNumberFormat="1" applyFont="1"/>
    <xf numFmtId="0" fontId="15" fillId="0" borderId="0" xfId="0" applyFont="1"/>
    <xf numFmtId="164" fontId="6" fillId="0" borderId="0" xfId="2" applyNumberFormat="1" applyFont="1"/>
    <xf numFmtId="165" fontId="6" fillId="0" borderId="0" xfId="1" applyNumberFormat="1" applyFont="1"/>
    <xf numFmtId="165" fontId="3" fillId="0" borderId="0" xfId="0" applyNumberFormat="1" applyFont="1"/>
    <xf numFmtId="165" fontId="3" fillId="0" borderId="1" xfId="1" applyNumberFormat="1" applyFont="1" applyBorder="1"/>
    <xf numFmtId="165" fontId="3" fillId="0" borderId="1" xfId="0" applyNumberFormat="1" applyFont="1" applyBorder="1"/>
    <xf numFmtId="164" fontId="6" fillId="0" borderId="0" xfId="7" applyNumberFormat="1" applyFont="1" applyFill="1" applyAlignment="1" applyProtection="1">
      <alignment horizontal="right"/>
    </xf>
    <xf numFmtId="0" fontId="6" fillId="0" borderId="0" xfId="8" applyFont="1" applyAlignment="1">
      <alignment vertical="center"/>
    </xf>
    <xf numFmtId="0" fontId="6" fillId="0" borderId="0" xfId="8" applyFont="1" applyAlignment="1">
      <alignment horizontal="center" vertical="center"/>
    </xf>
    <xf numFmtId="165" fontId="6" fillId="0" borderId="1" xfId="1" applyNumberFormat="1" applyFont="1" applyBorder="1"/>
    <xf numFmtId="164" fontId="3" fillId="0" borderId="1" xfId="7" applyNumberFormat="1" applyFont="1" applyFill="1" applyBorder="1" applyAlignment="1" applyProtection="1">
      <alignment horizontal="right"/>
    </xf>
    <xf numFmtId="164" fontId="6" fillId="0" borderId="1" xfId="7" applyNumberFormat="1" applyFont="1" applyFill="1" applyBorder="1" applyAlignment="1" applyProtection="1">
      <alignment horizontal="right"/>
    </xf>
    <xf numFmtId="0" fontId="6" fillId="0" borderId="0" xfId="8" applyFont="1" applyAlignment="1">
      <alignment horizontal="left" vertical="center"/>
    </xf>
    <xf numFmtId="167" fontId="6" fillId="0" borderId="0" xfId="0" applyNumberFormat="1" applyFont="1" applyAlignment="1">
      <alignment horizontal="right"/>
    </xf>
    <xf numFmtId="164" fontId="3" fillId="0" borderId="0" xfId="7" applyNumberFormat="1" applyFont="1" applyFill="1" applyBorder="1" applyAlignment="1" applyProtection="1">
      <alignment horizontal="right"/>
    </xf>
    <xf numFmtId="164" fontId="6" fillId="0" borderId="0" xfId="7" applyNumberFormat="1" applyFont="1" applyFill="1" applyBorder="1" applyAlignment="1" applyProtection="1">
      <alignment horizontal="right"/>
    </xf>
    <xf numFmtId="167" fontId="6" fillId="0" borderId="0" xfId="3" applyNumberFormat="1" applyFont="1" applyFill="1" applyBorder="1" applyAlignment="1" applyProtection="1">
      <alignment horizontal="right"/>
    </xf>
    <xf numFmtId="0" fontId="6" fillId="0" borderId="0" xfId="8" quotePrefix="1" applyFont="1" applyAlignment="1">
      <alignment vertical="center"/>
    </xf>
    <xf numFmtId="164" fontId="3" fillId="0" borderId="2" xfId="7" quotePrefix="1" applyNumberFormat="1" applyFont="1" applyFill="1" applyBorder="1" applyAlignment="1">
      <alignment horizontal="right"/>
    </xf>
    <xf numFmtId="164" fontId="6" fillId="0" borderId="2" xfId="7" quotePrefix="1" applyNumberFormat="1" applyFont="1" applyFill="1" applyBorder="1" applyAlignment="1">
      <alignment horizontal="right"/>
    </xf>
    <xf numFmtId="164" fontId="3" fillId="0" borderId="0" xfId="7" quotePrefix="1" applyNumberFormat="1" applyFont="1" applyFill="1" applyBorder="1" applyAlignment="1">
      <alignment horizontal="right"/>
    </xf>
    <xf numFmtId="164" fontId="6" fillId="0" borderId="0" xfId="7" quotePrefix="1" applyNumberFormat="1" applyFont="1" applyFill="1" applyBorder="1" applyAlignment="1">
      <alignment horizontal="right"/>
    </xf>
    <xf numFmtId="0" fontId="15" fillId="0" borderId="0" xfId="0" applyFont="1" applyAlignment="1">
      <alignment horizontal="center"/>
    </xf>
    <xf numFmtId="0" fontId="10" fillId="0" borderId="0" xfId="8" quotePrefix="1" applyFont="1" applyAlignment="1">
      <alignment horizontal="center" vertical="center"/>
    </xf>
    <xf numFmtId="0" fontId="14" fillId="0" borderId="0" xfId="8" applyFont="1" applyAlignment="1">
      <alignment horizontal="left" vertical="center"/>
    </xf>
    <xf numFmtId="167" fontId="6" fillId="0" borderId="0" xfId="9" applyNumberFormat="1" applyFont="1" applyFill="1" applyAlignment="1">
      <alignment horizontal="right" vertical="center"/>
    </xf>
    <xf numFmtId="164" fontId="6" fillId="0" borderId="1" xfId="2" applyNumberFormat="1" applyFont="1" applyFill="1" applyBorder="1" applyAlignment="1" applyProtection="1">
      <alignment horizontal="right" vertical="center"/>
    </xf>
    <xf numFmtId="164" fontId="6" fillId="0" borderId="1" xfId="7" quotePrefix="1" applyNumberFormat="1" applyFont="1" applyFill="1" applyBorder="1" applyAlignment="1">
      <alignment horizontal="right"/>
    </xf>
    <xf numFmtId="164" fontId="6" fillId="0" borderId="4" xfId="2" applyNumberFormat="1" applyFont="1" applyFill="1" applyBorder="1" applyAlignment="1" applyProtection="1">
      <alignment horizontal="right" vertical="center"/>
    </xf>
    <xf numFmtId="164" fontId="6" fillId="0" borderId="0" xfId="2" applyNumberFormat="1" applyFont="1" applyFill="1" applyBorder="1" applyAlignment="1" applyProtection="1">
      <alignment horizontal="right" vertical="center"/>
    </xf>
    <xf numFmtId="164" fontId="6" fillId="0" borderId="5" xfId="2" applyNumberFormat="1" applyFont="1" applyFill="1" applyBorder="1" applyAlignment="1" applyProtection="1">
      <alignment horizontal="right" vertical="center"/>
    </xf>
    <xf numFmtId="164" fontId="6" fillId="0" borderId="5" xfId="7" quotePrefix="1" applyNumberFormat="1" applyFont="1" applyFill="1" applyBorder="1" applyAlignment="1">
      <alignment horizontal="right"/>
    </xf>
    <xf numFmtId="164" fontId="6" fillId="0" borderId="0" xfId="10" applyNumberFormat="1" applyFont="1" applyFill="1" applyBorder="1" applyAlignment="1" applyProtection="1">
      <alignment horizontal="right" vertical="center"/>
    </xf>
    <xf numFmtId="0" fontId="14" fillId="0" borderId="0" xfId="8" applyFont="1" applyAlignment="1">
      <alignment vertical="center"/>
    </xf>
    <xf numFmtId="43" fontId="6" fillId="0" borderId="0" xfId="11" applyFont="1" applyFill="1" applyBorder="1" applyAlignment="1" applyProtection="1">
      <alignment horizontal="right" vertical="center"/>
    </xf>
    <xf numFmtId="167" fontId="6" fillId="0" borderId="1" xfId="9" applyNumberFormat="1" applyFont="1" applyFill="1" applyBorder="1" applyAlignment="1">
      <alignment horizontal="right" vertical="center"/>
    </xf>
    <xf numFmtId="0" fontId="10" fillId="0" borderId="0" xfId="0" applyFont="1"/>
    <xf numFmtId="44" fontId="6" fillId="0" borderId="0" xfId="2" quotePrefix="1" applyFont="1" applyFill="1" applyBorder="1" applyAlignment="1">
      <alignment horizontal="right"/>
    </xf>
    <xf numFmtId="164" fontId="6" fillId="0" borderId="0" xfId="10" quotePrefix="1" applyNumberFormat="1" applyFont="1" applyFill="1" applyBorder="1" applyAlignment="1">
      <alignment horizontal="right" vertical="center"/>
    </xf>
    <xf numFmtId="164" fontId="6" fillId="0" borderId="0" xfId="2" quotePrefix="1" applyNumberFormat="1" applyFont="1" applyFill="1" applyBorder="1" applyAlignment="1">
      <alignment horizontal="right" vertical="center"/>
    </xf>
    <xf numFmtId="167" fontId="6" fillId="0" borderId="0" xfId="9" quotePrefix="1" applyNumberFormat="1" applyFont="1" applyFill="1" applyBorder="1" applyAlignment="1">
      <alignment horizontal="right" vertical="center"/>
    </xf>
    <xf numFmtId="164" fontId="6" fillId="0" borderId="4" xfId="2" quotePrefix="1" applyNumberFormat="1" applyFont="1" applyFill="1" applyBorder="1" applyAlignment="1">
      <alignment horizontal="right" vertical="center"/>
    </xf>
    <xf numFmtId="164" fontId="6" fillId="0" borderId="2" xfId="10" quotePrefix="1" applyNumberFormat="1" applyFont="1" applyFill="1" applyBorder="1" applyAlignment="1">
      <alignment horizontal="right" vertical="center"/>
    </xf>
    <xf numFmtId="164" fontId="3" fillId="0" borderId="2" xfId="10" quotePrefix="1" applyNumberFormat="1" applyFont="1" applyFill="1" applyBorder="1" applyAlignment="1">
      <alignment horizontal="right" vertical="center"/>
    </xf>
    <xf numFmtId="0" fontId="6" fillId="0" borderId="0" xfId="0" applyFont="1" applyAlignment="1" applyProtection="1">
      <alignment horizontal="center"/>
      <protection locked="0"/>
    </xf>
    <xf numFmtId="0" fontId="18" fillId="0" borderId="0" xfId="0" applyFont="1" applyAlignment="1">
      <alignment horizontal="left"/>
    </xf>
    <xf numFmtId="164" fontId="6" fillId="0" borderId="0" xfId="7" applyNumberFormat="1" applyFont="1" applyFill="1" applyBorder="1" applyAlignment="1" applyProtection="1">
      <alignment horizontal="right"/>
      <protection locked="0"/>
    </xf>
    <xf numFmtId="165" fontId="6" fillId="0" borderId="0" xfId="11" applyNumberFormat="1" applyFont="1" applyFill="1" applyBorder="1" applyAlignment="1" applyProtection="1">
      <alignment horizontal="right"/>
      <protection locked="0"/>
    </xf>
    <xf numFmtId="165" fontId="6" fillId="0" borderId="1" xfId="11" applyNumberFormat="1" applyFont="1" applyFill="1" applyBorder="1" applyAlignment="1" applyProtection="1">
      <alignment horizontal="right"/>
      <protection locked="0"/>
    </xf>
    <xf numFmtId="165" fontId="6" fillId="0" borderId="0" xfId="11" applyNumberFormat="1" applyFont="1" applyFill="1" applyAlignment="1" applyProtection="1">
      <alignment horizontal="center"/>
    </xf>
    <xf numFmtId="165" fontId="6" fillId="0" borderId="1" xfId="11" applyNumberFormat="1" applyFont="1" applyFill="1" applyBorder="1" applyAlignment="1" applyProtection="1">
      <alignment horizontal="center"/>
    </xf>
    <xf numFmtId="165" fontId="6" fillId="0" borderId="1" xfId="0" applyNumberFormat="1" applyFont="1" applyBorder="1"/>
    <xf numFmtId="164" fontId="6" fillId="0" borderId="0" xfId="2" applyNumberFormat="1" applyFont="1" applyFill="1" applyBorder="1" applyAlignment="1" applyProtection="1">
      <alignment horizontal="center"/>
    </xf>
    <xf numFmtId="43" fontId="6" fillId="0" borderId="1" xfId="1" applyFont="1" applyFill="1" applyBorder="1" applyAlignment="1" applyProtection="1">
      <alignment horizontal="right"/>
    </xf>
    <xf numFmtId="43" fontId="6" fillId="0" borderId="1" xfId="1" applyFont="1" applyBorder="1"/>
    <xf numFmtId="165" fontId="6" fillId="0" borderId="0" xfId="11" applyNumberFormat="1" applyFont="1" applyFill="1" applyAlignment="1" applyProtection="1">
      <alignment horizontal="right"/>
    </xf>
    <xf numFmtId="165" fontId="6" fillId="0" borderId="1" xfId="11" applyNumberFormat="1" applyFont="1" applyFill="1" applyBorder="1" applyAlignment="1" applyProtection="1">
      <alignment horizontal="right"/>
    </xf>
    <xf numFmtId="164" fontId="6" fillId="0" borderId="0" xfId="2" applyNumberFormat="1" applyFont="1" applyFill="1" applyBorder="1" applyAlignment="1" applyProtection="1">
      <alignment horizontal="right"/>
    </xf>
    <xf numFmtId="43" fontId="6" fillId="0" borderId="0" xfId="1" applyFont="1" applyFill="1" applyBorder="1" applyAlignment="1" applyProtection="1">
      <alignment horizontal="right"/>
    </xf>
    <xf numFmtId="164" fontId="6" fillId="0" borderId="1" xfId="2" applyNumberFormat="1" applyFont="1" applyFill="1" applyBorder="1" applyAlignment="1" applyProtection="1">
      <alignment horizontal="right"/>
    </xf>
    <xf numFmtId="165" fontId="6" fillId="0" borderId="0" xfId="11" applyNumberFormat="1" applyFont="1" applyFill="1" applyBorder="1" applyAlignment="1" applyProtection="1">
      <alignment horizontal="center"/>
    </xf>
    <xf numFmtId="164" fontId="3" fillId="0" borderId="2" xfId="7" applyNumberFormat="1" applyFont="1" applyFill="1" applyBorder="1" applyAlignment="1" applyProtection="1">
      <alignment horizontal="right"/>
    </xf>
    <xf numFmtId="164" fontId="6" fillId="0" borderId="2" xfId="7" applyNumberFormat="1" applyFont="1" applyFill="1" applyBorder="1" applyAlignment="1" applyProtection="1">
      <alignment horizontal="right"/>
    </xf>
    <xf numFmtId="43" fontId="15" fillId="0" borderId="0" xfId="1" applyFont="1" applyAlignment="1">
      <alignment horizontal="center"/>
    </xf>
    <xf numFmtId="43" fontId="3" fillId="0" borderId="1" xfId="1" applyFont="1" applyFill="1" applyBorder="1" applyAlignment="1" applyProtection="1">
      <alignment horizontal="right"/>
    </xf>
    <xf numFmtId="0" fontId="6" fillId="0" borderId="0" xfId="0" quotePrefix="1" applyFont="1" applyAlignment="1">
      <alignment horizontal="center"/>
    </xf>
    <xf numFmtId="10" fontId="11" fillId="0" borderId="0" xfId="12" applyNumberFormat="1" applyFont="1"/>
    <xf numFmtId="166" fontId="6" fillId="0" borderId="0" xfId="0" applyNumberFormat="1" applyFont="1" applyAlignment="1">
      <alignment horizontal="center"/>
    </xf>
    <xf numFmtId="0" fontId="18" fillId="0" borderId="0" xfId="0" applyFont="1"/>
    <xf numFmtId="6" fontId="6" fillId="0" borderId="0" xfId="0" applyNumberFormat="1" applyFont="1"/>
    <xf numFmtId="164" fontId="6" fillId="0" borderId="6" xfId="7" applyNumberFormat="1" applyFont="1" applyFill="1" applyBorder="1" applyAlignment="1" applyProtection="1">
      <alignment horizontal="right"/>
    </xf>
    <xf numFmtId="164" fontId="6" fillId="0" borderId="5" xfId="7" applyNumberFormat="1" applyFont="1" applyFill="1" applyBorder="1" applyAlignment="1" applyProtection="1">
      <alignment horizontal="right"/>
    </xf>
    <xf numFmtId="0" fontId="6" fillId="0" borderId="0" xfId="8" applyFont="1" applyAlignment="1">
      <alignment horizontal="center" vertical="center" wrapText="1"/>
    </xf>
    <xf numFmtId="0" fontId="18" fillId="0" borderId="0" xfId="8" applyFont="1" applyAlignment="1">
      <alignment vertical="center"/>
    </xf>
    <xf numFmtId="0" fontId="3" fillId="0" borderId="0" xfId="8" applyFont="1" applyAlignment="1">
      <alignment vertical="center"/>
    </xf>
    <xf numFmtId="0" fontId="11" fillId="0" borderId="0" xfId="0" applyFont="1" applyAlignment="1">
      <alignment horizontal="center"/>
    </xf>
    <xf numFmtId="0" fontId="7" fillId="0" borderId="0" xfId="13" applyFont="1" applyAlignment="1">
      <alignment horizontal="center"/>
    </xf>
    <xf numFmtId="0" fontId="11" fillId="0" borderId="0" xfId="13" applyFont="1"/>
    <xf numFmtId="0" fontId="2" fillId="0" borderId="0" xfId="0" applyFont="1" applyAlignment="1">
      <alignment horizontal="right"/>
    </xf>
    <xf numFmtId="0" fontId="3" fillId="0" borderId="0" xfId="8" quotePrefix="1" applyFont="1" applyAlignment="1">
      <alignment horizontal="center" vertical="center"/>
    </xf>
    <xf numFmtId="166" fontId="6" fillId="0" borderId="0" xfId="8" applyNumberFormat="1" applyFont="1" applyAlignment="1">
      <alignment horizontal="center" vertical="center"/>
    </xf>
    <xf numFmtId="5" fontId="6" fillId="0" borderId="1" xfId="8" applyNumberFormat="1" applyFont="1" applyBorder="1" applyAlignment="1">
      <alignment horizontal="center" vertical="center"/>
    </xf>
    <xf numFmtId="0" fontId="6" fillId="0" borderId="1" xfId="8" applyFont="1" applyBorder="1" applyAlignment="1">
      <alignment horizontal="center" vertical="center"/>
    </xf>
    <xf numFmtId="0" fontId="8" fillId="0" borderId="0" xfId="8" applyFont="1" applyAlignment="1">
      <alignment horizontal="center" vertical="center"/>
    </xf>
    <xf numFmtId="5" fontId="6" fillId="0" borderId="0" xfId="8" applyNumberFormat="1" applyFont="1" applyAlignment="1">
      <alignment horizontal="center" vertical="center"/>
    </xf>
    <xf numFmtId="3" fontId="6" fillId="0" borderId="0" xfId="8" applyNumberFormat="1" applyFont="1" applyAlignment="1">
      <alignment vertical="center"/>
    </xf>
    <xf numFmtId="0" fontId="8" fillId="0" borderId="0" xfId="8" applyFont="1" applyAlignment="1">
      <alignment horizontal="left" vertical="center"/>
    </xf>
    <xf numFmtId="165" fontId="6" fillId="0" borderId="0" xfId="11" applyNumberFormat="1" applyFont="1" applyFill="1" applyBorder="1" applyAlignment="1">
      <alignment horizontal="right" vertical="center"/>
    </xf>
    <xf numFmtId="165" fontId="6" fillId="0" borderId="0" xfId="11" applyNumberFormat="1" applyFont="1" applyFill="1" applyAlignment="1">
      <alignment horizontal="right" vertical="center"/>
    </xf>
    <xf numFmtId="0" fontId="20" fillId="0" borderId="0" xfId="8" applyFont="1" applyAlignment="1">
      <alignment vertical="center"/>
    </xf>
    <xf numFmtId="165" fontId="6" fillId="2" borderId="1" xfId="1" applyNumberFormat="1" applyFont="1" applyFill="1" applyBorder="1" applyAlignment="1">
      <alignment horizontal="right" vertical="center"/>
    </xf>
    <xf numFmtId="0" fontId="6" fillId="0" borderId="0" xfId="2" applyNumberFormat="1" applyFont="1" applyAlignment="1">
      <alignment horizontal="center" vertical="center"/>
    </xf>
    <xf numFmtId="165" fontId="6" fillId="0" borderId="0" xfId="11" applyNumberFormat="1" applyFont="1" applyFill="1" applyAlignment="1">
      <alignment vertical="center"/>
    </xf>
    <xf numFmtId="164" fontId="6" fillId="2" borderId="0" xfId="2" applyNumberFormat="1" applyFont="1" applyFill="1" applyAlignment="1">
      <alignment horizontal="right" vertical="center"/>
    </xf>
    <xf numFmtId="5" fontId="3" fillId="0" borderId="0" xfId="8" applyNumberFormat="1" applyFont="1" applyAlignment="1" applyProtection="1">
      <alignment horizontal="center" vertical="center"/>
      <protection locked="0"/>
    </xf>
    <xf numFmtId="165" fontId="6" fillId="0" borderId="0" xfId="11" applyNumberFormat="1" applyFont="1" applyFill="1" applyAlignment="1" applyProtection="1">
      <alignment horizontal="center" vertical="center"/>
    </xf>
    <xf numFmtId="165" fontId="6" fillId="2" borderId="0" xfId="1" applyNumberFormat="1" applyFont="1" applyFill="1" applyAlignment="1">
      <alignment vertical="center"/>
    </xf>
    <xf numFmtId="165" fontId="6" fillId="2" borderId="0" xfId="11" applyNumberFormat="1" applyFont="1" applyFill="1" applyAlignment="1">
      <alignment horizontal="right" vertical="center"/>
    </xf>
    <xf numFmtId="165" fontId="6" fillId="0" borderId="0" xfId="11" applyNumberFormat="1" applyFont="1" applyFill="1" applyBorder="1" applyAlignment="1" applyProtection="1">
      <alignment horizontal="right" vertical="center"/>
    </xf>
    <xf numFmtId="165" fontId="6" fillId="2" borderId="1" xfId="11" applyNumberFormat="1" applyFont="1" applyFill="1" applyBorder="1" applyAlignment="1" applyProtection="1">
      <alignment horizontal="right" vertical="center"/>
    </xf>
    <xf numFmtId="6" fontId="6" fillId="0" borderId="0" xfId="8" applyNumberFormat="1" applyFont="1" applyAlignment="1">
      <alignment horizontal="right" vertical="center"/>
    </xf>
    <xf numFmtId="167" fontId="6" fillId="2" borderId="0" xfId="9" applyNumberFormat="1" applyFont="1" applyFill="1" applyAlignment="1">
      <alignment horizontal="right" vertical="center"/>
    </xf>
    <xf numFmtId="164" fontId="3" fillId="2" borderId="1" xfId="2" applyNumberFormat="1" applyFont="1" applyFill="1" applyBorder="1" applyAlignment="1" applyProtection="1">
      <alignment horizontal="right" vertical="center"/>
    </xf>
    <xf numFmtId="164" fontId="3" fillId="0" borderId="4" xfId="10" applyNumberFormat="1" applyFont="1" applyFill="1" applyBorder="1" applyAlignment="1" applyProtection="1">
      <alignment horizontal="right" vertical="center"/>
    </xf>
    <xf numFmtId="164" fontId="6" fillId="0" borderId="0" xfId="10" applyNumberFormat="1" applyFont="1" applyFill="1" applyAlignment="1" applyProtection="1">
      <alignment horizontal="right" vertical="center"/>
    </xf>
    <xf numFmtId="164" fontId="6" fillId="2" borderId="0" xfId="10" applyNumberFormat="1" applyFont="1" applyFill="1" applyAlignment="1" applyProtection="1">
      <alignment horizontal="right" vertical="center"/>
    </xf>
    <xf numFmtId="165" fontId="6" fillId="2" borderId="0" xfId="11" applyNumberFormat="1" applyFont="1" applyFill="1" applyBorder="1" applyAlignment="1" applyProtection="1">
      <alignment horizontal="right" vertical="center"/>
    </xf>
    <xf numFmtId="165" fontId="6" fillId="2" borderId="0" xfId="1" applyNumberFormat="1" applyFont="1" applyFill="1" applyBorder="1" applyAlignment="1" applyProtection="1">
      <alignment horizontal="right" vertical="center"/>
    </xf>
    <xf numFmtId="165" fontId="6" fillId="2" borderId="1" xfId="1" applyNumberFormat="1" applyFont="1" applyFill="1" applyBorder="1" applyAlignment="1" applyProtection="1">
      <alignment horizontal="right" vertical="center"/>
    </xf>
    <xf numFmtId="164" fontId="8" fillId="0" borderId="0" xfId="10" quotePrefix="1" applyNumberFormat="1" applyFont="1" applyFill="1" applyBorder="1" applyAlignment="1">
      <alignment horizontal="right" vertical="center"/>
    </xf>
    <xf numFmtId="164" fontId="6" fillId="2" borderId="0" xfId="2" quotePrefix="1" applyNumberFormat="1" applyFont="1" applyFill="1" applyBorder="1" applyAlignment="1">
      <alignment horizontal="right" vertical="center"/>
    </xf>
    <xf numFmtId="0" fontId="10" fillId="0" borderId="0" xfId="8" applyFont="1" applyAlignment="1">
      <alignment vertical="center"/>
    </xf>
    <xf numFmtId="164" fontId="6" fillId="2" borderId="1" xfId="2" applyNumberFormat="1" applyFont="1" applyFill="1" applyBorder="1" applyAlignment="1" applyProtection="1">
      <alignment horizontal="right" vertical="center"/>
    </xf>
    <xf numFmtId="164" fontId="6" fillId="2" borderId="0" xfId="2" applyNumberFormat="1" applyFont="1" applyFill="1" applyBorder="1" applyAlignment="1" applyProtection="1">
      <alignment horizontal="right" vertical="center"/>
    </xf>
    <xf numFmtId="167" fontId="6" fillId="2" borderId="1" xfId="9" applyNumberFormat="1" applyFont="1" applyFill="1" applyBorder="1" applyAlignment="1">
      <alignment horizontal="right" vertical="center"/>
    </xf>
    <xf numFmtId="165" fontId="6" fillId="0" borderId="0" xfId="1" applyNumberFormat="1" applyFont="1" applyFill="1" applyAlignment="1">
      <alignment horizontal="right" vertical="center"/>
    </xf>
    <xf numFmtId="167" fontId="6" fillId="4" borderId="1" xfId="9" applyNumberFormat="1" applyFont="1" applyFill="1" applyBorder="1" applyAlignment="1">
      <alignment horizontal="right" vertical="center"/>
    </xf>
    <xf numFmtId="167" fontId="6" fillId="2" borderId="0" xfId="9" quotePrefix="1" applyNumberFormat="1" applyFont="1" applyFill="1" applyBorder="1" applyAlignment="1">
      <alignment horizontal="right" vertical="center"/>
    </xf>
    <xf numFmtId="164" fontId="3" fillId="0" borderId="0" xfId="10" quotePrefix="1" applyNumberFormat="1" applyFont="1" applyFill="1" applyBorder="1" applyAlignment="1">
      <alignment horizontal="right" vertical="center"/>
    </xf>
    <xf numFmtId="0" fontId="6" fillId="0" borderId="0" xfId="8" applyFont="1" applyAlignment="1" applyProtection="1">
      <alignment horizontal="center" vertical="center"/>
      <protection locked="0"/>
    </xf>
    <xf numFmtId="0" fontId="18" fillId="0" borderId="0" xfId="8" applyFont="1" applyAlignment="1">
      <alignment horizontal="left" vertical="center"/>
    </xf>
    <xf numFmtId="164" fontId="6" fillId="2" borderId="0" xfId="10" applyNumberFormat="1" applyFont="1" applyFill="1" applyBorder="1" applyAlignment="1" applyProtection="1">
      <alignment horizontal="right" vertical="center"/>
      <protection locked="0"/>
    </xf>
    <xf numFmtId="165" fontId="6" fillId="2" borderId="0" xfId="11" applyNumberFormat="1" applyFont="1" applyFill="1" applyBorder="1" applyAlignment="1" applyProtection="1">
      <alignment horizontal="right" vertical="center"/>
      <protection locked="0"/>
    </xf>
    <xf numFmtId="165" fontId="6" fillId="2" borderId="1" xfId="11" applyNumberFormat="1" applyFont="1" applyFill="1" applyBorder="1" applyAlignment="1" applyProtection="1">
      <alignment horizontal="right" vertical="center"/>
      <protection locked="0"/>
    </xf>
    <xf numFmtId="164" fontId="6" fillId="0" borderId="4" xfId="10" applyNumberFormat="1" applyFont="1" applyFill="1" applyBorder="1" applyAlignment="1" applyProtection="1">
      <alignment horizontal="right" vertical="center"/>
    </xf>
    <xf numFmtId="164" fontId="6" fillId="2" borderId="0" xfId="10" applyNumberFormat="1" applyFont="1" applyFill="1" applyBorder="1" applyAlignment="1" applyProtection="1">
      <alignment horizontal="center" vertical="center"/>
    </xf>
    <xf numFmtId="165" fontId="6" fillId="2" borderId="0" xfId="1" applyNumberFormat="1" applyFont="1" applyFill="1" applyBorder="1" applyAlignment="1" applyProtection="1">
      <alignment horizontal="center" vertical="center"/>
    </xf>
    <xf numFmtId="164" fontId="6" fillId="0" borderId="4" xfId="10" applyNumberFormat="1" applyFont="1" applyFill="1" applyBorder="1" applyAlignment="1" applyProtection="1">
      <alignment horizontal="center" vertical="center"/>
    </xf>
    <xf numFmtId="164" fontId="6" fillId="2" borderId="0" xfId="10" applyNumberFormat="1" applyFont="1" applyFill="1" applyBorder="1" applyAlignment="1" applyProtection="1">
      <alignment horizontal="right" vertical="center"/>
    </xf>
    <xf numFmtId="165" fontId="6" fillId="0" borderId="0" xfId="11" applyNumberFormat="1" applyFont="1" applyFill="1" applyAlignment="1" applyProtection="1">
      <alignment horizontal="right" vertical="center"/>
    </xf>
    <xf numFmtId="165" fontId="6" fillId="0" borderId="0" xfId="11" applyNumberFormat="1" applyFont="1" applyFill="1" applyBorder="1" applyAlignment="1" applyProtection="1">
      <alignment horizontal="center" vertical="center"/>
    </xf>
    <xf numFmtId="164" fontId="6" fillId="2" borderId="0" xfId="2" applyNumberFormat="1" applyFont="1" applyFill="1" applyBorder="1" applyAlignment="1" applyProtection="1">
      <alignment horizontal="center" vertical="center"/>
    </xf>
    <xf numFmtId="164" fontId="3" fillId="0" borderId="2" xfId="10" applyNumberFormat="1" applyFont="1" applyFill="1" applyBorder="1" applyAlignment="1" applyProtection="1">
      <alignment horizontal="right" vertical="center"/>
    </xf>
    <xf numFmtId="0" fontId="6" fillId="0" borderId="0" xfId="8" quotePrefix="1" applyFont="1" applyAlignment="1">
      <alignment horizontal="center" vertical="center"/>
    </xf>
    <xf numFmtId="6" fontId="8" fillId="0" borderId="0" xfId="8" applyNumberFormat="1" applyFont="1" applyAlignment="1">
      <alignment horizontal="left" vertical="center"/>
    </xf>
    <xf numFmtId="165" fontId="6" fillId="2" borderId="0" xfId="11" applyNumberFormat="1" applyFont="1" applyFill="1" applyAlignment="1" applyProtection="1">
      <alignment horizontal="right" vertical="center"/>
    </xf>
    <xf numFmtId="6" fontId="6" fillId="0" borderId="0" xfId="8" applyNumberFormat="1" applyFont="1" applyAlignment="1">
      <alignment vertical="center"/>
    </xf>
    <xf numFmtId="10" fontId="6" fillId="0" borderId="0" xfId="9" applyNumberFormat="1" applyFont="1" applyAlignment="1">
      <alignment vertical="center"/>
    </xf>
    <xf numFmtId="164" fontId="6" fillId="0" borderId="6" xfId="10" applyNumberFormat="1" applyFont="1" applyFill="1" applyBorder="1" applyAlignment="1" applyProtection="1">
      <alignment horizontal="right" vertical="center"/>
    </xf>
    <xf numFmtId="165" fontId="6" fillId="0" borderId="1" xfId="11" applyNumberFormat="1" applyFont="1" applyFill="1" applyBorder="1" applyAlignment="1" applyProtection="1">
      <alignment horizontal="right" vertical="center"/>
    </xf>
    <xf numFmtId="164" fontId="6" fillId="0" borderId="5" xfId="10" applyNumberFormat="1" applyFont="1" applyFill="1" applyBorder="1" applyAlignment="1" applyProtection="1">
      <alignment horizontal="right" vertical="center"/>
    </xf>
    <xf numFmtId="164" fontId="6" fillId="0" borderId="2" xfId="2" applyNumberFormat="1" applyFont="1" applyFill="1" applyBorder="1" applyAlignment="1" applyProtection="1">
      <alignment horizontal="right" vertical="center"/>
    </xf>
    <xf numFmtId="164" fontId="6" fillId="0" borderId="0" xfId="8" applyNumberFormat="1" applyFont="1" applyAlignment="1">
      <alignment vertical="center"/>
    </xf>
    <xf numFmtId="164" fontId="6" fillId="0" borderId="2" xfId="10" applyNumberFormat="1" applyFont="1" applyFill="1" applyBorder="1" applyAlignment="1" applyProtection="1">
      <alignment horizontal="right" vertical="center"/>
    </xf>
    <xf numFmtId="164" fontId="6" fillId="2" borderId="0" xfId="10" applyNumberFormat="1" applyFont="1" applyFill="1" applyAlignment="1">
      <alignment horizontal="right" vertical="center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5" fontId="6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65" fontId="6" fillId="3" borderId="0" xfId="1" applyNumberFormat="1" applyFont="1" applyFill="1" applyBorder="1" applyAlignment="1" applyProtection="1">
      <alignment vertical="center"/>
      <protection locked="0"/>
    </xf>
    <xf numFmtId="164" fontId="3" fillId="0" borderId="0" xfId="2" applyNumberFormat="1" applyFont="1" applyBorder="1" applyAlignment="1">
      <alignment vertical="center"/>
    </xf>
    <xf numFmtId="165" fontId="6" fillId="0" borderId="0" xfId="1" applyNumberFormat="1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165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165" fontId="6" fillId="3" borderId="1" xfId="1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164" fontId="6" fillId="0" borderId="0" xfId="2" applyNumberFormat="1" applyFont="1" applyFill="1" applyAlignment="1">
      <alignment vertical="center"/>
    </xf>
    <xf numFmtId="5" fontId="6" fillId="0" borderId="0" xfId="0" applyNumberFormat="1" applyFont="1" applyAlignment="1" applyProtection="1">
      <alignment vertical="center"/>
      <protection locked="0"/>
    </xf>
    <xf numFmtId="0" fontId="10" fillId="0" borderId="0" xfId="0" applyFont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0" xfId="14" applyFont="1" applyAlignment="1">
      <alignment vertical="center"/>
    </xf>
    <xf numFmtId="164" fontId="6" fillId="0" borderId="0" xfId="2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64" fontId="6" fillId="3" borderId="0" xfId="2" applyNumberFormat="1" applyFont="1" applyFill="1" applyAlignment="1" applyProtection="1">
      <alignment vertical="center"/>
      <protection locked="0"/>
    </xf>
    <xf numFmtId="0" fontId="21" fillId="0" borderId="0" xfId="0" applyFont="1" applyAlignment="1">
      <alignment horizontal="center" vertical="center" wrapText="1"/>
    </xf>
    <xf numFmtId="165" fontId="6" fillId="3" borderId="0" xfId="1" applyNumberFormat="1" applyFont="1" applyFill="1" applyAlignment="1" applyProtection="1">
      <alignment vertical="center"/>
      <protection locked="0"/>
    </xf>
    <xf numFmtId="164" fontId="6" fillId="0" borderId="4" xfId="2" applyNumberFormat="1" applyFont="1" applyBorder="1" applyAlignment="1">
      <alignment vertical="center"/>
    </xf>
    <xf numFmtId="0" fontId="22" fillId="0" borderId="0" xfId="0" applyFont="1" applyAlignment="1">
      <alignment horizontal="center" vertical="center" wrapText="1"/>
    </xf>
    <xf numFmtId="164" fontId="6" fillId="0" borderId="6" xfId="2" applyNumberFormat="1" applyFont="1" applyBorder="1" applyAlignment="1" applyProtection="1">
      <alignment vertical="center"/>
      <protection locked="0"/>
    </xf>
    <xf numFmtId="164" fontId="6" fillId="0" borderId="0" xfId="2" applyNumberFormat="1" applyFont="1" applyBorder="1" applyAlignment="1" applyProtection="1">
      <alignment vertical="center"/>
      <protection locked="0"/>
    </xf>
    <xf numFmtId="10" fontId="6" fillId="0" borderId="2" xfId="3" applyNumberFormat="1" applyFont="1" applyBorder="1" applyAlignment="1">
      <alignment horizontal="right" vertical="center"/>
    </xf>
    <xf numFmtId="10" fontId="6" fillId="0" borderId="0" xfId="3" applyNumberFormat="1" applyFont="1" applyBorder="1" applyAlignment="1">
      <alignment horizontal="right" vertical="center"/>
    </xf>
    <xf numFmtId="164" fontId="6" fillId="3" borderId="1" xfId="2" applyNumberFormat="1" applyFont="1" applyFill="1" applyBorder="1" applyAlignment="1" applyProtection="1">
      <alignment vertical="center"/>
      <protection locked="0"/>
    </xf>
    <xf numFmtId="165" fontId="6" fillId="0" borderId="0" xfId="1" applyNumberFormat="1" applyFont="1" applyFill="1" applyAlignment="1" applyProtection="1">
      <alignment vertical="center"/>
      <protection locked="0"/>
    </xf>
    <xf numFmtId="164" fontId="6" fillId="0" borderId="5" xfId="2" applyNumberFormat="1" applyFont="1" applyBorder="1" applyAlignment="1" applyProtection="1">
      <alignment vertical="center"/>
    </xf>
    <xf numFmtId="164" fontId="6" fillId="0" borderId="0" xfId="2" applyNumberFormat="1" applyFont="1" applyBorder="1" applyAlignment="1" applyProtection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0" fontId="6" fillId="3" borderId="2" xfId="3" applyNumberFormat="1" applyFont="1" applyFill="1" applyBorder="1" applyAlignment="1">
      <alignment vertical="center"/>
    </xf>
    <xf numFmtId="10" fontId="6" fillId="0" borderId="0" xfId="3" applyNumberFormat="1" applyFont="1" applyFill="1" applyAlignment="1">
      <alignment horizontal="right" vertical="center"/>
    </xf>
    <xf numFmtId="10" fontId="6" fillId="0" borderId="0" xfId="0" applyNumberFormat="1" applyFont="1" applyAlignment="1">
      <alignment horizontal="right" vertical="center"/>
    </xf>
    <xf numFmtId="10" fontId="6" fillId="0" borderId="0" xfId="3" applyNumberFormat="1" applyFont="1" applyAlignment="1">
      <alignment horizontal="right" vertical="center"/>
    </xf>
    <xf numFmtId="165" fontId="6" fillId="0" borderId="0" xfId="1" applyNumberFormat="1" applyFont="1" applyFill="1" applyAlignment="1">
      <alignment vertical="center"/>
    </xf>
    <xf numFmtId="10" fontId="6" fillId="0" borderId="1" xfId="3" applyNumberFormat="1" applyFont="1" applyFill="1" applyBorder="1" applyAlignment="1">
      <alignment horizontal="right" vertical="center"/>
    </xf>
    <xf numFmtId="10" fontId="6" fillId="0" borderId="0" xfId="0" applyNumberFormat="1" applyFont="1" applyAlignment="1">
      <alignment vertical="center"/>
    </xf>
    <xf numFmtId="10" fontId="6" fillId="0" borderId="1" xfId="3" applyNumberFormat="1" applyFont="1" applyBorder="1" applyAlignment="1">
      <alignment horizontal="right" vertical="center"/>
    </xf>
    <xf numFmtId="164" fontId="6" fillId="0" borderId="5" xfId="0" applyNumberFormat="1" applyFont="1" applyBorder="1" applyAlignment="1">
      <alignment vertical="center"/>
    </xf>
    <xf numFmtId="10" fontId="6" fillId="0" borderId="2" xfId="3" applyNumberFormat="1" applyFont="1" applyFill="1" applyBorder="1" applyAlignment="1">
      <alignment horizontal="right" vertical="center"/>
    </xf>
    <xf numFmtId="10" fontId="6" fillId="4" borderId="0" xfId="0" applyNumberFormat="1" applyFont="1" applyFill="1" applyAlignment="1">
      <alignment horizontal="right" vertical="center"/>
    </xf>
    <xf numFmtId="10" fontId="6" fillId="0" borderId="0" xfId="3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5" fontId="6" fillId="0" borderId="0" xfId="0" applyNumberFormat="1" applyFont="1" applyAlignment="1">
      <alignment horizontal="center" vertical="center" wrapText="1"/>
    </xf>
    <xf numFmtId="0" fontId="18" fillId="0" borderId="3" xfId="0" applyFont="1" applyBorder="1" applyAlignment="1">
      <alignment vertical="center"/>
    </xf>
    <xf numFmtId="10" fontId="6" fillId="0" borderId="3" xfId="3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/>
    </xf>
    <xf numFmtId="5" fontId="6" fillId="0" borderId="0" xfId="0" applyNumberFormat="1" applyFont="1" applyAlignment="1" applyProtection="1">
      <alignment horizontal="center" vertical="center"/>
      <protection locked="0"/>
    </xf>
    <xf numFmtId="0" fontId="14" fillId="0" borderId="0" xfId="0" applyFont="1" applyAlignment="1">
      <alignment vertical="center"/>
    </xf>
    <xf numFmtId="168" fontId="6" fillId="0" borderId="0" xfId="0" applyNumberFormat="1" applyFont="1" applyAlignment="1">
      <alignment horizontal="center" vertical="center" wrapText="1"/>
    </xf>
    <xf numFmtId="10" fontId="6" fillId="2" borderId="0" xfId="3" applyNumberFormat="1" applyFont="1" applyFill="1" applyAlignment="1">
      <alignment horizontal="right" vertical="center"/>
    </xf>
    <xf numFmtId="164" fontId="6" fillId="2" borderId="0" xfId="2" applyNumberFormat="1" applyFont="1" applyFill="1" applyAlignment="1">
      <alignment horizontal="center" vertical="center"/>
    </xf>
    <xf numFmtId="164" fontId="6" fillId="3" borderId="0" xfId="2" applyNumberFormat="1" applyFont="1" applyFill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3" fillId="2" borderId="0" xfId="2" applyNumberFormat="1" applyFont="1" applyFill="1" applyAlignment="1">
      <alignment horizontal="right" vertical="center"/>
    </xf>
    <xf numFmtId="10" fontId="6" fillId="0" borderId="0" xfId="3" applyNumberFormat="1" applyFont="1" applyAlignment="1">
      <alignment vertical="center"/>
    </xf>
    <xf numFmtId="0" fontId="6" fillId="3" borderId="1" xfId="3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167" fontId="6" fillId="0" borderId="0" xfId="3" applyNumberFormat="1" applyFont="1" applyAlignment="1">
      <alignment horizontal="right" vertical="center"/>
    </xf>
    <xf numFmtId="167" fontId="3" fillId="0" borderId="0" xfId="3" applyNumberFormat="1" applyFont="1" applyAlignment="1">
      <alignment vertical="center"/>
    </xf>
    <xf numFmtId="0" fontId="6" fillId="0" borderId="0" xfId="0" quotePrefix="1" applyFont="1" applyAlignment="1">
      <alignment vertical="center"/>
    </xf>
    <xf numFmtId="168" fontId="6" fillId="0" borderId="0" xfId="0" applyNumberFormat="1" applyFont="1" applyAlignment="1">
      <alignment horizontal="center" vertical="center"/>
    </xf>
    <xf numFmtId="168" fontId="3" fillId="0" borderId="0" xfId="0" applyNumberFormat="1" applyFont="1" applyAlignment="1">
      <alignment horizontal="center" vertical="center" wrapText="1"/>
    </xf>
    <xf numFmtId="16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6" fillId="0" borderId="0" xfId="2" applyNumberFormat="1" applyFont="1" applyFill="1" applyAlignment="1">
      <alignment horizontal="center" vertical="center"/>
    </xf>
    <xf numFmtId="164" fontId="3" fillId="0" borderId="0" xfId="2" applyNumberFormat="1" applyFont="1" applyFill="1" applyAlignment="1">
      <alignment horizontal="right" vertical="center"/>
    </xf>
    <xf numFmtId="167" fontId="6" fillId="0" borderId="0" xfId="3" applyNumberFormat="1" applyFont="1" applyFill="1" applyAlignment="1">
      <alignment horizontal="right" vertical="center"/>
    </xf>
    <xf numFmtId="9" fontId="6" fillId="0" borderId="0" xfId="3" applyFont="1" applyAlignment="1">
      <alignment horizontal="right" vertical="center"/>
    </xf>
    <xf numFmtId="167" fontId="6" fillId="0" borderId="1" xfId="3" applyNumberFormat="1" applyFont="1" applyBorder="1" applyAlignment="1">
      <alignment horizontal="right" vertical="center"/>
    </xf>
    <xf numFmtId="167" fontId="6" fillId="0" borderId="0" xfId="3" applyNumberFormat="1" applyFont="1" applyBorder="1" applyAlignment="1">
      <alignment horizontal="right" vertical="center"/>
    </xf>
    <xf numFmtId="167" fontId="6" fillId="2" borderId="1" xfId="3" applyNumberFormat="1" applyFont="1" applyFill="1" applyBorder="1" applyAlignment="1">
      <alignment horizontal="right" vertical="center"/>
    </xf>
    <xf numFmtId="167" fontId="6" fillId="0" borderId="2" xfId="3" applyNumberFormat="1" applyFont="1" applyBorder="1" applyAlignment="1">
      <alignment horizontal="right" vertical="center"/>
    </xf>
    <xf numFmtId="167" fontId="3" fillId="0" borderId="0" xfId="3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164" fontId="6" fillId="4" borderId="0" xfId="2" applyNumberFormat="1" applyFont="1" applyFill="1" applyAlignment="1">
      <alignment horizontal="right" vertical="center"/>
    </xf>
    <xf numFmtId="169" fontId="6" fillId="0" borderId="0" xfId="0" applyNumberFormat="1" applyFont="1" applyAlignment="1">
      <alignment vertical="center"/>
    </xf>
    <xf numFmtId="167" fontId="6" fillId="0" borderId="1" xfId="3" applyNumberFormat="1" applyFont="1" applyFill="1" applyBorder="1" applyAlignment="1">
      <alignment horizontal="right" vertical="center"/>
    </xf>
    <xf numFmtId="16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5" fontId="6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right" vertical="center" wrapText="1"/>
    </xf>
    <xf numFmtId="9" fontId="6" fillId="2" borderId="1" xfId="3" applyFont="1" applyFill="1" applyBorder="1" applyAlignment="1">
      <alignment horizontal="right" vertical="center"/>
    </xf>
    <xf numFmtId="10" fontId="6" fillId="2" borderId="1" xfId="3" applyNumberFormat="1" applyFont="1" applyFill="1" applyBorder="1" applyAlignment="1">
      <alignment horizontal="right" vertical="center"/>
    </xf>
    <xf numFmtId="167" fontId="6" fillId="2" borderId="1" xfId="0" applyNumberFormat="1" applyFont="1" applyFill="1" applyBorder="1" applyAlignment="1">
      <alignment horizontal="right" vertical="center"/>
    </xf>
    <xf numFmtId="167" fontId="6" fillId="0" borderId="2" xfId="0" applyNumberFormat="1" applyFont="1" applyBorder="1" applyAlignment="1">
      <alignment horizontal="right" vertical="center"/>
    </xf>
    <xf numFmtId="167" fontId="6" fillId="0" borderId="0" xfId="0" applyNumberFormat="1" applyFont="1" applyAlignment="1">
      <alignment horizontal="right" vertical="center"/>
    </xf>
    <xf numFmtId="167" fontId="6" fillId="0" borderId="3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0" fontId="6" fillId="0" borderId="0" xfId="8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4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1" xfId="15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15" applyFont="1" applyAlignment="1">
      <alignment horizontal="left" vertical="center"/>
    </xf>
    <xf numFmtId="164" fontId="6" fillId="0" borderId="0" xfId="2" applyNumberFormat="1" applyFont="1" applyAlignment="1">
      <alignment horizontal="center" vertical="center"/>
    </xf>
    <xf numFmtId="10" fontId="6" fillId="3" borderId="0" xfId="3" applyNumberFormat="1" applyFont="1" applyFill="1" applyBorder="1"/>
    <xf numFmtId="165" fontId="5" fillId="0" borderId="0" xfId="1" applyNumberFormat="1" applyFont="1" applyAlignment="1">
      <alignment horizontal="right" vertical="center"/>
    </xf>
    <xf numFmtId="165" fontId="6" fillId="0" borderId="0" xfId="1" applyNumberFormat="1" applyFont="1" applyAlignment="1">
      <alignment horizontal="center" vertical="center"/>
    </xf>
    <xf numFmtId="0" fontId="6" fillId="0" borderId="1" xfId="15" applyFont="1" applyBorder="1" applyAlignment="1">
      <alignment horizontal="left" vertical="center"/>
    </xf>
    <xf numFmtId="165" fontId="6" fillId="0" borderId="1" xfId="0" applyNumberFormat="1" applyFont="1" applyBorder="1" applyAlignment="1">
      <alignment horizontal="center" vertical="center"/>
    </xf>
    <xf numFmtId="10" fontId="6" fillId="3" borderId="1" xfId="3" applyNumberFormat="1" applyFont="1" applyFill="1" applyBorder="1"/>
    <xf numFmtId="165" fontId="5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Border="1" applyAlignment="1">
      <alignment horizontal="right" vertical="center"/>
    </xf>
    <xf numFmtId="1" fontId="6" fillId="0" borderId="0" xfId="15" applyNumberFormat="1" applyFont="1" applyAlignment="1">
      <alignment horizontal="center" vertical="center"/>
    </xf>
    <xf numFmtId="10" fontId="5" fillId="0" borderId="0" xfId="3" applyNumberFormat="1" applyFont="1" applyAlignment="1">
      <alignment vertical="center"/>
    </xf>
    <xf numFmtId="1" fontId="6" fillId="0" borderId="1" xfId="15" applyNumberFormat="1" applyFont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right" vertical="center"/>
    </xf>
    <xf numFmtId="165" fontId="5" fillId="0" borderId="0" xfId="1" applyNumberFormat="1" applyFont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right" vertical="center"/>
    </xf>
    <xf numFmtId="170" fontId="5" fillId="0" borderId="0" xfId="2" applyNumberFormat="1" applyFont="1" applyBorder="1" applyAlignment="1">
      <alignment vertical="center"/>
    </xf>
    <xf numFmtId="170" fontId="5" fillId="0" borderId="0" xfId="2" applyNumberFormat="1" applyFont="1" applyAlignment="1">
      <alignment vertical="center"/>
    </xf>
    <xf numFmtId="170" fontId="6" fillId="0" borderId="0" xfId="2" applyNumberFormat="1" applyFont="1" applyFill="1" applyAlignment="1">
      <alignment vertical="center"/>
    </xf>
    <xf numFmtId="171" fontId="5" fillId="0" borderId="0" xfId="0" applyNumberFormat="1" applyFont="1" applyAlignment="1">
      <alignment vertical="center"/>
    </xf>
    <xf numFmtId="171" fontId="6" fillId="0" borderId="0" xfId="0" applyNumberFormat="1" applyFont="1" applyAlignment="1">
      <alignment vertical="center"/>
    </xf>
    <xf numFmtId="0" fontId="10" fillId="0" borderId="0" xfId="17" quotePrefix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6" fillId="0" borderId="0" xfId="2" applyNumberFormat="1" applyFont="1" applyBorder="1" applyAlignment="1">
      <alignment horizontal="center" vertical="center"/>
    </xf>
    <xf numFmtId="164" fontId="6" fillId="2" borderId="0" xfId="1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164" fontId="5" fillId="0" borderId="0" xfId="2" applyNumberFormat="1" applyFont="1" applyAlignment="1">
      <alignment horizontal="right" vertical="center"/>
    </xf>
    <xf numFmtId="164" fontId="5" fillId="0" borderId="0" xfId="2" applyNumberFormat="1" applyFont="1" applyAlignment="1">
      <alignment horizontal="center" vertical="center"/>
    </xf>
    <xf numFmtId="164" fontId="6" fillId="0" borderId="0" xfId="2" applyNumberFormat="1" applyFont="1" applyFill="1" applyBorder="1" applyAlignment="1">
      <alignment horizontal="right" vertical="center"/>
    </xf>
    <xf numFmtId="164" fontId="6" fillId="0" borderId="2" xfId="2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37" fontId="6" fillId="0" borderId="0" xfId="0" applyNumberFormat="1" applyFont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0" borderId="3" xfId="0" applyNumberFormat="1" applyFont="1" applyBorder="1" applyAlignment="1">
      <alignment vertical="center"/>
    </xf>
    <xf numFmtId="37" fontId="3" fillId="0" borderId="7" xfId="0" applyNumberFormat="1" applyFont="1" applyBorder="1" applyAlignment="1">
      <alignment horizontal="center" vertical="center"/>
    </xf>
    <xf numFmtId="37" fontId="3" fillId="0" borderId="8" xfId="0" applyNumberFormat="1" applyFont="1" applyBorder="1" applyAlignment="1">
      <alignment vertical="center"/>
    </xf>
    <xf numFmtId="37" fontId="3" fillId="0" borderId="9" xfId="0" quotePrefix="1" applyNumberFormat="1" applyFont="1" applyBorder="1" applyAlignment="1">
      <alignment horizontal="center" vertical="center"/>
    </xf>
    <xf numFmtId="37" fontId="3" fillId="0" borderId="8" xfId="0" quotePrefix="1" applyNumberFormat="1" applyFont="1" applyBorder="1" applyAlignment="1">
      <alignment horizontal="center" vertical="center"/>
    </xf>
    <xf numFmtId="0" fontId="3" fillId="0" borderId="9" xfId="0" quotePrefix="1" applyFont="1" applyBorder="1" applyAlignment="1">
      <alignment horizontal="center" vertical="center"/>
    </xf>
    <xf numFmtId="37" fontId="3" fillId="0" borderId="10" xfId="0" quotePrefix="1" applyNumberFormat="1" applyFont="1" applyBorder="1" applyAlignment="1">
      <alignment horizontal="center" vertical="center"/>
    </xf>
    <xf numFmtId="37" fontId="3" fillId="0" borderId="11" xfId="0" applyNumberFormat="1" applyFont="1" applyBorder="1" applyAlignment="1">
      <alignment horizontal="center" vertical="center"/>
    </xf>
    <xf numFmtId="37" fontId="3" fillId="0" borderId="0" xfId="0" applyNumberFormat="1" applyFont="1" applyAlignment="1">
      <alignment vertical="center"/>
    </xf>
    <xf numFmtId="37" fontId="3" fillId="0" borderId="12" xfId="18" applyNumberFormat="1" applyFont="1" applyBorder="1" applyAlignment="1">
      <alignment horizontal="center" vertical="center"/>
    </xf>
    <xf numFmtId="37" fontId="3" fillId="0" borderId="13" xfId="0" quotePrefix="1" applyNumberFormat="1" applyFont="1" applyBorder="1" applyAlignment="1">
      <alignment horizontal="center" vertical="center"/>
    </xf>
    <xf numFmtId="37" fontId="3" fillId="0" borderId="14" xfId="0" applyNumberFormat="1" applyFont="1" applyBorder="1" applyAlignment="1">
      <alignment horizontal="center" vertical="center"/>
    </xf>
    <xf numFmtId="37" fontId="3" fillId="0" borderId="3" xfId="0" applyNumberFormat="1" applyFont="1" applyBorder="1" applyAlignment="1">
      <alignment horizontal="center" vertical="center"/>
    </xf>
    <xf numFmtId="37" fontId="3" fillId="0" borderId="15" xfId="18" applyNumberFormat="1" applyFont="1" applyBorder="1" applyAlignment="1">
      <alignment horizontal="center" vertical="center"/>
    </xf>
    <xf numFmtId="37" fontId="3" fillId="0" borderId="16" xfId="0" applyNumberFormat="1" applyFont="1" applyBorder="1" applyAlignment="1">
      <alignment horizontal="center" vertical="center"/>
    </xf>
    <xf numFmtId="37" fontId="6" fillId="0" borderId="11" xfId="0" applyNumberFormat="1" applyFont="1" applyBorder="1" applyAlignment="1">
      <alignment horizontal="center" vertical="center"/>
    </xf>
    <xf numFmtId="37" fontId="25" fillId="0" borderId="0" xfId="0" applyNumberFormat="1" applyFont="1" applyAlignment="1">
      <alignment vertical="center"/>
    </xf>
    <xf numFmtId="37" fontId="7" fillId="0" borderId="12" xfId="18" applyNumberFormat="1" applyFont="1" applyBorder="1" applyAlignment="1">
      <alignment horizontal="left" vertical="center"/>
    </xf>
    <xf numFmtId="37" fontId="7" fillId="0" borderId="9" xfId="18" applyNumberFormat="1" applyFont="1" applyBorder="1" applyAlignment="1">
      <alignment horizontal="left" vertical="center"/>
    </xf>
    <xf numFmtId="37" fontId="6" fillId="0" borderId="12" xfId="18" applyNumberFormat="1" applyFont="1" applyBorder="1" applyAlignment="1">
      <alignment horizontal="center" vertical="center"/>
    </xf>
    <xf numFmtId="37" fontId="6" fillId="0" borderId="13" xfId="18" applyNumberFormat="1" applyFont="1" applyBorder="1" applyAlignment="1">
      <alignment horizontal="center" vertical="center"/>
    </xf>
    <xf numFmtId="37" fontId="6" fillId="0" borderId="0" xfId="0" applyNumberFormat="1" applyFont="1" applyAlignment="1">
      <alignment horizontal="left" vertical="center"/>
    </xf>
    <xf numFmtId="164" fontId="6" fillId="0" borderId="12" xfId="2" applyNumberFormat="1" applyFont="1" applyFill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43" fontId="6" fillId="0" borderId="0" xfId="1" applyFont="1" applyAlignment="1">
      <alignment vertical="center"/>
    </xf>
    <xf numFmtId="165" fontId="6" fillId="0" borderId="12" xfId="1" applyNumberFormat="1" applyFont="1" applyFill="1" applyBorder="1" applyAlignment="1">
      <alignment vertical="center"/>
    </xf>
    <xf numFmtId="39" fontId="6" fillId="0" borderId="0" xfId="0" applyNumberFormat="1" applyFont="1" applyAlignment="1">
      <alignment vertical="center"/>
    </xf>
    <xf numFmtId="43" fontId="6" fillId="0" borderId="0" xfId="1" applyFont="1" applyFill="1" applyAlignment="1">
      <alignment vertical="center"/>
    </xf>
    <xf numFmtId="165" fontId="6" fillId="0" borderId="12" xfId="1" applyNumberFormat="1" applyFont="1" applyFill="1" applyBorder="1" applyAlignment="1">
      <alignment horizontal="right" vertical="center"/>
    </xf>
    <xf numFmtId="43" fontId="6" fillId="0" borderId="0" xfId="1" applyFont="1" applyBorder="1" applyAlignment="1">
      <alignment vertical="center"/>
    </xf>
    <xf numFmtId="165" fontId="6" fillId="0" borderId="17" xfId="1" applyNumberFormat="1" applyFont="1" applyFill="1" applyBorder="1" applyAlignment="1">
      <alignment vertical="center"/>
    </xf>
    <xf numFmtId="37" fontId="6" fillId="0" borderId="12" xfId="0" applyNumberFormat="1" applyFont="1" applyBorder="1" applyAlignment="1">
      <alignment vertical="center"/>
    </xf>
    <xf numFmtId="37" fontId="6" fillId="0" borderId="13" xfId="0" applyNumberFormat="1" applyFont="1" applyBorder="1" applyAlignment="1">
      <alignment vertical="center"/>
    </xf>
    <xf numFmtId="164" fontId="3" fillId="0" borderId="18" xfId="2" applyNumberFormat="1" applyFont="1" applyBorder="1" applyAlignment="1">
      <alignment vertical="center"/>
    </xf>
    <xf numFmtId="164" fontId="3" fillId="0" borderId="18" xfId="2" applyNumberFormat="1" applyFont="1" applyFill="1" applyBorder="1" applyAlignment="1">
      <alignment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vertical="center"/>
    </xf>
    <xf numFmtId="37" fontId="6" fillId="0" borderId="15" xfId="1" applyNumberFormat="1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37" fontId="6" fillId="0" borderId="16" xfId="0" applyNumberFormat="1" applyFont="1" applyBorder="1" applyAlignment="1">
      <alignment vertical="center"/>
    </xf>
    <xf numFmtId="37" fontId="6" fillId="0" borderId="20" xfId="0" applyNumberFormat="1" applyFont="1" applyBorder="1" applyAlignment="1">
      <alignment vertical="center"/>
    </xf>
    <xf numFmtId="37" fontId="6" fillId="0" borderId="8" xfId="0" applyNumberFormat="1" applyFont="1" applyBorder="1" applyAlignment="1">
      <alignment vertical="center"/>
    </xf>
    <xf numFmtId="37" fontId="6" fillId="0" borderId="8" xfId="1" applyNumberFormat="1" applyFont="1" applyBorder="1" applyAlignment="1">
      <alignment vertical="center"/>
    </xf>
    <xf numFmtId="37" fontId="6" fillId="0" borderId="8" xfId="1" applyNumberFormat="1" applyFont="1" applyFill="1" applyBorder="1" applyAlignment="1">
      <alignment vertical="center"/>
    </xf>
    <xf numFmtId="37" fontId="6" fillId="0" borderId="10" xfId="0" applyNumberFormat="1" applyFont="1" applyBorder="1" applyAlignment="1">
      <alignment vertical="center"/>
    </xf>
    <xf numFmtId="37" fontId="14" fillId="0" borderId="21" xfId="0" applyNumberFormat="1" applyFont="1" applyBorder="1" applyAlignment="1">
      <alignment horizontal="left" vertical="center"/>
    </xf>
    <xf numFmtId="37" fontId="6" fillId="0" borderId="21" xfId="14" applyNumberFormat="1" applyFont="1" applyBorder="1" applyAlignment="1">
      <alignment horizontal="center"/>
    </xf>
    <xf numFmtId="164" fontId="6" fillId="0" borderId="0" xfId="2" applyNumberFormat="1" applyFont="1" applyFill="1" applyBorder="1"/>
    <xf numFmtId="37" fontId="6" fillId="0" borderId="1" xfId="0" applyNumberFormat="1" applyFont="1" applyBorder="1" applyAlignment="1">
      <alignment horizontal="right"/>
    </xf>
    <xf numFmtId="165" fontId="6" fillId="0" borderId="0" xfId="1" applyNumberFormat="1" applyFont="1" applyFill="1" applyBorder="1"/>
    <xf numFmtId="165" fontId="6" fillId="0" borderId="1" xfId="1" applyNumberFormat="1" applyFont="1" applyFill="1" applyBorder="1"/>
    <xf numFmtId="37" fontId="7" fillId="0" borderId="13" xfId="0" applyNumberFormat="1" applyFont="1" applyBorder="1" applyAlignment="1">
      <alignment vertical="center"/>
    </xf>
    <xf numFmtId="165" fontId="6" fillId="0" borderId="0" xfId="1" applyNumberFormat="1" applyFont="1" applyFill="1" applyBorder="1" applyAlignment="1"/>
    <xf numFmtId="166" fontId="6" fillId="0" borderId="21" xfId="14" applyNumberFormat="1" applyFont="1" applyBorder="1" applyAlignment="1">
      <alignment horizontal="center" wrapText="1"/>
    </xf>
    <xf numFmtId="165" fontId="6" fillId="0" borderId="0" xfId="1" applyNumberFormat="1" applyFont="1" applyFill="1" applyBorder="1" applyAlignment="1">
      <alignment vertical="top"/>
    </xf>
    <xf numFmtId="37" fontId="6" fillId="0" borderId="1" xfId="0" applyNumberFormat="1" applyFont="1" applyBorder="1" applyAlignment="1">
      <alignment vertical="center"/>
    </xf>
    <xf numFmtId="37" fontId="6" fillId="0" borderId="21" xfId="14" applyNumberFormat="1" applyFont="1" applyBorder="1" applyAlignment="1">
      <alignment horizontal="center" wrapText="1"/>
    </xf>
    <xf numFmtId="165" fontId="6" fillId="0" borderId="1" xfId="1" applyNumberFormat="1" applyFont="1" applyFill="1" applyBorder="1" applyAlignment="1">
      <alignment vertical="top"/>
    </xf>
    <xf numFmtId="37" fontId="6" fillId="0" borderId="21" xfId="19" applyNumberFormat="1" applyFont="1" applyBorder="1" applyAlignment="1">
      <alignment horizontal="center" vertical="center"/>
    </xf>
    <xf numFmtId="43" fontId="3" fillId="0" borderId="0" xfId="1" applyFont="1" applyFill="1" applyBorder="1" applyAlignment="1">
      <alignment horizontal="right" vertical="center"/>
    </xf>
    <xf numFmtId="165" fontId="6" fillId="0" borderId="0" xfId="1" applyNumberFormat="1" applyFont="1" applyFill="1" applyBorder="1" applyAlignment="1">
      <alignment vertical="center"/>
    </xf>
    <xf numFmtId="37" fontId="6" fillId="0" borderId="21" xfId="0" applyNumberFormat="1" applyFont="1" applyBorder="1" applyAlignment="1">
      <alignment vertical="center"/>
    </xf>
    <xf numFmtId="164" fontId="3" fillId="0" borderId="2" xfId="2" applyNumberFormat="1" applyFont="1" applyFill="1" applyBorder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top"/>
    </xf>
    <xf numFmtId="37" fontId="6" fillId="0" borderId="21" xfId="0" applyNumberFormat="1" applyFont="1" applyBorder="1" applyAlignment="1">
      <alignment vertical="top"/>
    </xf>
    <xf numFmtId="37" fontId="6" fillId="0" borderId="22" xfId="0" applyNumberFormat="1" applyFont="1" applyBorder="1" applyAlignment="1">
      <alignment vertical="center"/>
    </xf>
    <xf numFmtId="37" fontId="6" fillId="0" borderId="3" xfId="0" applyNumberFormat="1" applyFont="1" applyBorder="1" applyAlignment="1">
      <alignment horizontal="left" vertical="center"/>
    </xf>
    <xf numFmtId="166" fontId="6" fillId="0" borderId="0" xfId="0" applyNumberFormat="1" applyFont="1" applyAlignment="1">
      <alignment vertical="center"/>
    </xf>
    <xf numFmtId="37" fontId="10" fillId="0" borderId="0" xfId="0" applyNumberFormat="1" applyFont="1" applyAlignment="1">
      <alignment horizontal="center" vertical="center"/>
    </xf>
    <xf numFmtId="37" fontId="3" fillId="0" borderId="0" xfId="16" applyNumberFormat="1" applyFont="1" applyAlignment="1" applyProtection="1">
      <alignment horizontal="center" vertical="center"/>
      <protection locked="0"/>
    </xf>
    <xf numFmtId="37" fontId="3" fillId="0" borderId="0" xfId="16" applyNumberFormat="1" applyFont="1" applyAlignment="1">
      <alignment vertical="center"/>
    </xf>
    <xf numFmtId="37" fontId="6" fillId="0" borderId="0" xfId="18" applyNumberFormat="1" applyFont="1" applyAlignment="1">
      <alignment horizontal="center" vertical="center"/>
    </xf>
    <xf numFmtId="164" fontId="6" fillId="0" borderId="0" xfId="2" applyNumberFormat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3" xfId="0" quotePrefix="1" applyFont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165" fontId="6" fillId="0" borderId="26" xfId="1" applyNumberFormat="1" applyFont="1" applyFill="1" applyBorder="1" applyAlignment="1">
      <alignment vertical="center"/>
    </xf>
    <xf numFmtId="37" fontId="6" fillId="0" borderId="24" xfId="18" applyNumberFormat="1" applyFont="1" applyBorder="1" applyAlignment="1">
      <alignment horizontal="center" vertical="center"/>
    </xf>
    <xf numFmtId="165" fontId="6" fillId="0" borderId="24" xfId="1" applyNumberFormat="1" applyFont="1" applyFill="1" applyBorder="1" applyAlignment="1">
      <alignment vertical="center"/>
    </xf>
    <xf numFmtId="37" fontId="6" fillId="0" borderId="24" xfId="0" applyNumberFormat="1" applyFont="1" applyBorder="1" applyAlignment="1">
      <alignment vertical="center"/>
    </xf>
    <xf numFmtId="37" fontId="6" fillId="0" borderId="9" xfId="18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65" fontId="6" fillId="0" borderId="27" xfId="1" applyNumberFormat="1" applyFont="1" applyFill="1" applyBorder="1" applyAlignment="1">
      <alignment vertical="center"/>
    </xf>
    <xf numFmtId="164" fontId="3" fillId="0" borderId="28" xfId="2" applyNumberFormat="1" applyFont="1" applyFill="1" applyBorder="1" applyAlignment="1">
      <alignment vertical="center"/>
    </xf>
    <xf numFmtId="164" fontId="3" fillId="0" borderId="29" xfId="2" applyNumberFormat="1" applyFont="1" applyFill="1" applyBorder="1" applyAlignment="1">
      <alignment vertical="center"/>
    </xf>
    <xf numFmtId="165" fontId="27" fillId="0" borderId="24" xfId="1" applyNumberFormat="1" applyFont="1" applyFill="1" applyBorder="1" applyAlignment="1">
      <alignment vertical="center"/>
    </xf>
    <xf numFmtId="15" fontId="6" fillId="0" borderId="0" xfId="0" applyNumberFormat="1" applyFont="1" applyAlignment="1">
      <alignment horizontal="center" vertical="center"/>
    </xf>
    <xf numFmtId="164" fontId="6" fillId="3" borderId="0" xfId="2" applyNumberFormat="1" applyFont="1" applyFill="1" applyBorder="1" applyAlignment="1" applyProtection="1">
      <alignment vertical="center"/>
      <protection locked="0"/>
    </xf>
    <xf numFmtId="164" fontId="6" fillId="0" borderId="0" xfId="2" applyNumberFormat="1" applyFont="1" applyFill="1" applyAlignment="1" applyProtection="1">
      <alignment vertical="center"/>
      <protection locked="0"/>
    </xf>
    <xf numFmtId="165" fontId="6" fillId="3" borderId="1" xfId="1" applyNumberFormat="1" applyFont="1" applyFill="1" applyBorder="1" applyAlignment="1">
      <alignment vertical="center"/>
    </xf>
    <xf numFmtId="0" fontId="18" fillId="0" borderId="0" xfId="0" applyFont="1" applyAlignment="1">
      <alignment horizontal="left" vertical="center"/>
    </xf>
    <xf numFmtId="165" fontId="6" fillId="0" borderId="0" xfId="1" applyNumberFormat="1" applyFont="1" applyBorder="1" applyAlignment="1" applyProtection="1">
      <alignment vertical="center"/>
      <protection locked="0"/>
    </xf>
    <xf numFmtId="5" fontId="8" fillId="0" borderId="0" xfId="0" applyNumberFormat="1" applyFont="1" applyAlignment="1">
      <alignment horizontal="left" vertical="center"/>
    </xf>
    <xf numFmtId="10" fontId="6" fillId="2" borderId="1" xfId="0" applyNumberFormat="1" applyFont="1" applyFill="1" applyBorder="1" applyAlignment="1">
      <alignment horizontal="right" vertical="center"/>
    </xf>
    <xf numFmtId="165" fontId="6" fillId="0" borderId="1" xfId="1" applyNumberFormat="1" applyFont="1" applyFill="1" applyBorder="1" applyAlignment="1" applyProtection="1">
      <alignment vertical="center"/>
      <protection locked="0"/>
    </xf>
    <xf numFmtId="164" fontId="6" fillId="0" borderId="0" xfId="2" applyNumberFormat="1" applyFont="1" applyBorder="1" applyAlignment="1">
      <alignment horizontal="right" vertical="center"/>
    </xf>
    <xf numFmtId="5" fontId="6" fillId="0" borderId="0" xfId="0" applyNumberFormat="1" applyFont="1" applyAlignment="1">
      <alignment horizontal="right" vertical="center"/>
    </xf>
    <xf numFmtId="165" fontId="6" fillId="4" borderId="0" xfId="1" applyNumberFormat="1" applyFont="1" applyFill="1" applyAlignment="1">
      <alignment horizontal="right" vertical="center"/>
    </xf>
    <xf numFmtId="165" fontId="6" fillId="2" borderId="0" xfId="1" applyNumberFormat="1" applyFont="1" applyFill="1" applyAlignment="1">
      <alignment horizontal="right" vertical="center"/>
    </xf>
    <xf numFmtId="0" fontId="6" fillId="0" borderId="0" xfId="2" applyNumberFormat="1" applyFont="1" applyFill="1" applyAlignment="1">
      <alignment horizontal="center" vertical="center"/>
    </xf>
    <xf numFmtId="164" fontId="6" fillId="0" borderId="5" xfId="2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5" fontId="6" fillId="0" borderId="0" xfId="14" applyNumberFormat="1" applyFont="1" applyAlignment="1">
      <alignment horizontal="center" vertical="center"/>
    </xf>
    <xf numFmtId="165" fontId="6" fillId="2" borderId="1" xfId="1" applyNumberFormat="1" applyFont="1" applyFill="1" applyBorder="1" applyAlignment="1">
      <alignment vertical="center"/>
    </xf>
    <xf numFmtId="164" fontId="6" fillId="0" borderId="5" xfId="2" applyNumberFormat="1" applyFont="1" applyBorder="1" applyAlignment="1">
      <alignment vertical="center"/>
    </xf>
    <xf numFmtId="10" fontId="6" fillId="0" borderId="2" xfId="2" applyNumberFormat="1" applyFont="1" applyBorder="1" applyAlignment="1">
      <alignment horizontal="right" vertical="center"/>
    </xf>
    <xf numFmtId="164" fontId="6" fillId="0" borderId="0" xfId="0" applyNumberFormat="1" applyFont="1" applyAlignment="1" applyProtection="1">
      <alignment horizontal="right" vertical="center"/>
      <protection locked="0"/>
    </xf>
    <xf numFmtId="165" fontId="3" fillId="3" borderId="1" xfId="1" applyNumberFormat="1" applyFont="1" applyFill="1" applyBorder="1" applyAlignment="1" applyProtection="1">
      <alignment vertical="center"/>
      <protection locked="0"/>
    </xf>
    <xf numFmtId="164" fontId="3" fillId="0" borderId="0" xfId="2" applyNumberFormat="1" applyFont="1" applyFill="1" applyBorder="1" applyAlignment="1" applyProtection="1">
      <alignment vertical="center"/>
      <protection locked="0"/>
    </xf>
    <xf numFmtId="164" fontId="3" fillId="0" borderId="4" xfId="2" applyNumberFormat="1" applyFont="1" applyBorder="1" applyAlignment="1">
      <alignment horizontal="right" vertical="center"/>
    </xf>
    <xf numFmtId="164" fontId="3" fillId="0" borderId="2" xfId="2" applyNumberFormat="1" applyFont="1" applyBorder="1" applyAlignment="1">
      <alignment horizontal="right" vertical="center"/>
    </xf>
    <xf numFmtId="165" fontId="3" fillId="2" borderId="0" xfId="11" applyNumberFormat="1" applyFont="1" applyFill="1" applyBorder="1" applyAlignment="1">
      <alignment horizontal="right" vertical="center"/>
    </xf>
    <xf numFmtId="164" fontId="3" fillId="0" borderId="0" xfId="10" applyNumberFormat="1" applyFont="1" applyFill="1" applyAlignment="1" applyProtection="1">
      <alignment horizontal="right" vertical="center"/>
    </xf>
    <xf numFmtId="165" fontId="3" fillId="0" borderId="0" xfId="1" applyNumberFormat="1" applyFont="1"/>
    <xf numFmtId="164" fontId="3" fillId="0" borderId="0" xfId="7" applyNumberFormat="1" applyFont="1" applyFill="1" applyAlignment="1" applyProtection="1">
      <alignment horizontal="right"/>
    </xf>
    <xf numFmtId="164" fontId="3" fillId="0" borderId="0" xfId="10" applyNumberFormat="1" applyFont="1" applyFill="1" applyBorder="1" applyAlignment="1" applyProtection="1">
      <alignment horizontal="right" vertical="center"/>
    </xf>
    <xf numFmtId="0" fontId="8" fillId="0" borderId="0" xfId="14" applyFont="1" applyAlignment="1">
      <alignment horizontal="center" vertical="center"/>
    </xf>
    <xf numFmtId="15" fontId="6" fillId="0" borderId="1" xfId="14" applyNumberFormat="1" applyFont="1" applyBorder="1" applyAlignment="1">
      <alignment horizontal="center" vertical="center"/>
    </xf>
    <xf numFmtId="0" fontId="6" fillId="0" borderId="1" xfId="14" applyFont="1" applyBorder="1" applyAlignment="1">
      <alignment horizontal="center" vertical="center"/>
    </xf>
    <xf numFmtId="164" fontId="6" fillId="0" borderId="0" xfId="7" applyNumberFormat="1" applyFont="1" applyBorder="1" applyAlignment="1" applyProtection="1">
      <alignment vertical="center"/>
      <protection locked="0"/>
    </xf>
    <xf numFmtId="5" fontId="3" fillId="0" borderId="0" xfId="14" applyNumberFormat="1" applyFont="1" applyAlignment="1" applyProtection="1">
      <alignment horizontal="center" vertical="center"/>
      <protection locked="0"/>
    </xf>
    <xf numFmtId="164" fontId="6" fillId="3" borderId="0" xfId="7" applyNumberFormat="1" applyFont="1" applyFill="1" applyAlignment="1" applyProtection="1">
      <alignment vertical="center"/>
      <protection locked="0"/>
    </xf>
    <xf numFmtId="5" fontId="6" fillId="0" borderId="0" xfId="14" applyNumberFormat="1" applyFont="1" applyAlignment="1" applyProtection="1">
      <alignment vertical="center"/>
      <protection locked="0"/>
    </xf>
    <xf numFmtId="5" fontId="6" fillId="0" borderId="0" xfId="14" applyNumberFormat="1" applyFont="1" applyAlignment="1" applyProtection="1">
      <alignment horizontal="center" vertical="center"/>
      <protection locked="0"/>
    </xf>
    <xf numFmtId="10" fontId="6" fillId="0" borderId="0" xfId="14" applyNumberFormat="1" applyFont="1" applyAlignment="1" applyProtection="1">
      <alignment vertical="center"/>
      <protection locked="0"/>
    </xf>
    <xf numFmtId="10" fontId="6" fillId="0" borderId="0" xfId="14" applyNumberFormat="1" applyFont="1" applyAlignment="1" applyProtection="1">
      <alignment horizontal="center" vertical="center"/>
      <protection locked="0"/>
    </xf>
    <xf numFmtId="10" fontId="6" fillId="2" borderId="1" xfId="14" applyNumberFormat="1" applyFont="1" applyFill="1" applyBorder="1" applyAlignment="1" applyProtection="1">
      <alignment horizontal="right" vertical="center"/>
      <protection locked="0"/>
    </xf>
    <xf numFmtId="164" fontId="6" fillId="0" borderId="0" xfId="7" applyNumberFormat="1" applyFont="1" applyBorder="1" applyAlignment="1" applyProtection="1">
      <alignment horizontal="right" vertical="center"/>
      <protection locked="0"/>
    </xf>
    <xf numFmtId="164" fontId="6" fillId="0" borderId="2" xfId="7" applyNumberFormat="1" applyFont="1" applyBorder="1" applyAlignment="1" applyProtection="1">
      <alignment horizontal="right" vertical="center"/>
      <protection locked="0"/>
    </xf>
    <xf numFmtId="165" fontId="6" fillId="0" borderId="0" xfId="11" applyNumberFormat="1" applyFont="1" applyBorder="1" applyAlignment="1">
      <alignment vertical="center"/>
    </xf>
    <xf numFmtId="164" fontId="6" fillId="0" borderId="0" xfId="7" applyNumberFormat="1" applyFont="1" applyBorder="1" applyAlignment="1">
      <alignment vertical="center"/>
    </xf>
    <xf numFmtId="164" fontId="6" fillId="3" borderId="1" xfId="7" applyNumberFormat="1" applyFont="1" applyFill="1" applyBorder="1" applyAlignment="1" applyProtection="1">
      <alignment horizontal="center" vertical="center"/>
      <protection locked="0"/>
    </xf>
    <xf numFmtId="165" fontId="6" fillId="0" borderId="0" xfId="11" applyNumberFormat="1" applyFont="1" applyBorder="1" applyAlignment="1" applyProtection="1">
      <alignment vertical="center"/>
      <protection locked="0"/>
    </xf>
    <xf numFmtId="165" fontId="6" fillId="0" borderId="0" xfId="11" applyNumberFormat="1" applyFont="1" applyAlignment="1" applyProtection="1">
      <alignment vertical="center"/>
      <protection locked="0"/>
    </xf>
    <xf numFmtId="0" fontId="18" fillId="0" borderId="0" xfId="14" applyFont="1" applyAlignment="1">
      <alignment vertical="center"/>
    </xf>
    <xf numFmtId="164" fontId="6" fillId="2" borderId="0" xfId="7" applyNumberFormat="1" applyFont="1" applyFill="1" applyAlignment="1" applyProtection="1">
      <alignment vertical="center"/>
      <protection locked="0"/>
    </xf>
    <xf numFmtId="164" fontId="6" fillId="0" borderId="0" xfId="7" applyNumberFormat="1" applyFont="1" applyFill="1" applyBorder="1" applyAlignment="1" applyProtection="1">
      <alignment vertical="center"/>
      <protection locked="0"/>
    </xf>
    <xf numFmtId="165" fontId="6" fillId="0" borderId="0" xfId="11" applyNumberFormat="1" applyFont="1" applyFill="1" applyBorder="1" applyAlignment="1" applyProtection="1">
      <alignment vertical="center"/>
      <protection locked="0"/>
    </xf>
    <xf numFmtId="165" fontId="6" fillId="2" borderId="1" xfId="1" applyNumberFormat="1" applyFont="1" applyFill="1" applyBorder="1" applyAlignment="1" applyProtection="1">
      <alignment vertical="center"/>
      <protection locked="0"/>
    </xf>
    <xf numFmtId="10" fontId="6" fillId="3" borderId="1" xfId="12" applyNumberFormat="1" applyFont="1" applyFill="1" applyBorder="1" applyAlignment="1">
      <alignment vertical="center"/>
    </xf>
    <xf numFmtId="10" fontId="6" fillId="0" borderId="0" xfId="12" applyNumberFormat="1" applyFont="1" applyBorder="1" applyAlignment="1">
      <alignment vertical="center"/>
    </xf>
    <xf numFmtId="164" fontId="3" fillId="0" borderId="0" xfId="7" applyNumberFormat="1" applyFont="1" applyFill="1" applyAlignment="1" applyProtection="1">
      <alignment vertical="center"/>
      <protection locked="0"/>
    </xf>
    <xf numFmtId="10" fontId="6" fillId="0" borderId="1" xfId="12" applyNumberFormat="1" applyFont="1" applyFill="1" applyBorder="1" applyAlignment="1">
      <alignment vertical="center"/>
    </xf>
    <xf numFmtId="0" fontId="6" fillId="0" borderId="0" xfId="14" applyFont="1" applyAlignment="1">
      <alignment horizontal="left" vertical="center"/>
    </xf>
    <xf numFmtId="167" fontId="6" fillId="2" borderId="1" xfId="12" applyNumberFormat="1" applyFont="1" applyFill="1" applyBorder="1" applyAlignment="1">
      <alignment horizontal="right" vertical="center"/>
    </xf>
    <xf numFmtId="164" fontId="6" fillId="0" borderId="2" xfId="2" applyNumberFormat="1" applyFont="1" applyBorder="1" applyAlignment="1" applyProtection="1">
      <alignment horizontal="right" vertical="center"/>
      <protection locked="0"/>
    </xf>
    <xf numFmtId="164" fontId="6" fillId="0" borderId="0" xfId="2" applyNumberFormat="1" applyFont="1" applyBorder="1" applyAlignment="1" applyProtection="1">
      <alignment horizontal="right" vertical="center"/>
      <protection locked="0"/>
    </xf>
    <xf numFmtId="0" fontId="10" fillId="0" borderId="0" xfId="14" quotePrefix="1" applyFont="1" applyAlignment="1">
      <alignment horizontal="center" vertical="center"/>
    </xf>
    <xf numFmtId="165" fontId="3" fillId="2" borderId="0" xfId="11" applyNumberFormat="1" applyFont="1" applyFill="1" applyBorder="1" applyAlignment="1" applyProtection="1">
      <alignment horizontal="right" vertical="center"/>
      <protection locked="0"/>
    </xf>
    <xf numFmtId="164" fontId="3" fillId="0" borderId="0" xfId="7" applyNumberFormat="1" applyFont="1" applyAlignment="1">
      <alignment horizontal="right" vertical="center"/>
    </xf>
    <xf numFmtId="164" fontId="3" fillId="0" borderId="2" xfId="7" applyNumberFormat="1" applyFont="1" applyBorder="1" applyAlignment="1" applyProtection="1">
      <alignment horizontal="right" vertical="center"/>
      <protection locked="0"/>
    </xf>
    <xf numFmtId="165" fontId="3" fillId="2" borderId="1" xfId="11" applyNumberFormat="1" applyFont="1" applyFill="1" applyBorder="1" applyAlignment="1" applyProtection="1">
      <alignment horizontal="right" vertical="center"/>
      <protection locked="0"/>
    </xf>
    <xf numFmtId="165" fontId="3" fillId="0" borderId="1" xfId="11" applyNumberFormat="1" applyFont="1" applyFill="1" applyBorder="1" applyAlignment="1" applyProtection="1">
      <alignment horizontal="right"/>
    </xf>
    <xf numFmtId="166" fontId="6" fillId="0" borderId="11" xfId="0" applyNumberFormat="1" applyFont="1" applyBorder="1" applyAlignment="1">
      <alignment horizontal="center" vertical="center"/>
    </xf>
    <xf numFmtId="0" fontId="28" fillId="0" borderId="0" xfId="4" applyFont="1"/>
    <xf numFmtId="0" fontId="29" fillId="0" borderId="0" xfId="4" applyFont="1" applyAlignment="1">
      <alignment horizontal="centerContinuous" vertical="justify"/>
    </xf>
    <xf numFmtId="0" fontId="3" fillId="0" borderId="0" xfId="4" applyFont="1" applyAlignment="1">
      <alignment horizontal="centerContinuous" vertical="justify"/>
    </xf>
    <xf numFmtId="0" fontId="29" fillId="0" borderId="0" xfId="4" applyFont="1" applyAlignment="1">
      <alignment horizontal="centerContinuous"/>
    </xf>
    <xf numFmtId="0" fontId="14" fillId="0" borderId="0" xfId="4" quotePrefix="1" applyFont="1" applyAlignment="1">
      <alignment horizontal="center"/>
    </xf>
    <xf numFmtId="0" fontId="14" fillId="0" borderId="0" xfId="4" applyFont="1"/>
    <xf numFmtId="0" fontId="14" fillId="0" borderId="0" xfId="4" applyFont="1" applyAlignment="1">
      <alignment horizontal="center"/>
    </xf>
    <xf numFmtId="0" fontId="3" fillId="0" borderId="0" xfId="4" applyFont="1" applyAlignment="1">
      <alignment horizontal="center"/>
    </xf>
    <xf numFmtId="0" fontId="6" fillId="0" borderId="0" xfId="4" applyFont="1" applyAlignment="1">
      <alignment horizontal="center"/>
    </xf>
    <xf numFmtId="164" fontId="6" fillId="0" borderId="0" xfId="5" applyNumberFormat="1" applyFont="1"/>
    <xf numFmtId="165" fontId="6" fillId="0" borderId="1" xfId="6" applyNumberFormat="1" applyFont="1" applyBorder="1"/>
    <xf numFmtId="165" fontId="6" fillId="0" borderId="0" xfId="6" applyNumberFormat="1" applyFont="1"/>
    <xf numFmtId="165" fontId="6" fillId="0" borderId="0" xfId="6" applyNumberFormat="1" applyFont="1" applyBorder="1"/>
    <xf numFmtId="0" fontId="6" fillId="0" borderId="0" xfId="4" applyFont="1" applyAlignment="1">
      <alignment horizontal="left"/>
    </xf>
    <xf numFmtId="165" fontId="6" fillId="0" borderId="0" xfId="1" applyNumberFormat="1" applyFont="1" applyBorder="1"/>
    <xf numFmtId="0" fontId="3" fillId="0" borderId="0" xfId="4" applyFont="1"/>
    <xf numFmtId="164" fontId="6" fillId="0" borderId="0" xfId="4" applyNumberFormat="1" applyFont="1"/>
    <xf numFmtId="164" fontId="3" fillId="0" borderId="2" xfId="5" applyNumberFormat="1" applyFont="1" applyBorder="1"/>
    <xf numFmtId="0" fontId="30" fillId="0" borderId="0" xfId="4" applyFont="1" applyAlignment="1">
      <alignment horizontal="center"/>
    </xf>
    <xf numFmtId="166" fontId="3" fillId="0" borderId="1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0" xfId="14" applyFont="1" applyAlignment="1">
      <alignment horizontal="center" vertical="center"/>
    </xf>
    <xf numFmtId="164" fontId="3" fillId="2" borderId="0" xfId="10" applyNumberFormat="1" applyFont="1" applyFill="1" applyBorder="1" applyAlignment="1" applyProtection="1">
      <alignment horizontal="right" vertical="center"/>
    </xf>
    <xf numFmtId="164" fontId="3" fillId="2" borderId="0" xfId="2" applyNumberFormat="1" applyFont="1" applyFill="1" applyAlignment="1">
      <alignment horizontal="center" vertical="center"/>
    </xf>
    <xf numFmtId="167" fontId="3" fillId="0" borderId="0" xfId="3" applyNumberFormat="1" applyFont="1" applyAlignment="1">
      <alignment horizontal="right" vertical="center"/>
    </xf>
    <xf numFmtId="167" fontId="3" fillId="0" borderId="0" xfId="3" applyNumberFormat="1" applyFont="1" applyFill="1" applyAlignment="1">
      <alignment horizontal="right" vertical="center"/>
    </xf>
    <xf numFmtId="167" fontId="3" fillId="0" borderId="1" xfId="3" applyNumberFormat="1" applyFont="1" applyBorder="1" applyAlignment="1">
      <alignment horizontal="right" vertical="center"/>
    </xf>
    <xf numFmtId="167" fontId="3" fillId="0" borderId="2" xfId="3" applyNumberFormat="1" applyFont="1" applyBorder="1" applyAlignment="1">
      <alignment horizontal="right" vertical="center"/>
    </xf>
    <xf numFmtId="167" fontId="3" fillId="2" borderId="0" xfId="9" applyNumberFormat="1" applyFont="1" applyFill="1" applyAlignment="1">
      <alignment horizontal="right" vertical="center"/>
    </xf>
    <xf numFmtId="167" fontId="3" fillId="2" borderId="1" xfId="9" applyNumberFormat="1" applyFont="1" applyFill="1" applyBorder="1" applyAlignment="1">
      <alignment horizontal="right" vertical="center"/>
    </xf>
    <xf numFmtId="167" fontId="3" fillId="2" borderId="0" xfId="9" quotePrefix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vertical="center"/>
    </xf>
    <xf numFmtId="0" fontId="3" fillId="0" borderId="0" xfId="0" quotePrefix="1" applyFont="1" applyAlignment="1">
      <alignment horizontal="center" vertical="center"/>
    </xf>
    <xf numFmtId="37" fontId="3" fillId="0" borderId="0" xfId="18" applyNumberFormat="1" applyFont="1" applyAlignment="1">
      <alignment horizontal="center" vertical="center"/>
    </xf>
    <xf numFmtId="37" fontId="3" fillId="0" borderId="3" xfId="18" applyNumberFormat="1" applyFont="1" applyBorder="1" applyAlignment="1">
      <alignment horizontal="center" vertical="center"/>
    </xf>
    <xf numFmtId="165" fontId="6" fillId="0" borderId="1" xfId="1" applyNumberFormat="1" applyFont="1" applyFill="1" applyBorder="1" applyAlignment="1">
      <alignment vertical="center"/>
    </xf>
    <xf numFmtId="37" fontId="6" fillId="0" borderId="0" xfId="0" applyNumberFormat="1" applyFont="1"/>
    <xf numFmtId="37" fontId="6" fillId="0" borderId="0" xfId="0" applyNumberFormat="1" applyFont="1" applyAlignment="1">
      <alignment horizontal="right"/>
    </xf>
    <xf numFmtId="37" fontId="6" fillId="0" borderId="0" xfId="0" applyNumberFormat="1" applyFont="1" applyAlignment="1">
      <alignment vertical="top"/>
    </xf>
    <xf numFmtId="37" fontId="3" fillId="0" borderId="0" xfId="0" applyNumberFormat="1" applyFont="1" applyAlignment="1">
      <alignment horizontal="right" vertical="center"/>
    </xf>
    <xf numFmtId="37" fontId="6" fillId="0" borderId="0" xfId="0" applyNumberFormat="1" applyFont="1" applyAlignment="1">
      <alignment wrapText="1"/>
    </xf>
    <xf numFmtId="37" fontId="6" fillId="0" borderId="0" xfId="0" applyNumberFormat="1" applyFont="1" applyAlignment="1">
      <alignment vertical="center" wrapText="1"/>
    </xf>
    <xf numFmtId="37" fontId="3" fillId="0" borderId="0" xfId="0" applyNumberFormat="1" applyFont="1" applyAlignment="1">
      <alignment horizontal="left" vertical="center"/>
    </xf>
    <xf numFmtId="37" fontId="7" fillId="0" borderId="0" xfId="0" applyNumberFormat="1" applyFont="1" applyAlignment="1">
      <alignment horizontal="right" vertical="center"/>
    </xf>
    <xf numFmtId="44" fontId="7" fillId="0" borderId="0" xfId="0" applyNumberFormat="1" applyFont="1" applyAlignment="1">
      <alignment horizontal="left" vertical="center"/>
    </xf>
    <xf numFmtId="44" fontId="3" fillId="0" borderId="0" xfId="0" applyNumberFormat="1" applyFont="1" applyAlignment="1">
      <alignment vertical="center"/>
    </xf>
    <xf numFmtId="0" fontId="15" fillId="0" borderId="21" xfId="0" applyFont="1" applyBorder="1" applyAlignment="1">
      <alignment horizontal="center"/>
    </xf>
    <xf numFmtId="0" fontId="3" fillId="0" borderId="0" xfId="0" applyFont="1" applyAlignment="1">
      <alignment vertical="center"/>
    </xf>
    <xf numFmtId="165" fontId="3" fillId="0" borderId="12" xfId="1" applyNumberFormat="1" applyFont="1" applyFill="1" applyBorder="1" applyAlignment="1">
      <alignment vertical="center"/>
    </xf>
    <xf numFmtId="0" fontId="3" fillId="0" borderId="0" xfId="14" applyFont="1" applyAlignment="1">
      <alignment vertical="center"/>
    </xf>
    <xf numFmtId="165" fontId="3" fillId="2" borderId="0" xfId="11" applyNumberFormat="1" applyFont="1" applyFill="1" applyBorder="1" applyAlignment="1" applyProtection="1">
      <alignment horizontal="right" vertical="center"/>
    </xf>
    <xf numFmtId="0" fontId="3" fillId="0" borderId="0" xfId="14" applyFont="1" applyAlignment="1">
      <alignment horizontal="center" vertical="center"/>
    </xf>
    <xf numFmtId="0" fontId="6" fillId="0" borderId="0" xfId="14" applyFont="1" applyAlignment="1">
      <alignment horizontal="center" vertical="center"/>
    </xf>
    <xf numFmtId="0" fontId="31" fillId="0" borderId="0" xfId="4" applyFont="1" applyAlignment="1">
      <alignment horizontal="centerContinuous" vertical="center"/>
    </xf>
    <xf numFmtId="0" fontId="3" fillId="0" borderId="8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37" fontId="6" fillId="0" borderId="23" xfId="18" applyNumberFormat="1" applyFont="1" applyBorder="1" applyAlignment="1">
      <alignment horizontal="center" vertical="center"/>
    </xf>
    <xf numFmtId="37" fontId="6" fillId="0" borderId="0" xfId="1" applyNumberFormat="1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165" fontId="3" fillId="0" borderId="0" xfId="1" applyNumberFormat="1" applyFont="1" applyAlignment="1">
      <alignment vertical="center"/>
    </xf>
    <xf numFmtId="166" fontId="3" fillId="0" borderId="0" xfId="8" applyNumberFormat="1" applyFont="1" applyAlignment="1">
      <alignment horizontal="center" vertical="center"/>
    </xf>
    <xf numFmtId="9" fontId="6" fillId="0" borderId="0" xfId="3" applyFont="1"/>
    <xf numFmtId="9" fontId="6" fillId="0" borderId="0" xfId="3" applyFont="1" applyFill="1" applyBorder="1" applyAlignment="1" applyProtection="1">
      <alignment horizontal="right"/>
    </xf>
    <xf numFmtId="9" fontId="6" fillId="0" borderId="0" xfId="3" quotePrefix="1" applyFont="1" applyFill="1" applyBorder="1" applyAlignment="1">
      <alignment horizontal="right"/>
    </xf>
    <xf numFmtId="9" fontId="6" fillId="0" borderId="1" xfId="3" quotePrefix="1" applyFont="1" applyFill="1" applyBorder="1" applyAlignment="1">
      <alignment horizontal="right"/>
    </xf>
    <xf numFmtId="44" fontId="6" fillId="0" borderId="5" xfId="2" quotePrefix="1" applyFont="1" applyFill="1" applyBorder="1" applyAlignment="1">
      <alignment horizontal="right"/>
    </xf>
    <xf numFmtId="165" fontId="6" fillId="0" borderId="0" xfId="1" applyNumberFormat="1" applyFont="1" applyBorder="1" applyAlignment="1">
      <alignment horizontal="center" vertical="center"/>
    </xf>
    <xf numFmtId="165" fontId="5" fillId="0" borderId="0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44" fontId="6" fillId="0" borderId="0" xfId="2" applyFont="1" applyFill="1" applyBorder="1" applyAlignment="1" applyProtection="1">
      <alignment horizontal="right"/>
    </xf>
    <xf numFmtId="44" fontId="6" fillId="0" borderId="1" xfId="2" applyFont="1" applyFill="1" applyBorder="1" applyAlignment="1" applyProtection="1">
      <alignment horizontal="right"/>
    </xf>
    <xf numFmtId="0" fontId="3" fillId="0" borderId="0" xfId="8" applyFont="1" applyAlignment="1">
      <alignment horizontal="left" vertical="center"/>
    </xf>
    <xf numFmtId="172" fontId="11" fillId="0" borderId="0" xfId="1" applyNumberFormat="1" applyFont="1"/>
    <xf numFmtId="173" fontId="11" fillId="0" borderId="0" xfId="0" applyNumberFormat="1" applyFont="1"/>
    <xf numFmtId="164" fontId="5" fillId="0" borderId="2" xfId="2" applyNumberFormat="1" applyFont="1" applyFill="1" applyBorder="1" applyAlignment="1">
      <alignment vertical="center"/>
    </xf>
    <xf numFmtId="0" fontId="30" fillId="0" borderId="21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top"/>
    </xf>
    <xf numFmtId="37" fontId="12" fillId="0" borderId="21" xfId="0" applyNumberFormat="1" applyFont="1" applyBorder="1" applyAlignment="1">
      <alignment vertical="top"/>
    </xf>
    <xf numFmtId="165" fontId="30" fillId="0" borderId="24" xfId="1" applyNumberFormat="1" applyFont="1" applyFill="1" applyBorder="1" applyAlignment="1">
      <alignment vertical="center"/>
    </xf>
    <xf numFmtId="164" fontId="11" fillId="0" borderId="0" xfId="0" applyNumberFormat="1" applyFont="1"/>
    <xf numFmtId="165" fontId="12" fillId="0" borderId="24" xfId="1" applyNumberFormat="1" applyFont="1" applyFill="1" applyBorder="1" applyAlignment="1">
      <alignment vertical="center"/>
    </xf>
    <xf numFmtId="164" fontId="3" fillId="0" borderId="1" xfId="2" applyNumberFormat="1" applyFont="1" applyBorder="1"/>
    <xf numFmtId="0" fontId="15" fillId="0" borderId="28" xfId="0" applyFont="1" applyBorder="1" applyAlignment="1">
      <alignment horizontal="center"/>
    </xf>
    <xf numFmtId="37" fontId="3" fillId="0" borderId="0" xfId="0" applyNumberFormat="1" applyFont="1" applyAlignment="1">
      <alignment vertical="top"/>
    </xf>
    <xf numFmtId="37" fontId="30" fillId="0" borderId="0" xfId="0" applyNumberFormat="1" applyFont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37" fontId="10" fillId="0" borderId="0" xfId="0" applyNumberFormat="1" applyFont="1" applyAlignment="1">
      <alignment vertical="center"/>
    </xf>
    <xf numFmtId="37" fontId="3" fillId="0" borderId="0" xfId="0" applyNumberFormat="1" applyFont="1"/>
    <xf numFmtId="165" fontId="6" fillId="0" borderId="0" xfId="0" applyNumberFormat="1" applyFont="1"/>
    <xf numFmtId="164" fontId="3" fillId="0" borderId="2" xfId="0" applyNumberFormat="1" applyFont="1" applyBorder="1" applyAlignment="1">
      <alignment horizontal="left" vertical="center"/>
    </xf>
    <xf numFmtId="165" fontId="30" fillId="0" borderId="24" xfId="1" applyNumberFormat="1" applyFont="1" applyBorder="1" applyAlignment="1">
      <alignment vertical="center"/>
    </xf>
    <xf numFmtId="164" fontId="7" fillId="0" borderId="0" xfId="0" applyNumberFormat="1" applyFont="1" applyAlignment="1">
      <alignment horizontal="left" vertical="center"/>
    </xf>
    <xf numFmtId="164" fontId="3" fillId="0" borderId="12" xfId="2" applyNumberFormat="1" applyFont="1" applyFill="1" applyBorder="1" applyAlignment="1">
      <alignment vertical="center"/>
    </xf>
    <xf numFmtId="0" fontId="33" fillId="0" borderId="0" xfId="0" applyFont="1" applyAlignment="1">
      <alignment horizontal="center"/>
    </xf>
    <xf numFmtId="164" fontId="3" fillId="0" borderId="0" xfId="2" applyNumberFormat="1" applyFont="1" applyFill="1" applyBorder="1" applyAlignment="1">
      <alignment vertical="center"/>
    </xf>
    <xf numFmtId="166" fontId="3" fillId="0" borderId="0" xfId="0" applyNumberFormat="1" applyFont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11" fillId="0" borderId="0" xfId="0" applyFont="1"/>
    <xf numFmtId="0" fontId="3" fillId="2" borderId="0" xfId="8" applyFont="1" applyFill="1" applyAlignment="1">
      <alignment horizontal="center" vertical="center"/>
    </xf>
    <xf numFmtId="0" fontId="3" fillId="2" borderId="0" xfId="8" applyFont="1" applyFill="1" applyAlignment="1">
      <alignment vertical="center"/>
    </xf>
    <xf numFmtId="0" fontId="3" fillId="0" borderId="0" xfId="8" quotePrefix="1" applyFont="1" applyAlignment="1">
      <alignment horizontal="center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6" fillId="0" borderId="0" xfId="8" applyFont="1" applyAlignment="1">
      <alignment vertical="center"/>
    </xf>
    <xf numFmtId="0" fontId="3" fillId="3" borderId="0" xfId="8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horizontal="center" vertical="center"/>
    </xf>
    <xf numFmtId="37" fontId="3" fillId="0" borderId="0" xfId="0" quotePrefix="1" applyNumberFormat="1" applyFont="1" applyAlignment="1">
      <alignment horizontal="center" vertical="center"/>
    </xf>
    <xf numFmtId="0" fontId="3" fillId="0" borderId="0" xfId="14" applyFont="1" applyAlignment="1">
      <alignment horizontal="center" vertical="center"/>
    </xf>
    <xf numFmtId="0" fontId="6" fillId="0" borderId="0" xfId="14" applyFont="1" applyAlignment="1">
      <alignment horizontal="center" vertical="center"/>
    </xf>
    <xf numFmtId="0" fontId="3" fillId="2" borderId="0" xfId="14" applyFont="1" applyFill="1" applyAlignment="1">
      <alignment horizontal="center" vertical="center"/>
    </xf>
    <xf numFmtId="0" fontId="3" fillId="0" borderId="0" xfId="14" quotePrefix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0" xfId="0" quotePrefix="1" applyFont="1" applyAlignment="1">
      <alignment horizontal="center" vertical="center"/>
    </xf>
  </cellXfs>
  <cellStyles count="22">
    <cellStyle name="Comma" xfId="1" builtinId="3"/>
    <cellStyle name="Comma 2 10 2" xfId="20" xr:uid="{5CF29542-89F4-4002-968D-4D32420C06D7}"/>
    <cellStyle name="Comma 2 2" xfId="11" xr:uid="{C0237BB8-40B4-4B59-AF72-9FFB9DA9624B}"/>
    <cellStyle name="Comma 4" xfId="6" xr:uid="{0DC31A14-68B5-45BB-A650-F4DC28CA75D3}"/>
    <cellStyle name="Currency" xfId="2" builtinId="4"/>
    <cellStyle name="Currency 2" xfId="7" xr:uid="{8CB95AD6-2261-436F-81F4-94ED76F828B9}"/>
    <cellStyle name="Currency 2 2" xfId="10" xr:uid="{A303DA48-3501-499C-99CC-A3602FB2F3C6}"/>
    <cellStyle name="Currency 4" xfId="5" xr:uid="{F862C2DD-7B18-47F3-9283-CDCAF4958211}"/>
    <cellStyle name="Normal" xfId="0" builtinId="0"/>
    <cellStyle name="Normal 10 18" xfId="17" xr:uid="{A9FA1349-ED6D-4F22-A634-2B2CEC66C884}"/>
    <cellStyle name="Normal 2" xfId="14" xr:uid="{B4A4A3DD-9E61-4B15-B9C7-63A7C21C9B10}"/>
    <cellStyle name="Normal 2 2" xfId="15" xr:uid="{2C510AC6-CD68-4148-87C3-F3ED1A37EFE7}"/>
    <cellStyle name="Normal 2 2 2" xfId="19" xr:uid="{F9F903C0-969B-4A7E-BD84-7BB49968B36F}"/>
    <cellStyle name="Normal 25" xfId="21" xr:uid="{30E6CFA0-ECE6-483C-AD3B-7431D1072AE4}"/>
    <cellStyle name="Normal 3 2" xfId="16" xr:uid="{B4A2732A-C60E-4D36-BF44-BB701650DE8A}"/>
    <cellStyle name="Normal 4" xfId="4" xr:uid="{060B2BD5-E0CA-46AF-9FB6-E3563A1FD4C7}"/>
    <cellStyle name="Normal 8" xfId="13" xr:uid="{172A0AB0-CD8D-4F1F-BC38-1771F5B6652E}"/>
    <cellStyle name="Normal 9" xfId="8" xr:uid="{747CC4E2-0204-45D2-AA54-8012BD36D56E}"/>
    <cellStyle name="Normal_A&amp;gallc1999" xfId="18" xr:uid="{B382AB18-6DBB-49D6-8201-AFFA74A45D34}"/>
    <cellStyle name="Percent" xfId="3" builtinId="5"/>
    <cellStyle name="Percent 2" xfId="12" xr:uid="{5EAD10AD-812E-40F4-B0C0-39A491A1CCB4}"/>
    <cellStyle name="Percent 3" xfId="9" xr:uid="{D36666A6-7A60-463B-BDB0-5F87D2B8C3B4}"/>
  </cellStyles>
  <dxfs count="0"/>
  <tableStyles count="1" defaultTableStyle="TableStyleMedium2" defaultPivotStyle="PivotStyleLight16">
    <tableStyle name="Invisible" pivot="0" table="0" count="0" xr9:uid="{C57B8EA3-FC97-4F94-9CC9-976BF3F51BA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1012032</xdr:colOff>
      <xdr:row>23</xdr:row>
      <xdr:rowOff>23812</xdr:rowOff>
    </xdr:from>
    <xdr:to>
      <xdr:col>12</xdr:col>
      <xdr:colOff>59531</xdr:colOff>
      <xdr:row>24</xdr:row>
      <xdr:rowOff>181767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E5C88384-809E-40E0-A5E9-EF26D32BF8EB}"/>
            </a:ext>
          </a:extLst>
        </xdr:cNvPr>
        <xdr:cNvSpPr/>
      </xdr:nvSpPr>
      <xdr:spPr>
        <a:xfrm>
          <a:off x="12573001" y="4500562"/>
          <a:ext cx="83343" cy="372268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984250</xdr:colOff>
      <xdr:row>11</xdr:row>
      <xdr:rowOff>63500</xdr:rowOff>
    </xdr:from>
    <xdr:to>
      <xdr:col>12</xdr:col>
      <xdr:colOff>103188</xdr:colOff>
      <xdr:row>12</xdr:row>
      <xdr:rowOff>206375</xdr:rowOff>
    </xdr:to>
    <xdr:sp macro="" textlink="">
      <xdr:nvSpPr>
        <xdr:cNvPr id="5" name="Right Brace 1">
          <a:extLst>
            <a:ext uri="{FF2B5EF4-FFF2-40B4-BE49-F238E27FC236}">
              <a16:creationId xmlns:a16="http://schemas.microsoft.com/office/drawing/2014/main" id="{D45D6889-6F49-4E71-821D-615CF361E4A8}"/>
            </a:ext>
          </a:extLst>
        </xdr:cNvPr>
        <xdr:cNvSpPr/>
      </xdr:nvSpPr>
      <xdr:spPr>
        <a:xfrm>
          <a:off x="12557125" y="2333625"/>
          <a:ext cx="150813" cy="3810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785813</xdr:colOff>
      <xdr:row>14</xdr:row>
      <xdr:rowOff>59530</xdr:rowOff>
    </xdr:from>
    <xdr:to>
      <xdr:col>12</xdr:col>
      <xdr:colOff>83344</xdr:colOff>
      <xdr:row>16</xdr:row>
      <xdr:rowOff>3171</xdr:rowOff>
    </xdr:to>
    <xdr:sp macro="" textlink="">
      <xdr:nvSpPr>
        <xdr:cNvPr id="8" name="Right Brace 6">
          <a:extLst>
            <a:ext uri="{FF2B5EF4-FFF2-40B4-BE49-F238E27FC236}">
              <a16:creationId xmlns:a16="http://schemas.microsoft.com/office/drawing/2014/main" id="{B7E0FB1D-F77A-4F74-BE18-FAD251429523}"/>
            </a:ext>
          </a:extLst>
        </xdr:cNvPr>
        <xdr:cNvSpPr/>
      </xdr:nvSpPr>
      <xdr:spPr>
        <a:xfrm>
          <a:off x="12346782" y="3036093"/>
          <a:ext cx="107156" cy="419891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127</xdr:row>
      <xdr:rowOff>9525</xdr:rowOff>
    </xdr:from>
    <xdr:to>
      <xdr:col>1</xdr:col>
      <xdr:colOff>3581077</xdr:colOff>
      <xdr:row>127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82E964D-0AA6-4433-80CD-B83918587780}"/>
            </a:ext>
          </a:extLst>
        </xdr:cNvPr>
        <xdr:cNvSpPr>
          <a:spLocks noChangeShapeType="1"/>
        </xdr:cNvSpPr>
      </xdr:nvSpPr>
      <xdr:spPr bwMode="auto">
        <a:xfrm>
          <a:off x="1898652" y="258222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139</xdr:row>
      <xdr:rowOff>-1</xdr:rowOff>
    </xdr:from>
    <xdr:to>
      <xdr:col>2</xdr:col>
      <xdr:colOff>312424</xdr:colOff>
      <xdr:row>139</xdr:row>
      <xdr:rowOff>7936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2E5F981-52D0-4CEF-A249-096519B63C9D}"/>
            </a:ext>
          </a:extLst>
        </xdr:cNvPr>
        <xdr:cNvSpPr>
          <a:spLocks noChangeShapeType="1"/>
        </xdr:cNvSpPr>
      </xdr:nvSpPr>
      <xdr:spPr bwMode="auto">
        <a:xfrm>
          <a:off x="1755780" y="28160662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206</xdr:row>
      <xdr:rowOff>9525</xdr:rowOff>
    </xdr:from>
    <xdr:to>
      <xdr:col>1</xdr:col>
      <xdr:colOff>3581077</xdr:colOff>
      <xdr:row>206</xdr:row>
      <xdr:rowOff>9525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3B67397-79DD-4366-92C3-1027AD49296B}"/>
            </a:ext>
          </a:extLst>
        </xdr:cNvPr>
        <xdr:cNvSpPr>
          <a:spLocks noChangeShapeType="1"/>
        </xdr:cNvSpPr>
      </xdr:nvSpPr>
      <xdr:spPr bwMode="auto">
        <a:xfrm>
          <a:off x="1898652" y="410241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206</xdr:row>
      <xdr:rowOff>9525</xdr:rowOff>
    </xdr:from>
    <xdr:to>
      <xdr:col>1</xdr:col>
      <xdr:colOff>3581077</xdr:colOff>
      <xdr:row>206</xdr:row>
      <xdr:rowOff>9525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B64D696C-DCD0-48C8-A3D0-210A87C1956B}"/>
            </a:ext>
          </a:extLst>
        </xdr:cNvPr>
        <xdr:cNvSpPr>
          <a:spLocks noChangeShapeType="1"/>
        </xdr:cNvSpPr>
      </xdr:nvSpPr>
      <xdr:spPr bwMode="auto">
        <a:xfrm>
          <a:off x="1898652" y="410241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218</xdr:row>
      <xdr:rowOff>-1</xdr:rowOff>
    </xdr:from>
    <xdr:to>
      <xdr:col>2</xdr:col>
      <xdr:colOff>312424</xdr:colOff>
      <xdr:row>218</xdr:row>
      <xdr:rowOff>7936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6D94ABFC-4F2B-43FE-BADF-0AFEC7200B6F}"/>
            </a:ext>
          </a:extLst>
        </xdr:cNvPr>
        <xdr:cNvSpPr>
          <a:spLocks noChangeShapeType="1"/>
        </xdr:cNvSpPr>
      </xdr:nvSpPr>
      <xdr:spPr bwMode="auto">
        <a:xfrm>
          <a:off x="1755780" y="43357799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160</xdr:row>
      <xdr:rowOff>9525</xdr:rowOff>
    </xdr:from>
    <xdr:to>
      <xdr:col>1</xdr:col>
      <xdr:colOff>3581077</xdr:colOff>
      <xdr:row>160</xdr:row>
      <xdr:rowOff>9525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A20D1931-8C13-43A5-8707-6185276FB9D9}"/>
            </a:ext>
          </a:extLst>
        </xdr:cNvPr>
        <xdr:cNvSpPr>
          <a:spLocks noChangeShapeType="1"/>
        </xdr:cNvSpPr>
      </xdr:nvSpPr>
      <xdr:spPr bwMode="auto">
        <a:xfrm>
          <a:off x="1898652" y="32346900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172</xdr:row>
      <xdr:rowOff>-1</xdr:rowOff>
    </xdr:from>
    <xdr:to>
      <xdr:col>2</xdr:col>
      <xdr:colOff>312424</xdr:colOff>
      <xdr:row>172</xdr:row>
      <xdr:rowOff>7936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6015DABA-A61B-43B1-9D2D-5E32D57987FE}"/>
            </a:ext>
          </a:extLst>
        </xdr:cNvPr>
        <xdr:cNvSpPr>
          <a:spLocks noChangeShapeType="1"/>
        </xdr:cNvSpPr>
      </xdr:nvSpPr>
      <xdr:spPr bwMode="auto">
        <a:xfrm>
          <a:off x="1755780" y="34685287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239</xdr:row>
      <xdr:rowOff>9525</xdr:rowOff>
    </xdr:from>
    <xdr:to>
      <xdr:col>1</xdr:col>
      <xdr:colOff>3581077</xdr:colOff>
      <xdr:row>239</xdr:row>
      <xdr:rowOff>9525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6192824A-4978-40B9-A006-558E3E2B05ED}"/>
            </a:ext>
          </a:extLst>
        </xdr:cNvPr>
        <xdr:cNvSpPr>
          <a:spLocks noChangeShapeType="1"/>
        </xdr:cNvSpPr>
      </xdr:nvSpPr>
      <xdr:spPr bwMode="auto">
        <a:xfrm>
          <a:off x="1898652" y="475392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239</xdr:row>
      <xdr:rowOff>9525</xdr:rowOff>
    </xdr:from>
    <xdr:to>
      <xdr:col>1</xdr:col>
      <xdr:colOff>3581077</xdr:colOff>
      <xdr:row>239</xdr:row>
      <xdr:rowOff>9525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15B9F938-EC2C-4B30-BB8A-97CA56909484}"/>
            </a:ext>
          </a:extLst>
        </xdr:cNvPr>
        <xdr:cNvSpPr>
          <a:spLocks noChangeShapeType="1"/>
        </xdr:cNvSpPr>
      </xdr:nvSpPr>
      <xdr:spPr bwMode="auto">
        <a:xfrm>
          <a:off x="1898652" y="475392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251</xdr:row>
      <xdr:rowOff>-1</xdr:rowOff>
    </xdr:from>
    <xdr:to>
      <xdr:col>2</xdr:col>
      <xdr:colOff>312424</xdr:colOff>
      <xdr:row>251</xdr:row>
      <xdr:rowOff>7936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D4DA039B-4810-4A40-92FE-A56FC879234D}"/>
            </a:ext>
          </a:extLst>
        </xdr:cNvPr>
        <xdr:cNvSpPr>
          <a:spLocks noChangeShapeType="1"/>
        </xdr:cNvSpPr>
      </xdr:nvSpPr>
      <xdr:spPr bwMode="auto">
        <a:xfrm>
          <a:off x="1755780" y="49872899"/>
          <a:ext cx="28857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239</xdr:row>
      <xdr:rowOff>9525</xdr:rowOff>
    </xdr:from>
    <xdr:to>
      <xdr:col>1</xdr:col>
      <xdr:colOff>3581077</xdr:colOff>
      <xdr:row>239</xdr:row>
      <xdr:rowOff>9525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FA022B39-591E-467C-9A25-3E046ECDCD2D}"/>
            </a:ext>
          </a:extLst>
        </xdr:cNvPr>
        <xdr:cNvSpPr>
          <a:spLocks noChangeShapeType="1"/>
        </xdr:cNvSpPr>
      </xdr:nvSpPr>
      <xdr:spPr bwMode="auto">
        <a:xfrm>
          <a:off x="1898652" y="4753927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127</xdr:row>
      <xdr:rowOff>9525</xdr:rowOff>
    </xdr:from>
    <xdr:to>
      <xdr:col>1</xdr:col>
      <xdr:colOff>3581077</xdr:colOff>
      <xdr:row>127</xdr:row>
      <xdr:rowOff>9525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B7A093AC-5378-4D48-9187-543B08993F71}"/>
            </a:ext>
          </a:extLst>
        </xdr:cNvPr>
        <xdr:cNvSpPr>
          <a:spLocks noChangeShapeType="1"/>
        </xdr:cNvSpPr>
      </xdr:nvSpPr>
      <xdr:spPr bwMode="auto">
        <a:xfrm>
          <a:off x="1893889" y="255746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139</xdr:row>
      <xdr:rowOff>-1</xdr:rowOff>
    </xdr:from>
    <xdr:to>
      <xdr:col>2</xdr:col>
      <xdr:colOff>312424</xdr:colOff>
      <xdr:row>139</xdr:row>
      <xdr:rowOff>7936</xdr:rowOff>
    </xdr:to>
    <xdr:sp macro="" textlink="">
      <xdr:nvSpPr>
        <xdr:cNvPr id="15" name="Line 2">
          <a:extLst>
            <a:ext uri="{FF2B5EF4-FFF2-40B4-BE49-F238E27FC236}">
              <a16:creationId xmlns:a16="http://schemas.microsoft.com/office/drawing/2014/main" id="{2AE827EC-86D8-4CAF-A475-8ABEB1FEC1EB}"/>
            </a:ext>
          </a:extLst>
        </xdr:cNvPr>
        <xdr:cNvSpPr>
          <a:spLocks noChangeShapeType="1"/>
        </xdr:cNvSpPr>
      </xdr:nvSpPr>
      <xdr:spPr bwMode="auto">
        <a:xfrm>
          <a:off x="1751017" y="27927299"/>
          <a:ext cx="27968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206</xdr:row>
      <xdr:rowOff>9525</xdr:rowOff>
    </xdr:from>
    <xdr:to>
      <xdr:col>1</xdr:col>
      <xdr:colOff>3581077</xdr:colOff>
      <xdr:row>206</xdr:row>
      <xdr:rowOff>9525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168FE919-322B-4E12-8A2C-BADFA6B5F630}"/>
            </a:ext>
          </a:extLst>
        </xdr:cNvPr>
        <xdr:cNvSpPr>
          <a:spLocks noChangeShapeType="1"/>
        </xdr:cNvSpPr>
      </xdr:nvSpPr>
      <xdr:spPr bwMode="auto">
        <a:xfrm>
          <a:off x="1893889" y="410686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206</xdr:row>
      <xdr:rowOff>9525</xdr:rowOff>
    </xdr:from>
    <xdr:to>
      <xdr:col>1</xdr:col>
      <xdr:colOff>3581077</xdr:colOff>
      <xdr:row>206</xdr:row>
      <xdr:rowOff>9525</xdr:rowOff>
    </xdr:to>
    <xdr:sp macro="" textlink="">
      <xdr:nvSpPr>
        <xdr:cNvPr id="17" name="Line 1">
          <a:extLst>
            <a:ext uri="{FF2B5EF4-FFF2-40B4-BE49-F238E27FC236}">
              <a16:creationId xmlns:a16="http://schemas.microsoft.com/office/drawing/2014/main" id="{6AB973CE-53A1-4BF3-8414-B0C4B9B2AA8D}"/>
            </a:ext>
          </a:extLst>
        </xdr:cNvPr>
        <xdr:cNvSpPr>
          <a:spLocks noChangeShapeType="1"/>
        </xdr:cNvSpPr>
      </xdr:nvSpPr>
      <xdr:spPr bwMode="auto">
        <a:xfrm>
          <a:off x="1893889" y="410686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218</xdr:row>
      <xdr:rowOff>-1</xdr:rowOff>
    </xdr:from>
    <xdr:to>
      <xdr:col>2</xdr:col>
      <xdr:colOff>312424</xdr:colOff>
      <xdr:row>218</xdr:row>
      <xdr:rowOff>7936</xdr:rowOff>
    </xdr:to>
    <xdr:sp macro="" textlink="">
      <xdr:nvSpPr>
        <xdr:cNvPr id="18" name="Line 2">
          <a:extLst>
            <a:ext uri="{FF2B5EF4-FFF2-40B4-BE49-F238E27FC236}">
              <a16:creationId xmlns:a16="http://schemas.microsoft.com/office/drawing/2014/main" id="{8B12CA01-D837-4D78-87BC-D3D425A86CD1}"/>
            </a:ext>
          </a:extLst>
        </xdr:cNvPr>
        <xdr:cNvSpPr>
          <a:spLocks noChangeShapeType="1"/>
        </xdr:cNvSpPr>
      </xdr:nvSpPr>
      <xdr:spPr bwMode="auto">
        <a:xfrm>
          <a:off x="1751017" y="43421299"/>
          <a:ext cx="27968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160</xdr:row>
      <xdr:rowOff>9525</xdr:rowOff>
    </xdr:from>
    <xdr:to>
      <xdr:col>1</xdr:col>
      <xdr:colOff>3581077</xdr:colOff>
      <xdr:row>160</xdr:row>
      <xdr:rowOff>9525</xdr:rowOff>
    </xdr:to>
    <xdr:sp macro="" textlink="">
      <xdr:nvSpPr>
        <xdr:cNvPr id="19" name="Line 1">
          <a:extLst>
            <a:ext uri="{FF2B5EF4-FFF2-40B4-BE49-F238E27FC236}">
              <a16:creationId xmlns:a16="http://schemas.microsoft.com/office/drawing/2014/main" id="{FDF2A984-BB45-4574-9F40-DA76AC77E159}"/>
            </a:ext>
          </a:extLst>
        </xdr:cNvPr>
        <xdr:cNvSpPr>
          <a:spLocks noChangeShapeType="1"/>
        </xdr:cNvSpPr>
      </xdr:nvSpPr>
      <xdr:spPr bwMode="auto">
        <a:xfrm>
          <a:off x="1893889" y="321405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172</xdr:row>
      <xdr:rowOff>-1</xdr:rowOff>
    </xdr:from>
    <xdr:to>
      <xdr:col>2</xdr:col>
      <xdr:colOff>312424</xdr:colOff>
      <xdr:row>172</xdr:row>
      <xdr:rowOff>7936</xdr:rowOff>
    </xdr:to>
    <xdr:sp macro="" textlink="">
      <xdr:nvSpPr>
        <xdr:cNvPr id="20" name="Line 2">
          <a:extLst>
            <a:ext uri="{FF2B5EF4-FFF2-40B4-BE49-F238E27FC236}">
              <a16:creationId xmlns:a16="http://schemas.microsoft.com/office/drawing/2014/main" id="{6DF5C9BB-C619-4C41-B14E-34AEBF9F8D28}"/>
            </a:ext>
          </a:extLst>
        </xdr:cNvPr>
        <xdr:cNvSpPr>
          <a:spLocks noChangeShapeType="1"/>
        </xdr:cNvSpPr>
      </xdr:nvSpPr>
      <xdr:spPr bwMode="auto">
        <a:xfrm>
          <a:off x="1751017" y="34493199"/>
          <a:ext cx="2796857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239</xdr:row>
      <xdr:rowOff>9525</xdr:rowOff>
    </xdr:from>
    <xdr:to>
      <xdr:col>1</xdr:col>
      <xdr:colOff>3581077</xdr:colOff>
      <xdr:row>239</xdr:row>
      <xdr:rowOff>9525</xdr:rowOff>
    </xdr:to>
    <xdr:sp macro="" textlink="">
      <xdr:nvSpPr>
        <xdr:cNvPr id="21" name="Line 1">
          <a:extLst>
            <a:ext uri="{FF2B5EF4-FFF2-40B4-BE49-F238E27FC236}">
              <a16:creationId xmlns:a16="http://schemas.microsoft.com/office/drawing/2014/main" id="{C2C3E7A6-1AAF-48C4-A9FB-749077827A52}"/>
            </a:ext>
          </a:extLst>
        </xdr:cNvPr>
        <xdr:cNvSpPr>
          <a:spLocks noChangeShapeType="1"/>
        </xdr:cNvSpPr>
      </xdr:nvSpPr>
      <xdr:spPr bwMode="auto">
        <a:xfrm>
          <a:off x="1893889" y="476345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239</xdr:row>
      <xdr:rowOff>9525</xdr:rowOff>
    </xdr:from>
    <xdr:to>
      <xdr:col>1</xdr:col>
      <xdr:colOff>3581077</xdr:colOff>
      <xdr:row>239</xdr:row>
      <xdr:rowOff>9525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336397C1-D93A-4574-8E2F-7121C0FD33F5}"/>
            </a:ext>
          </a:extLst>
        </xdr:cNvPr>
        <xdr:cNvSpPr>
          <a:spLocks noChangeShapeType="1"/>
        </xdr:cNvSpPr>
      </xdr:nvSpPr>
      <xdr:spPr bwMode="auto">
        <a:xfrm>
          <a:off x="1893889" y="476345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239</xdr:row>
      <xdr:rowOff>9525</xdr:rowOff>
    </xdr:from>
    <xdr:to>
      <xdr:col>1</xdr:col>
      <xdr:colOff>3581077</xdr:colOff>
      <xdr:row>239</xdr:row>
      <xdr:rowOff>9525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700AEC2C-FB74-4702-AB75-95F5EF0F489B}"/>
            </a:ext>
          </a:extLst>
        </xdr:cNvPr>
        <xdr:cNvSpPr>
          <a:spLocks noChangeShapeType="1"/>
        </xdr:cNvSpPr>
      </xdr:nvSpPr>
      <xdr:spPr bwMode="auto">
        <a:xfrm>
          <a:off x="1893889" y="47634525"/>
          <a:ext cx="204913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1531939</xdr:colOff>
      <xdr:row>128</xdr:row>
      <xdr:rowOff>9525</xdr:rowOff>
    </xdr:from>
    <xdr:to>
      <xdr:col>1</xdr:col>
      <xdr:colOff>3581077</xdr:colOff>
      <xdr:row>128</xdr:row>
      <xdr:rowOff>9525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2B2894CE-5E50-4181-975D-A2C18530457E}"/>
            </a:ext>
          </a:extLst>
        </xdr:cNvPr>
        <xdr:cNvSpPr>
          <a:spLocks noChangeShapeType="1"/>
        </xdr:cNvSpPr>
      </xdr:nvSpPr>
      <xdr:spPr bwMode="auto">
        <a:xfrm>
          <a:off x="1897064" y="25761950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140</xdr:row>
      <xdr:rowOff>-1</xdr:rowOff>
    </xdr:from>
    <xdr:to>
      <xdr:col>2</xdr:col>
      <xdr:colOff>312424</xdr:colOff>
      <xdr:row>140</xdr:row>
      <xdr:rowOff>7936</xdr:rowOff>
    </xdr:to>
    <xdr:sp macro="" textlink="">
      <xdr:nvSpPr>
        <xdr:cNvPr id="15" name="Line 2">
          <a:extLst>
            <a:ext uri="{FF2B5EF4-FFF2-40B4-BE49-F238E27FC236}">
              <a16:creationId xmlns:a16="http://schemas.microsoft.com/office/drawing/2014/main" id="{0C57C40E-C6E9-410A-BD52-2B9903A90F88}"/>
            </a:ext>
          </a:extLst>
        </xdr:cNvPr>
        <xdr:cNvSpPr>
          <a:spLocks noChangeShapeType="1"/>
        </xdr:cNvSpPr>
      </xdr:nvSpPr>
      <xdr:spPr bwMode="auto">
        <a:xfrm>
          <a:off x="1751017" y="28155899"/>
          <a:ext cx="2803207" cy="111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207</xdr:row>
      <xdr:rowOff>9525</xdr:rowOff>
    </xdr:from>
    <xdr:to>
      <xdr:col>1</xdr:col>
      <xdr:colOff>3581077</xdr:colOff>
      <xdr:row>207</xdr:row>
      <xdr:rowOff>9525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9A5FDD19-067A-4D7A-BA57-3634D1820356}"/>
            </a:ext>
          </a:extLst>
        </xdr:cNvPr>
        <xdr:cNvSpPr>
          <a:spLocks noChangeShapeType="1"/>
        </xdr:cNvSpPr>
      </xdr:nvSpPr>
      <xdr:spPr bwMode="auto">
        <a:xfrm>
          <a:off x="1897064" y="41478200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207</xdr:row>
      <xdr:rowOff>9525</xdr:rowOff>
    </xdr:from>
    <xdr:to>
      <xdr:col>1</xdr:col>
      <xdr:colOff>3581077</xdr:colOff>
      <xdr:row>207</xdr:row>
      <xdr:rowOff>9525</xdr:rowOff>
    </xdr:to>
    <xdr:sp macro="" textlink="">
      <xdr:nvSpPr>
        <xdr:cNvPr id="17" name="Line 1">
          <a:extLst>
            <a:ext uri="{FF2B5EF4-FFF2-40B4-BE49-F238E27FC236}">
              <a16:creationId xmlns:a16="http://schemas.microsoft.com/office/drawing/2014/main" id="{E3A5D211-8318-483F-9EF5-BE49D8815C94}"/>
            </a:ext>
          </a:extLst>
        </xdr:cNvPr>
        <xdr:cNvSpPr>
          <a:spLocks noChangeShapeType="1"/>
        </xdr:cNvSpPr>
      </xdr:nvSpPr>
      <xdr:spPr bwMode="auto">
        <a:xfrm>
          <a:off x="1897064" y="41478200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219</xdr:row>
      <xdr:rowOff>-1</xdr:rowOff>
    </xdr:from>
    <xdr:to>
      <xdr:col>2</xdr:col>
      <xdr:colOff>312424</xdr:colOff>
      <xdr:row>219</xdr:row>
      <xdr:rowOff>7936</xdr:rowOff>
    </xdr:to>
    <xdr:sp macro="" textlink="">
      <xdr:nvSpPr>
        <xdr:cNvPr id="18" name="Line 2">
          <a:extLst>
            <a:ext uri="{FF2B5EF4-FFF2-40B4-BE49-F238E27FC236}">
              <a16:creationId xmlns:a16="http://schemas.microsoft.com/office/drawing/2014/main" id="{2DD3BA81-5D8A-47D4-B0A2-761C705B8180}"/>
            </a:ext>
          </a:extLst>
        </xdr:cNvPr>
        <xdr:cNvSpPr>
          <a:spLocks noChangeShapeType="1"/>
        </xdr:cNvSpPr>
      </xdr:nvSpPr>
      <xdr:spPr bwMode="auto">
        <a:xfrm>
          <a:off x="1751017" y="43872149"/>
          <a:ext cx="2803207" cy="111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161</xdr:row>
      <xdr:rowOff>9525</xdr:rowOff>
    </xdr:from>
    <xdr:to>
      <xdr:col>1</xdr:col>
      <xdr:colOff>3581077</xdr:colOff>
      <xdr:row>161</xdr:row>
      <xdr:rowOff>9525</xdr:rowOff>
    </xdr:to>
    <xdr:sp macro="" textlink="">
      <xdr:nvSpPr>
        <xdr:cNvPr id="19" name="Line 1">
          <a:extLst>
            <a:ext uri="{FF2B5EF4-FFF2-40B4-BE49-F238E27FC236}">
              <a16:creationId xmlns:a16="http://schemas.microsoft.com/office/drawing/2014/main" id="{E1C712B8-EB6B-4F21-8FE1-44A57D6490CC}"/>
            </a:ext>
          </a:extLst>
        </xdr:cNvPr>
        <xdr:cNvSpPr>
          <a:spLocks noChangeShapeType="1"/>
        </xdr:cNvSpPr>
      </xdr:nvSpPr>
      <xdr:spPr bwMode="auto">
        <a:xfrm>
          <a:off x="1897064" y="32419925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173</xdr:row>
      <xdr:rowOff>-1</xdr:rowOff>
    </xdr:from>
    <xdr:to>
      <xdr:col>2</xdr:col>
      <xdr:colOff>312424</xdr:colOff>
      <xdr:row>173</xdr:row>
      <xdr:rowOff>7936</xdr:rowOff>
    </xdr:to>
    <xdr:sp macro="" textlink="">
      <xdr:nvSpPr>
        <xdr:cNvPr id="20" name="Line 2">
          <a:extLst>
            <a:ext uri="{FF2B5EF4-FFF2-40B4-BE49-F238E27FC236}">
              <a16:creationId xmlns:a16="http://schemas.microsoft.com/office/drawing/2014/main" id="{0EAC4F13-06E1-42D4-B816-CB5BF36ACE13}"/>
            </a:ext>
          </a:extLst>
        </xdr:cNvPr>
        <xdr:cNvSpPr>
          <a:spLocks noChangeShapeType="1"/>
        </xdr:cNvSpPr>
      </xdr:nvSpPr>
      <xdr:spPr bwMode="auto">
        <a:xfrm>
          <a:off x="1751017" y="34813874"/>
          <a:ext cx="2803207" cy="111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240</xdr:row>
      <xdr:rowOff>9525</xdr:rowOff>
    </xdr:from>
    <xdr:to>
      <xdr:col>1</xdr:col>
      <xdr:colOff>3581077</xdr:colOff>
      <xdr:row>240</xdr:row>
      <xdr:rowOff>9525</xdr:rowOff>
    </xdr:to>
    <xdr:sp macro="" textlink="">
      <xdr:nvSpPr>
        <xdr:cNvPr id="21" name="Line 1">
          <a:extLst>
            <a:ext uri="{FF2B5EF4-FFF2-40B4-BE49-F238E27FC236}">
              <a16:creationId xmlns:a16="http://schemas.microsoft.com/office/drawing/2014/main" id="{70229E53-65CA-43CA-8B64-86952845D97F}"/>
            </a:ext>
          </a:extLst>
        </xdr:cNvPr>
        <xdr:cNvSpPr>
          <a:spLocks noChangeShapeType="1"/>
        </xdr:cNvSpPr>
      </xdr:nvSpPr>
      <xdr:spPr bwMode="auto">
        <a:xfrm>
          <a:off x="1897064" y="48136175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240</xdr:row>
      <xdr:rowOff>9525</xdr:rowOff>
    </xdr:from>
    <xdr:to>
      <xdr:col>1</xdr:col>
      <xdr:colOff>3581077</xdr:colOff>
      <xdr:row>240</xdr:row>
      <xdr:rowOff>9525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FA142BE5-F591-4390-901A-DA2AC4E16742}"/>
            </a:ext>
          </a:extLst>
        </xdr:cNvPr>
        <xdr:cNvSpPr>
          <a:spLocks noChangeShapeType="1"/>
        </xdr:cNvSpPr>
      </xdr:nvSpPr>
      <xdr:spPr bwMode="auto">
        <a:xfrm>
          <a:off x="1897064" y="48136175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252</xdr:row>
      <xdr:rowOff>-1</xdr:rowOff>
    </xdr:from>
    <xdr:to>
      <xdr:col>2</xdr:col>
      <xdr:colOff>312424</xdr:colOff>
      <xdr:row>252</xdr:row>
      <xdr:rowOff>7936</xdr:rowOff>
    </xdr:to>
    <xdr:sp macro="" textlink="">
      <xdr:nvSpPr>
        <xdr:cNvPr id="23" name="Line 2">
          <a:extLst>
            <a:ext uri="{FF2B5EF4-FFF2-40B4-BE49-F238E27FC236}">
              <a16:creationId xmlns:a16="http://schemas.microsoft.com/office/drawing/2014/main" id="{01BABD4D-A519-4F8E-AC9E-4792EBDB85E7}"/>
            </a:ext>
          </a:extLst>
        </xdr:cNvPr>
        <xdr:cNvSpPr>
          <a:spLocks noChangeShapeType="1"/>
        </xdr:cNvSpPr>
      </xdr:nvSpPr>
      <xdr:spPr bwMode="auto">
        <a:xfrm>
          <a:off x="1751017" y="50530124"/>
          <a:ext cx="2803207" cy="111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240</xdr:row>
      <xdr:rowOff>9525</xdr:rowOff>
    </xdr:from>
    <xdr:to>
      <xdr:col>1</xdr:col>
      <xdr:colOff>3581077</xdr:colOff>
      <xdr:row>240</xdr:row>
      <xdr:rowOff>9525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8545D6FF-5523-4839-AE25-058F8415A663}"/>
            </a:ext>
          </a:extLst>
        </xdr:cNvPr>
        <xdr:cNvSpPr>
          <a:spLocks noChangeShapeType="1"/>
        </xdr:cNvSpPr>
      </xdr:nvSpPr>
      <xdr:spPr bwMode="auto">
        <a:xfrm>
          <a:off x="1897064" y="48136175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251</xdr:row>
      <xdr:rowOff>202405</xdr:rowOff>
    </xdr:from>
    <xdr:to>
      <xdr:col>2</xdr:col>
      <xdr:colOff>312424</xdr:colOff>
      <xdr:row>252</xdr:row>
      <xdr:rowOff>7936</xdr:rowOff>
    </xdr:to>
    <xdr:sp macro="" textlink="">
      <xdr:nvSpPr>
        <xdr:cNvPr id="25" name="Line 2">
          <a:extLst>
            <a:ext uri="{FF2B5EF4-FFF2-40B4-BE49-F238E27FC236}">
              <a16:creationId xmlns:a16="http://schemas.microsoft.com/office/drawing/2014/main" id="{D86ADD30-1909-4195-ACD2-1F80A3163935}"/>
            </a:ext>
          </a:extLst>
        </xdr:cNvPr>
        <xdr:cNvSpPr>
          <a:spLocks noChangeShapeType="1"/>
        </xdr:cNvSpPr>
      </xdr:nvSpPr>
      <xdr:spPr bwMode="auto">
        <a:xfrm>
          <a:off x="1751017" y="50529330"/>
          <a:ext cx="2803207" cy="1190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128</xdr:row>
      <xdr:rowOff>9525</xdr:rowOff>
    </xdr:from>
    <xdr:to>
      <xdr:col>1</xdr:col>
      <xdr:colOff>3581077</xdr:colOff>
      <xdr:row>128</xdr:row>
      <xdr:rowOff>9525</xdr:rowOff>
    </xdr:to>
    <xdr:sp macro="" textlink="">
      <xdr:nvSpPr>
        <xdr:cNvPr id="26" name="Line 1">
          <a:extLst>
            <a:ext uri="{FF2B5EF4-FFF2-40B4-BE49-F238E27FC236}">
              <a16:creationId xmlns:a16="http://schemas.microsoft.com/office/drawing/2014/main" id="{E4631DC4-9126-4D4E-BBB8-85CD69306796}"/>
            </a:ext>
          </a:extLst>
        </xdr:cNvPr>
        <xdr:cNvSpPr>
          <a:spLocks noChangeShapeType="1"/>
        </xdr:cNvSpPr>
      </xdr:nvSpPr>
      <xdr:spPr bwMode="auto">
        <a:xfrm>
          <a:off x="1897064" y="25761950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207</xdr:row>
      <xdr:rowOff>9525</xdr:rowOff>
    </xdr:from>
    <xdr:to>
      <xdr:col>1</xdr:col>
      <xdr:colOff>3581077</xdr:colOff>
      <xdr:row>207</xdr:row>
      <xdr:rowOff>9525</xdr:rowOff>
    </xdr:to>
    <xdr:sp macro="" textlink="">
      <xdr:nvSpPr>
        <xdr:cNvPr id="28" name="Line 1">
          <a:extLst>
            <a:ext uri="{FF2B5EF4-FFF2-40B4-BE49-F238E27FC236}">
              <a16:creationId xmlns:a16="http://schemas.microsoft.com/office/drawing/2014/main" id="{725154DD-7C1E-4837-A9E0-4BF2DDCAF115}"/>
            </a:ext>
          </a:extLst>
        </xdr:cNvPr>
        <xdr:cNvSpPr>
          <a:spLocks noChangeShapeType="1"/>
        </xdr:cNvSpPr>
      </xdr:nvSpPr>
      <xdr:spPr bwMode="auto">
        <a:xfrm>
          <a:off x="1897064" y="41478200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207</xdr:row>
      <xdr:rowOff>9525</xdr:rowOff>
    </xdr:from>
    <xdr:to>
      <xdr:col>1</xdr:col>
      <xdr:colOff>3581077</xdr:colOff>
      <xdr:row>207</xdr:row>
      <xdr:rowOff>9525</xdr:rowOff>
    </xdr:to>
    <xdr:sp macro="" textlink="">
      <xdr:nvSpPr>
        <xdr:cNvPr id="29" name="Line 1">
          <a:extLst>
            <a:ext uri="{FF2B5EF4-FFF2-40B4-BE49-F238E27FC236}">
              <a16:creationId xmlns:a16="http://schemas.microsoft.com/office/drawing/2014/main" id="{129FD6D0-8D93-4637-AA10-37812471DDF9}"/>
            </a:ext>
          </a:extLst>
        </xdr:cNvPr>
        <xdr:cNvSpPr>
          <a:spLocks noChangeShapeType="1"/>
        </xdr:cNvSpPr>
      </xdr:nvSpPr>
      <xdr:spPr bwMode="auto">
        <a:xfrm>
          <a:off x="1897064" y="41478200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219</xdr:row>
      <xdr:rowOff>-1</xdr:rowOff>
    </xdr:from>
    <xdr:to>
      <xdr:col>2</xdr:col>
      <xdr:colOff>312424</xdr:colOff>
      <xdr:row>219</xdr:row>
      <xdr:rowOff>7936</xdr:rowOff>
    </xdr:to>
    <xdr:sp macro="" textlink="">
      <xdr:nvSpPr>
        <xdr:cNvPr id="30" name="Line 2">
          <a:extLst>
            <a:ext uri="{FF2B5EF4-FFF2-40B4-BE49-F238E27FC236}">
              <a16:creationId xmlns:a16="http://schemas.microsoft.com/office/drawing/2014/main" id="{14FFFC93-F523-4373-AF39-2451CF94CB52}"/>
            </a:ext>
          </a:extLst>
        </xdr:cNvPr>
        <xdr:cNvSpPr>
          <a:spLocks noChangeShapeType="1"/>
        </xdr:cNvSpPr>
      </xdr:nvSpPr>
      <xdr:spPr bwMode="auto">
        <a:xfrm>
          <a:off x="1751017" y="43872149"/>
          <a:ext cx="2803207" cy="111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161</xdr:row>
      <xdr:rowOff>9525</xdr:rowOff>
    </xdr:from>
    <xdr:to>
      <xdr:col>1</xdr:col>
      <xdr:colOff>3581077</xdr:colOff>
      <xdr:row>161</xdr:row>
      <xdr:rowOff>9525</xdr:rowOff>
    </xdr:to>
    <xdr:sp macro="" textlink="">
      <xdr:nvSpPr>
        <xdr:cNvPr id="31" name="Line 1">
          <a:extLst>
            <a:ext uri="{FF2B5EF4-FFF2-40B4-BE49-F238E27FC236}">
              <a16:creationId xmlns:a16="http://schemas.microsoft.com/office/drawing/2014/main" id="{D00257A4-44BC-42B5-B1CF-B3C8E9D195DD}"/>
            </a:ext>
          </a:extLst>
        </xdr:cNvPr>
        <xdr:cNvSpPr>
          <a:spLocks noChangeShapeType="1"/>
        </xdr:cNvSpPr>
      </xdr:nvSpPr>
      <xdr:spPr bwMode="auto">
        <a:xfrm>
          <a:off x="1897064" y="32419925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240</xdr:row>
      <xdr:rowOff>9525</xdr:rowOff>
    </xdr:from>
    <xdr:to>
      <xdr:col>1</xdr:col>
      <xdr:colOff>3581077</xdr:colOff>
      <xdr:row>240</xdr:row>
      <xdr:rowOff>9525</xdr:rowOff>
    </xdr:to>
    <xdr:sp macro="" textlink="">
      <xdr:nvSpPr>
        <xdr:cNvPr id="33" name="Line 1">
          <a:extLst>
            <a:ext uri="{FF2B5EF4-FFF2-40B4-BE49-F238E27FC236}">
              <a16:creationId xmlns:a16="http://schemas.microsoft.com/office/drawing/2014/main" id="{C967E66D-936C-4D16-9299-E40B54A61D04}"/>
            </a:ext>
          </a:extLst>
        </xdr:cNvPr>
        <xdr:cNvSpPr>
          <a:spLocks noChangeShapeType="1"/>
        </xdr:cNvSpPr>
      </xdr:nvSpPr>
      <xdr:spPr bwMode="auto">
        <a:xfrm>
          <a:off x="1897064" y="48136175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240</xdr:row>
      <xdr:rowOff>9525</xdr:rowOff>
    </xdr:from>
    <xdr:to>
      <xdr:col>1</xdr:col>
      <xdr:colOff>3581077</xdr:colOff>
      <xdr:row>240</xdr:row>
      <xdr:rowOff>9525</xdr:rowOff>
    </xdr:to>
    <xdr:sp macro="" textlink="">
      <xdr:nvSpPr>
        <xdr:cNvPr id="34" name="Line 1">
          <a:extLst>
            <a:ext uri="{FF2B5EF4-FFF2-40B4-BE49-F238E27FC236}">
              <a16:creationId xmlns:a16="http://schemas.microsoft.com/office/drawing/2014/main" id="{8B7090D2-D197-447B-A35B-C1DBA8347B85}"/>
            </a:ext>
          </a:extLst>
        </xdr:cNvPr>
        <xdr:cNvSpPr>
          <a:spLocks noChangeShapeType="1"/>
        </xdr:cNvSpPr>
      </xdr:nvSpPr>
      <xdr:spPr bwMode="auto">
        <a:xfrm>
          <a:off x="1897064" y="48136175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252</xdr:row>
      <xdr:rowOff>-1</xdr:rowOff>
    </xdr:from>
    <xdr:to>
      <xdr:col>2</xdr:col>
      <xdr:colOff>312424</xdr:colOff>
      <xdr:row>252</xdr:row>
      <xdr:rowOff>7936</xdr:rowOff>
    </xdr:to>
    <xdr:sp macro="" textlink="">
      <xdr:nvSpPr>
        <xdr:cNvPr id="35" name="Line 2">
          <a:extLst>
            <a:ext uri="{FF2B5EF4-FFF2-40B4-BE49-F238E27FC236}">
              <a16:creationId xmlns:a16="http://schemas.microsoft.com/office/drawing/2014/main" id="{FC36EAC2-A9B1-429E-9E8B-0F6B1984B2F7}"/>
            </a:ext>
          </a:extLst>
        </xdr:cNvPr>
        <xdr:cNvSpPr>
          <a:spLocks noChangeShapeType="1"/>
        </xdr:cNvSpPr>
      </xdr:nvSpPr>
      <xdr:spPr bwMode="auto">
        <a:xfrm>
          <a:off x="1751017" y="50530124"/>
          <a:ext cx="2803207" cy="111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1531939</xdr:colOff>
      <xdr:row>240</xdr:row>
      <xdr:rowOff>9525</xdr:rowOff>
    </xdr:from>
    <xdr:to>
      <xdr:col>1</xdr:col>
      <xdr:colOff>3581077</xdr:colOff>
      <xdr:row>240</xdr:row>
      <xdr:rowOff>9525</xdr:rowOff>
    </xdr:to>
    <xdr:sp macro="" textlink="">
      <xdr:nvSpPr>
        <xdr:cNvPr id="36" name="Line 1">
          <a:extLst>
            <a:ext uri="{FF2B5EF4-FFF2-40B4-BE49-F238E27FC236}">
              <a16:creationId xmlns:a16="http://schemas.microsoft.com/office/drawing/2014/main" id="{DE78F17D-3713-4D63-B97D-EF0593015DD2}"/>
            </a:ext>
          </a:extLst>
        </xdr:cNvPr>
        <xdr:cNvSpPr>
          <a:spLocks noChangeShapeType="1"/>
        </xdr:cNvSpPr>
      </xdr:nvSpPr>
      <xdr:spPr bwMode="auto">
        <a:xfrm>
          <a:off x="1897064" y="48136175"/>
          <a:ext cx="20459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1389067</xdr:colOff>
      <xdr:row>251</xdr:row>
      <xdr:rowOff>202405</xdr:rowOff>
    </xdr:from>
    <xdr:to>
      <xdr:col>2</xdr:col>
      <xdr:colOff>312424</xdr:colOff>
      <xdr:row>252</xdr:row>
      <xdr:rowOff>7936</xdr:rowOff>
    </xdr:to>
    <xdr:sp macro="" textlink="">
      <xdr:nvSpPr>
        <xdr:cNvPr id="37" name="Line 2">
          <a:extLst>
            <a:ext uri="{FF2B5EF4-FFF2-40B4-BE49-F238E27FC236}">
              <a16:creationId xmlns:a16="http://schemas.microsoft.com/office/drawing/2014/main" id="{29C46225-3544-4A89-8C08-4E211CB28934}"/>
            </a:ext>
          </a:extLst>
        </xdr:cNvPr>
        <xdr:cNvSpPr>
          <a:spLocks noChangeShapeType="1"/>
        </xdr:cNvSpPr>
      </xdr:nvSpPr>
      <xdr:spPr bwMode="auto">
        <a:xfrm>
          <a:off x="1751017" y="50529330"/>
          <a:ext cx="2803207" cy="1190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D7298-592F-47BF-AE4A-563433831F27}">
  <sheetPr codeName="Sheet1">
    <pageSetUpPr fitToPage="1"/>
  </sheetPr>
  <dimension ref="A2:H42"/>
  <sheetViews>
    <sheetView tabSelected="1" zoomScale="80" zoomScaleNormal="80" workbookViewId="0"/>
  </sheetViews>
  <sheetFormatPr defaultColWidth="9.28515625" defaultRowHeight="15" x14ac:dyDescent="0.25"/>
  <cols>
    <col min="1" max="1" width="4.7109375" style="466" bestFit="1" customWidth="1"/>
    <col min="2" max="2" width="71.5703125" style="466" customWidth="1"/>
    <col min="3" max="3" width="1.5703125" style="466" customWidth="1"/>
    <col min="4" max="4" width="20.7109375" style="466" customWidth="1"/>
    <col min="5" max="5" width="1.5703125" style="466" customWidth="1"/>
    <col min="6" max="6" width="41" style="466" customWidth="1"/>
    <col min="7" max="7" width="4.7109375" style="466" customWidth="1"/>
    <col min="8" max="16384" width="9.28515625" style="466"/>
  </cols>
  <sheetData>
    <row r="2" spans="1:8" ht="18.75" x14ac:dyDescent="0.25">
      <c r="B2" s="467" t="s">
        <v>0</v>
      </c>
      <c r="C2" s="467"/>
      <c r="D2" s="468"/>
      <c r="E2" s="468"/>
      <c r="F2" s="468"/>
    </row>
    <row r="3" spans="1:8" ht="21.75" x14ac:dyDescent="0.25">
      <c r="B3" s="519" t="s">
        <v>730</v>
      </c>
      <c r="C3" s="467"/>
      <c r="D3" s="468"/>
      <c r="E3" s="468"/>
      <c r="F3" s="468"/>
    </row>
    <row r="4" spans="1:8" ht="18.75" x14ac:dyDescent="0.3">
      <c r="B4" s="469" t="s">
        <v>1</v>
      </c>
      <c r="C4" s="467"/>
      <c r="D4" s="467"/>
      <c r="E4" s="467"/>
      <c r="F4" s="467"/>
    </row>
    <row r="5" spans="1:8" ht="15.75" x14ac:dyDescent="0.25">
      <c r="B5" s="564" t="s">
        <v>2</v>
      </c>
      <c r="C5" s="564"/>
      <c r="D5" s="564"/>
      <c r="E5" s="564"/>
      <c r="F5" s="564"/>
      <c r="G5" s="1"/>
      <c r="H5" s="1"/>
    </row>
    <row r="6" spans="1:8" ht="15.75" x14ac:dyDescent="0.25">
      <c r="B6" s="4"/>
      <c r="C6" s="4"/>
      <c r="D6" s="470"/>
      <c r="E6" s="471"/>
      <c r="F6" s="4"/>
      <c r="G6" s="4"/>
    </row>
    <row r="7" spans="1:8" ht="15.75" x14ac:dyDescent="0.25">
      <c r="A7" s="2" t="s">
        <v>3</v>
      </c>
      <c r="B7" s="472" t="s">
        <v>4</v>
      </c>
      <c r="C7" s="472"/>
      <c r="D7" s="472" t="s">
        <v>5</v>
      </c>
      <c r="E7" s="473"/>
      <c r="F7" s="472" t="s">
        <v>6</v>
      </c>
      <c r="G7" s="2" t="s">
        <v>3</v>
      </c>
    </row>
    <row r="8" spans="1:8" ht="15.75" x14ac:dyDescent="0.25">
      <c r="A8" s="3" t="s">
        <v>7</v>
      </c>
      <c r="B8" s="4"/>
      <c r="C8" s="4"/>
      <c r="D8" s="474"/>
      <c r="E8" s="474"/>
      <c r="F8" s="474"/>
      <c r="G8" s="3" t="s">
        <v>7</v>
      </c>
    </row>
    <row r="9" spans="1:8" ht="15.75" x14ac:dyDescent="0.25">
      <c r="A9" s="2">
        <v>1</v>
      </c>
      <c r="B9" s="471" t="s">
        <v>716</v>
      </c>
      <c r="C9" s="471"/>
      <c r="D9" s="474"/>
      <c r="E9" s="474"/>
      <c r="F9" s="474"/>
      <c r="G9" s="2">
        <v>1</v>
      </c>
    </row>
    <row r="10" spans="1:8" ht="15.75" x14ac:dyDescent="0.25">
      <c r="A10" s="2">
        <f>A9+1</f>
        <v>2</v>
      </c>
      <c r="B10" s="4" t="s">
        <v>8</v>
      </c>
      <c r="C10" s="473"/>
      <c r="D10" s="475">
        <f>'Pg2 BK-1 Comparison'!J94</f>
        <v>3151.463735030964</v>
      </c>
      <c r="E10" s="475"/>
      <c r="F10" s="474" t="s">
        <v>9</v>
      </c>
      <c r="G10" s="2">
        <f>G9+1</f>
        <v>2</v>
      </c>
    </row>
    <row r="11" spans="1:8" ht="15.75" x14ac:dyDescent="0.25">
      <c r="A11" s="2">
        <f t="shared" ref="A11:A22" si="0">A10+1</f>
        <v>3</v>
      </c>
      <c r="B11" s="4"/>
      <c r="C11" s="474"/>
      <c r="D11" s="475"/>
      <c r="E11" s="475"/>
      <c r="F11" s="474"/>
      <c r="G11" s="2">
        <f t="shared" ref="G11:G22" si="1">G10+1</f>
        <v>3</v>
      </c>
    </row>
    <row r="12" spans="1:8" ht="15.75" x14ac:dyDescent="0.25">
      <c r="A12" s="2">
        <f t="shared" si="0"/>
        <v>4</v>
      </c>
      <c r="B12" s="4" t="s">
        <v>10</v>
      </c>
      <c r="C12" s="474"/>
      <c r="D12" s="476">
        <f>'Pg10 TO5 C4 Int Calc'!G64</f>
        <v>564.55434292280336</v>
      </c>
      <c r="E12" s="477"/>
      <c r="F12" s="474" t="s">
        <v>740</v>
      </c>
      <c r="G12" s="2">
        <f t="shared" si="1"/>
        <v>4</v>
      </c>
    </row>
    <row r="13" spans="1:8" ht="15.75" x14ac:dyDescent="0.25">
      <c r="A13" s="2">
        <f t="shared" si="0"/>
        <v>5</v>
      </c>
      <c r="B13" s="4"/>
      <c r="C13" s="474"/>
      <c r="D13" s="478"/>
      <c r="E13" s="478"/>
      <c r="F13" s="474"/>
      <c r="G13" s="2">
        <f t="shared" si="1"/>
        <v>5</v>
      </c>
    </row>
    <row r="14" spans="1:8" ht="15.75" x14ac:dyDescent="0.25">
      <c r="A14" s="2">
        <f t="shared" si="0"/>
        <v>6</v>
      </c>
      <c r="B14" s="479" t="s">
        <v>11</v>
      </c>
      <c r="C14" s="473"/>
      <c r="D14" s="480">
        <f>D10+D12</f>
        <v>3716.0180779537673</v>
      </c>
      <c r="E14" s="475"/>
      <c r="F14" s="474" t="s">
        <v>12</v>
      </c>
      <c r="G14" s="2">
        <f t="shared" si="1"/>
        <v>6</v>
      </c>
    </row>
    <row r="15" spans="1:8" ht="15.75" x14ac:dyDescent="0.25">
      <c r="A15" s="2">
        <f t="shared" si="0"/>
        <v>7</v>
      </c>
      <c r="B15" s="4"/>
      <c r="C15" s="474"/>
      <c r="D15" s="22"/>
      <c r="E15" s="4"/>
      <c r="F15" s="4"/>
      <c r="G15" s="2">
        <f t="shared" si="1"/>
        <v>7</v>
      </c>
    </row>
    <row r="16" spans="1:8" ht="15.75" x14ac:dyDescent="0.25">
      <c r="A16" s="2">
        <f t="shared" si="0"/>
        <v>8</v>
      </c>
      <c r="B16" s="4" t="s">
        <v>13</v>
      </c>
      <c r="C16" s="473"/>
      <c r="D16" s="29">
        <f>ROUND(D14*0.010275,0)</f>
        <v>38</v>
      </c>
      <c r="E16" s="4"/>
      <c r="F16" s="2" t="s">
        <v>14</v>
      </c>
      <c r="G16" s="2">
        <f t="shared" si="1"/>
        <v>8</v>
      </c>
    </row>
    <row r="17" spans="1:7" ht="15.75" x14ac:dyDescent="0.25">
      <c r="A17" s="2">
        <f t="shared" si="0"/>
        <v>9</v>
      </c>
      <c r="B17" s="4"/>
      <c r="C17" s="474"/>
      <c r="D17" s="22"/>
      <c r="E17" s="4"/>
      <c r="G17" s="2">
        <f t="shared" si="1"/>
        <v>9</v>
      </c>
    </row>
    <row r="18" spans="1:7" ht="15.75" x14ac:dyDescent="0.25">
      <c r="A18" s="2">
        <f t="shared" si="0"/>
        <v>10</v>
      </c>
      <c r="B18" s="481" t="s">
        <v>15</v>
      </c>
      <c r="C18" s="474"/>
      <c r="D18" s="22">
        <f>SUM(D14:D16)</f>
        <v>3754.0180779537673</v>
      </c>
      <c r="E18" s="4"/>
      <c r="F18" s="474" t="s">
        <v>16</v>
      </c>
      <c r="G18" s="2">
        <f t="shared" si="1"/>
        <v>10</v>
      </c>
    </row>
    <row r="19" spans="1:7" ht="15.75" x14ac:dyDescent="0.25">
      <c r="A19" s="2">
        <f t="shared" si="0"/>
        <v>11</v>
      </c>
      <c r="B19" s="4"/>
      <c r="C19" s="474"/>
      <c r="D19" s="22"/>
      <c r="E19" s="4"/>
      <c r="G19" s="2">
        <f t="shared" si="1"/>
        <v>11</v>
      </c>
    </row>
    <row r="20" spans="1:7" ht="15.75" x14ac:dyDescent="0.25">
      <c r="A20" s="2">
        <f t="shared" si="0"/>
        <v>12</v>
      </c>
      <c r="B20" s="4" t="s">
        <v>17</v>
      </c>
      <c r="C20" s="473"/>
      <c r="D20" s="29">
        <f>ROUND(D14*0.00165,0)</f>
        <v>6</v>
      </c>
      <c r="E20" s="4"/>
      <c r="F20" s="2" t="s">
        <v>18</v>
      </c>
      <c r="G20" s="2">
        <f t="shared" si="1"/>
        <v>12</v>
      </c>
    </row>
    <row r="21" spans="1:7" ht="15.75" x14ac:dyDescent="0.25">
      <c r="A21" s="2">
        <f t="shared" si="0"/>
        <v>13</v>
      </c>
      <c r="B21" s="4"/>
      <c r="C21" s="474"/>
      <c r="D21" s="482"/>
      <c r="E21" s="4"/>
      <c r="F21" s="2"/>
      <c r="G21" s="2">
        <f t="shared" si="1"/>
        <v>13</v>
      </c>
    </row>
    <row r="22" spans="1:7" ht="16.5" thickBot="1" x14ac:dyDescent="0.3">
      <c r="A22" s="2">
        <f t="shared" si="0"/>
        <v>14</v>
      </c>
      <c r="B22" s="481" t="s">
        <v>19</v>
      </c>
      <c r="C22" s="473"/>
      <c r="D22" s="483">
        <f>SUM(D18:D21)</f>
        <v>3760.0180779537673</v>
      </c>
      <c r="E22" s="4"/>
      <c r="F22" s="474" t="s">
        <v>20</v>
      </c>
      <c r="G22" s="2">
        <f t="shared" si="1"/>
        <v>14</v>
      </c>
    </row>
    <row r="23" spans="1:7" ht="16.5" thickTop="1" x14ac:dyDescent="0.25">
      <c r="B23" s="4"/>
      <c r="C23" s="4"/>
      <c r="D23" s="4"/>
      <c r="E23" s="4"/>
      <c r="F23" s="4"/>
      <c r="G23" s="4"/>
    </row>
    <row r="24" spans="1:7" ht="15.75" x14ac:dyDescent="0.25">
      <c r="B24" s="4"/>
      <c r="C24" s="4"/>
      <c r="D24" s="4"/>
      <c r="E24" s="4"/>
      <c r="F24" s="4"/>
      <c r="G24" s="4"/>
    </row>
    <row r="25" spans="1:7" ht="17.25" x14ac:dyDescent="0.25">
      <c r="A25" s="484">
        <v>1</v>
      </c>
      <c r="B25" s="4" t="s">
        <v>744</v>
      </c>
      <c r="C25" s="4"/>
      <c r="D25" s="4"/>
      <c r="E25" s="4"/>
      <c r="F25" s="4"/>
      <c r="G25" s="4"/>
    </row>
    <row r="26" spans="1:7" ht="15.75" x14ac:dyDescent="0.25">
      <c r="B26" s="4" t="s">
        <v>741</v>
      </c>
      <c r="C26" s="4"/>
      <c r="D26" s="4"/>
      <c r="E26" s="4"/>
      <c r="F26" s="4"/>
      <c r="G26" s="4"/>
    </row>
    <row r="27" spans="1:7" ht="15.75" x14ac:dyDescent="0.25">
      <c r="B27" s="4"/>
      <c r="C27" s="4"/>
      <c r="D27" s="4"/>
      <c r="E27" s="4"/>
      <c r="F27" s="4"/>
      <c r="G27" s="4"/>
    </row>
    <row r="28" spans="1:7" ht="15.75" x14ac:dyDescent="0.25">
      <c r="B28" s="4"/>
      <c r="C28" s="4"/>
      <c r="D28" s="4"/>
      <c r="E28" s="4"/>
      <c r="F28" s="4"/>
      <c r="G28" s="4"/>
    </row>
    <row r="29" spans="1:7" ht="15.75" x14ac:dyDescent="0.25">
      <c r="B29" s="4"/>
      <c r="C29" s="4"/>
      <c r="D29" s="4"/>
      <c r="E29" s="4"/>
      <c r="F29" s="4"/>
      <c r="G29" s="4"/>
    </row>
    <row r="30" spans="1:7" ht="17.25" x14ac:dyDescent="0.25">
      <c r="A30" s="484"/>
      <c r="B30" s="4"/>
      <c r="C30" s="4"/>
      <c r="D30" s="4"/>
      <c r="E30" s="4"/>
      <c r="F30" s="4"/>
      <c r="G30" s="4"/>
    </row>
    <row r="31" spans="1:7" ht="15.75" x14ac:dyDescent="0.25">
      <c r="B31" s="4"/>
      <c r="C31" s="4"/>
      <c r="D31" s="4"/>
      <c r="E31" s="4"/>
      <c r="F31" s="4"/>
      <c r="G31" s="4"/>
    </row>
    <row r="32" spans="1:7" ht="15.75" x14ac:dyDescent="0.25">
      <c r="B32" s="4"/>
      <c r="C32" s="4"/>
      <c r="D32" s="4"/>
      <c r="E32" s="4"/>
      <c r="F32" s="4"/>
      <c r="G32" s="4"/>
    </row>
    <row r="33" spans="2:7" ht="15.75" x14ac:dyDescent="0.25">
      <c r="B33" s="4"/>
      <c r="C33" s="4"/>
      <c r="D33" s="4"/>
      <c r="E33" s="4"/>
      <c r="F33" s="4"/>
      <c r="G33" s="4"/>
    </row>
    <row r="34" spans="2:7" ht="15.75" x14ac:dyDescent="0.25">
      <c r="B34" s="4"/>
      <c r="C34" s="4"/>
      <c r="D34" s="4"/>
      <c r="E34" s="4"/>
      <c r="F34" s="4"/>
      <c r="G34" s="4"/>
    </row>
    <row r="35" spans="2:7" ht="15.75" x14ac:dyDescent="0.25">
      <c r="B35" s="4"/>
      <c r="C35" s="4"/>
      <c r="D35" s="4"/>
      <c r="E35" s="4"/>
      <c r="F35" s="4"/>
      <c r="G35" s="4"/>
    </row>
    <row r="36" spans="2:7" ht="15.75" x14ac:dyDescent="0.25">
      <c r="B36" s="4"/>
      <c r="C36" s="4"/>
      <c r="D36" s="4"/>
      <c r="E36" s="4"/>
      <c r="F36" s="4"/>
      <c r="G36" s="4"/>
    </row>
    <row r="37" spans="2:7" ht="15.75" x14ac:dyDescent="0.25">
      <c r="B37" s="4"/>
      <c r="C37" s="4"/>
      <c r="D37" s="4"/>
      <c r="E37" s="4"/>
      <c r="F37" s="4"/>
      <c r="G37" s="4"/>
    </row>
    <row r="38" spans="2:7" ht="15.75" x14ac:dyDescent="0.25">
      <c r="B38" s="4"/>
      <c r="C38" s="4"/>
      <c r="D38" s="4"/>
      <c r="E38" s="4"/>
      <c r="F38" s="4"/>
      <c r="G38" s="4"/>
    </row>
    <row r="39" spans="2:7" ht="15.75" x14ac:dyDescent="0.25">
      <c r="B39" s="4"/>
      <c r="C39" s="4"/>
      <c r="D39" s="4"/>
      <c r="E39" s="4"/>
      <c r="F39" s="4"/>
      <c r="G39" s="4"/>
    </row>
    <row r="40" spans="2:7" ht="15.75" x14ac:dyDescent="0.25">
      <c r="B40" s="4"/>
      <c r="C40" s="4"/>
      <c r="D40" s="4"/>
      <c r="E40" s="4"/>
      <c r="F40" s="4"/>
      <c r="G40" s="4"/>
    </row>
    <row r="41" spans="2:7" ht="15.75" x14ac:dyDescent="0.25">
      <c r="B41" s="4"/>
      <c r="C41" s="4"/>
      <c r="D41" s="4"/>
      <c r="E41" s="4"/>
      <c r="F41" s="4"/>
      <c r="G41" s="4"/>
    </row>
    <row r="42" spans="2:7" ht="15.75" x14ac:dyDescent="0.25">
      <c r="B42" s="4"/>
      <c r="C42" s="4"/>
      <c r="D42" s="4"/>
      <c r="E42" s="4"/>
      <c r="F42" s="4"/>
      <c r="G42" s="4"/>
    </row>
  </sheetData>
  <mergeCells count="1">
    <mergeCell ref="B5:F5"/>
  </mergeCells>
  <printOptions horizontalCentered="1"/>
  <pageMargins left="0.25" right="0.25" top="0.5" bottom="0.5" header="0.25" footer="0.25"/>
  <pageSetup scale="69" orientation="portrait" r:id="rId1"/>
  <headerFooter scaleWithDoc="0" alignWithMargins="0">
    <oddFooter>&amp;L&amp;A&amp;C&amp;"Times New Roman,Regular"Page 1&amp;R&amp;F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34DE8-B96A-41F9-B179-AEB7BBE8D588}">
  <sheetPr>
    <pageSetUpPr fitToPage="1"/>
  </sheetPr>
  <dimension ref="A1:J52"/>
  <sheetViews>
    <sheetView zoomScale="80" zoomScaleNormal="80" workbookViewId="0"/>
  </sheetViews>
  <sheetFormatPr defaultColWidth="8.7109375" defaultRowHeight="15.75" x14ac:dyDescent="0.25"/>
  <cols>
    <col min="1" max="1" width="5.28515625" style="518" bestFit="1" customWidth="1"/>
    <col min="2" max="2" width="79.42578125" style="186" customWidth="1"/>
    <col min="3" max="3" width="24" style="428" customWidth="1"/>
    <col min="4" max="4" width="1.5703125" style="186" customWidth="1"/>
    <col min="5" max="5" width="16.7109375" style="186" customWidth="1"/>
    <col min="6" max="6" width="1.5703125" style="186" customWidth="1"/>
    <col min="7" max="7" width="16.7109375" style="186" customWidth="1"/>
    <col min="8" max="8" width="1.5703125" style="186" customWidth="1"/>
    <col min="9" max="9" width="39.28515625" style="186" bestFit="1" customWidth="1"/>
    <col min="10" max="10" width="5.28515625" style="186" customWidth="1"/>
    <col min="11" max="16384" width="8.7109375" style="186"/>
  </cols>
  <sheetData>
    <row r="1" spans="1:10" x14ac:dyDescent="0.25">
      <c r="H1" s="518"/>
      <c r="I1" s="518"/>
      <c r="J1" s="518"/>
    </row>
    <row r="2" spans="1:10" x14ac:dyDescent="0.25">
      <c r="B2" s="581" t="s">
        <v>206</v>
      </c>
      <c r="C2" s="582"/>
      <c r="D2" s="582"/>
      <c r="E2" s="582"/>
      <c r="F2" s="582"/>
      <c r="G2" s="582"/>
      <c r="H2" s="582"/>
      <c r="I2" s="582"/>
      <c r="J2" s="517"/>
    </row>
    <row r="3" spans="1:10" x14ac:dyDescent="0.25">
      <c r="B3" s="581" t="s">
        <v>468</v>
      </c>
      <c r="C3" s="582"/>
      <c r="D3" s="582"/>
      <c r="E3" s="582"/>
      <c r="F3" s="582"/>
      <c r="G3" s="582"/>
      <c r="H3" s="582"/>
      <c r="I3" s="582"/>
      <c r="J3" s="517"/>
    </row>
    <row r="4" spans="1:10" x14ac:dyDescent="0.25">
      <c r="B4" s="581" t="s">
        <v>469</v>
      </c>
      <c r="C4" s="582"/>
      <c r="D4" s="582"/>
      <c r="E4" s="582"/>
      <c r="F4" s="582"/>
      <c r="G4" s="582"/>
      <c r="H4" s="582"/>
      <c r="I4" s="582"/>
      <c r="J4" s="517"/>
    </row>
    <row r="5" spans="1:10" x14ac:dyDescent="0.25">
      <c r="B5" s="583" t="s">
        <v>285</v>
      </c>
      <c r="C5" s="583"/>
      <c r="D5" s="583"/>
      <c r="E5" s="583"/>
      <c r="F5" s="583"/>
      <c r="G5" s="583"/>
      <c r="H5" s="583"/>
      <c r="I5" s="583"/>
      <c r="J5" s="517"/>
    </row>
    <row r="6" spans="1:10" x14ac:dyDescent="0.25">
      <c r="B6" s="584" t="s">
        <v>2</v>
      </c>
      <c r="C6" s="584"/>
      <c r="D6" s="584"/>
      <c r="E6" s="584"/>
      <c r="F6" s="584"/>
      <c r="G6" s="584"/>
      <c r="H6" s="584"/>
      <c r="I6" s="584"/>
      <c r="J6" s="515"/>
    </row>
    <row r="7" spans="1:10" x14ac:dyDescent="0.25">
      <c r="B7" s="518"/>
      <c r="D7" s="518"/>
      <c r="E7" s="518"/>
      <c r="F7" s="518"/>
      <c r="G7" s="518"/>
      <c r="H7" s="517"/>
      <c r="I7" s="517"/>
      <c r="J7" s="517"/>
    </row>
    <row r="8" spans="1:10" x14ac:dyDescent="0.25">
      <c r="A8" s="518" t="s">
        <v>3</v>
      </c>
      <c r="B8" s="517"/>
      <c r="C8" s="165" t="s">
        <v>286</v>
      </c>
      <c r="D8" s="518"/>
      <c r="E8" s="518" t="s">
        <v>470</v>
      </c>
      <c r="F8" s="518"/>
      <c r="G8" s="518" t="s">
        <v>471</v>
      </c>
      <c r="H8" s="517"/>
      <c r="I8" s="517"/>
      <c r="J8" s="518" t="s">
        <v>3</v>
      </c>
    </row>
    <row r="9" spans="1:10" x14ac:dyDescent="0.25">
      <c r="A9" s="518" t="s">
        <v>7</v>
      </c>
      <c r="B9" s="517"/>
      <c r="C9" s="167" t="s">
        <v>289</v>
      </c>
      <c r="D9" s="517"/>
      <c r="E9" s="429" t="s">
        <v>472</v>
      </c>
      <c r="F9" s="517"/>
      <c r="G9" s="429" t="s">
        <v>290</v>
      </c>
      <c r="H9" s="517"/>
      <c r="I9" s="430" t="s">
        <v>6</v>
      </c>
      <c r="J9" s="518" t="s">
        <v>7</v>
      </c>
    </row>
    <row r="10" spans="1:10" x14ac:dyDescent="0.25">
      <c r="B10" s="518"/>
      <c r="D10" s="518"/>
      <c r="E10" s="518"/>
      <c r="F10" s="518"/>
      <c r="G10" s="518"/>
      <c r="H10" s="518"/>
      <c r="I10" s="518"/>
      <c r="J10" s="518"/>
    </row>
    <row r="11" spans="1:10" ht="18.75" x14ac:dyDescent="0.25">
      <c r="A11" s="518">
        <v>1</v>
      </c>
      <c r="B11" s="186" t="s">
        <v>473</v>
      </c>
      <c r="C11" s="518" t="s">
        <v>474</v>
      </c>
      <c r="E11" s="431"/>
      <c r="F11" s="432"/>
      <c r="G11" s="433">
        <v>128758.20369230768</v>
      </c>
      <c r="H11" s="432"/>
      <c r="I11" s="414" t="s">
        <v>475</v>
      </c>
      <c r="J11" s="518">
        <f>A11</f>
        <v>1</v>
      </c>
    </row>
    <row r="12" spans="1:10" x14ac:dyDescent="0.25">
      <c r="A12" s="518">
        <f>+A11+1</f>
        <v>2</v>
      </c>
      <c r="C12" s="518"/>
      <c r="E12" s="434"/>
      <c r="F12" s="435"/>
      <c r="G12" s="435"/>
      <c r="H12" s="435"/>
      <c r="I12" s="414"/>
      <c r="J12" s="518">
        <f>+J11+1</f>
        <v>2</v>
      </c>
    </row>
    <row r="13" spans="1:10" x14ac:dyDescent="0.25">
      <c r="A13" s="518">
        <f t="shared" ref="A13:A44" si="0">+A12+1</f>
        <v>3</v>
      </c>
      <c r="B13" s="186" t="s">
        <v>476</v>
      </c>
      <c r="C13" s="518"/>
      <c r="E13" s="436"/>
      <c r="F13" s="437"/>
      <c r="G13" s="438">
        <v>0.40360702730459591</v>
      </c>
      <c r="H13" s="42"/>
      <c r="I13" s="414" t="s">
        <v>477</v>
      </c>
      <c r="J13" s="518">
        <f t="shared" ref="J13:J44" si="1">+J12+1</f>
        <v>3</v>
      </c>
    </row>
    <row r="14" spans="1:10" x14ac:dyDescent="0.25">
      <c r="A14" s="518">
        <f t="shared" si="0"/>
        <v>4</v>
      </c>
      <c r="C14" s="518"/>
      <c r="E14" s="434"/>
      <c r="F14" s="435"/>
      <c r="G14" s="434"/>
      <c r="H14" s="435"/>
      <c r="I14" s="414"/>
      <c r="J14" s="518">
        <f t="shared" si="1"/>
        <v>4</v>
      </c>
    </row>
    <row r="15" spans="1:10" ht="16.5" thickBot="1" x14ac:dyDescent="0.3">
      <c r="A15" s="518">
        <f t="shared" si="0"/>
        <v>5</v>
      </c>
      <c r="B15" s="186" t="s">
        <v>478</v>
      </c>
      <c r="C15" s="518"/>
      <c r="E15" s="439"/>
      <c r="F15" s="435"/>
      <c r="G15" s="440">
        <f>ROUND(G11*G13,0)</f>
        <v>51968</v>
      </c>
      <c r="H15" s="42"/>
      <c r="I15" s="414" t="s">
        <v>479</v>
      </c>
      <c r="J15" s="518">
        <f t="shared" si="1"/>
        <v>5</v>
      </c>
    </row>
    <row r="16" spans="1:10" ht="16.5" thickTop="1" x14ac:dyDescent="0.25">
      <c r="A16" s="518">
        <f t="shared" si="0"/>
        <v>6</v>
      </c>
      <c r="C16" s="518"/>
      <c r="E16" s="441"/>
      <c r="F16" s="518"/>
      <c r="G16" s="518"/>
      <c r="H16" s="518"/>
      <c r="I16" s="414"/>
      <c r="J16" s="518">
        <f t="shared" si="1"/>
        <v>6</v>
      </c>
    </row>
    <row r="17" spans="1:10" ht="18.75" x14ac:dyDescent="0.25">
      <c r="A17" s="518">
        <f t="shared" si="0"/>
        <v>7</v>
      </c>
      <c r="B17" s="186" t="s">
        <v>480</v>
      </c>
      <c r="C17" s="518" t="s">
        <v>481</v>
      </c>
      <c r="D17" s="442"/>
      <c r="E17" s="431"/>
      <c r="F17" s="435"/>
      <c r="G17" s="443">
        <v>93697.406000000017</v>
      </c>
      <c r="H17" s="432"/>
      <c r="I17" s="414" t="s">
        <v>482</v>
      </c>
      <c r="J17" s="518">
        <f t="shared" si="1"/>
        <v>7</v>
      </c>
    </row>
    <row r="18" spans="1:10" x14ac:dyDescent="0.25">
      <c r="A18" s="518">
        <f t="shared" si="0"/>
        <v>8</v>
      </c>
      <c r="C18" s="518"/>
      <c r="E18" s="444"/>
      <c r="F18" s="435"/>
      <c r="G18" s="435"/>
      <c r="H18" s="435"/>
      <c r="I18" s="414"/>
      <c r="J18" s="518">
        <f t="shared" si="1"/>
        <v>8</v>
      </c>
    </row>
    <row r="19" spans="1:10" ht="16.5" thickBot="1" x14ac:dyDescent="0.3">
      <c r="A19" s="518">
        <f t="shared" si="0"/>
        <v>9</v>
      </c>
      <c r="B19" s="186" t="s">
        <v>483</v>
      </c>
      <c r="E19" s="431"/>
      <c r="F19" s="435"/>
      <c r="G19" s="440">
        <f>ROUND(G13*G17,0)</f>
        <v>37817</v>
      </c>
      <c r="H19" s="42"/>
      <c r="I19" s="414" t="s">
        <v>484</v>
      </c>
      <c r="J19" s="518">
        <f t="shared" si="1"/>
        <v>9</v>
      </c>
    </row>
    <row r="20" spans="1:10" ht="16.5" thickTop="1" x14ac:dyDescent="0.25">
      <c r="A20" s="518">
        <f t="shared" si="0"/>
        <v>10</v>
      </c>
      <c r="E20" s="445"/>
      <c r="F20" s="435"/>
      <c r="G20" s="435"/>
      <c r="H20" s="435"/>
      <c r="I20" s="414"/>
      <c r="J20" s="518">
        <f t="shared" si="1"/>
        <v>10</v>
      </c>
    </row>
    <row r="21" spans="1:10" x14ac:dyDescent="0.25">
      <c r="A21" s="518">
        <f t="shared" si="0"/>
        <v>11</v>
      </c>
      <c r="B21" s="446" t="s">
        <v>485</v>
      </c>
      <c r="E21" s="445"/>
      <c r="F21" s="435"/>
      <c r="G21" s="435"/>
      <c r="H21" s="435"/>
      <c r="I21" s="414"/>
      <c r="J21" s="518">
        <f t="shared" si="1"/>
        <v>11</v>
      </c>
    </row>
    <row r="22" spans="1:10" x14ac:dyDescent="0.25">
      <c r="A22" s="518">
        <f t="shared" si="0"/>
        <v>12</v>
      </c>
      <c r="B22" s="186" t="s">
        <v>486</v>
      </c>
      <c r="E22" s="447">
        <v>95535.541019356009</v>
      </c>
      <c r="F22" s="435"/>
      <c r="G22" s="448"/>
      <c r="H22" s="435"/>
      <c r="I22" s="414" t="s">
        <v>279</v>
      </c>
      <c r="J22" s="518">
        <f t="shared" si="1"/>
        <v>12</v>
      </c>
    </row>
    <row r="23" spans="1:10" x14ac:dyDescent="0.25">
      <c r="A23" s="518">
        <f t="shared" si="0"/>
        <v>13</v>
      </c>
      <c r="B23" s="186" t="s">
        <v>487</v>
      </c>
      <c r="E23" s="460">
        <f>'Pg6 Rev Stmt AH'!E43</f>
        <v>84464</v>
      </c>
      <c r="F23" s="42" t="s">
        <v>33</v>
      </c>
      <c r="G23" s="449"/>
      <c r="H23" s="435"/>
      <c r="I23" s="414" t="s">
        <v>711</v>
      </c>
      <c r="J23" s="518">
        <f t="shared" si="1"/>
        <v>13</v>
      </c>
    </row>
    <row r="24" spans="1:10" x14ac:dyDescent="0.25">
      <c r="A24" s="518">
        <f t="shared" si="0"/>
        <v>14</v>
      </c>
      <c r="B24" s="186" t="s">
        <v>488</v>
      </c>
      <c r="E24" s="450">
        <v>0</v>
      </c>
      <c r="F24" s="435"/>
      <c r="G24" s="449"/>
      <c r="H24" s="435"/>
      <c r="I24" s="414" t="s">
        <v>281</v>
      </c>
      <c r="J24" s="518">
        <f t="shared" si="1"/>
        <v>14</v>
      </c>
    </row>
    <row r="25" spans="1:10" x14ac:dyDescent="0.25">
      <c r="A25" s="518">
        <f t="shared" si="0"/>
        <v>15</v>
      </c>
      <c r="B25" s="186" t="s">
        <v>489</v>
      </c>
      <c r="E25" s="461">
        <f>SUM(E22:E24)</f>
        <v>179999.54101935599</v>
      </c>
      <c r="F25" s="42" t="s">
        <v>33</v>
      </c>
      <c r="G25" s="442"/>
      <c r="H25" s="414"/>
      <c r="I25" s="414" t="s">
        <v>490</v>
      </c>
      <c r="J25" s="518">
        <f t="shared" si="1"/>
        <v>15</v>
      </c>
    </row>
    <row r="26" spans="1:10" x14ac:dyDescent="0.25">
      <c r="A26" s="518">
        <f t="shared" si="0"/>
        <v>16</v>
      </c>
      <c r="F26" s="518"/>
      <c r="H26" s="518"/>
      <c r="I26" s="414"/>
      <c r="J26" s="518">
        <f t="shared" si="1"/>
        <v>16</v>
      </c>
    </row>
    <row r="27" spans="1:10" x14ac:dyDescent="0.25">
      <c r="A27" s="518">
        <f t="shared" si="0"/>
        <v>17</v>
      </c>
      <c r="B27" s="186" t="s">
        <v>491</v>
      </c>
      <c r="E27" s="451">
        <f>1/8</f>
        <v>0.125</v>
      </c>
      <c r="F27" s="518"/>
      <c r="G27" s="452"/>
      <c r="H27" s="518"/>
      <c r="I27" s="414" t="s">
        <v>492</v>
      </c>
      <c r="J27" s="518">
        <f t="shared" si="1"/>
        <v>17</v>
      </c>
    </row>
    <row r="28" spans="1:10" x14ac:dyDescent="0.25">
      <c r="A28" s="518">
        <f t="shared" si="0"/>
        <v>18</v>
      </c>
      <c r="E28" s="434" t="s">
        <v>21</v>
      </c>
      <c r="F28" s="435"/>
      <c r="G28" s="434"/>
      <c r="H28" s="435"/>
      <c r="I28" s="414"/>
      <c r="J28" s="518">
        <f t="shared" si="1"/>
        <v>18</v>
      </c>
    </row>
    <row r="29" spans="1:10" ht="16.5" thickBot="1" x14ac:dyDescent="0.3">
      <c r="A29" s="518">
        <f t="shared" si="0"/>
        <v>19</v>
      </c>
      <c r="B29" s="186" t="s">
        <v>493</v>
      </c>
      <c r="E29" s="462">
        <f>E25*E27</f>
        <v>22499.942627419499</v>
      </c>
      <c r="F29" s="42" t="s">
        <v>33</v>
      </c>
      <c r="G29" s="439"/>
      <c r="H29" s="435"/>
      <c r="I29" s="518" t="s">
        <v>494</v>
      </c>
      <c r="J29" s="518">
        <f t="shared" si="1"/>
        <v>19</v>
      </c>
    </row>
    <row r="30" spans="1:10" ht="16.5" thickTop="1" x14ac:dyDescent="0.25">
      <c r="A30" s="518">
        <f t="shared" si="0"/>
        <v>20</v>
      </c>
      <c r="E30" s="439"/>
      <c r="F30" s="432"/>
      <c r="G30" s="439"/>
      <c r="H30" s="435"/>
      <c r="I30" s="518"/>
      <c r="J30" s="518">
        <f t="shared" si="1"/>
        <v>20</v>
      </c>
    </row>
    <row r="31" spans="1:10" x14ac:dyDescent="0.25">
      <c r="A31" s="518">
        <f t="shared" si="0"/>
        <v>21</v>
      </c>
      <c r="B31" s="446" t="s">
        <v>495</v>
      </c>
      <c r="E31" s="445"/>
      <c r="F31" s="435"/>
      <c r="G31" s="435"/>
      <c r="H31" s="435"/>
      <c r="I31" s="414"/>
      <c r="J31" s="518">
        <f t="shared" si="1"/>
        <v>21</v>
      </c>
    </row>
    <row r="32" spans="1:10" x14ac:dyDescent="0.25">
      <c r="A32" s="518">
        <f t="shared" si="0"/>
        <v>22</v>
      </c>
      <c r="B32" s="186" t="s">
        <v>488</v>
      </c>
      <c r="E32" s="400">
        <f>E24</f>
        <v>0</v>
      </c>
      <c r="F32" s="435"/>
      <c r="G32" s="448"/>
      <c r="H32" s="435"/>
      <c r="I32" s="414" t="s">
        <v>496</v>
      </c>
      <c r="J32" s="518">
        <f t="shared" si="1"/>
        <v>22</v>
      </c>
    </row>
    <row r="33" spans="1:10" x14ac:dyDescent="0.25">
      <c r="A33" s="518">
        <f t="shared" si="0"/>
        <v>23</v>
      </c>
      <c r="E33" s="453"/>
      <c r="F33" s="435"/>
      <c r="G33" s="448"/>
      <c r="H33" s="435"/>
      <c r="I33" s="414"/>
      <c r="J33" s="518">
        <f t="shared" si="1"/>
        <v>23</v>
      </c>
    </row>
    <row r="34" spans="1:10" x14ac:dyDescent="0.25">
      <c r="A34" s="518">
        <f t="shared" si="0"/>
        <v>24</v>
      </c>
      <c r="B34" s="186" t="s">
        <v>491</v>
      </c>
      <c r="E34" s="454">
        <f>E27</f>
        <v>0.125</v>
      </c>
      <c r="F34" s="518"/>
      <c r="G34" s="452"/>
      <c r="H34" s="518"/>
      <c r="I34" s="414" t="s">
        <v>497</v>
      </c>
      <c r="J34" s="518">
        <f t="shared" si="1"/>
        <v>24</v>
      </c>
    </row>
    <row r="35" spans="1:10" x14ac:dyDescent="0.25">
      <c r="A35" s="518">
        <f t="shared" si="0"/>
        <v>25</v>
      </c>
      <c r="E35" s="452"/>
      <c r="F35" s="518"/>
      <c r="G35" s="452"/>
      <c r="H35" s="518"/>
      <c r="I35" s="414"/>
      <c r="J35" s="518">
        <f t="shared" si="1"/>
        <v>25</v>
      </c>
    </row>
    <row r="36" spans="1:10" x14ac:dyDescent="0.25">
      <c r="A36" s="518">
        <f t="shared" si="0"/>
        <v>26</v>
      </c>
      <c r="B36" s="186" t="s">
        <v>498</v>
      </c>
      <c r="E36" s="187">
        <f>E32*E34</f>
        <v>0</v>
      </c>
      <c r="F36" s="518"/>
      <c r="G36" s="452"/>
      <c r="H36" s="518"/>
      <c r="I36" s="518" t="s">
        <v>499</v>
      </c>
      <c r="J36" s="518">
        <f t="shared" si="1"/>
        <v>26</v>
      </c>
    </row>
    <row r="37" spans="1:10" x14ac:dyDescent="0.25">
      <c r="A37" s="518">
        <f t="shared" si="0"/>
        <v>27</v>
      </c>
      <c r="J37" s="518">
        <f t="shared" si="1"/>
        <v>27</v>
      </c>
    </row>
    <row r="38" spans="1:10" ht="18.75" x14ac:dyDescent="0.25">
      <c r="A38" s="518">
        <f t="shared" si="0"/>
        <v>28</v>
      </c>
      <c r="B38" s="455" t="s">
        <v>500</v>
      </c>
      <c r="C38" s="518"/>
      <c r="E38" s="456">
        <f>'Pg8 Rev Stmt AV'!G146</f>
        <v>9.5816789408915859E-2</v>
      </c>
      <c r="F38" s="42"/>
      <c r="I38" s="28" t="s">
        <v>725</v>
      </c>
      <c r="J38" s="518">
        <f t="shared" si="1"/>
        <v>28</v>
      </c>
    </row>
    <row r="39" spans="1:10" x14ac:dyDescent="0.25">
      <c r="A39" s="518">
        <f t="shared" si="0"/>
        <v>29</v>
      </c>
      <c r="C39" s="518"/>
      <c r="J39" s="518">
        <f t="shared" si="1"/>
        <v>29</v>
      </c>
    </row>
    <row r="40" spans="1:10" ht="19.5" thickBot="1" x14ac:dyDescent="0.3">
      <c r="A40" s="518">
        <f t="shared" si="0"/>
        <v>30</v>
      </c>
      <c r="B40" s="186" t="s">
        <v>501</v>
      </c>
      <c r="C40" s="518"/>
      <c r="E40" s="457">
        <f>E36*E38</f>
        <v>0</v>
      </c>
      <c r="I40" s="518" t="s">
        <v>502</v>
      </c>
      <c r="J40" s="518">
        <f t="shared" si="1"/>
        <v>30</v>
      </c>
    </row>
    <row r="41" spans="1:10" ht="16.5" thickTop="1" x14ac:dyDescent="0.25">
      <c r="A41" s="518">
        <f t="shared" si="0"/>
        <v>31</v>
      </c>
      <c r="C41" s="518"/>
      <c r="E41" s="458"/>
      <c r="I41" s="518"/>
      <c r="J41" s="518">
        <f t="shared" si="1"/>
        <v>31</v>
      </c>
    </row>
    <row r="42" spans="1:10" ht="18.75" x14ac:dyDescent="0.25">
      <c r="A42" s="518">
        <f t="shared" si="0"/>
        <v>32</v>
      </c>
      <c r="B42" s="455" t="s">
        <v>503</v>
      </c>
      <c r="C42" s="518"/>
      <c r="E42" s="456">
        <f>'Pg8 Rev Stmt AV'!G179</f>
        <v>3.8994570343371454E-3</v>
      </c>
      <c r="I42" s="28" t="s">
        <v>713</v>
      </c>
      <c r="J42" s="518">
        <f t="shared" si="1"/>
        <v>32</v>
      </c>
    </row>
    <row r="43" spans="1:10" x14ac:dyDescent="0.25">
      <c r="A43" s="518">
        <f t="shared" si="0"/>
        <v>33</v>
      </c>
      <c r="C43" s="518"/>
      <c r="E43" s="458"/>
      <c r="I43" s="518"/>
      <c r="J43" s="518">
        <f t="shared" si="1"/>
        <v>33</v>
      </c>
    </row>
    <row r="44" spans="1:10" ht="19.5" thickBot="1" x14ac:dyDescent="0.3">
      <c r="A44" s="518">
        <f t="shared" si="0"/>
        <v>34</v>
      </c>
      <c r="B44" s="186" t="s">
        <v>504</v>
      </c>
      <c r="C44" s="518"/>
      <c r="E44" s="457">
        <f>E36*E42</f>
        <v>0</v>
      </c>
      <c r="I44" s="518" t="s">
        <v>505</v>
      </c>
      <c r="J44" s="518">
        <f t="shared" si="1"/>
        <v>34</v>
      </c>
    </row>
    <row r="45" spans="1:10" ht="16.5" thickTop="1" x14ac:dyDescent="0.25">
      <c r="C45" s="518"/>
      <c r="E45" s="458"/>
      <c r="I45" s="518"/>
      <c r="J45" s="518"/>
    </row>
    <row r="46" spans="1:10" x14ac:dyDescent="0.25">
      <c r="C46" s="518"/>
      <c r="E46" s="458"/>
      <c r="I46" s="518"/>
      <c r="J46" s="518"/>
    </row>
    <row r="47" spans="1:10" x14ac:dyDescent="0.25">
      <c r="A47" s="42" t="s">
        <v>33</v>
      </c>
      <c r="B47" s="12" t="str">
        <f>'Pg6 Rev Stmt AH'!B65</f>
        <v>Items in BOLD have changed due to A&amp;G adj. missed in prior cost adj. filing and CEMA/WMPMA exclusion corrections compared to the original TO5 Cycle 4 filing per ER22-527 and cost adj.</v>
      </c>
      <c r="C47" s="518"/>
    </row>
    <row r="48" spans="1:10" x14ac:dyDescent="0.25">
      <c r="A48" s="42"/>
      <c r="B48" s="12" t="str">
        <f>'Pg6 Rev Stmt AH'!B66</f>
        <v>incl. in TO5 Cycle 5 per ER23-542.</v>
      </c>
      <c r="C48" s="518"/>
    </row>
    <row r="49" spans="1:3" ht="18.75" x14ac:dyDescent="0.25">
      <c r="A49" s="459">
        <v>1</v>
      </c>
      <c r="B49" s="186" t="s">
        <v>506</v>
      </c>
      <c r="C49" s="518"/>
    </row>
    <row r="50" spans="1:3" ht="18.75" x14ac:dyDescent="0.25">
      <c r="A50" s="459">
        <v>2</v>
      </c>
      <c r="B50" s="186" t="s">
        <v>507</v>
      </c>
      <c r="C50" s="518"/>
    </row>
    <row r="51" spans="1:3" x14ac:dyDescent="0.25">
      <c r="A51" s="517"/>
      <c r="B51" s="186" t="s">
        <v>508</v>
      </c>
    </row>
    <row r="52" spans="1:3" ht="18.75" x14ac:dyDescent="0.25">
      <c r="A52" s="487">
        <v>3</v>
      </c>
      <c r="B52" s="186" t="s">
        <v>509</v>
      </c>
    </row>
  </sheetData>
  <mergeCells count="5">
    <mergeCell ref="B2:I2"/>
    <mergeCell ref="B3:I3"/>
    <mergeCell ref="B4:I4"/>
    <mergeCell ref="B5:I5"/>
    <mergeCell ref="B6:I6"/>
  </mergeCells>
  <printOptions horizontalCentered="1"/>
  <pageMargins left="0.25" right="0.25" top="0.5" bottom="0.5" header="0.35" footer="0.25"/>
  <pageSetup scale="53" orientation="portrait" horizontalDpi="200" verticalDpi="200" r:id="rId1"/>
  <headerFooter scaleWithDoc="0" alignWithMargins="0">
    <oddHeader>&amp;C&amp;"Times New Roman,Bold"&amp;7REVISED</oddHeader>
    <oddFooter>&amp;L&amp;A&amp;CPage 7&amp;R&amp;F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D2D9E-F26C-49FE-AA6F-0E27D3D6A8C1}">
  <sheetPr>
    <pageSetUpPr fitToPage="1"/>
  </sheetPr>
  <dimension ref="A1:J52"/>
  <sheetViews>
    <sheetView zoomScale="80" zoomScaleNormal="80" workbookViewId="0"/>
  </sheetViews>
  <sheetFormatPr defaultColWidth="8.7109375" defaultRowHeight="15.75" x14ac:dyDescent="0.25"/>
  <cols>
    <col min="1" max="1" width="5.28515625" style="518" bestFit="1" customWidth="1"/>
    <col min="2" max="2" width="79.42578125" style="186" customWidth="1"/>
    <col min="3" max="3" width="24" style="428" customWidth="1"/>
    <col min="4" max="4" width="1.5703125" style="186" customWidth="1"/>
    <col min="5" max="5" width="16.7109375" style="186" customWidth="1"/>
    <col min="6" max="6" width="1.5703125" style="186" customWidth="1"/>
    <col min="7" max="7" width="16.7109375" style="186" customWidth="1"/>
    <col min="8" max="8" width="1.5703125" style="186" customWidth="1"/>
    <col min="9" max="9" width="39.28515625" style="186" bestFit="1" customWidth="1"/>
    <col min="10" max="10" width="5.28515625" style="186" customWidth="1"/>
    <col min="11" max="16384" width="8.7109375" style="186"/>
  </cols>
  <sheetData>
    <row r="1" spans="1:10" x14ac:dyDescent="0.25">
      <c r="A1" s="486" t="s">
        <v>510</v>
      </c>
    </row>
    <row r="2" spans="1:10" x14ac:dyDescent="0.25">
      <c r="H2" s="518"/>
      <c r="I2" s="518"/>
      <c r="J2" s="518"/>
    </row>
    <row r="3" spans="1:10" x14ac:dyDescent="0.25">
      <c r="B3" s="581" t="s">
        <v>206</v>
      </c>
      <c r="C3" s="582"/>
      <c r="D3" s="582"/>
      <c r="E3" s="582"/>
      <c r="F3" s="582"/>
      <c r="G3" s="582"/>
      <c r="H3" s="582"/>
      <c r="I3" s="582"/>
      <c r="J3" s="517"/>
    </row>
    <row r="4" spans="1:10" x14ac:dyDescent="0.25">
      <c r="B4" s="581" t="s">
        <v>468</v>
      </c>
      <c r="C4" s="582"/>
      <c r="D4" s="582"/>
      <c r="E4" s="582"/>
      <c r="F4" s="582"/>
      <c r="G4" s="582"/>
      <c r="H4" s="582"/>
      <c r="I4" s="582"/>
      <c r="J4" s="517"/>
    </row>
    <row r="5" spans="1:10" x14ac:dyDescent="0.25">
      <c r="B5" s="581" t="s">
        <v>469</v>
      </c>
      <c r="C5" s="582"/>
      <c r="D5" s="582"/>
      <c r="E5" s="582"/>
      <c r="F5" s="582"/>
      <c r="G5" s="582"/>
      <c r="H5" s="582"/>
      <c r="I5" s="582"/>
      <c r="J5" s="517"/>
    </row>
    <row r="6" spans="1:10" x14ac:dyDescent="0.25">
      <c r="B6" s="583" t="s">
        <v>285</v>
      </c>
      <c r="C6" s="583"/>
      <c r="D6" s="583"/>
      <c r="E6" s="583"/>
      <c r="F6" s="583"/>
      <c r="G6" s="583"/>
      <c r="H6" s="583"/>
      <c r="I6" s="583"/>
      <c r="J6" s="517"/>
    </row>
    <row r="7" spans="1:10" x14ac:dyDescent="0.25">
      <c r="B7" s="584" t="s">
        <v>2</v>
      </c>
      <c r="C7" s="584"/>
      <c r="D7" s="584"/>
      <c r="E7" s="584"/>
      <c r="F7" s="584"/>
      <c r="G7" s="584"/>
      <c r="H7" s="584"/>
      <c r="I7" s="584"/>
      <c r="J7" s="515"/>
    </row>
    <row r="8" spans="1:10" x14ac:dyDescent="0.25">
      <c r="B8" s="518"/>
      <c r="D8" s="518"/>
      <c r="E8" s="518"/>
      <c r="F8" s="518"/>
      <c r="G8" s="518"/>
      <c r="H8" s="517"/>
      <c r="I8" s="517"/>
      <c r="J8" s="517"/>
    </row>
    <row r="9" spans="1:10" x14ac:dyDescent="0.25">
      <c r="A9" s="518" t="s">
        <v>3</v>
      </c>
      <c r="B9" s="517"/>
      <c r="C9" s="165" t="s">
        <v>286</v>
      </c>
      <c r="D9" s="518"/>
      <c r="E9" s="518" t="s">
        <v>470</v>
      </c>
      <c r="F9" s="518"/>
      <c r="G9" s="518" t="s">
        <v>471</v>
      </c>
      <c r="H9" s="517"/>
      <c r="I9" s="517"/>
      <c r="J9" s="518" t="s">
        <v>3</v>
      </c>
    </row>
    <row r="10" spans="1:10" x14ac:dyDescent="0.25">
      <c r="A10" s="518" t="s">
        <v>7</v>
      </c>
      <c r="B10" s="517"/>
      <c r="C10" s="167" t="s">
        <v>289</v>
      </c>
      <c r="D10" s="517"/>
      <c r="E10" s="429" t="s">
        <v>472</v>
      </c>
      <c r="F10" s="517"/>
      <c r="G10" s="429" t="s">
        <v>290</v>
      </c>
      <c r="H10" s="517"/>
      <c r="I10" s="430" t="s">
        <v>6</v>
      </c>
      <c r="J10" s="518" t="s">
        <v>7</v>
      </c>
    </row>
    <row r="11" spans="1:10" x14ac:dyDescent="0.25">
      <c r="B11" s="518"/>
      <c r="D11" s="518"/>
      <c r="E11" s="518"/>
      <c r="F11" s="518"/>
      <c r="G11" s="518"/>
      <c r="H11" s="518"/>
      <c r="I11" s="518"/>
      <c r="J11" s="518"/>
    </row>
    <row r="12" spans="1:10" ht="18.75" x14ac:dyDescent="0.25">
      <c r="A12" s="518">
        <v>1</v>
      </c>
      <c r="B12" s="186" t="s">
        <v>473</v>
      </c>
      <c r="C12" s="518" t="s">
        <v>474</v>
      </c>
      <c r="E12" s="431"/>
      <c r="F12" s="432"/>
      <c r="G12" s="433">
        <v>128758.20369230768</v>
      </c>
      <c r="H12" s="432"/>
      <c r="I12" s="414" t="s">
        <v>475</v>
      </c>
      <c r="J12" s="518">
        <f>A12</f>
        <v>1</v>
      </c>
    </row>
    <row r="13" spans="1:10" x14ac:dyDescent="0.25">
      <c r="A13" s="518">
        <f>+A12+1</f>
        <v>2</v>
      </c>
      <c r="C13" s="518"/>
      <c r="E13" s="434"/>
      <c r="F13" s="435"/>
      <c r="G13" s="435"/>
      <c r="H13" s="435"/>
      <c r="I13" s="414"/>
      <c r="J13" s="518">
        <f>+J12+1</f>
        <v>2</v>
      </c>
    </row>
    <row r="14" spans="1:10" x14ac:dyDescent="0.25">
      <c r="A14" s="518">
        <f t="shared" ref="A14:A45" si="0">+A13+1</f>
        <v>3</v>
      </c>
      <c r="B14" s="186" t="s">
        <v>476</v>
      </c>
      <c r="C14" s="518"/>
      <c r="E14" s="436"/>
      <c r="F14" s="437"/>
      <c r="G14" s="438">
        <v>0.40360702730459591</v>
      </c>
      <c r="H14" s="432"/>
      <c r="I14" s="414" t="s">
        <v>511</v>
      </c>
      <c r="J14" s="518">
        <f t="shared" ref="J14:J45" si="1">+J13+1</f>
        <v>3</v>
      </c>
    </row>
    <row r="15" spans="1:10" x14ac:dyDescent="0.25">
      <c r="A15" s="518">
        <f t="shared" si="0"/>
        <v>4</v>
      </c>
      <c r="C15" s="518"/>
      <c r="E15" s="434"/>
      <c r="F15" s="435"/>
      <c r="G15" s="434"/>
      <c r="H15" s="435"/>
      <c r="I15" s="414"/>
      <c r="J15" s="518">
        <f t="shared" si="1"/>
        <v>4</v>
      </c>
    </row>
    <row r="16" spans="1:10" ht="16.5" thickBot="1" x14ac:dyDescent="0.3">
      <c r="A16" s="518">
        <f t="shared" si="0"/>
        <v>5</v>
      </c>
      <c r="B16" s="186" t="s">
        <v>478</v>
      </c>
      <c r="C16" s="518"/>
      <c r="E16" s="439"/>
      <c r="F16" s="435"/>
      <c r="G16" s="440">
        <f>G12*G14</f>
        <v>51967.715833331946</v>
      </c>
      <c r="H16" s="432"/>
      <c r="I16" s="414" t="s">
        <v>479</v>
      </c>
      <c r="J16" s="518">
        <f t="shared" si="1"/>
        <v>5</v>
      </c>
    </row>
    <row r="17" spans="1:10" ht="16.5" thickTop="1" x14ac:dyDescent="0.25">
      <c r="A17" s="518">
        <f t="shared" si="0"/>
        <v>6</v>
      </c>
      <c r="C17" s="518"/>
      <c r="E17" s="441"/>
      <c r="F17" s="518"/>
      <c r="G17" s="518"/>
      <c r="H17" s="518"/>
      <c r="I17" s="414"/>
      <c r="J17" s="518">
        <f t="shared" si="1"/>
        <v>6</v>
      </c>
    </row>
    <row r="18" spans="1:10" ht="18.75" x14ac:dyDescent="0.25">
      <c r="A18" s="518">
        <f t="shared" si="0"/>
        <v>7</v>
      </c>
      <c r="B18" s="186" t="s">
        <v>480</v>
      </c>
      <c r="C18" s="518" t="s">
        <v>481</v>
      </c>
      <c r="D18" s="442"/>
      <c r="E18" s="431"/>
      <c r="F18" s="435"/>
      <c r="G18" s="443">
        <v>93697.406000000017</v>
      </c>
      <c r="H18" s="432"/>
      <c r="I18" s="414" t="s">
        <v>482</v>
      </c>
      <c r="J18" s="518">
        <f t="shared" si="1"/>
        <v>7</v>
      </c>
    </row>
    <row r="19" spans="1:10" x14ac:dyDescent="0.25">
      <c r="A19" s="518">
        <f t="shared" si="0"/>
        <v>8</v>
      </c>
      <c r="C19" s="518"/>
      <c r="E19" s="444"/>
      <c r="F19" s="435"/>
      <c r="G19" s="435"/>
      <c r="H19" s="435"/>
      <c r="I19" s="414"/>
      <c r="J19" s="518">
        <f t="shared" si="1"/>
        <v>8</v>
      </c>
    </row>
    <row r="20" spans="1:10" ht="16.5" thickBot="1" x14ac:dyDescent="0.3">
      <c r="A20" s="518">
        <f t="shared" si="0"/>
        <v>9</v>
      </c>
      <c r="B20" s="186" t="s">
        <v>483</v>
      </c>
      <c r="E20" s="431"/>
      <c r="F20" s="435"/>
      <c r="G20" s="440">
        <f>G14*G18</f>
        <v>37816.931501811814</v>
      </c>
      <c r="H20" s="432"/>
      <c r="I20" s="414" t="s">
        <v>484</v>
      </c>
      <c r="J20" s="518">
        <f t="shared" si="1"/>
        <v>9</v>
      </c>
    </row>
    <row r="21" spans="1:10" ht="16.5" thickTop="1" x14ac:dyDescent="0.25">
      <c r="A21" s="518">
        <f t="shared" si="0"/>
        <v>10</v>
      </c>
      <c r="E21" s="445"/>
      <c r="F21" s="435"/>
      <c r="G21" s="435"/>
      <c r="H21" s="435"/>
      <c r="I21" s="414"/>
      <c r="J21" s="518">
        <f t="shared" si="1"/>
        <v>10</v>
      </c>
    </row>
    <row r="22" spans="1:10" x14ac:dyDescent="0.25">
      <c r="A22" s="518">
        <f t="shared" si="0"/>
        <v>11</v>
      </c>
      <c r="B22" s="446" t="s">
        <v>485</v>
      </c>
      <c r="E22" s="445"/>
      <c r="F22" s="435"/>
      <c r="G22" s="435"/>
      <c r="H22" s="435"/>
      <c r="I22" s="414"/>
      <c r="J22" s="518">
        <f t="shared" si="1"/>
        <v>11</v>
      </c>
    </row>
    <row r="23" spans="1:10" x14ac:dyDescent="0.25">
      <c r="A23" s="518">
        <f t="shared" si="0"/>
        <v>12</v>
      </c>
      <c r="B23" s="186" t="s">
        <v>486</v>
      </c>
      <c r="E23" s="447">
        <v>95535.541019356009</v>
      </c>
      <c r="F23" s="435"/>
      <c r="G23" s="448"/>
      <c r="H23" s="435"/>
      <c r="I23" s="414" t="s">
        <v>279</v>
      </c>
      <c r="J23" s="518">
        <f t="shared" si="1"/>
        <v>12</v>
      </c>
    </row>
    <row r="24" spans="1:10" x14ac:dyDescent="0.25">
      <c r="A24" s="518">
        <f t="shared" si="0"/>
        <v>13</v>
      </c>
      <c r="B24" s="186" t="s">
        <v>487</v>
      </c>
      <c r="E24" s="460">
        <v>81351.457442747444</v>
      </c>
      <c r="F24" s="42" t="s">
        <v>33</v>
      </c>
      <c r="G24" s="449"/>
      <c r="H24" s="435"/>
      <c r="I24" s="414" t="s">
        <v>512</v>
      </c>
      <c r="J24" s="518">
        <f t="shared" si="1"/>
        <v>13</v>
      </c>
    </row>
    <row r="25" spans="1:10" x14ac:dyDescent="0.25">
      <c r="A25" s="518">
        <f t="shared" si="0"/>
        <v>14</v>
      </c>
      <c r="B25" s="186" t="s">
        <v>488</v>
      </c>
      <c r="E25" s="450">
        <v>0</v>
      </c>
      <c r="F25" s="435"/>
      <c r="G25" s="449"/>
      <c r="H25" s="435"/>
      <c r="I25" s="414" t="s">
        <v>281</v>
      </c>
      <c r="J25" s="518">
        <f t="shared" si="1"/>
        <v>14</v>
      </c>
    </row>
    <row r="26" spans="1:10" x14ac:dyDescent="0.25">
      <c r="A26" s="518">
        <f t="shared" si="0"/>
        <v>15</v>
      </c>
      <c r="B26" s="186" t="s">
        <v>489</v>
      </c>
      <c r="E26" s="461">
        <f>SUM(E23:E25)</f>
        <v>176886.99846210345</v>
      </c>
      <c r="F26" s="42" t="s">
        <v>33</v>
      </c>
      <c r="G26" s="442"/>
      <c r="H26" s="414"/>
      <c r="I26" s="414" t="s">
        <v>490</v>
      </c>
      <c r="J26" s="518">
        <f t="shared" si="1"/>
        <v>15</v>
      </c>
    </row>
    <row r="27" spans="1:10" x14ac:dyDescent="0.25">
      <c r="A27" s="518">
        <f t="shared" si="0"/>
        <v>16</v>
      </c>
      <c r="F27" s="518"/>
      <c r="H27" s="518"/>
      <c r="I27" s="414"/>
      <c r="J27" s="518">
        <f t="shared" si="1"/>
        <v>16</v>
      </c>
    </row>
    <row r="28" spans="1:10" x14ac:dyDescent="0.25">
      <c r="A28" s="518">
        <f t="shared" si="0"/>
        <v>17</v>
      </c>
      <c r="B28" s="186" t="s">
        <v>491</v>
      </c>
      <c r="E28" s="451">
        <f>1/8</f>
        <v>0.125</v>
      </c>
      <c r="F28" s="518"/>
      <c r="G28" s="452"/>
      <c r="H28" s="518"/>
      <c r="I28" s="414" t="s">
        <v>492</v>
      </c>
      <c r="J28" s="518">
        <f t="shared" si="1"/>
        <v>17</v>
      </c>
    </row>
    <row r="29" spans="1:10" x14ac:dyDescent="0.25">
      <c r="A29" s="518">
        <f t="shared" si="0"/>
        <v>18</v>
      </c>
      <c r="E29" s="434" t="s">
        <v>21</v>
      </c>
      <c r="F29" s="435"/>
      <c r="G29" s="434"/>
      <c r="H29" s="435"/>
      <c r="I29" s="414"/>
      <c r="J29" s="518">
        <f t="shared" si="1"/>
        <v>18</v>
      </c>
    </row>
    <row r="30" spans="1:10" ht="16.5" thickBot="1" x14ac:dyDescent="0.3">
      <c r="A30" s="518">
        <f t="shared" si="0"/>
        <v>19</v>
      </c>
      <c r="B30" s="186" t="s">
        <v>493</v>
      </c>
      <c r="E30" s="462">
        <f>E26*E28</f>
        <v>22110.874807762932</v>
      </c>
      <c r="F30" s="42" t="s">
        <v>33</v>
      </c>
      <c r="G30" s="439"/>
      <c r="H30" s="435"/>
      <c r="I30" s="518" t="s">
        <v>494</v>
      </c>
      <c r="J30" s="518">
        <f t="shared" si="1"/>
        <v>19</v>
      </c>
    </row>
    <row r="31" spans="1:10" ht="16.5" thickTop="1" x14ac:dyDescent="0.25">
      <c r="A31" s="518">
        <f t="shared" si="0"/>
        <v>20</v>
      </c>
      <c r="E31" s="439"/>
      <c r="F31" s="432"/>
      <c r="G31" s="439"/>
      <c r="H31" s="435"/>
      <c r="I31" s="518"/>
      <c r="J31" s="518">
        <f t="shared" si="1"/>
        <v>20</v>
      </c>
    </row>
    <row r="32" spans="1:10" x14ac:dyDescent="0.25">
      <c r="A32" s="518">
        <f t="shared" si="0"/>
        <v>21</v>
      </c>
      <c r="B32" s="446" t="s">
        <v>495</v>
      </c>
      <c r="E32" s="445"/>
      <c r="F32" s="435"/>
      <c r="G32" s="435"/>
      <c r="H32" s="435"/>
      <c r="I32" s="414"/>
      <c r="J32" s="518">
        <f t="shared" si="1"/>
        <v>21</v>
      </c>
    </row>
    <row r="33" spans="1:10" x14ac:dyDescent="0.25">
      <c r="A33" s="518">
        <f t="shared" si="0"/>
        <v>22</v>
      </c>
      <c r="B33" s="186" t="s">
        <v>488</v>
      </c>
      <c r="E33" s="400">
        <f>E25</f>
        <v>0</v>
      </c>
      <c r="F33" s="435"/>
      <c r="G33" s="448"/>
      <c r="H33" s="435"/>
      <c r="I33" s="414" t="s">
        <v>496</v>
      </c>
      <c r="J33" s="518">
        <f t="shared" si="1"/>
        <v>22</v>
      </c>
    </row>
    <row r="34" spans="1:10" x14ac:dyDescent="0.25">
      <c r="A34" s="518">
        <f t="shared" si="0"/>
        <v>23</v>
      </c>
      <c r="E34" s="453"/>
      <c r="F34" s="435"/>
      <c r="G34" s="448"/>
      <c r="H34" s="435"/>
      <c r="I34" s="414"/>
      <c r="J34" s="518">
        <f t="shared" si="1"/>
        <v>23</v>
      </c>
    </row>
    <row r="35" spans="1:10" x14ac:dyDescent="0.25">
      <c r="A35" s="518">
        <f t="shared" si="0"/>
        <v>24</v>
      </c>
      <c r="B35" s="186" t="s">
        <v>491</v>
      </c>
      <c r="E35" s="454">
        <f>E28</f>
        <v>0.125</v>
      </c>
      <c r="F35" s="518"/>
      <c r="G35" s="452"/>
      <c r="H35" s="518"/>
      <c r="I35" s="414" t="s">
        <v>497</v>
      </c>
      <c r="J35" s="518">
        <f t="shared" si="1"/>
        <v>24</v>
      </c>
    </row>
    <row r="36" spans="1:10" x14ac:dyDescent="0.25">
      <c r="A36" s="518">
        <f t="shared" si="0"/>
        <v>25</v>
      </c>
      <c r="E36" s="452"/>
      <c r="F36" s="518"/>
      <c r="G36" s="452"/>
      <c r="H36" s="518"/>
      <c r="I36" s="414"/>
      <c r="J36" s="518">
        <f t="shared" si="1"/>
        <v>25</v>
      </c>
    </row>
    <row r="37" spans="1:10" x14ac:dyDescent="0.25">
      <c r="A37" s="518">
        <f t="shared" si="0"/>
        <v>26</v>
      </c>
      <c r="B37" s="186" t="s">
        <v>498</v>
      </c>
      <c r="E37" s="187">
        <f>E33*E35</f>
        <v>0</v>
      </c>
      <c r="F37" s="518"/>
      <c r="G37" s="452"/>
      <c r="H37" s="518"/>
      <c r="I37" s="518" t="s">
        <v>499</v>
      </c>
      <c r="J37" s="518">
        <f t="shared" si="1"/>
        <v>26</v>
      </c>
    </row>
    <row r="38" spans="1:10" x14ac:dyDescent="0.25">
      <c r="A38" s="518">
        <f t="shared" si="0"/>
        <v>27</v>
      </c>
      <c r="J38" s="518">
        <f t="shared" si="1"/>
        <v>27</v>
      </c>
    </row>
    <row r="39" spans="1:10" ht="18.75" x14ac:dyDescent="0.25">
      <c r="A39" s="518">
        <f t="shared" si="0"/>
        <v>28</v>
      </c>
      <c r="B39" s="455" t="s">
        <v>500</v>
      </c>
      <c r="C39" s="518"/>
      <c r="E39" s="456">
        <v>9.5816762149131596E-2</v>
      </c>
      <c r="F39" s="515"/>
      <c r="I39" s="518" t="s">
        <v>282</v>
      </c>
      <c r="J39" s="518">
        <f t="shared" si="1"/>
        <v>28</v>
      </c>
    </row>
    <row r="40" spans="1:10" x14ac:dyDescent="0.25">
      <c r="A40" s="518">
        <f t="shared" si="0"/>
        <v>29</v>
      </c>
      <c r="C40" s="518"/>
      <c r="J40" s="518">
        <f t="shared" si="1"/>
        <v>29</v>
      </c>
    </row>
    <row r="41" spans="1:10" ht="19.5" thickBot="1" x14ac:dyDescent="0.3">
      <c r="A41" s="518">
        <f t="shared" si="0"/>
        <v>30</v>
      </c>
      <c r="B41" s="186" t="s">
        <v>501</v>
      </c>
      <c r="C41" s="518"/>
      <c r="E41" s="457">
        <f>E37*E39</f>
        <v>0</v>
      </c>
      <c r="I41" s="518" t="s">
        <v>502</v>
      </c>
      <c r="J41" s="518">
        <f t="shared" si="1"/>
        <v>30</v>
      </c>
    </row>
    <row r="42" spans="1:10" ht="16.5" thickTop="1" x14ac:dyDescent="0.25">
      <c r="A42" s="518">
        <f t="shared" si="0"/>
        <v>31</v>
      </c>
      <c r="C42" s="518"/>
      <c r="E42" s="458"/>
      <c r="I42" s="518"/>
      <c r="J42" s="518">
        <f t="shared" si="1"/>
        <v>31</v>
      </c>
    </row>
    <row r="43" spans="1:10" ht="18.75" x14ac:dyDescent="0.25">
      <c r="A43" s="518">
        <f t="shared" si="0"/>
        <v>32</v>
      </c>
      <c r="B43" s="455" t="s">
        <v>503</v>
      </c>
      <c r="C43" s="518"/>
      <c r="E43" s="456">
        <v>3.8994570343371454E-3</v>
      </c>
      <c r="I43" s="518" t="s">
        <v>215</v>
      </c>
      <c r="J43" s="518">
        <f t="shared" si="1"/>
        <v>32</v>
      </c>
    </row>
    <row r="44" spans="1:10" x14ac:dyDescent="0.25">
      <c r="A44" s="518">
        <f t="shared" si="0"/>
        <v>33</v>
      </c>
      <c r="C44" s="518"/>
      <c r="E44" s="458"/>
      <c r="I44" s="518"/>
      <c r="J44" s="518">
        <f t="shared" si="1"/>
        <v>33</v>
      </c>
    </row>
    <row r="45" spans="1:10" ht="19.5" thickBot="1" x14ac:dyDescent="0.3">
      <c r="A45" s="518">
        <f t="shared" si="0"/>
        <v>34</v>
      </c>
      <c r="B45" s="186" t="s">
        <v>504</v>
      </c>
      <c r="C45" s="518"/>
      <c r="E45" s="457">
        <f>E37*E43</f>
        <v>0</v>
      </c>
      <c r="I45" s="518" t="s">
        <v>505</v>
      </c>
      <c r="J45" s="518">
        <f t="shared" si="1"/>
        <v>34</v>
      </c>
    </row>
    <row r="46" spans="1:10" ht="16.5" thickTop="1" x14ac:dyDescent="0.25">
      <c r="C46" s="518"/>
      <c r="E46" s="458"/>
      <c r="I46" s="518"/>
      <c r="J46" s="518"/>
    </row>
    <row r="47" spans="1:10" x14ac:dyDescent="0.25">
      <c r="C47" s="518"/>
      <c r="E47" s="458"/>
      <c r="I47" s="518"/>
      <c r="J47" s="518"/>
    </row>
    <row r="48" spans="1:10" x14ac:dyDescent="0.25">
      <c r="A48" s="42" t="s">
        <v>33</v>
      </c>
      <c r="B48" s="12" t="s">
        <v>390</v>
      </c>
      <c r="C48" s="518"/>
    </row>
    <row r="49" spans="1:3" ht="18.75" x14ac:dyDescent="0.25">
      <c r="A49" s="459">
        <v>1</v>
      </c>
      <c r="B49" s="186" t="s">
        <v>506</v>
      </c>
      <c r="C49" s="518"/>
    </row>
    <row r="50" spans="1:3" ht="18.75" x14ac:dyDescent="0.25">
      <c r="A50" s="459">
        <v>2</v>
      </c>
      <c r="B50" s="186" t="s">
        <v>507</v>
      </c>
      <c r="C50" s="518"/>
    </row>
    <row r="51" spans="1:3" x14ac:dyDescent="0.25">
      <c r="A51" s="517"/>
      <c r="B51" s="186" t="s">
        <v>508</v>
      </c>
    </row>
    <row r="52" spans="1:3" ht="18.75" x14ac:dyDescent="0.25">
      <c r="A52" s="487">
        <v>3</v>
      </c>
      <c r="B52" s="186" t="s">
        <v>509</v>
      </c>
    </row>
  </sheetData>
  <mergeCells count="5">
    <mergeCell ref="B3:I3"/>
    <mergeCell ref="B4:I4"/>
    <mergeCell ref="B5:I5"/>
    <mergeCell ref="B6:I6"/>
    <mergeCell ref="B7:I7"/>
  </mergeCells>
  <printOptions horizontalCentered="1"/>
  <pageMargins left="0.25" right="0.25" top="0.5" bottom="0.5" header="0.35" footer="0.25"/>
  <pageSetup scale="53" orientation="portrait" r:id="rId1"/>
  <headerFooter scaleWithDoc="0" alignWithMargins="0">
    <oddHeader>&amp;C&amp;"Times New Roman,Bold"&amp;7AS FILED STMT AL WITH COST ADJ. INCL. IN TO5 C5 (ER23-542)</oddHeader>
    <oddFooter>&amp;L&amp;A&amp;CPage 7.1&amp;R&amp;F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31AA7-7054-415F-B2F3-5875287A67F9}">
  <sheetPr codeName="Sheet10"/>
  <dimension ref="A1:L262"/>
  <sheetViews>
    <sheetView zoomScale="80" zoomScaleNormal="80" workbookViewId="0"/>
  </sheetViews>
  <sheetFormatPr defaultColWidth="8.7109375" defaultRowHeight="15.75" x14ac:dyDescent="0.25"/>
  <cols>
    <col min="1" max="1" width="5.28515625" style="165" customWidth="1"/>
    <col min="2" max="2" width="55.42578125" style="304" customWidth="1"/>
    <col min="3" max="3" width="18.28515625" style="304" customWidth="1"/>
    <col min="4" max="5" width="15.5703125" style="304" customWidth="1"/>
    <col min="6" max="6" width="1.5703125" style="304" customWidth="1"/>
    <col min="7" max="7" width="18.28515625" style="304" customWidth="1"/>
    <col min="8" max="8" width="1.5703125" style="304" customWidth="1"/>
    <col min="9" max="9" width="49.28515625" style="221" customWidth="1"/>
    <col min="10" max="10" width="5.28515625" style="304" customWidth="1"/>
    <col min="11" max="11" width="16.28515625" style="304" bestFit="1" customWidth="1"/>
    <col min="12" max="12" width="10.42578125" style="304" bestFit="1" customWidth="1"/>
    <col min="13" max="16384" width="8.7109375" style="304"/>
  </cols>
  <sheetData>
    <row r="1" spans="1:10" x14ac:dyDescent="0.25">
      <c r="I1" s="98"/>
    </row>
    <row r="2" spans="1:10" x14ac:dyDescent="0.25">
      <c r="B2" s="575" t="s">
        <v>206</v>
      </c>
      <c r="C2" s="575"/>
      <c r="D2" s="575"/>
      <c r="E2" s="575"/>
      <c r="F2" s="575"/>
      <c r="G2" s="575"/>
      <c r="H2" s="575"/>
      <c r="I2" s="575"/>
      <c r="J2" s="165"/>
    </row>
    <row r="3" spans="1:10" x14ac:dyDescent="0.25">
      <c r="B3" s="575" t="s">
        <v>513</v>
      </c>
      <c r="C3" s="575"/>
      <c r="D3" s="575"/>
      <c r="E3" s="575"/>
      <c r="F3" s="575"/>
      <c r="G3" s="575"/>
      <c r="H3" s="575"/>
      <c r="I3" s="575"/>
      <c r="J3" s="165"/>
    </row>
    <row r="4" spans="1:10" x14ac:dyDescent="0.25">
      <c r="B4" s="575" t="s">
        <v>514</v>
      </c>
      <c r="C4" s="575"/>
      <c r="D4" s="575"/>
      <c r="E4" s="575"/>
      <c r="F4" s="575"/>
      <c r="G4" s="575"/>
      <c r="H4" s="575"/>
      <c r="I4" s="575"/>
      <c r="J4" s="165"/>
    </row>
    <row r="5" spans="1:10" x14ac:dyDescent="0.25">
      <c r="B5" s="576" t="s">
        <v>285</v>
      </c>
      <c r="C5" s="576"/>
      <c r="D5" s="576"/>
      <c r="E5" s="576"/>
      <c r="F5" s="576"/>
      <c r="G5" s="576"/>
      <c r="H5" s="576"/>
      <c r="I5" s="576"/>
      <c r="J5" s="165"/>
    </row>
    <row r="6" spans="1:10" x14ac:dyDescent="0.25">
      <c r="B6" s="577" t="s">
        <v>2</v>
      </c>
      <c r="C6" s="578"/>
      <c r="D6" s="578"/>
      <c r="E6" s="578"/>
      <c r="F6" s="578"/>
      <c r="G6" s="578"/>
      <c r="H6" s="578"/>
      <c r="I6" s="578"/>
      <c r="J6" s="165"/>
    </row>
    <row r="7" spans="1:10" x14ac:dyDescent="0.25">
      <c r="B7" s="165"/>
      <c r="C7" s="165"/>
      <c r="D7" s="165"/>
      <c r="E7" s="165"/>
      <c r="F7" s="165"/>
      <c r="G7" s="165"/>
      <c r="H7" s="165"/>
      <c r="I7" s="175"/>
      <c r="J7" s="165"/>
    </row>
    <row r="8" spans="1:10" x14ac:dyDescent="0.25">
      <c r="A8" s="165" t="s">
        <v>3</v>
      </c>
      <c r="B8" s="266"/>
      <c r="C8" s="266"/>
      <c r="D8" s="266"/>
      <c r="E8" s="165" t="s">
        <v>286</v>
      </c>
      <c r="F8" s="266"/>
      <c r="G8" s="266"/>
      <c r="H8" s="266"/>
      <c r="I8" s="175"/>
      <c r="J8" s="165" t="s">
        <v>3</v>
      </c>
    </row>
    <row r="9" spans="1:10" x14ac:dyDescent="0.25">
      <c r="A9" s="167" t="s">
        <v>7</v>
      </c>
      <c r="B9" s="165"/>
      <c r="C9" s="165"/>
      <c r="D9" s="165"/>
      <c r="E9" s="167" t="s">
        <v>289</v>
      </c>
      <c r="F9" s="165"/>
      <c r="G9" s="168" t="s">
        <v>5</v>
      </c>
      <c r="H9" s="266"/>
      <c r="I9" s="188" t="s">
        <v>6</v>
      </c>
      <c r="J9" s="167" t="s">
        <v>7</v>
      </c>
    </row>
    <row r="10" spans="1:10" x14ac:dyDescent="0.25">
      <c r="A10" s="165">
        <v>1</v>
      </c>
      <c r="B10" s="169" t="s">
        <v>515</v>
      </c>
      <c r="I10" s="175"/>
      <c r="J10" s="165">
        <f>A10</f>
        <v>1</v>
      </c>
    </row>
    <row r="11" spans="1:10" x14ac:dyDescent="0.25">
      <c r="A11" s="165">
        <f>A10+1</f>
        <v>2</v>
      </c>
      <c r="B11" s="304" t="s">
        <v>516</v>
      </c>
      <c r="E11" s="165" t="s">
        <v>517</v>
      </c>
      <c r="F11" s="189"/>
      <c r="G11" s="190">
        <v>6053573</v>
      </c>
      <c r="H11" s="266"/>
      <c r="I11" s="191"/>
      <c r="J11" s="165">
        <f>J10+1</f>
        <v>2</v>
      </c>
    </row>
    <row r="12" spans="1:10" x14ac:dyDescent="0.25">
      <c r="A12" s="165">
        <f t="shared" ref="A12:A51" si="0">A11+1</f>
        <v>3</v>
      </c>
      <c r="B12" s="304" t="s">
        <v>518</v>
      </c>
      <c r="E12" s="165" t="s">
        <v>519</v>
      </c>
      <c r="F12" s="189"/>
      <c r="G12" s="192">
        <v>0</v>
      </c>
      <c r="H12" s="266"/>
      <c r="I12" s="191"/>
      <c r="J12" s="165">
        <f t="shared" ref="J12:J51" si="1">J11+1</f>
        <v>3</v>
      </c>
    </row>
    <row r="13" spans="1:10" x14ac:dyDescent="0.25">
      <c r="A13" s="165">
        <f t="shared" si="0"/>
        <v>4</v>
      </c>
      <c r="B13" s="304" t="s">
        <v>520</v>
      </c>
      <c r="E13" s="165" t="s">
        <v>521</v>
      </c>
      <c r="F13" s="189"/>
      <c r="G13" s="172">
        <v>0</v>
      </c>
      <c r="H13" s="266"/>
      <c r="I13" s="191"/>
      <c r="J13" s="165">
        <f t="shared" si="1"/>
        <v>4</v>
      </c>
    </row>
    <row r="14" spans="1:10" x14ac:dyDescent="0.25">
      <c r="A14" s="165">
        <f t="shared" si="0"/>
        <v>5</v>
      </c>
      <c r="B14" s="304" t="s">
        <v>522</v>
      </c>
      <c r="E14" s="165" t="s">
        <v>523</v>
      </c>
      <c r="F14" s="189"/>
      <c r="G14" s="172">
        <v>0</v>
      </c>
      <c r="H14" s="266"/>
      <c r="I14" s="191"/>
      <c r="J14" s="165">
        <f t="shared" si="1"/>
        <v>5</v>
      </c>
    </row>
    <row r="15" spans="1:10" x14ac:dyDescent="0.25">
      <c r="A15" s="165">
        <f t="shared" si="0"/>
        <v>6</v>
      </c>
      <c r="B15" s="304" t="s">
        <v>524</v>
      </c>
      <c r="E15" s="165" t="s">
        <v>525</v>
      </c>
      <c r="F15" s="189"/>
      <c r="G15" s="178">
        <v>-13172.642</v>
      </c>
      <c r="H15" s="266"/>
      <c r="I15" s="191"/>
      <c r="J15" s="165">
        <f t="shared" si="1"/>
        <v>6</v>
      </c>
    </row>
    <row r="16" spans="1:10" x14ac:dyDescent="0.25">
      <c r="A16" s="165">
        <f t="shared" si="0"/>
        <v>7</v>
      </c>
      <c r="B16" s="304" t="s">
        <v>526</v>
      </c>
      <c r="G16" s="193">
        <f>SUM(G11:G15)</f>
        <v>6040400.358</v>
      </c>
      <c r="H16" s="187"/>
      <c r="I16" s="175" t="s">
        <v>527</v>
      </c>
      <c r="J16" s="165">
        <f t="shared" si="1"/>
        <v>7</v>
      </c>
    </row>
    <row r="17" spans="1:10" x14ac:dyDescent="0.25">
      <c r="A17" s="165">
        <f t="shared" si="0"/>
        <v>8</v>
      </c>
      <c r="I17" s="175"/>
      <c r="J17" s="165">
        <f t="shared" si="1"/>
        <v>8</v>
      </c>
    </row>
    <row r="18" spans="1:10" x14ac:dyDescent="0.25">
      <c r="A18" s="165">
        <f t="shared" si="0"/>
        <v>9</v>
      </c>
      <c r="B18" s="169" t="s">
        <v>528</v>
      </c>
      <c r="G18" s="174"/>
      <c r="H18" s="174"/>
      <c r="I18" s="175"/>
      <c r="J18" s="165">
        <f t="shared" si="1"/>
        <v>9</v>
      </c>
    </row>
    <row r="19" spans="1:10" x14ac:dyDescent="0.25">
      <c r="A19" s="165">
        <f t="shared" si="0"/>
        <v>10</v>
      </c>
      <c r="B19" s="304" t="s">
        <v>529</v>
      </c>
      <c r="E19" s="165" t="s">
        <v>530</v>
      </c>
      <c r="F19" s="189"/>
      <c r="G19" s="190">
        <v>233778.584</v>
      </c>
      <c r="H19" s="266"/>
      <c r="I19" s="194"/>
      <c r="J19" s="165">
        <f t="shared" si="1"/>
        <v>10</v>
      </c>
    </row>
    <row r="20" spans="1:10" x14ac:dyDescent="0.25">
      <c r="A20" s="165">
        <f t="shared" si="0"/>
        <v>11</v>
      </c>
      <c r="B20" s="304" t="s">
        <v>531</v>
      </c>
      <c r="E20" s="165" t="s">
        <v>532</v>
      </c>
      <c r="F20" s="189"/>
      <c r="G20" s="192">
        <v>4107.085</v>
      </c>
      <c r="H20" s="266"/>
      <c r="I20" s="194"/>
      <c r="J20" s="165">
        <f t="shared" si="1"/>
        <v>11</v>
      </c>
    </row>
    <row r="21" spans="1:10" x14ac:dyDescent="0.25">
      <c r="A21" s="165">
        <f t="shared" si="0"/>
        <v>12</v>
      </c>
      <c r="B21" s="304" t="s">
        <v>533</v>
      </c>
      <c r="E21" s="165" t="s">
        <v>534</v>
      </c>
      <c r="F21" s="189"/>
      <c r="G21" s="192">
        <v>1449.7840000000001</v>
      </c>
      <c r="H21" s="266"/>
      <c r="I21" s="194"/>
      <c r="J21" s="165">
        <f t="shared" si="1"/>
        <v>12</v>
      </c>
    </row>
    <row r="22" spans="1:10" ht="16.5" customHeight="1" x14ac:dyDescent="0.25">
      <c r="A22" s="165">
        <f t="shared" si="0"/>
        <v>13</v>
      </c>
      <c r="B22" s="304" t="s">
        <v>535</v>
      </c>
      <c r="E22" s="165" t="s">
        <v>536</v>
      </c>
      <c r="F22" s="189"/>
      <c r="G22" s="192">
        <v>0</v>
      </c>
      <c r="H22" s="266"/>
      <c r="I22" s="194"/>
      <c r="J22" s="165">
        <f t="shared" si="1"/>
        <v>13</v>
      </c>
    </row>
    <row r="23" spans="1:10" x14ac:dyDescent="0.25">
      <c r="A23" s="165">
        <f t="shared" si="0"/>
        <v>14</v>
      </c>
      <c r="B23" s="304" t="s">
        <v>537</v>
      </c>
      <c r="E23" s="165" t="s">
        <v>538</v>
      </c>
      <c r="F23" s="189"/>
      <c r="G23" s="178">
        <v>0</v>
      </c>
      <c r="H23" s="266"/>
      <c r="I23" s="194"/>
      <c r="J23" s="165">
        <f t="shared" si="1"/>
        <v>14</v>
      </c>
    </row>
    <row r="24" spans="1:10" x14ac:dyDescent="0.25">
      <c r="A24" s="165">
        <f t="shared" si="0"/>
        <v>15</v>
      </c>
      <c r="B24" s="304" t="s">
        <v>539</v>
      </c>
      <c r="G24" s="195">
        <f>SUM(G19:G23)</f>
        <v>239335.45300000001</v>
      </c>
      <c r="H24" s="196"/>
      <c r="I24" s="175" t="s">
        <v>540</v>
      </c>
      <c r="J24" s="165">
        <f t="shared" si="1"/>
        <v>15</v>
      </c>
    </row>
    <row r="25" spans="1:10" x14ac:dyDescent="0.25">
      <c r="A25" s="165">
        <f t="shared" si="0"/>
        <v>16</v>
      </c>
      <c r="I25" s="175"/>
      <c r="J25" s="165">
        <f t="shared" si="1"/>
        <v>16</v>
      </c>
    </row>
    <row r="26" spans="1:10" ht="16.5" thickBot="1" x14ac:dyDescent="0.3">
      <c r="A26" s="165">
        <f t="shared" si="0"/>
        <v>17</v>
      </c>
      <c r="B26" s="169" t="s">
        <v>541</v>
      </c>
      <c r="G26" s="197">
        <f>G24/G16</f>
        <v>3.9622448648295373E-2</v>
      </c>
      <c r="H26" s="198"/>
      <c r="I26" s="175" t="s">
        <v>542</v>
      </c>
      <c r="J26" s="165">
        <f t="shared" si="1"/>
        <v>17</v>
      </c>
    </row>
    <row r="27" spans="1:10" ht="16.5" thickTop="1" x14ac:dyDescent="0.25">
      <c r="A27" s="165">
        <f t="shared" si="0"/>
        <v>18</v>
      </c>
      <c r="I27" s="175"/>
      <c r="J27" s="165">
        <f t="shared" si="1"/>
        <v>18</v>
      </c>
    </row>
    <row r="28" spans="1:10" x14ac:dyDescent="0.25">
      <c r="A28" s="165">
        <f t="shared" si="0"/>
        <v>19</v>
      </c>
      <c r="B28" s="169" t="s">
        <v>543</v>
      </c>
      <c r="I28" s="175"/>
      <c r="J28" s="165">
        <f t="shared" si="1"/>
        <v>19</v>
      </c>
    </row>
    <row r="29" spans="1:10" x14ac:dyDescent="0.25">
      <c r="A29" s="165">
        <f t="shared" si="0"/>
        <v>20</v>
      </c>
      <c r="B29" s="304" t="s">
        <v>544</v>
      </c>
      <c r="E29" s="165" t="s">
        <v>545</v>
      </c>
      <c r="F29" s="189"/>
      <c r="G29" s="190">
        <v>0</v>
      </c>
      <c r="H29" s="266"/>
      <c r="I29" s="194"/>
      <c r="J29" s="165">
        <f t="shared" si="1"/>
        <v>20</v>
      </c>
    </row>
    <row r="30" spans="1:10" x14ac:dyDescent="0.25">
      <c r="A30" s="165">
        <f t="shared" si="0"/>
        <v>21</v>
      </c>
      <c r="B30" s="304" t="s">
        <v>546</v>
      </c>
      <c r="E30" s="165" t="s">
        <v>547</v>
      </c>
      <c r="F30" s="189"/>
      <c r="G30" s="199">
        <v>0</v>
      </c>
      <c r="H30" s="266"/>
      <c r="I30" s="194"/>
      <c r="J30" s="165">
        <f t="shared" si="1"/>
        <v>21</v>
      </c>
    </row>
    <row r="31" spans="1:10" ht="16.5" thickBot="1" x14ac:dyDescent="0.3">
      <c r="A31" s="165">
        <f t="shared" si="0"/>
        <v>22</v>
      </c>
      <c r="B31" s="304" t="s">
        <v>548</v>
      </c>
      <c r="G31" s="197">
        <f>IFERROR((G30/G29),0)</f>
        <v>0</v>
      </c>
      <c r="H31" s="198"/>
      <c r="I31" s="175" t="s">
        <v>549</v>
      </c>
      <c r="J31" s="165">
        <f t="shared" si="1"/>
        <v>22</v>
      </c>
    </row>
    <row r="32" spans="1:10" ht="16.5" thickTop="1" x14ac:dyDescent="0.25">
      <c r="A32" s="165">
        <f t="shared" si="0"/>
        <v>23</v>
      </c>
      <c r="I32" s="175"/>
      <c r="J32" s="165">
        <f t="shared" si="1"/>
        <v>23</v>
      </c>
    </row>
    <row r="33" spans="1:11" x14ac:dyDescent="0.25">
      <c r="A33" s="165">
        <f t="shared" si="0"/>
        <v>24</v>
      </c>
      <c r="B33" s="169" t="s">
        <v>550</v>
      </c>
      <c r="I33" s="175"/>
      <c r="J33" s="165">
        <f t="shared" si="1"/>
        <v>24</v>
      </c>
    </row>
    <row r="34" spans="1:11" x14ac:dyDescent="0.25">
      <c r="A34" s="165">
        <f t="shared" si="0"/>
        <v>25</v>
      </c>
      <c r="B34" s="304" t="s">
        <v>551</v>
      </c>
      <c r="E34" s="165" t="s">
        <v>552</v>
      </c>
      <c r="F34" s="189"/>
      <c r="G34" s="190">
        <v>7729413.6809999999</v>
      </c>
      <c r="H34" s="266"/>
      <c r="I34" s="194"/>
      <c r="J34" s="165">
        <f t="shared" si="1"/>
        <v>25</v>
      </c>
      <c r="K34" s="177"/>
    </row>
    <row r="35" spans="1:11" x14ac:dyDescent="0.25">
      <c r="A35" s="165">
        <f t="shared" si="0"/>
        <v>26</v>
      </c>
      <c r="B35" s="304" t="s">
        <v>553</v>
      </c>
      <c r="E35" s="165" t="s">
        <v>545</v>
      </c>
      <c r="G35" s="200">
        <f>-G29</f>
        <v>0</v>
      </c>
      <c r="H35" s="200"/>
      <c r="I35" s="175" t="s">
        <v>554</v>
      </c>
      <c r="J35" s="165">
        <f t="shared" si="1"/>
        <v>26</v>
      </c>
    </row>
    <row r="36" spans="1:11" x14ac:dyDescent="0.25">
      <c r="A36" s="165">
        <f t="shared" si="0"/>
        <v>27</v>
      </c>
      <c r="B36" s="304" t="s">
        <v>555</v>
      </c>
      <c r="E36" s="165" t="s">
        <v>556</v>
      </c>
      <c r="G36" s="172">
        <v>0</v>
      </c>
      <c r="H36" s="266"/>
      <c r="I36" s="194"/>
      <c r="J36" s="165">
        <f t="shared" si="1"/>
        <v>27</v>
      </c>
    </row>
    <row r="37" spans="1:11" x14ac:dyDescent="0.25">
      <c r="A37" s="165">
        <f t="shared" si="0"/>
        <v>28</v>
      </c>
      <c r="B37" s="304" t="s">
        <v>557</v>
      </c>
      <c r="E37" s="165" t="s">
        <v>558</v>
      </c>
      <c r="G37" s="172">
        <v>10034.102000000001</v>
      </c>
      <c r="H37" s="266"/>
      <c r="I37" s="194"/>
      <c r="J37" s="165">
        <f t="shared" si="1"/>
        <v>28</v>
      </c>
    </row>
    <row r="38" spans="1:11" ht="16.5" thickBot="1" x14ac:dyDescent="0.3">
      <c r="A38" s="165">
        <f t="shared" si="0"/>
        <v>29</v>
      </c>
      <c r="B38" s="304" t="s">
        <v>559</v>
      </c>
      <c r="G38" s="201">
        <f>SUM(G34:G37)</f>
        <v>7739447.7829999998</v>
      </c>
      <c r="H38" s="202"/>
      <c r="I38" s="175" t="s">
        <v>560</v>
      </c>
      <c r="J38" s="165">
        <f t="shared" si="1"/>
        <v>29</v>
      </c>
    </row>
    <row r="39" spans="1:11" ht="17.25" thickTop="1" thickBot="1" x14ac:dyDescent="0.3">
      <c r="A39" s="203">
        <f t="shared" si="0"/>
        <v>30</v>
      </c>
      <c r="B39" s="185"/>
      <c r="C39" s="185"/>
      <c r="D39" s="185"/>
      <c r="E39" s="185"/>
      <c r="F39" s="185"/>
      <c r="G39" s="185"/>
      <c r="H39" s="185"/>
      <c r="I39" s="204"/>
      <c r="J39" s="203">
        <f t="shared" si="1"/>
        <v>30</v>
      </c>
    </row>
    <row r="40" spans="1:11" x14ac:dyDescent="0.25">
      <c r="A40" s="165">
        <f>A39+1</f>
        <v>31</v>
      </c>
      <c r="I40" s="175"/>
      <c r="J40" s="165">
        <f>J39+1</f>
        <v>31</v>
      </c>
    </row>
    <row r="41" spans="1:11" ht="16.5" thickBot="1" x14ac:dyDescent="0.3">
      <c r="A41" s="165">
        <f>A40+1</f>
        <v>32</v>
      </c>
      <c r="B41" s="169" t="s">
        <v>561</v>
      </c>
      <c r="G41" s="205">
        <v>0.10100000000000001</v>
      </c>
      <c r="H41" s="266"/>
      <c r="I41" s="175" t="s">
        <v>562</v>
      </c>
      <c r="J41" s="165">
        <f>J40+1</f>
        <v>32</v>
      </c>
    </row>
    <row r="42" spans="1:11" ht="16.5" thickTop="1" x14ac:dyDescent="0.25">
      <c r="A42" s="165">
        <f t="shared" si="0"/>
        <v>33</v>
      </c>
      <c r="C42" s="183" t="s">
        <v>287</v>
      </c>
      <c r="D42" s="183" t="s">
        <v>288</v>
      </c>
      <c r="E42" s="183" t="s">
        <v>563</v>
      </c>
      <c r="F42" s="183"/>
      <c r="G42" s="183" t="s">
        <v>564</v>
      </c>
      <c r="H42" s="183"/>
      <c r="I42" s="175"/>
      <c r="J42" s="165">
        <f t="shared" si="1"/>
        <v>33</v>
      </c>
    </row>
    <row r="43" spans="1:11" x14ac:dyDescent="0.25">
      <c r="A43" s="165">
        <f t="shared" si="0"/>
        <v>34</v>
      </c>
      <c r="D43" s="165" t="s">
        <v>565</v>
      </c>
      <c r="E43" s="165" t="s">
        <v>566</v>
      </c>
      <c r="F43" s="165"/>
      <c r="G43" s="165" t="s">
        <v>567</v>
      </c>
      <c r="H43" s="165"/>
      <c r="I43" s="175"/>
      <c r="J43" s="165">
        <f t="shared" si="1"/>
        <v>34</v>
      </c>
    </row>
    <row r="44" spans="1:11" ht="18.75" x14ac:dyDescent="0.25">
      <c r="A44" s="165">
        <f t="shared" si="0"/>
        <v>35</v>
      </c>
      <c r="B44" s="169" t="s">
        <v>568</v>
      </c>
      <c r="C44" s="167" t="s">
        <v>569</v>
      </c>
      <c r="D44" s="167" t="s">
        <v>570</v>
      </c>
      <c r="E44" s="167" t="s">
        <v>571</v>
      </c>
      <c r="F44" s="167"/>
      <c r="G44" s="167" t="s">
        <v>572</v>
      </c>
      <c r="H44" s="165"/>
      <c r="I44" s="175"/>
      <c r="J44" s="165">
        <f t="shared" si="1"/>
        <v>35</v>
      </c>
    </row>
    <row r="45" spans="1:11" x14ac:dyDescent="0.25">
      <c r="A45" s="165">
        <f t="shared" si="0"/>
        <v>36</v>
      </c>
      <c r="I45" s="175"/>
      <c r="J45" s="165">
        <f t="shared" si="1"/>
        <v>36</v>
      </c>
    </row>
    <row r="46" spans="1:11" x14ac:dyDescent="0.25">
      <c r="A46" s="165">
        <f t="shared" si="0"/>
        <v>37</v>
      </c>
      <c r="B46" s="304" t="s">
        <v>573</v>
      </c>
      <c r="C46" s="180">
        <f>G16</f>
        <v>6040400.358</v>
      </c>
      <c r="D46" s="206">
        <f>C46/C$49</f>
        <v>0.43835028486472494</v>
      </c>
      <c r="E46" s="207">
        <f>G26</f>
        <v>3.9622448648295373E-2</v>
      </c>
      <c r="G46" s="208">
        <f>D46*E46</f>
        <v>1.7368511652018213E-2</v>
      </c>
      <c r="H46" s="208"/>
      <c r="I46" s="175" t="s">
        <v>574</v>
      </c>
      <c r="J46" s="165">
        <f t="shared" si="1"/>
        <v>37</v>
      </c>
    </row>
    <row r="47" spans="1:11" x14ac:dyDescent="0.25">
      <c r="A47" s="165">
        <f t="shared" si="0"/>
        <v>38</v>
      </c>
      <c r="B47" s="304" t="s">
        <v>575</v>
      </c>
      <c r="C47" s="209">
        <f>G29</f>
        <v>0</v>
      </c>
      <c r="D47" s="206">
        <f>C47/C$49</f>
        <v>0</v>
      </c>
      <c r="E47" s="207">
        <f>G31</f>
        <v>0</v>
      </c>
      <c r="G47" s="208">
        <f>D47*E47</f>
        <v>0</v>
      </c>
      <c r="H47" s="208"/>
      <c r="I47" s="175" t="s">
        <v>576</v>
      </c>
      <c r="J47" s="165">
        <f t="shared" si="1"/>
        <v>38</v>
      </c>
    </row>
    <row r="48" spans="1:11" x14ac:dyDescent="0.25">
      <c r="A48" s="165">
        <f t="shared" si="0"/>
        <v>39</v>
      </c>
      <c r="B48" s="304" t="s">
        <v>577</v>
      </c>
      <c r="C48" s="209">
        <f>G38</f>
        <v>7739447.7829999998</v>
      </c>
      <c r="D48" s="210">
        <f>C48/C$49</f>
        <v>0.56164971513527517</v>
      </c>
      <c r="E48" s="211">
        <f>G41</f>
        <v>0.10100000000000001</v>
      </c>
      <c r="G48" s="212">
        <f>D48*E48</f>
        <v>5.6726621228662795E-2</v>
      </c>
      <c r="H48" s="198"/>
      <c r="I48" s="175" t="s">
        <v>578</v>
      </c>
      <c r="J48" s="165">
        <f t="shared" si="1"/>
        <v>39</v>
      </c>
    </row>
    <row r="49" spans="1:10" ht="16.5" thickBot="1" x14ac:dyDescent="0.3">
      <c r="A49" s="165">
        <f t="shared" si="0"/>
        <v>40</v>
      </c>
      <c r="B49" s="304" t="s">
        <v>579</v>
      </c>
      <c r="C49" s="213">
        <f>SUM(C46:C48)</f>
        <v>13779848.140999999</v>
      </c>
      <c r="D49" s="214">
        <f>SUM(D46:D48)</f>
        <v>1</v>
      </c>
      <c r="G49" s="197">
        <f>SUM(G46:G48)</f>
        <v>7.4095132880681008E-2</v>
      </c>
      <c r="H49" s="198"/>
      <c r="I49" s="175" t="s">
        <v>580</v>
      </c>
      <c r="J49" s="165">
        <f t="shared" si="1"/>
        <v>40</v>
      </c>
    </row>
    <row r="50" spans="1:10" ht="16.5" thickTop="1" x14ac:dyDescent="0.25">
      <c r="A50" s="165">
        <f t="shared" si="0"/>
        <v>41</v>
      </c>
      <c r="I50" s="175"/>
      <c r="J50" s="165">
        <f t="shared" si="1"/>
        <v>41</v>
      </c>
    </row>
    <row r="51" spans="1:10" ht="16.5" thickBot="1" x14ac:dyDescent="0.3">
      <c r="A51" s="165">
        <f t="shared" si="0"/>
        <v>42</v>
      </c>
      <c r="B51" s="169" t="s">
        <v>581</v>
      </c>
      <c r="G51" s="197">
        <f>G47+G48</f>
        <v>5.6726621228662795E-2</v>
      </c>
      <c r="H51" s="198"/>
      <c r="I51" s="175" t="s">
        <v>582</v>
      </c>
      <c r="J51" s="165">
        <f t="shared" si="1"/>
        <v>42</v>
      </c>
    </row>
    <row r="52" spans="1:10" ht="17.25" thickTop="1" thickBot="1" x14ac:dyDescent="0.3">
      <c r="A52" s="203">
        <f>A51+1</f>
        <v>43</v>
      </c>
      <c r="B52" s="185"/>
      <c r="C52" s="185"/>
      <c r="D52" s="185"/>
      <c r="E52" s="185"/>
      <c r="F52" s="185"/>
      <c r="G52" s="185"/>
      <c r="H52" s="185"/>
      <c r="I52" s="204"/>
      <c r="J52" s="203">
        <f>J51+1</f>
        <v>43</v>
      </c>
    </row>
    <row r="53" spans="1:10" x14ac:dyDescent="0.25">
      <c r="A53" s="165">
        <f t="shared" ref="A53:A101" si="2">A52+1</f>
        <v>44</v>
      </c>
      <c r="I53" s="175"/>
      <c r="J53" s="165">
        <f t="shared" ref="J53:J101" si="3">J52+1</f>
        <v>44</v>
      </c>
    </row>
    <row r="54" spans="1:10" ht="16.5" thickBot="1" x14ac:dyDescent="0.3">
      <c r="A54" s="165">
        <f>A53+1</f>
        <v>45</v>
      </c>
      <c r="B54" s="169" t="s">
        <v>583</v>
      </c>
      <c r="G54" s="205">
        <v>5.0000000000000001E-3</v>
      </c>
      <c r="I54" s="175" t="s">
        <v>584</v>
      </c>
      <c r="J54" s="165">
        <f>J53+1</f>
        <v>45</v>
      </c>
    </row>
    <row r="55" spans="1:10" ht="16.5" thickTop="1" x14ac:dyDescent="0.25">
      <c r="A55" s="165">
        <f t="shared" si="2"/>
        <v>46</v>
      </c>
      <c r="C55" s="183" t="s">
        <v>287</v>
      </c>
      <c r="D55" s="183" t="s">
        <v>288</v>
      </c>
      <c r="E55" s="183" t="s">
        <v>563</v>
      </c>
      <c r="F55" s="183"/>
      <c r="G55" s="183" t="s">
        <v>564</v>
      </c>
      <c r="I55" s="175"/>
      <c r="J55" s="165">
        <f t="shared" si="3"/>
        <v>46</v>
      </c>
    </row>
    <row r="56" spans="1:10" x14ac:dyDescent="0.25">
      <c r="A56" s="165">
        <f t="shared" si="2"/>
        <v>47</v>
      </c>
      <c r="D56" s="165" t="s">
        <v>565</v>
      </c>
      <c r="E56" s="165" t="s">
        <v>566</v>
      </c>
      <c r="F56" s="165"/>
      <c r="G56" s="165" t="s">
        <v>567</v>
      </c>
      <c r="I56" s="175"/>
      <c r="J56" s="165">
        <f t="shared" si="3"/>
        <v>47</v>
      </c>
    </row>
    <row r="57" spans="1:10" ht="18.75" x14ac:dyDescent="0.25">
      <c r="A57" s="165">
        <f t="shared" si="2"/>
        <v>48</v>
      </c>
      <c r="B57" s="169" t="s">
        <v>568</v>
      </c>
      <c r="C57" s="167" t="s">
        <v>569</v>
      </c>
      <c r="D57" s="167" t="s">
        <v>570</v>
      </c>
      <c r="E57" s="167" t="s">
        <v>571</v>
      </c>
      <c r="F57" s="167"/>
      <c r="G57" s="167" t="s">
        <v>572</v>
      </c>
      <c r="I57" s="175"/>
      <c r="J57" s="165">
        <f t="shared" si="3"/>
        <v>48</v>
      </c>
    </row>
    <row r="58" spans="1:10" x14ac:dyDescent="0.25">
      <c r="A58" s="165">
        <f t="shared" si="2"/>
        <v>49</v>
      </c>
      <c r="I58" s="175"/>
      <c r="J58" s="165">
        <f t="shared" si="3"/>
        <v>49</v>
      </c>
    </row>
    <row r="59" spans="1:10" x14ac:dyDescent="0.25">
      <c r="A59" s="165">
        <f t="shared" si="2"/>
        <v>50</v>
      </c>
      <c r="B59" s="304" t="s">
        <v>573</v>
      </c>
      <c r="C59" s="180">
        <f>G16</f>
        <v>6040400.358</v>
      </c>
      <c r="D59" s="206">
        <f>C59/C$62</f>
        <v>0.43835028486472494</v>
      </c>
      <c r="E59" s="215">
        <v>0</v>
      </c>
      <c r="G59" s="208">
        <f>D59*E59</f>
        <v>0</v>
      </c>
      <c r="I59" s="175" t="s">
        <v>585</v>
      </c>
      <c r="J59" s="165">
        <f t="shared" si="3"/>
        <v>50</v>
      </c>
    </row>
    <row r="60" spans="1:10" x14ac:dyDescent="0.25">
      <c r="A60" s="165">
        <f t="shared" si="2"/>
        <v>51</v>
      </c>
      <c r="B60" s="304" t="s">
        <v>575</v>
      </c>
      <c r="C60" s="209">
        <f>G29</f>
        <v>0</v>
      </c>
      <c r="D60" s="206">
        <f>C60/C$62</f>
        <v>0</v>
      </c>
      <c r="E60" s="215">
        <v>0</v>
      </c>
      <c r="G60" s="208">
        <f>D60*E60</f>
        <v>0</v>
      </c>
      <c r="I60" s="175" t="s">
        <v>585</v>
      </c>
      <c r="J60" s="165">
        <f t="shared" si="3"/>
        <v>51</v>
      </c>
    </row>
    <row r="61" spans="1:10" x14ac:dyDescent="0.25">
      <c r="A61" s="165">
        <f t="shared" si="2"/>
        <v>52</v>
      </c>
      <c r="B61" s="304" t="s">
        <v>577</v>
      </c>
      <c r="C61" s="209">
        <f>G38</f>
        <v>7739447.7829999998</v>
      </c>
      <c r="D61" s="210">
        <f>C61/C$62</f>
        <v>0.56164971513527517</v>
      </c>
      <c r="E61" s="211">
        <f>G54</f>
        <v>5.0000000000000001E-3</v>
      </c>
      <c r="G61" s="212">
        <f>D61*E61</f>
        <v>2.8082485756763761E-3</v>
      </c>
      <c r="I61" s="175" t="s">
        <v>586</v>
      </c>
      <c r="J61" s="165">
        <f t="shared" si="3"/>
        <v>52</v>
      </c>
    </row>
    <row r="62" spans="1:10" ht="16.5" thickBot="1" x14ac:dyDescent="0.3">
      <c r="A62" s="165">
        <f t="shared" si="2"/>
        <v>53</v>
      </c>
      <c r="B62" s="304" t="s">
        <v>579</v>
      </c>
      <c r="C62" s="213">
        <f>SUM(C59:C61)</f>
        <v>13779848.140999999</v>
      </c>
      <c r="D62" s="214">
        <f>SUM(D59:D61)</f>
        <v>1</v>
      </c>
      <c r="G62" s="197">
        <f>SUM(G59:G61)</f>
        <v>2.8082485756763761E-3</v>
      </c>
      <c r="I62" s="175" t="s">
        <v>587</v>
      </c>
      <c r="J62" s="165">
        <f t="shared" si="3"/>
        <v>53</v>
      </c>
    </row>
    <row r="63" spans="1:10" ht="16.5" thickTop="1" x14ac:dyDescent="0.25">
      <c r="A63" s="165">
        <f t="shared" si="2"/>
        <v>54</v>
      </c>
      <c r="I63" s="175"/>
      <c r="J63" s="165">
        <f t="shared" si="3"/>
        <v>54</v>
      </c>
    </row>
    <row r="64" spans="1:10" ht="16.5" thickBot="1" x14ac:dyDescent="0.3">
      <c r="A64" s="165">
        <f t="shared" si="2"/>
        <v>55</v>
      </c>
      <c r="B64" s="169" t="s">
        <v>588</v>
      </c>
      <c r="G64" s="214">
        <f>G61</f>
        <v>2.8082485756763761E-3</v>
      </c>
      <c r="I64" s="175" t="s">
        <v>589</v>
      </c>
      <c r="J64" s="165">
        <f t="shared" si="3"/>
        <v>55</v>
      </c>
    </row>
    <row r="65" spans="1:10" ht="16.5" thickTop="1" x14ac:dyDescent="0.25">
      <c r="B65" s="169"/>
      <c r="G65" s="216"/>
      <c r="I65" s="175"/>
      <c r="J65" s="165"/>
    </row>
    <row r="66" spans="1:10" ht="18.75" x14ac:dyDescent="0.25">
      <c r="A66" s="182">
        <v>1</v>
      </c>
      <c r="B66" s="304" t="s">
        <v>590</v>
      </c>
      <c r="G66" s="216"/>
      <c r="I66" s="175"/>
      <c r="J66" s="165"/>
    </row>
    <row r="67" spans="1:10" x14ac:dyDescent="0.25">
      <c r="B67" s="169"/>
      <c r="G67" s="216"/>
      <c r="I67" s="175"/>
      <c r="J67" s="165"/>
    </row>
    <row r="68" spans="1:10" x14ac:dyDescent="0.25">
      <c r="B68" s="169"/>
      <c r="G68" s="216"/>
      <c r="I68" s="98"/>
      <c r="J68" s="165"/>
    </row>
    <row r="69" spans="1:10" x14ac:dyDescent="0.25">
      <c r="B69" s="575" t="s">
        <v>206</v>
      </c>
      <c r="C69" s="575"/>
      <c r="D69" s="575"/>
      <c r="E69" s="575"/>
      <c r="F69" s="575"/>
      <c r="G69" s="575"/>
      <c r="H69" s="575"/>
      <c r="I69" s="575"/>
      <c r="J69" s="165"/>
    </row>
    <row r="70" spans="1:10" x14ac:dyDescent="0.25">
      <c r="B70" s="575" t="s">
        <v>513</v>
      </c>
      <c r="C70" s="575"/>
      <c r="D70" s="575"/>
      <c r="E70" s="575"/>
      <c r="F70" s="575"/>
      <c r="G70" s="575"/>
      <c r="H70" s="575"/>
      <c r="I70" s="575"/>
      <c r="J70" s="165"/>
    </row>
    <row r="71" spans="1:10" x14ac:dyDescent="0.25">
      <c r="B71" s="575" t="s">
        <v>514</v>
      </c>
      <c r="C71" s="575"/>
      <c r="D71" s="575"/>
      <c r="E71" s="575"/>
      <c r="F71" s="575"/>
      <c r="G71" s="575"/>
      <c r="H71" s="575"/>
      <c r="I71" s="575"/>
      <c r="J71" s="165"/>
    </row>
    <row r="72" spans="1:10" x14ac:dyDescent="0.25">
      <c r="B72" s="576" t="str">
        <f>B5</f>
        <v>Base Period &amp; True-Up Period 12 - Months Ending December 31, 2020</v>
      </c>
      <c r="C72" s="576"/>
      <c r="D72" s="576"/>
      <c r="E72" s="576"/>
      <c r="F72" s="576"/>
      <c r="G72" s="576"/>
      <c r="H72" s="576"/>
      <c r="I72" s="576"/>
      <c r="J72" s="165"/>
    </row>
    <row r="73" spans="1:10" x14ac:dyDescent="0.25">
      <c r="B73" s="577" t="s">
        <v>2</v>
      </c>
      <c r="C73" s="578"/>
      <c r="D73" s="578"/>
      <c r="E73" s="578"/>
      <c r="F73" s="578"/>
      <c r="G73" s="578"/>
      <c r="H73" s="578"/>
      <c r="I73" s="578"/>
      <c r="J73" s="165"/>
    </row>
    <row r="74" spans="1:10" s="217" customFormat="1" x14ac:dyDescent="0.25">
      <c r="A74" s="165"/>
      <c r="B74" s="165"/>
      <c r="C74" s="165"/>
      <c r="D74" s="165"/>
      <c r="E74" s="165"/>
      <c r="F74" s="165"/>
      <c r="G74" s="165"/>
      <c r="H74" s="165"/>
      <c r="I74" s="175"/>
      <c r="J74" s="165"/>
    </row>
    <row r="75" spans="1:10" s="217" customFormat="1" x14ac:dyDescent="0.25">
      <c r="A75" s="165" t="s">
        <v>3</v>
      </c>
      <c r="B75" s="266"/>
      <c r="C75" s="266"/>
      <c r="D75" s="266"/>
      <c r="E75" s="165" t="s">
        <v>286</v>
      </c>
      <c r="F75" s="266"/>
      <c r="G75" s="266"/>
      <c r="H75" s="266"/>
      <c r="I75" s="175"/>
      <c r="J75" s="165" t="s">
        <v>3</v>
      </c>
    </row>
    <row r="76" spans="1:10" s="217" customFormat="1" x14ac:dyDescent="0.25">
      <c r="A76" s="165" t="s">
        <v>7</v>
      </c>
      <c r="B76" s="165"/>
      <c r="C76" s="165"/>
      <c r="D76" s="165"/>
      <c r="E76" s="167" t="s">
        <v>289</v>
      </c>
      <c r="F76" s="165"/>
      <c r="G76" s="168" t="s">
        <v>5</v>
      </c>
      <c r="H76" s="266"/>
      <c r="I76" s="188" t="s">
        <v>6</v>
      </c>
      <c r="J76" s="165" t="s">
        <v>7</v>
      </c>
    </row>
    <row r="77" spans="1:10" x14ac:dyDescent="0.25">
      <c r="I77" s="175"/>
      <c r="J77" s="165"/>
    </row>
    <row r="78" spans="1:10" ht="19.5" thickBot="1" x14ac:dyDescent="0.3">
      <c r="A78" s="165">
        <v>1</v>
      </c>
      <c r="B78" s="169" t="s">
        <v>591</v>
      </c>
      <c r="G78" s="205">
        <v>0</v>
      </c>
      <c r="H78" s="266"/>
      <c r="I78" s="218"/>
      <c r="J78" s="165">
        <f>A78</f>
        <v>1</v>
      </c>
    </row>
    <row r="79" spans="1:10" ht="16.5" thickTop="1" x14ac:dyDescent="0.25">
      <c r="A79" s="165">
        <f t="shared" si="2"/>
        <v>2</v>
      </c>
      <c r="C79" s="183" t="s">
        <v>287</v>
      </c>
      <c r="D79" s="183" t="s">
        <v>288</v>
      </c>
      <c r="E79" s="183" t="s">
        <v>563</v>
      </c>
      <c r="F79" s="183"/>
      <c r="G79" s="183" t="s">
        <v>564</v>
      </c>
      <c r="H79" s="183"/>
      <c r="I79" s="175"/>
      <c r="J79" s="165">
        <f t="shared" si="3"/>
        <v>2</v>
      </c>
    </row>
    <row r="80" spans="1:10" x14ac:dyDescent="0.25">
      <c r="A80" s="165">
        <f t="shared" si="2"/>
        <v>3</v>
      </c>
      <c r="D80" s="165" t="s">
        <v>565</v>
      </c>
      <c r="E80" s="165" t="s">
        <v>566</v>
      </c>
      <c r="F80" s="165"/>
      <c r="G80" s="165" t="s">
        <v>567</v>
      </c>
      <c r="H80" s="165"/>
      <c r="I80" s="175"/>
      <c r="J80" s="165">
        <f t="shared" si="3"/>
        <v>3</v>
      </c>
    </row>
    <row r="81" spans="1:10" ht="18.75" x14ac:dyDescent="0.25">
      <c r="A81" s="165">
        <f t="shared" si="2"/>
        <v>4</v>
      </c>
      <c r="B81" s="169" t="s">
        <v>592</v>
      </c>
      <c r="C81" s="167" t="s">
        <v>593</v>
      </c>
      <c r="D81" s="167" t="s">
        <v>570</v>
      </c>
      <c r="E81" s="167" t="s">
        <v>571</v>
      </c>
      <c r="F81" s="167"/>
      <c r="G81" s="167" t="s">
        <v>572</v>
      </c>
      <c r="H81" s="165"/>
      <c r="I81" s="175"/>
      <c r="J81" s="165">
        <f t="shared" si="3"/>
        <v>4</v>
      </c>
    </row>
    <row r="82" spans="1:10" x14ac:dyDescent="0.25">
      <c r="A82" s="165">
        <f t="shared" si="2"/>
        <v>5</v>
      </c>
      <c r="I82" s="175"/>
      <c r="J82" s="165">
        <f t="shared" si="3"/>
        <v>5</v>
      </c>
    </row>
    <row r="83" spans="1:10" x14ac:dyDescent="0.25">
      <c r="A83" s="165">
        <f t="shared" si="2"/>
        <v>6</v>
      </c>
      <c r="B83" s="304" t="s">
        <v>573</v>
      </c>
      <c r="C83" s="180">
        <f>G16</f>
        <v>6040400.358</v>
      </c>
      <c r="D83" s="206">
        <f>C83/C$86</f>
        <v>0.43835028486472494</v>
      </c>
      <c r="E83" s="207">
        <f>G26</f>
        <v>3.9622448648295373E-2</v>
      </c>
      <c r="G83" s="208">
        <f>D83*E83</f>
        <v>1.7368511652018213E-2</v>
      </c>
      <c r="H83" s="208"/>
      <c r="I83" s="175" t="s">
        <v>594</v>
      </c>
      <c r="J83" s="165">
        <f t="shared" si="3"/>
        <v>6</v>
      </c>
    </row>
    <row r="84" spans="1:10" x14ac:dyDescent="0.25">
      <c r="A84" s="165">
        <f t="shared" si="2"/>
        <v>7</v>
      </c>
      <c r="B84" s="304" t="s">
        <v>575</v>
      </c>
      <c r="C84" s="209">
        <f>G29</f>
        <v>0</v>
      </c>
      <c r="D84" s="206">
        <f>C84/C$86</f>
        <v>0</v>
      </c>
      <c r="E84" s="207">
        <f>G31</f>
        <v>0</v>
      </c>
      <c r="G84" s="208">
        <f>D84*E84</f>
        <v>0</v>
      </c>
      <c r="H84" s="208"/>
      <c r="I84" s="175" t="s">
        <v>595</v>
      </c>
      <c r="J84" s="165">
        <f t="shared" si="3"/>
        <v>7</v>
      </c>
    </row>
    <row r="85" spans="1:10" x14ac:dyDescent="0.25">
      <c r="A85" s="165">
        <f t="shared" si="2"/>
        <v>8</v>
      </c>
      <c r="B85" s="304" t="s">
        <v>577</v>
      </c>
      <c r="C85" s="209">
        <f>G38</f>
        <v>7739447.7829999998</v>
      </c>
      <c r="D85" s="210">
        <f>C85/C$86</f>
        <v>0.56164971513527517</v>
      </c>
      <c r="E85" s="211">
        <f>G78</f>
        <v>0</v>
      </c>
      <c r="G85" s="212">
        <f>D85*E85</f>
        <v>0</v>
      </c>
      <c r="H85" s="198"/>
      <c r="I85" s="175" t="s">
        <v>596</v>
      </c>
      <c r="J85" s="165">
        <f t="shared" si="3"/>
        <v>8</v>
      </c>
    </row>
    <row r="86" spans="1:10" ht="16.5" thickBot="1" x14ac:dyDescent="0.3">
      <c r="A86" s="165">
        <f t="shared" si="2"/>
        <v>9</v>
      </c>
      <c r="B86" s="304" t="s">
        <v>579</v>
      </c>
      <c r="C86" s="213">
        <f>SUM(C83:C85)</f>
        <v>13779848.140999999</v>
      </c>
      <c r="D86" s="214">
        <f>SUM(D83:D85)</f>
        <v>1</v>
      </c>
      <c r="G86" s="197">
        <f>SUM(G83:G85)</f>
        <v>1.7368511652018213E-2</v>
      </c>
      <c r="H86" s="198"/>
      <c r="I86" s="175" t="s">
        <v>597</v>
      </c>
      <c r="J86" s="165">
        <f t="shared" si="3"/>
        <v>9</v>
      </c>
    </row>
    <row r="87" spans="1:10" ht="16.5" thickTop="1" x14ac:dyDescent="0.25">
      <c r="A87" s="165">
        <f t="shared" si="2"/>
        <v>10</v>
      </c>
      <c r="I87" s="175"/>
      <c r="J87" s="165">
        <f t="shared" si="3"/>
        <v>10</v>
      </c>
    </row>
    <row r="88" spans="1:10" ht="16.5" thickBot="1" x14ac:dyDescent="0.3">
      <c r="A88" s="165">
        <f t="shared" si="2"/>
        <v>11</v>
      </c>
      <c r="B88" s="169" t="s">
        <v>598</v>
      </c>
      <c r="G88" s="197">
        <f>G84+G85</f>
        <v>0</v>
      </c>
      <c r="H88" s="198"/>
      <c r="I88" s="175" t="s">
        <v>599</v>
      </c>
      <c r="J88" s="165">
        <f t="shared" si="3"/>
        <v>11</v>
      </c>
    </row>
    <row r="89" spans="1:10" ht="17.25" thickTop="1" thickBot="1" x14ac:dyDescent="0.3">
      <c r="A89" s="203">
        <f t="shared" si="2"/>
        <v>12</v>
      </c>
      <c r="B89" s="219"/>
      <c r="C89" s="185"/>
      <c r="D89" s="185"/>
      <c r="E89" s="185"/>
      <c r="F89" s="185"/>
      <c r="G89" s="220"/>
      <c r="H89" s="220"/>
      <c r="I89" s="204"/>
      <c r="J89" s="203">
        <f t="shared" si="3"/>
        <v>12</v>
      </c>
    </row>
    <row r="90" spans="1:10" x14ac:dyDescent="0.25">
      <c r="A90" s="165">
        <f t="shared" si="2"/>
        <v>13</v>
      </c>
      <c r="I90" s="175"/>
      <c r="J90" s="165">
        <f t="shared" si="3"/>
        <v>13</v>
      </c>
    </row>
    <row r="91" spans="1:10" ht="16.5" thickBot="1" x14ac:dyDescent="0.3">
      <c r="A91" s="165">
        <f t="shared" si="2"/>
        <v>14</v>
      </c>
      <c r="B91" s="169" t="s">
        <v>583</v>
      </c>
      <c r="G91" s="205">
        <v>0</v>
      </c>
      <c r="I91" s="175" t="s">
        <v>584</v>
      </c>
      <c r="J91" s="165">
        <f t="shared" si="3"/>
        <v>14</v>
      </c>
    </row>
    <row r="92" spans="1:10" ht="16.5" thickTop="1" x14ac:dyDescent="0.25">
      <c r="A92" s="165">
        <f t="shared" si="2"/>
        <v>15</v>
      </c>
      <c r="C92" s="183" t="s">
        <v>287</v>
      </c>
      <c r="D92" s="183" t="s">
        <v>288</v>
      </c>
      <c r="E92" s="183" t="s">
        <v>563</v>
      </c>
      <c r="F92" s="183"/>
      <c r="G92" s="183" t="s">
        <v>564</v>
      </c>
      <c r="I92" s="175"/>
      <c r="J92" s="165">
        <f t="shared" si="3"/>
        <v>15</v>
      </c>
    </row>
    <row r="93" spans="1:10" x14ac:dyDescent="0.25">
      <c r="A93" s="165">
        <f t="shared" si="2"/>
        <v>16</v>
      </c>
      <c r="D93" s="165" t="s">
        <v>565</v>
      </c>
      <c r="E93" s="165" t="s">
        <v>566</v>
      </c>
      <c r="F93" s="165"/>
      <c r="G93" s="165" t="s">
        <v>567</v>
      </c>
      <c r="I93" s="175"/>
      <c r="J93" s="165">
        <f t="shared" si="3"/>
        <v>16</v>
      </c>
    </row>
    <row r="94" spans="1:10" ht="18.75" x14ac:dyDescent="0.25">
      <c r="A94" s="165">
        <f t="shared" si="2"/>
        <v>17</v>
      </c>
      <c r="B94" s="169" t="s">
        <v>568</v>
      </c>
      <c r="C94" s="167" t="s">
        <v>593</v>
      </c>
      <c r="D94" s="167" t="s">
        <v>570</v>
      </c>
      <c r="E94" s="167" t="s">
        <v>571</v>
      </c>
      <c r="F94" s="167"/>
      <c r="G94" s="167" t="s">
        <v>572</v>
      </c>
      <c r="I94" s="175"/>
      <c r="J94" s="165">
        <f t="shared" si="3"/>
        <v>17</v>
      </c>
    </row>
    <row r="95" spans="1:10" x14ac:dyDescent="0.25">
      <c r="A95" s="165">
        <f t="shared" si="2"/>
        <v>18</v>
      </c>
      <c r="I95" s="175"/>
      <c r="J95" s="165">
        <f t="shared" si="3"/>
        <v>18</v>
      </c>
    </row>
    <row r="96" spans="1:10" x14ac:dyDescent="0.25">
      <c r="A96" s="165">
        <f t="shared" si="2"/>
        <v>19</v>
      </c>
      <c r="B96" s="304" t="s">
        <v>573</v>
      </c>
      <c r="C96" s="180">
        <f>G16</f>
        <v>6040400.358</v>
      </c>
      <c r="D96" s="206">
        <f>C96/C$99</f>
        <v>0.43835028486472494</v>
      </c>
      <c r="E96" s="215">
        <v>0</v>
      </c>
      <c r="G96" s="208">
        <f>D96*E96</f>
        <v>0</v>
      </c>
      <c r="I96" s="175" t="s">
        <v>585</v>
      </c>
      <c r="J96" s="165">
        <f t="shared" si="3"/>
        <v>19</v>
      </c>
    </row>
    <row r="97" spans="1:10" x14ac:dyDescent="0.25">
      <c r="A97" s="165">
        <f t="shared" si="2"/>
        <v>20</v>
      </c>
      <c r="B97" s="304" t="s">
        <v>575</v>
      </c>
      <c r="C97" s="209">
        <f>G29</f>
        <v>0</v>
      </c>
      <c r="D97" s="206">
        <f>C97/C$99</f>
        <v>0</v>
      </c>
      <c r="E97" s="215">
        <v>0</v>
      </c>
      <c r="G97" s="208">
        <f>D97*E97</f>
        <v>0</v>
      </c>
      <c r="I97" s="175" t="s">
        <v>585</v>
      </c>
      <c r="J97" s="165">
        <f t="shared" si="3"/>
        <v>20</v>
      </c>
    </row>
    <row r="98" spans="1:10" x14ac:dyDescent="0.25">
      <c r="A98" s="165">
        <f t="shared" si="2"/>
        <v>21</v>
      </c>
      <c r="B98" s="304" t="s">
        <v>577</v>
      </c>
      <c r="C98" s="209">
        <f>G38</f>
        <v>7739447.7829999998</v>
      </c>
      <c r="D98" s="210">
        <f>C98/C$99</f>
        <v>0.56164971513527517</v>
      </c>
      <c r="E98" s="211">
        <f>G91</f>
        <v>0</v>
      </c>
      <c r="G98" s="212">
        <f>D98*E98</f>
        <v>0</v>
      </c>
      <c r="I98" s="175" t="s">
        <v>600</v>
      </c>
      <c r="J98" s="165">
        <f t="shared" si="3"/>
        <v>21</v>
      </c>
    </row>
    <row r="99" spans="1:10" ht="16.5" thickBot="1" x14ac:dyDescent="0.3">
      <c r="A99" s="165">
        <f t="shared" si="2"/>
        <v>22</v>
      </c>
      <c r="B99" s="304" t="s">
        <v>579</v>
      </c>
      <c r="C99" s="213">
        <f>SUM(C96:C98)</f>
        <v>13779848.140999999</v>
      </c>
      <c r="D99" s="214">
        <f>SUM(D96:D98)</f>
        <v>1</v>
      </c>
      <c r="G99" s="197">
        <f>SUM(G96:G98)</f>
        <v>0</v>
      </c>
      <c r="I99" s="175" t="s">
        <v>152</v>
      </c>
      <c r="J99" s="165">
        <f t="shared" si="3"/>
        <v>22</v>
      </c>
    </row>
    <row r="100" spans="1:10" ht="16.5" thickTop="1" x14ac:dyDescent="0.25">
      <c r="A100" s="165">
        <f t="shared" si="2"/>
        <v>23</v>
      </c>
      <c r="I100" s="175"/>
      <c r="J100" s="165">
        <f t="shared" si="3"/>
        <v>23</v>
      </c>
    </row>
    <row r="101" spans="1:10" ht="16.5" thickBot="1" x14ac:dyDescent="0.3">
      <c r="A101" s="165">
        <f t="shared" si="2"/>
        <v>24</v>
      </c>
      <c r="B101" s="169" t="s">
        <v>588</v>
      </c>
      <c r="G101" s="214">
        <f>G98</f>
        <v>0</v>
      </c>
      <c r="I101" s="175" t="s">
        <v>601</v>
      </c>
      <c r="J101" s="165">
        <f t="shared" si="3"/>
        <v>24</v>
      </c>
    </row>
    <row r="102" spans="1:10" ht="16.5" thickTop="1" x14ac:dyDescent="0.25">
      <c r="B102" s="169"/>
      <c r="G102" s="216"/>
      <c r="I102" s="175"/>
      <c r="J102" s="165"/>
    </row>
    <row r="103" spans="1:10" ht="18.75" x14ac:dyDescent="0.25">
      <c r="A103" s="182">
        <v>1</v>
      </c>
      <c r="B103" s="304" t="s">
        <v>602</v>
      </c>
      <c r="G103" s="216"/>
      <c r="I103" s="175"/>
      <c r="J103" s="165"/>
    </row>
    <row r="104" spans="1:10" ht="18.75" x14ac:dyDescent="0.25">
      <c r="A104" s="182">
        <v>2</v>
      </c>
      <c r="B104" s="304" t="s">
        <v>590</v>
      </c>
      <c r="G104" s="181"/>
      <c r="H104" s="181"/>
      <c r="J104" s="165" t="s">
        <v>21</v>
      </c>
    </row>
    <row r="105" spans="1:10" ht="18.75" x14ac:dyDescent="0.25">
      <c r="A105" s="222"/>
      <c r="B105" s="217"/>
      <c r="G105" s="181"/>
      <c r="H105" s="181"/>
      <c r="J105" s="165"/>
    </row>
    <row r="106" spans="1:10" ht="18.75" x14ac:dyDescent="0.25">
      <c r="A106" s="182"/>
      <c r="G106" s="181"/>
      <c r="H106" s="181"/>
      <c r="I106" s="98"/>
      <c r="J106" s="165"/>
    </row>
    <row r="107" spans="1:10" x14ac:dyDescent="0.25">
      <c r="B107" s="575" t="s">
        <v>206</v>
      </c>
      <c r="C107" s="575"/>
      <c r="D107" s="575"/>
      <c r="E107" s="575"/>
      <c r="F107" s="575"/>
      <c r="G107" s="575"/>
      <c r="H107" s="575"/>
      <c r="I107" s="575"/>
      <c r="J107" s="165"/>
    </row>
    <row r="108" spans="1:10" x14ac:dyDescent="0.25">
      <c r="B108" s="575" t="s">
        <v>513</v>
      </c>
      <c r="C108" s="575"/>
      <c r="D108" s="575"/>
      <c r="E108" s="575"/>
      <c r="F108" s="575"/>
      <c r="G108" s="575"/>
      <c r="H108" s="575"/>
      <c r="I108" s="575"/>
      <c r="J108" s="165"/>
    </row>
    <row r="109" spans="1:10" x14ac:dyDescent="0.25">
      <c r="B109" s="575" t="s">
        <v>514</v>
      </c>
      <c r="C109" s="575"/>
      <c r="D109" s="575"/>
      <c r="E109" s="575"/>
      <c r="F109" s="575"/>
      <c r="G109" s="575"/>
      <c r="H109" s="575"/>
      <c r="I109" s="575"/>
      <c r="J109" s="165"/>
    </row>
    <row r="110" spans="1:10" x14ac:dyDescent="0.25">
      <c r="B110" s="576" t="str">
        <f>B5</f>
        <v>Base Period &amp; True-Up Period 12 - Months Ending December 31, 2020</v>
      </c>
      <c r="C110" s="576"/>
      <c r="D110" s="576"/>
      <c r="E110" s="576"/>
      <c r="F110" s="576"/>
      <c r="G110" s="576"/>
      <c r="H110" s="576"/>
      <c r="I110" s="576"/>
      <c r="J110" s="165"/>
    </row>
    <row r="111" spans="1:10" x14ac:dyDescent="0.25">
      <c r="B111" s="577" t="s">
        <v>2</v>
      </c>
      <c r="C111" s="578"/>
      <c r="D111" s="578"/>
      <c r="E111" s="578"/>
      <c r="F111" s="578"/>
      <c r="G111" s="578"/>
      <c r="H111" s="578"/>
      <c r="I111" s="578"/>
      <c r="J111" s="165"/>
    </row>
    <row r="112" spans="1:10" x14ac:dyDescent="0.25">
      <c r="B112" s="165"/>
      <c r="C112" s="165"/>
      <c r="D112" s="165"/>
      <c r="E112" s="165"/>
      <c r="F112" s="165"/>
      <c r="G112" s="165"/>
      <c r="H112" s="165"/>
      <c r="I112" s="175"/>
      <c r="J112" s="165"/>
    </row>
    <row r="113" spans="1:12" x14ac:dyDescent="0.25">
      <c r="A113" s="165" t="s">
        <v>3</v>
      </c>
      <c r="B113" s="266"/>
      <c r="C113" s="266"/>
      <c r="D113" s="266"/>
      <c r="E113" s="266"/>
      <c r="F113" s="266"/>
      <c r="G113" s="266"/>
      <c r="H113" s="266"/>
      <c r="I113" s="175"/>
      <c r="J113" s="165" t="s">
        <v>3</v>
      </c>
    </row>
    <row r="114" spans="1:12" x14ac:dyDescent="0.25">
      <c r="A114" s="165" t="s">
        <v>7</v>
      </c>
      <c r="B114" s="165"/>
      <c r="C114" s="165"/>
      <c r="D114" s="165"/>
      <c r="E114" s="165"/>
      <c r="F114" s="165"/>
      <c r="G114" s="167" t="s">
        <v>5</v>
      </c>
      <c r="H114" s="266"/>
      <c r="I114" s="188" t="s">
        <v>6</v>
      </c>
      <c r="J114" s="165" t="s">
        <v>7</v>
      </c>
    </row>
    <row r="115" spans="1:12" x14ac:dyDescent="0.25">
      <c r="G115" s="165"/>
      <c r="H115" s="165"/>
      <c r="I115" s="175"/>
      <c r="J115" s="165"/>
    </row>
    <row r="116" spans="1:12" ht="18.75" x14ac:dyDescent="0.25">
      <c r="A116" s="165">
        <v>1</v>
      </c>
      <c r="B116" s="169" t="s">
        <v>603</v>
      </c>
      <c r="E116" s="266"/>
      <c r="F116" s="266"/>
      <c r="G116" s="223"/>
      <c r="H116" s="223"/>
      <c r="I116" s="175"/>
      <c r="J116" s="165">
        <v>1</v>
      </c>
    </row>
    <row r="117" spans="1:12" x14ac:dyDescent="0.25">
      <c r="A117" s="165">
        <f>A116+1</f>
        <v>2</v>
      </c>
      <c r="B117" s="224"/>
      <c r="E117" s="266"/>
      <c r="F117" s="266"/>
      <c r="G117" s="223"/>
      <c r="H117" s="223"/>
      <c r="I117" s="175"/>
      <c r="J117" s="165">
        <f>J116+1</f>
        <v>2</v>
      </c>
    </row>
    <row r="118" spans="1:12" x14ac:dyDescent="0.25">
      <c r="A118" s="165">
        <f>A117+1</f>
        <v>3</v>
      </c>
      <c r="B118" s="169" t="s">
        <v>604</v>
      </c>
      <c r="E118" s="266"/>
      <c r="F118" s="266"/>
      <c r="G118" s="223"/>
      <c r="H118" s="223"/>
      <c r="I118" s="175"/>
      <c r="J118" s="165">
        <f>J117+1</f>
        <v>3</v>
      </c>
    </row>
    <row r="119" spans="1:12" x14ac:dyDescent="0.25">
      <c r="A119" s="165">
        <f>A118+1</f>
        <v>4</v>
      </c>
      <c r="B119" s="266"/>
      <c r="C119" s="266"/>
      <c r="D119" s="266"/>
      <c r="E119" s="266"/>
      <c r="F119" s="266"/>
      <c r="G119" s="223"/>
      <c r="H119" s="223"/>
      <c r="I119" s="175"/>
      <c r="J119" s="165">
        <f>J118+1</f>
        <v>4</v>
      </c>
    </row>
    <row r="120" spans="1:12" x14ac:dyDescent="0.25">
      <c r="A120" s="165">
        <f t="shared" ref="A120:A179" si="4">A119+1</f>
        <v>5</v>
      </c>
      <c r="B120" s="170" t="s">
        <v>605</v>
      </c>
      <c r="C120" s="266"/>
      <c r="D120" s="266"/>
      <c r="E120" s="266"/>
      <c r="F120" s="266"/>
      <c r="G120" s="223"/>
      <c r="H120" s="223"/>
      <c r="I120" s="225"/>
      <c r="J120" s="165">
        <f t="shared" ref="J120:J179" si="5">J119+1</f>
        <v>5</v>
      </c>
    </row>
    <row r="121" spans="1:12" x14ac:dyDescent="0.25">
      <c r="A121" s="165">
        <f t="shared" si="4"/>
        <v>6</v>
      </c>
      <c r="B121" s="304" t="s">
        <v>606</v>
      </c>
      <c r="D121" s="266"/>
      <c r="E121" s="266"/>
      <c r="F121" s="266"/>
      <c r="G121" s="226">
        <f>G51</f>
        <v>5.6726621228662795E-2</v>
      </c>
      <c r="H121" s="266"/>
      <c r="I121" s="175" t="s">
        <v>607</v>
      </c>
      <c r="J121" s="165">
        <f t="shared" si="5"/>
        <v>6</v>
      </c>
      <c r="K121" s="165"/>
    </row>
    <row r="122" spans="1:12" x14ac:dyDescent="0.25">
      <c r="A122" s="165">
        <f t="shared" si="4"/>
        <v>7</v>
      </c>
      <c r="B122" s="304" t="s">
        <v>608</v>
      </c>
      <c r="D122" s="266"/>
      <c r="E122" s="266"/>
      <c r="F122" s="266"/>
      <c r="G122" s="227">
        <v>3299.4664590749462</v>
      </c>
      <c r="H122" s="42"/>
      <c r="I122" s="175" t="s">
        <v>609</v>
      </c>
      <c r="J122" s="165">
        <f t="shared" si="5"/>
        <v>7</v>
      </c>
      <c r="K122" s="165"/>
    </row>
    <row r="123" spans="1:12" x14ac:dyDescent="0.25">
      <c r="A123" s="165">
        <f t="shared" si="4"/>
        <v>8</v>
      </c>
      <c r="B123" s="304" t="s">
        <v>610</v>
      </c>
      <c r="D123" s="266"/>
      <c r="E123" s="266"/>
      <c r="F123" s="266"/>
      <c r="G123" s="228">
        <v>8011.4031624399995</v>
      </c>
      <c r="H123" s="266"/>
      <c r="I123" s="218" t="s">
        <v>611</v>
      </c>
      <c r="J123" s="165">
        <f t="shared" si="5"/>
        <v>8</v>
      </c>
      <c r="K123" s="266"/>
    </row>
    <row r="124" spans="1:12" x14ac:dyDescent="0.25">
      <c r="A124" s="165">
        <f t="shared" si="4"/>
        <v>9</v>
      </c>
      <c r="B124" s="304" t="s">
        <v>612</v>
      </c>
      <c r="D124" s="266"/>
      <c r="E124" s="229"/>
      <c r="F124" s="266"/>
      <c r="G124" s="230">
        <f>'Pg3 BK-1 Rev TO5 C4'!E138</f>
        <v>4578385.3293002723</v>
      </c>
      <c r="H124" s="42" t="s">
        <v>33</v>
      </c>
      <c r="I124" s="175" t="s">
        <v>710</v>
      </c>
      <c r="J124" s="165">
        <f t="shared" si="5"/>
        <v>9</v>
      </c>
    </row>
    <row r="125" spans="1:12" x14ac:dyDescent="0.25">
      <c r="A125" s="165">
        <f t="shared" si="4"/>
        <v>10</v>
      </c>
      <c r="B125" s="304" t="s">
        <v>613</v>
      </c>
      <c r="D125" s="231"/>
      <c r="E125" s="266"/>
      <c r="F125" s="266"/>
      <c r="G125" s="232" t="s">
        <v>614</v>
      </c>
      <c r="H125" s="266"/>
      <c r="I125" s="175" t="s">
        <v>615</v>
      </c>
      <c r="J125" s="165">
        <f t="shared" si="5"/>
        <v>10</v>
      </c>
      <c r="L125" s="233"/>
    </row>
    <row r="126" spans="1:12" x14ac:dyDescent="0.25">
      <c r="A126" s="165">
        <f t="shared" si="4"/>
        <v>11</v>
      </c>
      <c r="G126" s="165"/>
      <c r="H126" s="165"/>
      <c r="J126" s="165">
        <f t="shared" si="5"/>
        <v>11</v>
      </c>
    </row>
    <row r="127" spans="1:12" x14ac:dyDescent="0.25">
      <c r="A127" s="165">
        <f t="shared" si="4"/>
        <v>12</v>
      </c>
      <c r="B127" s="304" t="s">
        <v>616</v>
      </c>
      <c r="D127" s="266"/>
      <c r="E127" s="266"/>
      <c r="F127" s="266"/>
      <c r="G127" s="234">
        <f>(((G121)+(G123/G124))*G125-(G122/G124))/(1-G125)</f>
        <v>1.4632143664246727E-2</v>
      </c>
      <c r="H127" s="42"/>
      <c r="I127" s="175" t="s">
        <v>617</v>
      </c>
      <c r="J127" s="165">
        <f t="shared" si="5"/>
        <v>12</v>
      </c>
      <c r="L127" s="235"/>
    </row>
    <row r="128" spans="1:12" x14ac:dyDescent="0.25">
      <c r="A128" s="165">
        <f t="shared" si="4"/>
        <v>13</v>
      </c>
      <c r="B128" s="236" t="s">
        <v>618</v>
      </c>
      <c r="G128" s="165"/>
      <c r="H128" s="165"/>
      <c r="J128" s="165">
        <f t="shared" si="5"/>
        <v>13</v>
      </c>
    </row>
    <row r="129" spans="1:11" x14ac:dyDescent="0.25">
      <c r="A129" s="165">
        <f t="shared" si="4"/>
        <v>14</v>
      </c>
      <c r="G129" s="165"/>
      <c r="H129" s="165"/>
      <c r="J129" s="165">
        <f t="shared" si="5"/>
        <v>14</v>
      </c>
    </row>
    <row r="130" spans="1:11" x14ac:dyDescent="0.25">
      <c r="A130" s="165">
        <f t="shared" si="4"/>
        <v>15</v>
      </c>
      <c r="B130" s="169" t="s">
        <v>619</v>
      </c>
      <c r="C130" s="266"/>
      <c r="D130" s="266"/>
      <c r="E130" s="266"/>
      <c r="F130" s="266"/>
      <c r="G130" s="237"/>
      <c r="H130" s="237"/>
      <c r="I130" s="238"/>
      <c r="J130" s="165">
        <f t="shared" si="5"/>
        <v>15</v>
      </c>
      <c r="K130" s="239"/>
    </row>
    <row r="131" spans="1:11" x14ac:dyDescent="0.25">
      <c r="A131" s="165">
        <f t="shared" si="4"/>
        <v>16</v>
      </c>
      <c r="B131" s="179"/>
      <c r="C131" s="266"/>
      <c r="D131" s="266"/>
      <c r="E131" s="266"/>
      <c r="F131" s="266"/>
      <c r="G131" s="237"/>
      <c r="H131" s="237"/>
      <c r="I131" s="240"/>
      <c r="J131" s="165">
        <f t="shared" si="5"/>
        <v>16</v>
      </c>
      <c r="K131" s="266"/>
    </row>
    <row r="132" spans="1:11" x14ac:dyDescent="0.25">
      <c r="A132" s="165">
        <f t="shared" si="4"/>
        <v>17</v>
      </c>
      <c r="B132" s="170" t="s">
        <v>605</v>
      </c>
      <c r="C132" s="266"/>
      <c r="D132" s="266"/>
      <c r="E132" s="266"/>
      <c r="F132" s="266"/>
      <c r="G132" s="237"/>
      <c r="H132" s="237"/>
      <c r="I132" s="240"/>
      <c r="J132" s="165">
        <f t="shared" si="5"/>
        <v>17</v>
      </c>
      <c r="K132" s="266"/>
    </row>
    <row r="133" spans="1:11" x14ac:dyDescent="0.25">
      <c r="A133" s="165">
        <f t="shared" si="4"/>
        <v>18</v>
      </c>
      <c r="B133" s="304" t="s">
        <v>606</v>
      </c>
      <c r="D133" s="266"/>
      <c r="E133" s="266"/>
      <c r="F133" s="266"/>
      <c r="G133" s="206">
        <f>G121</f>
        <v>5.6726621228662795E-2</v>
      </c>
      <c r="H133" s="206"/>
      <c r="I133" s="175" t="s">
        <v>620</v>
      </c>
      <c r="J133" s="165">
        <f t="shared" si="5"/>
        <v>18</v>
      </c>
      <c r="K133" s="165"/>
    </row>
    <row r="134" spans="1:11" x14ac:dyDescent="0.25">
      <c r="A134" s="165">
        <f t="shared" si="4"/>
        <v>19</v>
      </c>
      <c r="B134" s="304" t="s">
        <v>621</v>
      </c>
      <c r="D134" s="266"/>
      <c r="E134" s="266"/>
      <c r="F134" s="266"/>
      <c r="G134" s="241">
        <f>G123</f>
        <v>8011.4031624399995</v>
      </c>
      <c r="H134" s="241"/>
      <c r="I134" s="175" t="s">
        <v>622</v>
      </c>
      <c r="J134" s="165">
        <f t="shared" si="5"/>
        <v>19</v>
      </c>
      <c r="K134" s="165"/>
    </row>
    <row r="135" spans="1:11" x14ac:dyDescent="0.25">
      <c r="A135" s="165">
        <f t="shared" si="4"/>
        <v>20</v>
      </c>
      <c r="B135" s="304" t="s">
        <v>623</v>
      </c>
      <c r="D135" s="266"/>
      <c r="E135" s="266"/>
      <c r="F135" s="266"/>
      <c r="G135" s="242">
        <f>G124</f>
        <v>4578385.3293002723</v>
      </c>
      <c r="H135" s="42" t="s">
        <v>33</v>
      </c>
      <c r="I135" s="175" t="s">
        <v>624</v>
      </c>
      <c r="J135" s="165">
        <f t="shared" si="5"/>
        <v>20</v>
      </c>
      <c r="K135" s="165"/>
    </row>
    <row r="136" spans="1:11" x14ac:dyDescent="0.25">
      <c r="A136" s="165">
        <f t="shared" si="4"/>
        <v>21</v>
      </c>
      <c r="B136" s="304" t="s">
        <v>625</v>
      </c>
      <c r="D136" s="266"/>
      <c r="E136" s="266"/>
      <c r="F136" s="266"/>
      <c r="G136" s="243">
        <f>G127</f>
        <v>1.4632143664246727E-2</v>
      </c>
      <c r="H136" s="42"/>
      <c r="I136" s="175" t="s">
        <v>626</v>
      </c>
      <c r="J136" s="165">
        <f t="shared" si="5"/>
        <v>21</v>
      </c>
    </row>
    <row r="137" spans="1:11" x14ac:dyDescent="0.25">
      <c r="A137" s="165">
        <f t="shared" si="4"/>
        <v>22</v>
      </c>
      <c r="B137" s="304" t="s">
        <v>627</v>
      </c>
      <c r="D137" s="266"/>
      <c r="E137" s="266"/>
      <c r="F137" s="266"/>
      <c r="G137" s="232" t="s">
        <v>628</v>
      </c>
      <c r="H137" s="266"/>
      <c r="I137" s="175" t="s">
        <v>629</v>
      </c>
      <c r="J137" s="165">
        <f t="shared" si="5"/>
        <v>22</v>
      </c>
    </row>
    <row r="138" spans="1:11" x14ac:dyDescent="0.25">
      <c r="A138" s="165">
        <f t="shared" si="4"/>
        <v>23</v>
      </c>
      <c r="B138" s="513"/>
      <c r="D138" s="266"/>
      <c r="E138" s="266"/>
      <c r="F138" s="266"/>
      <c r="G138" s="244"/>
      <c r="H138" s="244"/>
      <c r="I138" s="240"/>
      <c r="J138" s="165">
        <f t="shared" si="5"/>
        <v>23</v>
      </c>
    </row>
    <row r="139" spans="1:11" x14ac:dyDescent="0.25">
      <c r="A139" s="165">
        <f t="shared" si="4"/>
        <v>24</v>
      </c>
      <c r="B139" s="304" t="s">
        <v>630</v>
      </c>
      <c r="C139" s="165"/>
      <c r="D139" s="165"/>
      <c r="E139" s="266"/>
      <c r="F139" s="266"/>
      <c r="G139" s="245">
        <f>((G133)+(G134/G135)+G127)*G137/(1-G137)</f>
        <v>7.0895128639881259E-3</v>
      </c>
      <c r="H139" s="42"/>
      <c r="I139" s="175" t="s">
        <v>631</v>
      </c>
      <c r="J139" s="165">
        <f t="shared" si="5"/>
        <v>24</v>
      </c>
    </row>
    <row r="140" spans="1:11" x14ac:dyDescent="0.25">
      <c r="A140" s="165">
        <f t="shared" si="4"/>
        <v>25</v>
      </c>
      <c r="B140" s="236" t="s">
        <v>632</v>
      </c>
      <c r="G140" s="165"/>
      <c r="H140" s="165"/>
      <c r="I140" s="175"/>
      <c r="J140" s="165">
        <f t="shared" si="5"/>
        <v>25</v>
      </c>
      <c r="K140" s="165"/>
    </row>
    <row r="141" spans="1:11" x14ac:dyDescent="0.25">
      <c r="A141" s="165">
        <f t="shared" si="4"/>
        <v>26</v>
      </c>
      <c r="G141" s="165"/>
      <c r="H141" s="165"/>
      <c r="I141" s="175"/>
      <c r="J141" s="165">
        <f t="shared" si="5"/>
        <v>26</v>
      </c>
      <c r="K141" s="165"/>
    </row>
    <row r="142" spans="1:11" x14ac:dyDescent="0.25">
      <c r="A142" s="165">
        <f t="shared" si="4"/>
        <v>27</v>
      </c>
      <c r="B142" s="169" t="s">
        <v>633</v>
      </c>
      <c r="G142" s="234">
        <f>G139+G127</f>
        <v>2.1721656528234854E-2</v>
      </c>
      <c r="H142" s="42"/>
      <c r="I142" s="175" t="s">
        <v>634</v>
      </c>
      <c r="J142" s="165">
        <f t="shared" si="5"/>
        <v>27</v>
      </c>
      <c r="K142" s="165"/>
    </row>
    <row r="143" spans="1:11" x14ac:dyDescent="0.25">
      <c r="A143" s="165">
        <f t="shared" si="4"/>
        <v>28</v>
      </c>
      <c r="G143" s="165"/>
      <c r="H143" s="165"/>
      <c r="I143" s="175"/>
      <c r="J143" s="165">
        <f t="shared" si="5"/>
        <v>28</v>
      </c>
      <c r="K143" s="165"/>
    </row>
    <row r="144" spans="1:11" x14ac:dyDescent="0.25">
      <c r="A144" s="165">
        <f t="shared" si="4"/>
        <v>29</v>
      </c>
      <c r="B144" s="169" t="s">
        <v>635</v>
      </c>
      <c r="G144" s="247">
        <f>G49</f>
        <v>7.4095132880681008E-2</v>
      </c>
      <c r="H144" s="266"/>
      <c r="I144" s="175" t="s">
        <v>636</v>
      </c>
      <c r="J144" s="165">
        <f t="shared" si="5"/>
        <v>29</v>
      </c>
      <c r="K144" s="165"/>
    </row>
    <row r="145" spans="1:12" x14ac:dyDescent="0.25">
      <c r="A145" s="165">
        <f t="shared" si="4"/>
        <v>30</v>
      </c>
      <c r="G145" s="206"/>
      <c r="H145" s="206"/>
      <c r="I145" s="175"/>
      <c r="J145" s="165">
        <f t="shared" si="5"/>
        <v>30</v>
      </c>
      <c r="K145" s="165"/>
    </row>
    <row r="146" spans="1:12" ht="19.5" thickBot="1" x14ac:dyDescent="0.3">
      <c r="A146" s="165">
        <f t="shared" si="4"/>
        <v>31</v>
      </c>
      <c r="B146" s="169" t="s">
        <v>637</v>
      </c>
      <c r="G146" s="248">
        <f>G142+G144</f>
        <v>9.5816789408915859E-2</v>
      </c>
      <c r="H146" s="42"/>
      <c r="I146" s="175" t="s">
        <v>638</v>
      </c>
      <c r="J146" s="165">
        <f t="shared" si="5"/>
        <v>31</v>
      </c>
      <c r="K146" s="249"/>
      <c r="L146" s="235"/>
    </row>
    <row r="147" spans="1:12" ht="17.25" thickTop="1" thickBot="1" x14ac:dyDescent="0.3">
      <c r="A147" s="203">
        <f t="shared" si="4"/>
        <v>32</v>
      </c>
      <c r="B147" s="185"/>
      <c r="C147" s="185"/>
      <c r="D147" s="185"/>
      <c r="E147" s="185"/>
      <c r="F147" s="185"/>
      <c r="G147" s="203"/>
      <c r="H147" s="203"/>
      <c r="I147" s="204"/>
      <c r="J147" s="203">
        <f t="shared" si="5"/>
        <v>32</v>
      </c>
    </row>
    <row r="148" spans="1:12" x14ac:dyDescent="0.25">
      <c r="A148" s="165">
        <f t="shared" si="4"/>
        <v>33</v>
      </c>
      <c r="G148" s="165"/>
      <c r="H148" s="165"/>
      <c r="I148" s="175"/>
      <c r="J148" s="165">
        <f t="shared" si="5"/>
        <v>33</v>
      </c>
    </row>
    <row r="149" spans="1:12" ht="18.75" x14ac:dyDescent="0.25">
      <c r="A149" s="165">
        <f t="shared" si="4"/>
        <v>34</v>
      </c>
      <c r="B149" s="169" t="s">
        <v>639</v>
      </c>
      <c r="E149" s="266"/>
      <c r="F149" s="266"/>
      <c r="G149" s="223"/>
      <c r="H149" s="223"/>
      <c r="I149" s="175"/>
      <c r="J149" s="165">
        <f t="shared" si="5"/>
        <v>34</v>
      </c>
    </row>
    <row r="150" spans="1:12" x14ac:dyDescent="0.25">
      <c r="A150" s="165">
        <f t="shared" si="4"/>
        <v>35</v>
      </c>
      <c r="B150" s="224"/>
      <c r="E150" s="266"/>
      <c r="F150" s="266"/>
      <c r="G150" s="223"/>
      <c r="H150" s="223"/>
      <c r="I150" s="175"/>
      <c r="J150" s="165">
        <f t="shared" si="5"/>
        <v>35</v>
      </c>
      <c r="L150" s="250"/>
    </row>
    <row r="151" spans="1:12" x14ac:dyDescent="0.25">
      <c r="A151" s="165">
        <f t="shared" si="4"/>
        <v>36</v>
      </c>
      <c r="B151" s="169" t="s">
        <v>604</v>
      </c>
      <c r="E151" s="266"/>
      <c r="F151" s="266"/>
      <c r="G151" s="223"/>
      <c r="H151" s="223"/>
      <c r="I151" s="175"/>
      <c r="J151" s="165">
        <f t="shared" si="5"/>
        <v>36</v>
      </c>
    </row>
    <row r="152" spans="1:12" x14ac:dyDescent="0.25">
      <c r="A152" s="165">
        <f t="shared" si="4"/>
        <v>37</v>
      </c>
      <c r="B152" s="266"/>
      <c r="C152" s="266"/>
      <c r="D152" s="266"/>
      <c r="E152" s="266"/>
      <c r="F152" s="266"/>
      <c r="G152" s="223"/>
      <c r="H152" s="223"/>
      <c r="I152" s="175"/>
      <c r="J152" s="165">
        <f t="shared" si="5"/>
        <v>37</v>
      </c>
    </row>
    <row r="153" spans="1:12" x14ac:dyDescent="0.25">
      <c r="A153" s="165">
        <f t="shared" si="4"/>
        <v>38</v>
      </c>
      <c r="B153" s="170" t="s">
        <v>605</v>
      </c>
      <c r="C153" s="266"/>
      <c r="D153" s="266"/>
      <c r="E153" s="266"/>
      <c r="F153" s="266"/>
      <c r="G153" s="223"/>
      <c r="H153" s="223"/>
      <c r="I153" s="225"/>
      <c r="J153" s="165">
        <f t="shared" si="5"/>
        <v>38</v>
      </c>
    </row>
    <row r="154" spans="1:12" x14ac:dyDescent="0.25">
      <c r="A154" s="165">
        <f t="shared" si="4"/>
        <v>39</v>
      </c>
      <c r="B154" s="304" t="s">
        <v>640</v>
      </c>
      <c r="D154" s="266"/>
      <c r="E154" s="266"/>
      <c r="F154" s="266"/>
      <c r="G154" s="226">
        <f>G64</f>
        <v>2.8082485756763761E-3</v>
      </c>
      <c r="H154" s="266"/>
      <c r="I154" s="175" t="s">
        <v>641</v>
      </c>
      <c r="J154" s="165">
        <f t="shared" si="5"/>
        <v>39</v>
      </c>
      <c r="K154" s="165"/>
    </row>
    <row r="155" spans="1:12" x14ac:dyDescent="0.25">
      <c r="A155" s="165">
        <f t="shared" si="4"/>
        <v>40</v>
      </c>
      <c r="B155" s="304" t="s">
        <v>608</v>
      </c>
      <c r="D155" s="266"/>
      <c r="E155" s="266"/>
      <c r="F155" s="266"/>
      <c r="G155" s="251">
        <v>0</v>
      </c>
      <c r="H155" s="266"/>
      <c r="I155" s="175" t="s">
        <v>585</v>
      </c>
      <c r="J155" s="165">
        <f t="shared" si="5"/>
        <v>40</v>
      </c>
      <c r="K155" s="165"/>
    </row>
    <row r="156" spans="1:12" x14ac:dyDescent="0.25">
      <c r="A156" s="165">
        <f t="shared" si="4"/>
        <v>41</v>
      </c>
      <c r="B156" s="304" t="s">
        <v>610</v>
      </c>
      <c r="D156" s="266"/>
      <c r="E156" s="266"/>
      <c r="F156" s="266"/>
      <c r="G156" s="251">
        <v>0</v>
      </c>
      <c r="H156" s="266"/>
      <c r="I156" s="175" t="s">
        <v>585</v>
      </c>
      <c r="J156" s="165">
        <f t="shared" si="5"/>
        <v>41</v>
      </c>
      <c r="K156" s="266"/>
    </row>
    <row r="157" spans="1:12" x14ac:dyDescent="0.25">
      <c r="A157" s="165">
        <f t="shared" si="4"/>
        <v>42</v>
      </c>
      <c r="B157" s="304" t="s">
        <v>612</v>
      </c>
      <c r="D157" s="266"/>
      <c r="E157" s="229"/>
      <c r="F157" s="266"/>
      <c r="G157" s="230">
        <f>'Pg3 BK-1 Rev TO5 C4'!E138</f>
        <v>4578385.3293002723</v>
      </c>
      <c r="H157" s="42" t="s">
        <v>33</v>
      </c>
      <c r="I157" s="175" t="s">
        <v>710</v>
      </c>
      <c r="J157" s="165">
        <f t="shared" si="5"/>
        <v>42</v>
      </c>
    </row>
    <row r="158" spans="1:12" x14ac:dyDescent="0.25">
      <c r="A158" s="165">
        <f t="shared" si="4"/>
        <v>43</v>
      </c>
      <c r="B158" s="304" t="s">
        <v>613</v>
      </c>
      <c r="D158" s="231"/>
      <c r="E158" s="266"/>
      <c r="F158" s="266"/>
      <c r="G158" s="232" t="s">
        <v>614</v>
      </c>
      <c r="H158" s="266"/>
      <c r="I158" s="175" t="s">
        <v>615</v>
      </c>
      <c r="J158" s="165">
        <f t="shared" si="5"/>
        <v>43</v>
      </c>
      <c r="L158" s="233"/>
    </row>
    <row r="159" spans="1:12" x14ac:dyDescent="0.25">
      <c r="A159" s="165">
        <f t="shared" si="4"/>
        <v>44</v>
      </c>
      <c r="G159" s="165"/>
      <c r="H159" s="165"/>
      <c r="J159" s="165">
        <f t="shared" si="5"/>
        <v>44</v>
      </c>
    </row>
    <row r="160" spans="1:12" x14ac:dyDescent="0.25">
      <c r="A160" s="165">
        <f t="shared" si="4"/>
        <v>45</v>
      </c>
      <c r="B160" s="304" t="s">
        <v>616</v>
      </c>
      <c r="D160" s="266"/>
      <c r="E160" s="266"/>
      <c r="F160" s="266"/>
      <c r="G160" s="234">
        <f>(((G154)+(G156/G157))*G158-(G155/G157))/(1-G158)</f>
        <v>7.4649645682536576E-4</v>
      </c>
      <c r="H160" s="234"/>
      <c r="I160" s="175" t="s">
        <v>617</v>
      </c>
      <c r="J160" s="165">
        <f t="shared" si="5"/>
        <v>45</v>
      </c>
      <c r="L160" s="235"/>
    </row>
    <row r="161" spans="1:11" x14ac:dyDescent="0.25">
      <c r="A161" s="165">
        <f t="shared" si="4"/>
        <v>46</v>
      </c>
      <c r="B161" s="236" t="s">
        <v>618</v>
      </c>
      <c r="G161" s="165"/>
      <c r="H161" s="165"/>
      <c r="J161" s="165">
        <f t="shared" si="5"/>
        <v>46</v>
      </c>
    </row>
    <row r="162" spans="1:11" x14ac:dyDescent="0.25">
      <c r="A162" s="165">
        <f t="shared" si="4"/>
        <v>47</v>
      </c>
      <c r="G162" s="165"/>
      <c r="H162" s="165"/>
      <c r="J162" s="165">
        <f t="shared" si="5"/>
        <v>47</v>
      </c>
    </row>
    <row r="163" spans="1:11" x14ac:dyDescent="0.25">
      <c r="A163" s="165">
        <f t="shared" si="4"/>
        <v>48</v>
      </c>
      <c r="B163" s="169" t="s">
        <v>619</v>
      </c>
      <c r="C163" s="266"/>
      <c r="D163" s="266"/>
      <c r="E163" s="266"/>
      <c r="F163" s="266"/>
      <c r="G163" s="237"/>
      <c r="H163" s="237"/>
      <c r="I163" s="238"/>
      <c r="J163" s="165">
        <f t="shared" si="5"/>
        <v>48</v>
      </c>
      <c r="K163" s="239"/>
    </row>
    <row r="164" spans="1:11" x14ac:dyDescent="0.25">
      <c r="A164" s="165">
        <f t="shared" si="4"/>
        <v>49</v>
      </c>
      <c r="B164" s="179"/>
      <c r="C164" s="266"/>
      <c r="D164" s="266"/>
      <c r="E164" s="266"/>
      <c r="F164" s="266"/>
      <c r="G164" s="237"/>
      <c r="H164" s="237"/>
      <c r="I164" s="240"/>
      <c r="J164" s="165">
        <f t="shared" si="5"/>
        <v>49</v>
      </c>
      <c r="K164" s="266"/>
    </row>
    <row r="165" spans="1:11" x14ac:dyDescent="0.25">
      <c r="A165" s="165">
        <f t="shared" si="4"/>
        <v>50</v>
      </c>
      <c r="B165" s="170" t="s">
        <v>605</v>
      </c>
      <c r="C165" s="266"/>
      <c r="D165" s="266"/>
      <c r="E165" s="266"/>
      <c r="F165" s="266"/>
      <c r="G165" s="237"/>
      <c r="H165" s="237"/>
      <c r="I165" s="240"/>
      <c r="J165" s="165">
        <f t="shared" si="5"/>
        <v>50</v>
      </c>
      <c r="K165" s="266"/>
    </row>
    <row r="166" spans="1:11" x14ac:dyDescent="0.25">
      <c r="A166" s="165">
        <f t="shared" si="4"/>
        <v>51</v>
      </c>
      <c r="B166" s="304" t="s">
        <v>640</v>
      </c>
      <c r="D166" s="266"/>
      <c r="E166" s="266"/>
      <c r="F166" s="266"/>
      <c r="G166" s="206">
        <f>G154</f>
        <v>2.8082485756763761E-3</v>
      </c>
      <c r="H166" s="206"/>
      <c r="I166" s="175" t="s">
        <v>642</v>
      </c>
      <c r="J166" s="165">
        <f t="shared" si="5"/>
        <v>51</v>
      </c>
      <c r="K166" s="165"/>
    </row>
    <row r="167" spans="1:11" x14ac:dyDescent="0.25">
      <c r="A167" s="165">
        <f t="shared" si="4"/>
        <v>52</v>
      </c>
      <c r="B167" s="304" t="s">
        <v>621</v>
      </c>
      <c r="D167" s="266"/>
      <c r="E167" s="266"/>
      <c r="F167" s="266"/>
      <c r="G167" s="241">
        <f>G156</f>
        <v>0</v>
      </c>
      <c r="H167" s="241"/>
      <c r="I167" s="175" t="s">
        <v>643</v>
      </c>
      <c r="J167" s="165">
        <f t="shared" si="5"/>
        <v>52</v>
      </c>
      <c r="K167" s="165"/>
    </row>
    <row r="168" spans="1:11" x14ac:dyDescent="0.25">
      <c r="A168" s="165">
        <f t="shared" si="4"/>
        <v>53</v>
      </c>
      <c r="B168" s="304" t="s">
        <v>623</v>
      </c>
      <c r="D168" s="266"/>
      <c r="E168" s="266"/>
      <c r="F168" s="266"/>
      <c r="G168" s="242">
        <f>G157</f>
        <v>4578385.3293002723</v>
      </c>
      <c r="H168" s="42" t="s">
        <v>33</v>
      </c>
      <c r="I168" s="175" t="s">
        <v>644</v>
      </c>
      <c r="J168" s="165">
        <f t="shared" si="5"/>
        <v>53</v>
      </c>
      <c r="K168" s="165"/>
    </row>
    <row r="169" spans="1:11" x14ac:dyDescent="0.25">
      <c r="A169" s="165">
        <f t="shared" si="4"/>
        <v>54</v>
      </c>
      <c r="B169" s="304" t="s">
        <v>625</v>
      </c>
      <c r="D169" s="266"/>
      <c r="E169" s="266"/>
      <c r="F169" s="266"/>
      <c r="G169" s="243">
        <f>G160</f>
        <v>7.4649645682536576E-4</v>
      </c>
      <c r="H169" s="243"/>
      <c r="I169" s="175" t="s">
        <v>645</v>
      </c>
      <c r="J169" s="165">
        <f t="shared" si="5"/>
        <v>54</v>
      </c>
    </row>
    <row r="170" spans="1:11" x14ac:dyDescent="0.25">
      <c r="A170" s="165">
        <f t="shared" si="4"/>
        <v>55</v>
      </c>
      <c r="B170" s="304" t="s">
        <v>627</v>
      </c>
      <c r="D170" s="266"/>
      <c r="E170" s="266"/>
      <c r="F170" s="266"/>
      <c r="G170" s="232" t="s">
        <v>628</v>
      </c>
      <c r="H170" s="266"/>
      <c r="I170" s="175" t="s">
        <v>629</v>
      </c>
      <c r="J170" s="165">
        <f t="shared" si="5"/>
        <v>55</v>
      </c>
    </row>
    <row r="171" spans="1:11" x14ac:dyDescent="0.25">
      <c r="A171" s="165">
        <f t="shared" si="4"/>
        <v>56</v>
      </c>
      <c r="B171" s="513"/>
      <c r="D171" s="266"/>
      <c r="E171" s="266"/>
      <c r="F171" s="266"/>
      <c r="G171" s="244"/>
      <c r="H171" s="244"/>
      <c r="I171" s="240"/>
      <c r="J171" s="165">
        <f t="shared" si="5"/>
        <v>56</v>
      </c>
      <c r="K171" s="252"/>
    </row>
    <row r="172" spans="1:11" x14ac:dyDescent="0.25">
      <c r="A172" s="165">
        <f t="shared" si="4"/>
        <v>57</v>
      </c>
      <c r="B172" s="304" t="s">
        <v>630</v>
      </c>
      <c r="C172" s="165"/>
      <c r="D172" s="165"/>
      <c r="E172" s="266"/>
      <c r="F172" s="266"/>
      <c r="G172" s="245">
        <f>((G166)+(G167/G168)+G160)*G170/(1-G170)</f>
        <v>3.4471200183540368E-4</v>
      </c>
      <c r="H172" s="246"/>
      <c r="I172" s="175" t="s">
        <v>631</v>
      </c>
      <c r="J172" s="165">
        <f t="shared" si="5"/>
        <v>57</v>
      </c>
    </row>
    <row r="173" spans="1:11" x14ac:dyDescent="0.25">
      <c r="A173" s="165">
        <f t="shared" si="4"/>
        <v>58</v>
      </c>
      <c r="B173" s="236" t="s">
        <v>632</v>
      </c>
      <c r="G173" s="165"/>
      <c r="H173" s="165"/>
      <c r="I173" s="175"/>
      <c r="J173" s="165">
        <f t="shared" si="5"/>
        <v>58</v>
      </c>
      <c r="K173" s="165"/>
    </row>
    <row r="174" spans="1:11" x14ac:dyDescent="0.25">
      <c r="A174" s="165">
        <f t="shared" si="4"/>
        <v>59</v>
      </c>
      <c r="G174" s="165"/>
      <c r="H174" s="165"/>
      <c r="I174" s="175"/>
      <c r="J174" s="165">
        <f t="shared" si="5"/>
        <v>59</v>
      </c>
      <c r="K174" s="165"/>
    </row>
    <row r="175" spans="1:11" x14ac:dyDescent="0.25">
      <c r="A175" s="165">
        <f t="shared" si="4"/>
        <v>60</v>
      </c>
      <c r="B175" s="169" t="s">
        <v>633</v>
      </c>
      <c r="G175" s="234">
        <f>G172+G160</f>
        <v>1.0912084586607695E-3</v>
      </c>
      <c r="H175" s="234"/>
      <c r="I175" s="175" t="s">
        <v>646</v>
      </c>
      <c r="J175" s="165">
        <f t="shared" si="5"/>
        <v>60</v>
      </c>
      <c r="K175" s="165"/>
    </row>
    <row r="176" spans="1:11" x14ac:dyDescent="0.25">
      <c r="A176" s="165">
        <f t="shared" si="4"/>
        <v>61</v>
      </c>
      <c r="G176" s="165"/>
      <c r="H176" s="165"/>
      <c r="I176" s="175"/>
      <c r="J176" s="165">
        <f t="shared" si="5"/>
        <v>61</v>
      </c>
      <c r="K176" s="165"/>
    </row>
    <row r="177" spans="1:12" x14ac:dyDescent="0.25">
      <c r="A177" s="165">
        <f t="shared" si="4"/>
        <v>62</v>
      </c>
      <c r="B177" s="169" t="s">
        <v>647</v>
      </c>
      <c r="G177" s="253">
        <f>G62</f>
        <v>2.8082485756763761E-3</v>
      </c>
      <c r="H177" s="266"/>
      <c r="I177" s="175" t="s">
        <v>648</v>
      </c>
      <c r="J177" s="165">
        <f t="shared" si="5"/>
        <v>62</v>
      </c>
      <c r="K177" s="165"/>
    </row>
    <row r="178" spans="1:12" x14ac:dyDescent="0.25">
      <c r="A178" s="165">
        <f t="shared" si="4"/>
        <v>63</v>
      </c>
      <c r="G178" s="206"/>
      <c r="H178" s="206"/>
      <c r="I178" s="175"/>
      <c r="J178" s="165">
        <f t="shared" si="5"/>
        <v>63</v>
      </c>
      <c r="K178" s="165"/>
    </row>
    <row r="179" spans="1:12" ht="19.5" thickBot="1" x14ac:dyDescent="0.3">
      <c r="A179" s="165">
        <f t="shared" si="4"/>
        <v>64</v>
      </c>
      <c r="B179" s="169" t="s">
        <v>649</v>
      </c>
      <c r="G179" s="248">
        <f>G175+G177</f>
        <v>3.8994570343371454E-3</v>
      </c>
      <c r="H179" s="246"/>
      <c r="I179" s="175" t="s">
        <v>650</v>
      </c>
      <c r="J179" s="165">
        <f t="shared" si="5"/>
        <v>64</v>
      </c>
      <c r="K179" s="249"/>
      <c r="L179" s="235"/>
    </row>
    <row r="180" spans="1:12" ht="16.5" thickTop="1" x14ac:dyDescent="0.25">
      <c r="B180" s="169"/>
      <c r="G180" s="254"/>
      <c r="H180" s="254"/>
      <c r="I180" s="175"/>
      <c r="J180" s="165"/>
      <c r="K180" s="249"/>
      <c r="L180" s="235"/>
    </row>
    <row r="181" spans="1:12" x14ac:dyDescent="0.25">
      <c r="B181" s="169"/>
      <c r="G181" s="254"/>
      <c r="H181" s="254"/>
      <c r="I181" s="175"/>
      <c r="J181" s="165"/>
      <c r="K181" s="249"/>
      <c r="L181" s="235"/>
    </row>
    <row r="182" spans="1:12" x14ac:dyDescent="0.25">
      <c r="A182" s="42" t="s">
        <v>33</v>
      </c>
      <c r="B182" s="12" t="str">
        <f>'Pg2 BK-1 Comparison'!B42</f>
        <v>Items in BOLD have changed due to A&amp;G adj. missed in prior cost adj. filing and CEMA/WMPMA exclusion corrections compared to the original TO5 Cycle 4 filing per ER22-527 and cost adj.</v>
      </c>
      <c r="C182" s="255"/>
      <c r="D182" s="255"/>
      <c r="E182" s="255"/>
      <c r="F182" s="255"/>
      <c r="G182" s="256"/>
      <c r="H182" s="256"/>
      <c r="I182" s="257"/>
      <c r="J182" s="165"/>
    </row>
    <row r="183" spans="1:12" x14ac:dyDescent="0.25">
      <c r="A183" s="42"/>
      <c r="B183" s="12" t="str">
        <f>'Pg2 BK-1 Comparison'!B43</f>
        <v>incl. in TO5 Cycle 5 per ER23-542.</v>
      </c>
      <c r="C183" s="255"/>
      <c r="D183" s="255"/>
      <c r="E183" s="255"/>
      <c r="F183" s="255"/>
      <c r="G183" s="256"/>
      <c r="H183" s="256"/>
      <c r="I183" s="257"/>
      <c r="J183" s="165"/>
    </row>
    <row r="184" spans="1:12" x14ac:dyDescent="0.25">
      <c r="A184" s="42"/>
      <c r="B184" s="513"/>
      <c r="C184" s="255"/>
      <c r="D184" s="255"/>
      <c r="E184" s="255"/>
      <c r="F184" s="255"/>
      <c r="G184" s="256"/>
      <c r="H184" s="256"/>
      <c r="I184" s="257"/>
      <c r="J184" s="165"/>
    </row>
    <row r="185" spans="1:12" x14ac:dyDescent="0.25">
      <c r="A185" s="42"/>
      <c r="B185" s="12"/>
      <c r="C185" s="255"/>
      <c r="D185" s="255"/>
      <c r="E185" s="255"/>
      <c r="F185" s="255"/>
      <c r="G185" s="256"/>
      <c r="H185" s="256"/>
      <c r="I185" s="98"/>
      <c r="J185" s="165"/>
    </row>
    <row r="186" spans="1:12" x14ac:dyDescent="0.25">
      <c r="B186" s="575" t="s">
        <v>206</v>
      </c>
      <c r="C186" s="575"/>
      <c r="D186" s="575"/>
      <c r="E186" s="575"/>
      <c r="F186" s="575"/>
      <c r="G186" s="575"/>
      <c r="H186" s="575"/>
      <c r="I186" s="575"/>
      <c r="J186" s="165"/>
    </row>
    <row r="187" spans="1:12" x14ac:dyDescent="0.25">
      <c r="B187" s="575" t="s">
        <v>513</v>
      </c>
      <c r="C187" s="575"/>
      <c r="D187" s="575"/>
      <c r="E187" s="575"/>
      <c r="F187" s="575"/>
      <c r="G187" s="575"/>
      <c r="H187" s="575"/>
      <c r="I187" s="575"/>
      <c r="J187" s="165"/>
    </row>
    <row r="188" spans="1:12" x14ac:dyDescent="0.25">
      <c r="B188" s="575" t="s">
        <v>514</v>
      </c>
      <c r="C188" s="575"/>
      <c r="D188" s="575"/>
      <c r="E188" s="575"/>
      <c r="F188" s="575"/>
      <c r="G188" s="575"/>
      <c r="H188" s="575"/>
      <c r="I188" s="575"/>
      <c r="J188" s="165"/>
    </row>
    <row r="189" spans="1:12" x14ac:dyDescent="0.25">
      <c r="B189" s="576" t="str">
        <f>B5</f>
        <v>Base Period &amp; True-Up Period 12 - Months Ending December 31, 2020</v>
      </c>
      <c r="C189" s="576"/>
      <c r="D189" s="576"/>
      <c r="E189" s="576"/>
      <c r="F189" s="576"/>
      <c r="G189" s="576"/>
      <c r="H189" s="576"/>
      <c r="I189" s="576"/>
      <c r="J189" s="165"/>
    </row>
    <row r="190" spans="1:12" x14ac:dyDescent="0.25">
      <c r="B190" s="577" t="s">
        <v>2</v>
      </c>
      <c r="C190" s="578"/>
      <c r="D190" s="578"/>
      <c r="E190" s="578"/>
      <c r="F190" s="578"/>
      <c r="G190" s="578"/>
      <c r="H190" s="578"/>
      <c r="I190" s="578"/>
      <c r="J190" s="165"/>
    </row>
    <row r="191" spans="1:12" x14ac:dyDescent="0.25">
      <c r="B191" s="165"/>
      <c r="C191" s="165"/>
      <c r="D191" s="165"/>
      <c r="E191" s="165"/>
      <c r="F191" s="165"/>
      <c r="G191" s="266"/>
      <c r="H191" s="266"/>
      <c r="I191" s="175"/>
      <c r="J191" s="165"/>
    </row>
    <row r="192" spans="1:12" x14ac:dyDescent="0.25">
      <c r="A192" s="165" t="s">
        <v>3</v>
      </c>
      <c r="B192" s="266"/>
      <c r="C192" s="266"/>
      <c r="D192" s="266"/>
      <c r="E192" s="266"/>
      <c r="F192" s="266"/>
      <c r="G192" s="266"/>
      <c r="H192" s="266"/>
      <c r="I192" s="175"/>
      <c r="J192" s="165" t="s">
        <v>3</v>
      </c>
    </row>
    <row r="193" spans="1:10" x14ac:dyDescent="0.25">
      <c r="A193" s="165" t="s">
        <v>7</v>
      </c>
      <c r="B193" s="165"/>
      <c r="C193" s="165"/>
      <c r="D193" s="165"/>
      <c r="E193" s="165"/>
      <c r="F193" s="165"/>
      <c r="G193" s="167" t="s">
        <v>5</v>
      </c>
      <c r="H193" s="266"/>
      <c r="I193" s="188" t="s">
        <v>6</v>
      </c>
      <c r="J193" s="165" t="s">
        <v>7</v>
      </c>
    </row>
    <row r="194" spans="1:10" x14ac:dyDescent="0.25">
      <c r="G194" s="165"/>
      <c r="H194" s="165"/>
      <c r="I194" s="175"/>
      <c r="J194" s="165"/>
    </row>
    <row r="195" spans="1:10" ht="18.75" x14ac:dyDescent="0.25">
      <c r="A195" s="165">
        <v>1</v>
      </c>
      <c r="B195" s="169" t="s">
        <v>651</v>
      </c>
      <c r="E195" s="266"/>
      <c r="F195" s="266"/>
      <c r="G195" s="223"/>
      <c r="H195" s="223"/>
      <c r="I195" s="175"/>
      <c r="J195" s="165">
        <v>1</v>
      </c>
    </row>
    <row r="196" spans="1:10" x14ac:dyDescent="0.25">
      <c r="A196" s="165">
        <f>A195+1</f>
        <v>2</v>
      </c>
      <c r="B196" s="224"/>
      <c r="E196" s="266"/>
      <c r="F196" s="266"/>
      <c r="G196" s="223"/>
      <c r="H196" s="223"/>
      <c r="I196" s="175"/>
      <c r="J196" s="165">
        <f>J195+1</f>
        <v>2</v>
      </c>
    </row>
    <row r="197" spans="1:10" x14ac:dyDescent="0.25">
      <c r="A197" s="165">
        <f>A196+1</f>
        <v>3</v>
      </c>
      <c r="B197" s="169" t="s">
        <v>604</v>
      </c>
      <c r="E197" s="266"/>
      <c r="F197" s="266"/>
      <c r="G197" s="223"/>
      <c r="H197" s="223"/>
      <c r="I197" s="175"/>
      <c r="J197" s="165">
        <f>J196+1</f>
        <v>3</v>
      </c>
    </row>
    <row r="198" spans="1:10" x14ac:dyDescent="0.25">
      <c r="A198" s="165">
        <f>A197+1</f>
        <v>4</v>
      </c>
      <c r="B198" s="266"/>
      <c r="C198" s="266"/>
      <c r="D198" s="266"/>
      <c r="E198" s="266"/>
      <c r="F198" s="266"/>
      <c r="G198" s="223"/>
      <c r="H198" s="223"/>
      <c r="I198" s="175"/>
      <c r="J198" s="165">
        <f>J197+1</f>
        <v>4</v>
      </c>
    </row>
    <row r="199" spans="1:10" x14ac:dyDescent="0.25">
      <c r="A199" s="165">
        <f t="shared" ref="A199:A258" si="6">A198+1</f>
        <v>5</v>
      </c>
      <c r="B199" s="170" t="s">
        <v>605</v>
      </c>
      <c r="C199" s="266"/>
      <c r="D199" s="266"/>
      <c r="E199" s="266"/>
      <c r="F199" s="266"/>
      <c r="G199" s="223"/>
      <c r="H199" s="223"/>
      <c r="I199" s="225"/>
      <c r="J199" s="165">
        <f t="shared" ref="J199:J258" si="7">J198+1</f>
        <v>5</v>
      </c>
    </row>
    <row r="200" spans="1:10" x14ac:dyDescent="0.25">
      <c r="A200" s="165">
        <f t="shared" si="6"/>
        <v>6</v>
      </c>
      <c r="B200" s="304" t="s">
        <v>606</v>
      </c>
      <c r="D200" s="266"/>
      <c r="E200" s="266"/>
      <c r="F200" s="266"/>
      <c r="G200" s="226">
        <f>G88</f>
        <v>0</v>
      </c>
      <c r="H200" s="266"/>
      <c r="I200" s="175" t="s">
        <v>652</v>
      </c>
      <c r="J200" s="165">
        <f t="shared" si="7"/>
        <v>6</v>
      </c>
    </row>
    <row r="201" spans="1:10" x14ac:dyDescent="0.25">
      <c r="A201" s="165">
        <f t="shared" si="6"/>
        <v>7</v>
      </c>
      <c r="B201" s="304" t="s">
        <v>608</v>
      </c>
      <c r="D201" s="266"/>
      <c r="E201" s="266"/>
      <c r="F201" s="266"/>
      <c r="G201" s="251">
        <v>0</v>
      </c>
      <c r="H201" s="266"/>
      <c r="I201" s="175" t="s">
        <v>653</v>
      </c>
      <c r="J201" s="165">
        <f t="shared" si="7"/>
        <v>7</v>
      </c>
    </row>
    <row r="202" spans="1:10" x14ac:dyDescent="0.25">
      <c r="A202" s="165">
        <f t="shared" si="6"/>
        <v>8</v>
      </c>
      <c r="B202" s="304" t="s">
        <v>610</v>
      </c>
      <c r="D202" s="266"/>
      <c r="E202" s="266"/>
      <c r="F202" s="266"/>
      <c r="G202" s="228">
        <v>0</v>
      </c>
      <c r="H202" s="266"/>
      <c r="I202" s="218"/>
      <c r="J202" s="165">
        <f t="shared" si="7"/>
        <v>8</v>
      </c>
    </row>
    <row r="203" spans="1:10" x14ac:dyDescent="0.25">
      <c r="A203" s="165">
        <f t="shared" si="6"/>
        <v>9</v>
      </c>
      <c r="B203" s="304" t="s">
        <v>654</v>
      </c>
      <c r="D203" s="266"/>
      <c r="E203" s="266"/>
      <c r="F203" s="266"/>
      <c r="G203" s="227">
        <v>0</v>
      </c>
      <c r="H203" s="266"/>
      <c r="I203" s="175" t="s">
        <v>655</v>
      </c>
      <c r="J203" s="165">
        <f t="shared" si="7"/>
        <v>9</v>
      </c>
    </row>
    <row r="204" spans="1:10" x14ac:dyDescent="0.25">
      <c r="A204" s="165">
        <f t="shared" si="6"/>
        <v>10</v>
      </c>
      <c r="B204" s="304" t="s">
        <v>613</v>
      </c>
      <c r="D204" s="266"/>
      <c r="E204" s="266"/>
      <c r="F204" s="266"/>
      <c r="G204" s="258" t="str">
        <f>G125</f>
        <v>21%</v>
      </c>
      <c r="H204" s="266"/>
      <c r="I204" s="175" t="s">
        <v>656</v>
      </c>
      <c r="J204" s="165">
        <f t="shared" si="7"/>
        <v>10</v>
      </c>
    </row>
    <row r="205" spans="1:10" x14ac:dyDescent="0.25">
      <c r="A205" s="165">
        <f t="shared" si="6"/>
        <v>11</v>
      </c>
      <c r="G205" s="165"/>
      <c r="H205" s="165"/>
      <c r="J205" s="165">
        <f t="shared" si="7"/>
        <v>11</v>
      </c>
    </row>
    <row r="206" spans="1:10" x14ac:dyDescent="0.25">
      <c r="A206" s="165">
        <f t="shared" si="6"/>
        <v>12</v>
      </c>
      <c r="B206" s="304" t="s">
        <v>657</v>
      </c>
      <c r="D206" s="266"/>
      <c r="E206" s="266"/>
      <c r="F206" s="266"/>
      <c r="G206" s="234">
        <f>IFERROR((((G200)+(G202/G203))*G204-(G201/G203))/(1-G204),0)</f>
        <v>0</v>
      </c>
      <c r="H206" s="234"/>
      <c r="I206" s="175" t="s">
        <v>658</v>
      </c>
      <c r="J206" s="165">
        <f t="shared" si="7"/>
        <v>12</v>
      </c>
    </row>
    <row r="207" spans="1:10" x14ac:dyDescent="0.25">
      <c r="A207" s="165">
        <f t="shared" si="6"/>
        <v>13</v>
      </c>
      <c r="B207" s="236" t="s">
        <v>618</v>
      </c>
      <c r="D207" s="236"/>
      <c r="G207" s="216"/>
      <c r="H207" s="216"/>
      <c r="J207" s="165">
        <f t="shared" si="7"/>
        <v>13</v>
      </c>
    </row>
    <row r="208" spans="1:10" x14ac:dyDescent="0.25">
      <c r="A208" s="165">
        <f t="shared" si="6"/>
        <v>14</v>
      </c>
      <c r="G208" s="165"/>
      <c r="H208" s="165"/>
      <c r="J208" s="165">
        <f t="shared" si="7"/>
        <v>14</v>
      </c>
    </row>
    <row r="209" spans="1:10" x14ac:dyDescent="0.25">
      <c r="A209" s="165">
        <f t="shared" si="6"/>
        <v>15</v>
      </c>
      <c r="B209" s="169" t="s">
        <v>619</v>
      </c>
      <c r="C209" s="266"/>
      <c r="D209" s="266"/>
      <c r="E209" s="266"/>
      <c r="F209" s="266"/>
      <c r="G209" s="237"/>
      <c r="H209" s="237"/>
      <c r="I209" s="238"/>
      <c r="J209" s="165">
        <f t="shared" si="7"/>
        <v>15</v>
      </c>
    </row>
    <row r="210" spans="1:10" x14ac:dyDescent="0.25">
      <c r="A210" s="165">
        <f t="shared" si="6"/>
        <v>16</v>
      </c>
      <c r="B210" s="179"/>
      <c r="C210" s="266"/>
      <c r="D210" s="266"/>
      <c r="E210" s="266"/>
      <c r="F210" s="266"/>
      <c r="G210" s="237"/>
      <c r="H210" s="237"/>
      <c r="I210" s="225"/>
      <c r="J210" s="165">
        <f t="shared" si="7"/>
        <v>16</v>
      </c>
    </row>
    <row r="211" spans="1:10" x14ac:dyDescent="0.25">
      <c r="A211" s="165">
        <f t="shared" si="6"/>
        <v>17</v>
      </c>
      <c r="B211" s="170" t="s">
        <v>605</v>
      </c>
      <c r="C211" s="266"/>
      <c r="D211" s="266"/>
      <c r="E211" s="266"/>
      <c r="F211" s="266"/>
      <c r="G211" s="237"/>
      <c r="H211" s="237"/>
      <c r="I211" s="225"/>
      <c r="J211" s="165">
        <f t="shared" si="7"/>
        <v>17</v>
      </c>
    </row>
    <row r="212" spans="1:10" x14ac:dyDescent="0.25">
      <c r="A212" s="165">
        <f t="shared" si="6"/>
        <v>18</v>
      </c>
      <c r="B212" s="304" t="s">
        <v>606</v>
      </c>
      <c r="D212" s="266"/>
      <c r="E212" s="266"/>
      <c r="F212" s="266"/>
      <c r="G212" s="206">
        <f>G200</f>
        <v>0</v>
      </c>
      <c r="H212" s="206"/>
      <c r="I212" s="175" t="s">
        <v>620</v>
      </c>
      <c r="J212" s="165">
        <f t="shared" si="7"/>
        <v>18</v>
      </c>
    </row>
    <row r="213" spans="1:10" x14ac:dyDescent="0.25">
      <c r="A213" s="165">
        <f t="shared" si="6"/>
        <v>19</v>
      </c>
      <c r="B213" s="304" t="s">
        <v>621</v>
      </c>
      <c r="D213" s="266"/>
      <c r="E213" s="266"/>
      <c r="F213" s="266"/>
      <c r="G213" s="241">
        <f>G202</f>
        <v>0</v>
      </c>
      <c r="H213" s="241"/>
      <c r="I213" s="175" t="s">
        <v>622</v>
      </c>
      <c r="J213" s="165">
        <f t="shared" si="7"/>
        <v>19</v>
      </c>
    </row>
    <row r="214" spans="1:10" x14ac:dyDescent="0.25">
      <c r="A214" s="165">
        <f t="shared" si="6"/>
        <v>20</v>
      </c>
      <c r="B214" s="304" t="s">
        <v>659</v>
      </c>
      <c r="D214" s="266"/>
      <c r="E214" s="266"/>
      <c r="F214" s="266"/>
      <c r="G214" s="241">
        <f>G203</f>
        <v>0</v>
      </c>
      <c r="H214" s="241"/>
      <c r="I214" s="175" t="s">
        <v>624</v>
      </c>
      <c r="J214" s="165">
        <f t="shared" si="7"/>
        <v>20</v>
      </c>
    </row>
    <row r="215" spans="1:10" x14ac:dyDescent="0.25">
      <c r="A215" s="165">
        <f t="shared" si="6"/>
        <v>21</v>
      </c>
      <c r="B215" s="304" t="s">
        <v>625</v>
      </c>
      <c r="D215" s="266"/>
      <c r="E215" s="266"/>
      <c r="F215" s="266"/>
      <c r="G215" s="243">
        <f>G206</f>
        <v>0</v>
      </c>
      <c r="H215" s="243"/>
      <c r="I215" s="175" t="s">
        <v>626</v>
      </c>
      <c r="J215" s="165">
        <f t="shared" si="7"/>
        <v>21</v>
      </c>
    </row>
    <row r="216" spans="1:10" x14ac:dyDescent="0.25">
      <c r="A216" s="165">
        <f t="shared" si="6"/>
        <v>22</v>
      </c>
      <c r="B216" s="304" t="s">
        <v>627</v>
      </c>
      <c r="D216" s="266"/>
      <c r="E216" s="266"/>
      <c r="F216" s="266"/>
      <c r="G216" s="259" t="str">
        <f>G137</f>
        <v>8.84%</v>
      </c>
      <c r="H216" s="266"/>
      <c r="I216" s="175" t="s">
        <v>660</v>
      </c>
      <c r="J216" s="165">
        <f t="shared" si="7"/>
        <v>22</v>
      </c>
    </row>
    <row r="217" spans="1:10" x14ac:dyDescent="0.25">
      <c r="A217" s="165">
        <f t="shared" si="6"/>
        <v>23</v>
      </c>
      <c r="B217" s="513"/>
      <c r="D217" s="266"/>
      <c r="E217" s="266"/>
      <c r="F217" s="266"/>
      <c r="G217" s="244"/>
      <c r="H217" s="244"/>
      <c r="I217" s="240"/>
      <c r="J217" s="165">
        <f t="shared" si="7"/>
        <v>23</v>
      </c>
    </row>
    <row r="218" spans="1:10" x14ac:dyDescent="0.25">
      <c r="A218" s="165">
        <f t="shared" si="6"/>
        <v>24</v>
      </c>
      <c r="B218" s="304" t="s">
        <v>630</v>
      </c>
      <c r="C218" s="165"/>
      <c r="D218" s="165"/>
      <c r="E218" s="266"/>
      <c r="F218" s="266"/>
      <c r="G218" s="245">
        <f>IFERROR(((G212)+(G213/G214)+G206)*G216/(1-G216),0)</f>
        <v>0</v>
      </c>
      <c r="H218" s="246"/>
      <c r="I218" s="175" t="s">
        <v>631</v>
      </c>
      <c r="J218" s="165">
        <f t="shared" si="7"/>
        <v>24</v>
      </c>
    </row>
    <row r="219" spans="1:10" x14ac:dyDescent="0.25">
      <c r="A219" s="165">
        <f t="shared" si="6"/>
        <v>25</v>
      </c>
      <c r="B219" s="236" t="s">
        <v>632</v>
      </c>
      <c r="D219" s="236"/>
      <c r="G219" s="165"/>
      <c r="H219" s="165"/>
      <c r="I219" s="175"/>
      <c r="J219" s="165">
        <f t="shared" si="7"/>
        <v>25</v>
      </c>
    </row>
    <row r="220" spans="1:10" x14ac:dyDescent="0.25">
      <c r="A220" s="165">
        <f t="shared" si="6"/>
        <v>26</v>
      </c>
      <c r="G220" s="165"/>
      <c r="H220" s="165"/>
      <c r="I220" s="175"/>
      <c r="J220" s="165">
        <f t="shared" si="7"/>
        <v>26</v>
      </c>
    </row>
    <row r="221" spans="1:10" x14ac:dyDescent="0.25">
      <c r="A221" s="165">
        <f t="shared" si="6"/>
        <v>27</v>
      </c>
      <c r="B221" s="169" t="s">
        <v>633</v>
      </c>
      <c r="G221" s="234">
        <f>G218+G206</f>
        <v>0</v>
      </c>
      <c r="H221" s="234"/>
      <c r="I221" s="175" t="s">
        <v>634</v>
      </c>
      <c r="J221" s="165">
        <f t="shared" si="7"/>
        <v>27</v>
      </c>
    </row>
    <row r="222" spans="1:10" x14ac:dyDescent="0.25">
      <c r="A222" s="165">
        <f t="shared" si="6"/>
        <v>28</v>
      </c>
      <c r="G222" s="165"/>
      <c r="H222" s="165"/>
      <c r="I222" s="175"/>
      <c r="J222" s="165">
        <f t="shared" si="7"/>
        <v>28</v>
      </c>
    </row>
    <row r="223" spans="1:10" x14ac:dyDescent="0.25">
      <c r="A223" s="165">
        <f t="shared" si="6"/>
        <v>29</v>
      </c>
      <c r="B223" s="169" t="s">
        <v>661</v>
      </c>
      <c r="G223" s="260">
        <f>G86</f>
        <v>1.7368511652018213E-2</v>
      </c>
      <c r="H223" s="266"/>
      <c r="I223" s="175" t="s">
        <v>662</v>
      </c>
      <c r="J223" s="165">
        <f t="shared" si="7"/>
        <v>29</v>
      </c>
    </row>
    <row r="224" spans="1:10" x14ac:dyDescent="0.25">
      <c r="A224" s="165">
        <f t="shared" si="6"/>
        <v>30</v>
      </c>
      <c r="G224" s="165"/>
      <c r="H224" s="165"/>
      <c r="I224" s="175"/>
      <c r="J224" s="165">
        <f t="shared" si="7"/>
        <v>30</v>
      </c>
    </row>
    <row r="225" spans="1:10" ht="19.5" thickBot="1" x14ac:dyDescent="0.3">
      <c r="A225" s="165">
        <f t="shared" si="6"/>
        <v>31</v>
      </c>
      <c r="B225" s="169" t="s">
        <v>663</v>
      </c>
      <c r="G225" s="261">
        <f>G221+G223</f>
        <v>1.7368511652018213E-2</v>
      </c>
      <c r="H225" s="262"/>
      <c r="I225" s="175" t="s">
        <v>638</v>
      </c>
      <c r="J225" s="165">
        <f t="shared" si="7"/>
        <v>31</v>
      </c>
    </row>
    <row r="226" spans="1:10" ht="17.25" thickTop="1" thickBot="1" x14ac:dyDescent="0.3">
      <c r="A226" s="203">
        <f t="shared" si="6"/>
        <v>32</v>
      </c>
      <c r="B226" s="219"/>
      <c r="C226" s="185"/>
      <c r="D226" s="185"/>
      <c r="E226" s="185"/>
      <c r="F226" s="185"/>
      <c r="G226" s="263"/>
      <c r="H226" s="263"/>
      <c r="I226" s="204"/>
      <c r="J226" s="203">
        <f t="shared" si="7"/>
        <v>32</v>
      </c>
    </row>
    <row r="227" spans="1:10" x14ac:dyDescent="0.25">
      <c r="A227" s="165">
        <f t="shared" si="6"/>
        <v>33</v>
      </c>
      <c r="B227" s="169"/>
      <c r="G227" s="262"/>
      <c r="H227" s="262"/>
      <c r="I227" s="175"/>
      <c r="J227" s="165">
        <f t="shared" si="7"/>
        <v>33</v>
      </c>
    </row>
    <row r="228" spans="1:10" ht="18.75" x14ac:dyDescent="0.25">
      <c r="A228" s="165">
        <f t="shared" si="6"/>
        <v>34</v>
      </c>
      <c r="B228" s="169" t="s">
        <v>639</v>
      </c>
      <c r="E228" s="266"/>
      <c r="F228" s="266"/>
      <c r="G228" s="223"/>
      <c r="H228" s="223"/>
      <c r="I228" s="175"/>
      <c r="J228" s="165">
        <f t="shared" si="7"/>
        <v>34</v>
      </c>
    </row>
    <row r="229" spans="1:10" x14ac:dyDescent="0.25">
      <c r="A229" s="165">
        <f t="shared" si="6"/>
        <v>35</v>
      </c>
      <c r="B229" s="224"/>
      <c r="E229" s="266"/>
      <c r="F229" s="266"/>
      <c r="G229" s="223"/>
      <c r="H229" s="223"/>
      <c r="I229" s="175"/>
      <c r="J229" s="165">
        <f t="shared" si="7"/>
        <v>35</v>
      </c>
    </row>
    <row r="230" spans="1:10" x14ac:dyDescent="0.25">
      <c r="A230" s="165">
        <f t="shared" si="6"/>
        <v>36</v>
      </c>
      <c r="B230" s="169" t="s">
        <v>604</v>
      </c>
      <c r="E230" s="266"/>
      <c r="F230" s="266"/>
      <c r="G230" s="223"/>
      <c r="H230" s="223"/>
      <c r="I230" s="175"/>
      <c r="J230" s="165">
        <f t="shared" si="7"/>
        <v>36</v>
      </c>
    </row>
    <row r="231" spans="1:10" x14ac:dyDescent="0.25">
      <c r="A231" s="165">
        <f t="shared" si="6"/>
        <v>37</v>
      </c>
      <c r="B231" s="266"/>
      <c r="C231" s="266"/>
      <c r="D231" s="266"/>
      <c r="E231" s="266"/>
      <c r="F231" s="266"/>
      <c r="G231" s="223"/>
      <c r="H231" s="223"/>
      <c r="I231" s="175"/>
      <c r="J231" s="165">
        <f t="shared" si="7"/>
        <v>37</v>
      </c>
    </row>
    <row r="232" spans="1:10" x14ac:dyDescent="0.25">
      <c r="A232" s="165">
        <f t="shared" si="6"/>
        <v>38</v>
      </c>
      <c r="B232" s="170" t="s">
        <v>605</v>
      </c>
      <c r="C232" s="266"/>
      <c r="D232" s="266"/>
      <c r="E232" s="266"/>
      <c r="F232" s="266"/>
      <c r="G232" s="223"/>
      <c r="H232" s="223"/>
      <c r="I232" s="225"/>
      <c r="J232" s="165">
        <f t="shared" si="7"/>
        <v>38</v>
      </c>
    </row>
    <row r="233" spans="1:10" x14ac:dyDescent="0.25">
      <c r="A233" s="165">
        <f t="shared" si="6"/>
        <v>39</v>
      </c>
      <c r="B233" s="304" t="s">
        <v>640</v>
      </c>
      <c r="D233" s="266"/>
      <c r="E233" s="266"/>
      <c r="F233" s="266"/>
      <c r="G233" s="226">
        <f>G101</f>
        <v>0</v>
      </c>
      <c r="H233" s="266"/>
      <c r="I233" s="175" t="s">
        <v>664</v>
      </c>
      <c r="J233" s="165">
        <f t="shared" si="7"/>
        <v>39</v>
      </c>
    </row>
    <row r="234" spans="1:10" x14ac:dyDescent="0.25">
      <c r="A234" s="165">
        <f t="shared" si="6"/>
        <v>40</v>
      </c>
      <c r="B234" s="304" t="s">
        <v>608</v>
      </c>
      <c r="D234" s="266"/>
      <c r="E234" s="266"/>
      <c r="F234" s="266"/>
      <c r="G234" s="251">
        <v>0</v>
      </c>
      <c r="H234" s="266"/>
      <c r="I234" s="175" t="s">
        <v>653</v>
      </c>
      <c r="J234" s="165">
        <f t="shared" si="7"/>
        <v>40</v>
      </c>
    </row>
    <row r="235" spans="1:10" x14ac:dyDescent="0.25">
      <c r="A235" s="165">
        <f t="shared" si="6"/>
        <v>41</v>
      </c>
      <c r="B235" s="304" t="s">
        <v>610</v>
      </c>
      <c r="D235" s="266"/>
      <c r="E235" s="266"/>
      <c r="F235" s="266"/>
      <c r="G235" s="228">
        <v>0</v>
      </c>
      <c r="H235" s="266"/>
      <c r="I235" s="218"/>
      <c r="J235" s="165">
        <f t="shared" si="7"/>
        <v>41</v>
      </c>
    </row>
    <row r="236" spans="1:10" x14ac:dyDescent="0.25">
      <c r="A236" s="165">
        <f t="shared" si="6"/>
        <v>42</v>
      </c>
      <c r="B236" s="304" t="s">
        <v>665</v>
      </c>
      <c r="D236" s="266"/>
      <c r="E236" s="266"/>
      <c r="F236" s="266"/>
      <c r="G236" s="227">
        <v>0</v>
      </c>
      <c r="H236" s="266"/>
      <c r="I236" s="175" t="s">
        <v>655</v>
      </c>
      <c r="J236" s="165">
        <f t="shared" si="7"/>
        <v>42</v>
      </c>
    </row>
    <row r="237" spans="1:10" x14ac:dyDescent="0.25">
      <c r="A237" s="165">
        <f t="shared" si="6"/>
        <v>43</v>
      </c>
      <c r="B237" s="304" t="s">
        <v>613</v>
      </c>
      <c r="D237" s="266"/>
      <c r="E237" s="266"/>
      <c r="F237" s="266"/>
      <c r="G237" s="258" t="str">
        <f>G158</f>
        <v>21%</v>
      </c>
      <c r="H237" s="266"/>
      <c r="I237" s="175" t="s">
        <v>656</v>
      </c>
      <c r="J237" s="165">
        <f t="shared" si="7"/>
        <v>43</v>
      </c>
    </row>
    <row r="238" spans="1:10" x14ac:dyDescent="0.25">
      <c r="A238" s="165">
        <f t="shared" si="6"/>
        <v>44</v>
      </c>
      <c r="G238" s="165"/>
      <c r="H238" s="165"/>
      <c r="J238" s="165">
        <f t="shared" si="7"/>
        <v>44</v>
      </c>
    </row>
    <row r="239" spans="1:10" x14ac:dyDescent="0.25">
      <c r="A239" s="165">
        <f t="shared" si="6"/>
        <v>45</v>
      </c>
      <c r="B239" s="304" t="s">
        <v>616</v>
      </c>
      <c r="D239" s="266"/>
      <c r="E239" s="266"/>
      <c r="F239" s="266"/>
      <c r="G239" s="234">
        <f>IFERROR((((G233)+(G235/G236))*G237-(G234/G236))/(1-G237),0)</f>
        <v>0</v>
      </c>
      <c r="H239" s="234"/>
      <c r="I239" s="175" t="s">
        <v>658</v>
      </c>
      <c r="J239" s="165">
        <f t="shared" si="7"/>
        <v>45</v>
      </c>
    </row>
    <row r="240" spans="1:10" x14ac:dyDescent="0.25">
      <c r="A240" s="165">
        <f t="shared" si="6"/>
        <v>46</v>
      </c>
      <c r="B240" s="236" t="s">
        <v>618</v>
      </c>
      <c r="D240" s="236"/>
      <c r="G240" s="216"/>
      <c r="H240" s="216"/>
      <c r="J240" s="165">
        <f t="shared" si="7"/>
        <v>46</v>
      </c>
    </row>
    <row r="241" spans="1:10" x14ac:dyDescent="0.25">
      <c r="A241" s="165">
        <f t="shared" si="6"/>
        <v>47</v>
      </c>
      <c r="G241" s="165"/>
      <c r="H241" s="165"/>
      <c r="J241" s="165">
        <f t="shared" si="7"/>
        <v>47</v>
      </c>
    </row>
    <row r="242" spans="1:10" x14ac:dyDescent="0.25">
      <c r="A242" s="165">
        <f t="shared" si="6"/>
        <v>48</v>
      </c>
      <c r="B242" s="169" t="s">
        <v>619</v>
      </c>
      <c r="C242" s="266"/>
      <c r="D242" s="266"/>
      <c r="E242" s="266"/>
      <c r="F242" s="266"/>
      <c r="G242" s="237"/>
      <c r="H242" s="237"/>
      <c r="I242" s="238"/>
      <c r="J242" s="165">
        <f t="shared" si="7"/>
        <v>48</v>
      </c>
    </row>
    <row r="243" spans="1:10" x14ac:dyDescent="0.25">
      <c r="A243" s="165">
        <f t="shared" si="6"/>
        <v>49</v>
      </c>
      <c r="B243" s="179"/>
      <c r="C243" s="266"/>
      <c r="D243" s="266"/>
      <c r="E243" s="266"/>
      <c r="F243" s="266"/>
      <c r="G243" s="237"/>
      <c r="H243" s="237"/>
      <c r="I243" s="225"/>
      <c r="J243" s="165">
        <f t="shared" si="7"/>
        <v>49</v>
      </c>
    </row>
    <row r="244" spans="1:10" x14ac:dyDescent="0.25">
      <c r="A244" s="165">
        <f t="shared" si="6"/>
        <v>50</v>
      </c>
      <c r="B244" s="170" t="s">
        <v>605</v>
      </c>
      <c r="C244" s="266"/>
      <c r="D244" s="266"/>
      <c r="E244" s="266"/>
      <c r="F244" s="266"/>
      <c r="G244" s="237"/>
      <c r="H244" s="237"/>
      <c r="I244" s="225"/>
      <c r="J244" s="165">
        <f t="shared" si="7"/>
        <v>50</v>
      </c>
    </row>
    <row r="245" spans="1:10" x14ac:dyDescent="0.25">
      <c r="A245" s="165">
        <f t="shared" si="6"/>
        <v>51</v>
      </c>
      <c r="B245" s="304" t="s">
        <v>640</v>
      </c>
      <c r="D245" s="266"/>
      <c r="E245" s="266"/>
      <c r="F245" s="266"/>
      <c r="G245" s="206">
        <f>G233</f>
        <v>0</v>
      </c>
      <c r="H245" s="206"/>
      <c r="I245" s="175" t="s">
        <v>642</v>
      </c>
      <c r="J245" s="165">
        <f t="shared" si="7"/>
        <v>51</v>
      </c>
    </row>
    <row r="246" spans="1:10" x14ac:dyDescent="0.25">
      <c r="A246" s="165">
        <f t="shared" si="6"/>
        <v>52</v>
      </c>
      <c r="B246" s="304" t="s">
        <v>621</v>
      </c>
      <c r="D246" s="266"/>
      <c r="E246" s="266"/>
      <c r="F246" s="266"/>
      <c r="G246" s="241">
        <f>G235</f>
        <v>0</v>
      </c>
      <c r="H246" s="241"/>
      <c r="I246" s="175" t="s">
        <v>643</v>
      </c>
      <c r="J246" s="165">
        <f t="shared" si="7"/>
        <v>52</v>
      </c>
    </row>
    <row r="247" spans="1:10" x14ac:dyDescent="0.25">
      <c r="A247" s="165">
        <f t="shared" si="6"/>
        <v>53</v>
      </c>
      <c r="B247" s="304" t="s">
        <v>666</v>
      </c>
      <c r="D247" s="266"/>
      <c r="E247" s="266"/>
      <c r="F247" s="266"/>
      <c r="G247" s="241">
        <f>G236</f>
        <v>0</v>
      </c>
      <c r="H247" s="241"/>
      <c r="I247" s="175" t="s">
        <v>644</v>
      </c>
      <c r="J247" s="165">
        <f t="shared" si="7"/>
        <v>53</v>
      </c>
    </row>
    <row r="248" spans="1:10" x14ac:dyDescent="0.25">
      <c r="A248" s="165">
        <f t="shared" si="6"/>
        <v>54</v>
      </c>
      <c r="B248" s="304" t="s">
        <v>625</v>
      </c>
      <c r="D248" s="266"/>
      <c r="E248" s="266"/>
      <c r="F248" s="266"/>
      <c r="G248" s="243">
        <f>G239</f>
        <v>0</v>
      </c>
      <c r="H248" s="243"/>
      <c r="I248" s="175" t="s">
        <v>645</v>
      </c>
      <c r="J248" s="165">
        <f t="shared" si="7"/>
        <v>54</v>
      </c>
    </row>
    <row r="249" spans="1:10" x14ac:dyDescent="0.25">
      <c r="A249" s="165">
        <f t="shared" si="6"/>
        <v>55</v>
      </c>
      <c r="B249" s="304" t="s">
        <v>627</v>
      </c>
      <c r="D249" s="266"/>
      <c r="E249" s="266"/>
      <c r="F249" s="266"/>
      <c r="G249" s="259" t="str">
        <f>G170</f>
        <v>8.84%</v>
      </c>
      <c r="H249" s="266"/>
      <c r="I249" s="175" t="s">
        <v>667</v>
      </c>
      <c r="J249" s="165">
        <f t="shared" si="7"/>
        <v>55</v>
      </c>
    </row>
    <row r="250" spans="1:10" x14ac:dyDescent="0.25">
      <c r="A250" s="165">
        <f t="shared" si="6"/>
        <v>56</v>
      </c>
      <c r="B250" s="513"/>
      <c r="D250" s="266"/>
      <c r="E250" s="266"/>
      <c r="F250" s="266"/>
      <c r="G250" s="244"/>
      <c r="H250" s="244"/>
      <c r="I250" s="240"/>
      <c r="J250" s="165">
        <f t="shared" si="7"/>
        <v>56</v>
      </c>
    </row>
    <row r="251" spans="1:10" x14ac:dyDescent="0.25">
      <c r="A251" s="165">
        <f t="shared" si="6"/>
        <v>57</v>
      </c>
      <c r="B251" s="304" t="s">
        <v>630</v>
      </c>
      <c r="C251" s="165"/>
      <c r="D251" s="165"/>
      <c r="E251" s="266"/>
      <c r="F251" s="266"/>
      <c r="G251" s="245">
        <f>IFERROR(((G245)+(G246/G247)+G239)*G249/(1-G249),0)</f>
        <v>0</v>
      </c>
      <c r="H251" s="246"/>
      <c r="I251" s="175" t="s">
        <v>631</v>
      </c>
      <c r="J251" s="165">
        <f t="shared" si="7"/>
        <v>57</v>
      </c>
    </row>
    <row r="252" spans="1:10" x14ac:dyDescent="0.25">
      <c r="A252" s="165">
        <f t="shared" si="6"/>
        <v>58</v>
      </c>
      <c r="B252" s="236" t="s">
        <v>632</v>
      </c>
      <c r="D252" s="236"/>
      <c r="G252" s="165"/>
      <c r="H252" s="165"/>
      <c r="I252" s="175"/>
      <c r="J252" s="165">
        <f t="shared" si="7"/>
        <v>58</v>
      </c>
    </row>
    <row r="253" spans="1:10" x14ac:dyDescent="0.25">
      <c r="A253" s="165">
        <f t="shared" si="6"/>
        <v>59</v>
      </c>
      <c r="G253" s="165"/>
      <c r="H253" s="165"/>
      <c r="I253" s="175"/>
      <c r="J253" s="165">
        <f t="shared" si="7"/>
        <v>59</v>
      </c>
    </row>
    <row r="254" spans="1:10" x14ac:dyDescent="0.25">
      <c r="A254" s="165">
        <f t="shared" si="6"/>
        <v>60</v>
      </c>
      <c r="B254" s="169" t="s">
        <v>633</v>
      </c>
      <c r="G254" s="234">
        <f>G251+G239</f>
        <v>0</v>
      </c>
      <c r="H254" s="234"/>
      <c r="I254" s="175" t="s">
        <v>646</v>
      </c>
      <c r="J254" s="165">
        <f t="shared" si="7"/>
        <v>60</v>
      </c>
    </row>
    <row r="255" spans="1:10" x14ac:dyDescent="0.25">
      <c r="A255" s="165">
        <f t="shared" si="6"/>
        <v>61</v>
      </c>
      <c r="G255" s="165"/>
      <c r="H255" s="165"/>
      <c r="I255" s="175"/>
      <c r="J255" s="165">
        <f t="shared" si="7"/>
        <v>61</v>
      </c>
    </row>
    <row r="256" spans="1:10" x14ac:dyDescent="0.25">
      <c r="A256" s="165">
        <f t="shared" si="6"/>
        <v>62</v>
      </c>
      <c r="B256" s="169" t="s">
        <v>647</v>
      </c>
      <c r="G256" s="260">
        <f>G99</f>
        <v>0</v>
      </c>
      <c r="H256" s="266"/>
      <c r="I256" s="175" t="s">
        <v>668</v>
      </c>
      <c r="J256" s="165">
        <f t="shared" si="7"/>
        <v>62</v>
      </c>
    </row>
    <row r="257" spans="1:10" x14ac:dyDescent="0.25">
      <c r="A257" s="165">
        <f t="shared" si="6"/>
        <v>63</v>
      </c>
      <c r="G257" s="165"/>
      <c r="H257" s="165"/>
      <c r="I257" s="175"/>
      <c r="J257" s="165">
        <f t="shared" si="7"/>
        <v>63</v>
      </c>
    </row>
    <row r="258" spans="1:10" ht="19.5" thickBot="1" x14ac:dyDescent="0.3">
      <c r="A258" s="165">
        <f t="shared" si="6"/>
        <v>64</v>
      </c>
      <c r="B258" s="169" t="s">
        <v>649</v>
      </c>
      <c r="G258" s="261">
        <f>G254+G256</f>
        <v>0</v>
      </c>
      <c r="H258" s="262"/>
      <c r="I258" s="175" t="s">
        <v>650</v>
      </c>
      <c r="J258" s="165">
        <f t="shared" si="7"/>
        <v>64</v>
      </c>
    </row>
    <row r="259" spans="1:10" ht="16.5" thickTop="1" x14ac:dyDescent="0.25">
      <c r="A259" s="171"/>
      <c r="B259" s="217"/>
      <c r="C259" s="217"/>
      <c r="D259" s="217"/>
      <c r="E259" s="217"/>
      <c r="F259" s="217"/>
      <c r="G259" s="217"/>
      <c r="H259" s="217"/>
      <c r="I259" s="264"/>
      <c r="J259" s="217"/>
    </row>
    <row r="260" spans="1:10" ht="18.75" x14ac:dyDescent="0.25">
      <c r="A260" s="182">
        <v>1</v>
      </c>
      <c r="B260" s="304" t="s">
        <v>669</v>
      </c>
      <c r="C260" s="217"/>
      <c r="D260" s="217"/>
      <c r="E260" s="217"/>
      <c r="F260" s="217"/>
      <c r="G260" s="217"/>
      <c r="H260" s="217"/>
      <c r="I260" s="264"/>
      <c r="J260" s="217"/>
    </row>
    <row r="261" spans="1:10" x14ac:dyDescent="0.25">
      <c r="A261" s="171"/>
      <c r="B261" s="217"/>
      <c r="C261" s="217"/>
      <c r="D261" s="217"/>
      <c r="E261" s="217"/>
      <c r="F261" s="217"/>
      <c r="G261" s="217"/>
      <c r="H261" s="217"/>
      <c r="I261" s="264"/>
      <c r="J261" s="217"/>
    </row>
    <row r="262" spans="1:10" ht="18.75" x14ac:dyDescent="0.25">
      <c r="A262" s="182"/>
    </row>
  </sheetData>
  <mergeCells count="20">
    <mergeCell ref="B108:I108"/>
    <mergeCell ref="B2:I2"/>
    <mergeCell ref="B3:I3"/>
    <mergeCell ref="B4:I4"/>
    <mergeCell ref="B5:I5"/>
    <mergeCell ref="B6:I6"/>
    <mergeCell ref="B69:I69"/>
    <mergeCell ref="B70:I70"/>
    <mergeCell ref="B71:I71"/>
    <mergeCell ref="B72:I72"/>
    <mergeCell ref="B73:I73"/>
    <mergeCell ref="B107:I107"/>
    <mergeCell ref="B189:I189"/>
    <mergeCell ref="B190:I190"/>
    <mergeCell ref="B109:I109"/>
    <mergeCell ref="B110:I110"/>
    <mergeCell ref="B111:I111"/>
    <mergeCell ref="B186:I186"/>
    <mergeCell ref="B187:I187"/>
    <mergeCell ref="B188:I188"/>
  </mergeCells>
  <printOptions horizontalCentered="1"/>
  <pageMargins left="0.25" right="0.25" top="0.5" bottom="0.5" header="0.35" footer="0.25"/>
  <pageSetup scale="50" orientation="portrait" r:id="rId1"/>
  <headerFooter scaleWithDoc="0" alignWithMargins="0">
    <oddHeader>&amp;C&amp;"Times New Roman,Bold"&amp;7REVISED</oddHeader>
    <oddFooter>&amp;L&amp;A&amp;CPage 8.&amp;P&amp;R&amp;F</oddFooter>
  </headerFooter>
  <rowBreaks count="3" manualBreakCount="3">
    <brk id="67" max="16383" man="1"/>
    <brk id="105" max="16383" man="1"/>
    <brk id="184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8E803-5ED1-47EB-87A4-8C59A6C5CF43}">
  <sheetPr codeName="Sheet12"/>
  <dimension ref="A1:L263"/>
  <sheetViews>
    <sheetView zoomScale="80" zoomScaleNormal="80" workbookViewId="0"/>
  </sheetViews>
  <sheetFormatPr defaultColWidth="8.7109375" defaultRowHeight="15.75" x14ac:dyDescent="0.25"/>
  <cols>
    <col min="1" max="1" width="5.28515625" style="165" customWidth="1"/>
    <col min="2" max="2" width="55.42578125" style="304" customWidth="1"/>
    <col min="3" max="3" width="18.28515625" style="304" customWidth="1"/>
    <col min="4" max="5" width="15.5703125" style="304" customWidth="1"/>
    <col min="6" max="6" width="1.5703125" style="304" customWidth="1"/>
    <col min="7" max="7" width="18.28515625" style="304" customWidth="1"/>
    <col min="8" max="8" width="1.5703125" style="304" customWidth="1"/>
    <col min="9" max="9" width="48.28515625" style="221" customWidth="1"/>
    <col min="10" max="10" width="5.28515625" style="304" customWidth="1"/>
    <col min="11" max="11" width="16.28515625" style="304" bestFit="1" customWidth="1"/>
    <col min="12" max="12" width="10.42578125" style="304" bestFit="1" customWidth="1"/>
    <col min="13" max="16384" width="8.7109375" style="304"/>
  </cols>
  <sheetData>
    <row r="1" spans="1:10" x14ac:dyDescent="0.25">
      <c r="A1" s="486" t="s">
        <v>670</v>
      </c>
    </row>
    <row r="2" spans="1:10" x14ac:dyDescent="0.25">
      <c r="I2" s="98"/>
    </row>
    <row r="3" spans="1:10" x14ac:dyDescent="0.25">
      <c r="B3" s="575" t="s">
        <v>206</v>
      </c>
      <c r="C3" s="575"/>
      <c r="D3" s="575"/>
      <c r="E3" s="575"/>
      <c r="F3" s="575"/>
      <c r="G3" s="575"/>
      <c r="H3" s="575"/>
      <c r="I3" s="575"/>
      <c r="J3" s="165"/>
    </row>
    <row r="4" spans="1:10" x14ac:dyDescent="0.25">
      <c r="B4" s="575" t="s">
        <v>513</v>
      </c>
      <c r="C4" s="575"/>
      <c r="D4" s="575"/>
      <c r="E4" s="575"/>
      <c r="F4" s="575"/>
      <c r="G4" s="575"/>
      <c r="H4" s="575"/>
      <c r="I4" s="575"/>
      <c r="J4" s="165"/>
    </row>
    <row r="5" spans="1:10" x14ac:dyDescent="0.25">
      <c r="B5" s="575" t="s">
        <v>514</v>
      </c>
      <c r="C5" s="575"/>
      <c r="D5" s="575"/>
      <c r="E5" s="575"/>
      <c r="F5" s="575"/>
      <c r="G5" s="575"/>
      <c r="H5" s="575"/>
      <c r="I5" s="575"/>
      <c r="J5" s="165"/>
    </row>
    <row r="6" spans="1:10" x14ac:dyDescent="0.25">
      <c r="B6" s="576" t="s">
        <v>285</v>
      </c>
      <c r="C6" s="576"/>
      <c r="D6" s="576"/>
      <c r="E6" s="576"/>
      <c r="F6" s="576"/>
      <c r="G6" s="576"/>
      <c r="H6" s="576"/>
      <c r="I6" s="576"/>
      <c r="J6" s="165"/>
    </row>
    <row r="7" spans="1:10" x14ac:dyDescent="0.25">
      <c r="B7" s="577" t="s">
        <v>2</v>
      </c>
      <c r="C7" s="578"/>
      <c r="D7" s="578"/>
      <c r="E7" s="578"/>
      <c r="F7" s="578"/>
      <c r="G7" s="578"/>
      <c r="H7" s="578"/>
      <c r="I7" s="578"/>
      <c r="J7" s="165"/>
    </row>
    <row r="8" spans="1:10" x14ac:dyDescent="0.25">
      <c r="B8" s="165"/>
      <c r="C8" s="165"/>
      <c r="D8" s="165"/>
      <c r="E8" s="165"/>
      <c r="F8" s="165"/>
      <c r="G8" s="165"/>
      <c r="H8" s="165"/>
      <c r="I8" s="175"/>
      <c r="J8" s="165"/>
    </row>
    <row r="9" spans="1:10" x14ac:dyDescent="0.25">
      <c r="A9" s="165" t="s">
        <v>3</v>
      </c>
      <c r="B9" s="266"/>
      <c r="C9" s="266"/>
      <c r="D9" s="266"/>
      <c r="E9" s="165" t="s">
        <v>286</v>
      </c>
      <c r="F9" s="266"/>
      <c r="G9" s="266"/>
      <c r="H9" s="266"/>
      <c r="I9" s="175"/>
      <c r="J9" s="165" t="s">
        <v>3</v>
      </c>
    </row>
    <row r="10" spans="1:10" x14ac:dyDescent="0.25">
      <c r="A10" s="167" t="s">
        <v>7</v>
      </c>
      <c r="B10" s="165"/>
      <c r="C10" s="165"/>
      <c r="D10" s="165"/>
      <c r="E10" s="167" t="s">
        <v>289</v>
      </c>
      <c r="F10" s="165"/>
      <c r="G10" s="168" t="s">
        <v>5</v>
      </c>
      <c r="H10" s="266"/>
      <c r="I10" s="188" t="s">
        <v>6</v>
      </c>
      <c r="J10" s="167" t="s">
        <v>7</v>
      </c>
    </row>
    <row r="11" spans="1:10" x14ac:dyDescent="0.25">
      <c r="A11" s="165">
        <v>1</v>
      </c>
      <c r="B11" s="169" t="s">
        <v>515</v>
      </c>
      <c r="I11" s="175"/>
      <c r="J11" s="165">
        <f>A11</f>
        <v>1</v>
      </c>
    </row>
    <row r="12" spans="1:10" x14ac:dyDescent="0.25">
      <c r="A12" s="165">
        <f>A11+1</f>
        <v>2</v>
      </c>
      <c r="B12" s="304" t="s">
        <v>516</v>
      </c>
      <c r="E12" s="165" t="s">
        <v>517</v>
      </c>
      <c r="F12" s="189"/>
      <c r="G12" s="190">
        <v>6053573</v>
      </c>
      <c r="H12" s="266"/>
      <c r="I12" s="191"/>
      <c r="J12" s="165">
        <f>J11+1</f>
        <v>2</v>
      </c>
    </row>
    <row r="13" spans="1:10" x14ac:dyDescent="0.25">
      <c r="A13" s="165">
        <f t="shared" ref="A13:A52" si="0">A12+1</f>
        <v>3</v>
      </c>
      <c r="B13" s="304" t="s">
        <v>518</v>
      </c>
      <c r="E13" s="165" t="s">
        <v>519</v>
      </c>
      <c r="F13" s="189"/>
      <c r="G13" s="192">
        <v>0</v>
      </c>
      <c r="H13" s="266"/>
      <c r="I13" s="191"/>
      <c r="J13" s="165">
        <f t="shared" ref="J13:J52" si="1">J12+1</f>
        <v>3</v>
      </c>
    </row>
    <row r="14" spans="1:10" x14ac:dyDescent="0.25">
      <c r="A14" s="165">
        <f t="shared" si="0"/>
        <v>4</v>
      </c>
      <c r="B14" s="304" t="s">
        <v>520</v>
      </c>
      <c r="E14" s="165" t="s">
        <v>521</v>
      </c>
      <c r="F14" s="189"/>
      <c r="G14" s="172">
        <v>0</v>
      </c>
      <c r="H14" s="266"/>
      <c r="I14" s="191"/>
      <c r="J14" s="165">
        <f t="shared" si="1"/>
        <v>4</v>
      </c>
    </row>
    <row r="15" spans="1:10" x14ac:dyDescent="0.25">
      <c r="A15" s="165">
        <f t="shared" si="0"/>
        <v>5</v>
      </c>
      <c r="B15" s="304" t="s">
        <v>522</v>
      </c>
      <c r="E15" s="165" t="s">
        <v>523</v>
      </c>
      <c r="F15" s="189"/>
      <c r="G15" s="172">
        <v>0</v>
      </c>
      <c r="H15" s="266"/>
      <c r="I15" s="191"/>
      <c r="J15" s="165">
        <f t="shared" si="1"/>
        <v>5</v>
      </c>
    </row>
    <row r="16" spans="1:10" x14ac:dyDescent="0.25">
      <c r="A16" s="165">
        <f t="shared" si="0"/>
        <v>6</v>
      </c>
      <c r="B16" s="304" t="s">
        <v>524</v>
      </c>
      <c r="E16" s="165" t="s">
        <v>525</v>
      </c>
      <c r="F16" s="189"/>
      <c r="G16" s="178">
        <v>-13172.642</v>
      </c>
      <c r="H16" s="266"/>
      <c r="I16" s="191"/>
      <c r="J16" s="165">
        <f t="shared" si="1"/>
        <v>6</v>
      </c>
    </row>
    <row r="17" spans="1:10" x14ac:dyDescent="0.25">
      <c r="A17" s="165">
        <f t="shared" si="0"/>
        <v>7</v>
      </c>
      <c r="B17" s="304" t="s">
        <v>526</v>
      </c>
      <c r="G17" s="193">
        <f>SUM(G12:G16)</f>
        <v>6040400.358</v>
      </c>
      <c r="H17" s="187"/>
      <c r="I17" s="175" t="s">
        <v>527</v>
      </c>
      <c r="J17" s="165">
        <f t="shared" si="1"/>
        <v>7</v>
      </c>
    </row>
    <row r="18" spans="1:10" x14ac:dyDescent="0.25">
      <c r="A18" s="165">
        <f t="shared" si="0"/>
        <v>8</v>
      </c>
      <c r="I18" s="175"/>
      <c r="J18" s="165">
        <f t="shared" si="1"/>
        <v>8</v>
      </c>
    </row>
    <row r="19" spans="1:10" x14ac:dyDescent="0.25">
      <c r="A19" s="165">
        <f t="shared" si="0"/>
        <v>9</v>
      </c>
      <c r="B19" s="169" t="s">
        <v>528</v>
      </c>
      <c r="G19" s="174"/>
      <c r="H19" s="174"/>
      <c r="I19" s="175"/>
      <c r="J19" s="165">
        <f t="shared" si="1"/>
        <v>9</v>
      </c>
    </row>
    <row r="20" spans="1:10" x14ac:dyDescent="0.25">
      <c r="A20" s="165">
        <f t="shared" si="0"/>
        <v>10</v>
      </c>
      <c r="B20" s="304" t="s">
        <v>529</v>
      </c>
      <c r="E20" s="165" t="s">
        <v>530</v>
      </c>
      <c r="F20" s="189"/>
      <c r="G20" s="190">
        <v>233778.584</v>
      </c>
      <c r="H20" s="266"/>
      <c r="I20" s="194"/>
      <c r="J20" s="165">
        <f t="shared" si="1"/>
        <v>10</v>
      </c>
    </row>
    <row r="21" spans="1:10" x14ac:dyDescent="0.25">
      <c r="A21" s="165">
        <f t="shared" si="0"/>
        <v>11</v>
      </c>
      <c r="B21" s="304" t="s">
        <v>531</v>
      </c>
      <c r="E21" s="165" t="s">
        <v>532</v>
      </c>
      <c r="F21" s="189"/>
      <c r="G21" s="192">
        <v>4107.085</v>
      </c>
      <c r="H21" s="266"/>
      <c r="I21" s="194"/>
      <c r="J21" s="165">
        <f t="shared" si="1"/>
        <v>11</v>
      </c>
    </row>
    <row r="22" spans="1:10" x14ac:dyDescent="0.25">
      <c r="A22" s="165">
        <f t="shared" si="0"/>
        <v>12</v>
      </c>
      <c r="B22" s="304" t="s">
        <v>533</v>
      </c>
      <c r="E22" s="165" t="s">
        <v>534</v>
      </c>
      <c r="F22" s="189"/>
      <c r="G22" s="192">
        <v>1449.7840000000001</v>
      </c>
      <c r="H22" s="266"/>
      <c r="I22" s="194"/>
      <c r="J22" s="165">
        <f t="shared" si="1"/>
        <v>12</v>
      </c>
    </row>
    <row r="23" spans="1:10" ht="16.5" customHeight="1" x14ac:dyDescent="0.25">
      <c r="A23" s="165">
        <f t="shared" si="0"/>
        <v>13</v>
      </c>
      <c r="B23" s="304" t="s">
        <v>535</v>
      </c>
      <c r="E23" s="165" t="s">
        <v>536</v>
      </c>
      <c r="F23" s="189"/>
      <c r="G23" s="192">
        <v>0</v>
      </c>
      <c r="H23" s="266"/>
      <c r="I23" s="194"/>
      <c r="J23" s="165">
        <f t="shared" si="1"/>
        <v>13</v>
      </c>
    </row>
    <row r="24" spans="1:10" x14ac:dyDescent="0.25">
      <c r="A24" s="165">
        <f t="shared" si="0"/>
        <v>14</v>
      </c>
      <c r="B24" s="304" t="s">
        <v>537</v>
      </c>
      <c r="E24" s="165" t="s">
        <v>538</v>
      </c>
      <c r="F24" s="189"/>
      <c r="G24" s="178">
        <v>0</v>
      </c>
      <c r="H24" s="266"/>
      <c r="I24" s="194"/>
      <c r="J24" s="165">
        <f t="shared" si="1"/>
        <v>14</v>
      </c>
    </row>
    <row r="25" spans="1:10" x14ac:dyDescent="0.25">
      <c r="A25" s="165">
        <f t="shared" si="0"/>
        <v>15</v>
      </c>
      <c r="B25" s="304" t="s">
        <v>539</v>
      </c>
      <c r="G25" s="195">
        <f>SUM(G20:G24)</f>
        <v>239335.45300000001</v>
      </c>
      <c r="H25" s="196"/>
      <c r="I25" s="175" t="s">
        <v>540</v>
      </c>
      <c r="J25" s="165">
        <f t="shared" si="1"/>
        <v>15</v>
      </c>
    </row>
    <row r="26" spans="1:10" x14ac:dyDescent="0.25">
      <c r="A26" s="165">
        <f t="shared" si="0"/>
        <v>16</v>
      </c>
      <c r="I26" s="175"/>
      <c r="J26" s="165">
        <f t="shared" si="1"/>
        <v>16</v>
      </c>
    </row>
    <row r="27" spans="1:10" ht="16.5" thickBot="1" x14ac:dyDescent="0.3">
      <c r="A27" s="165">
        <f t="shared" si="0"/>
        <v>17</v>
      </c>
      <c r="B27" s="169" t="s">
        <v>541</v>
      </c>
      <c r="G27" s="197">
        <f>G25/G17</f>
        <v>3.9622448648295373E-2</v>
      </c>
      <c r="H27" s="198"/>
      <c r="I27" s="175" t="s">
        <v>542</v>
      </c>
      <c r="J27" s="165">
        <f t="shared" si="1"/>
        <v>17</v>
      </c>
    </row>
    <row r="28" spans="1:10" ht="16.5" thickTop="1" x14ac:dyDescent="0.25">
      <c r="A28" s="165">
        <f t="shared" si="0"/>
        <v>18</v>
      </c>
      <c r="I28" s="175"/>
      <c r="J28" s="165">
        <f t="shared" si="1"/>
        <v>18</v>
      </c>
    </row>
    <row r="29" spans="1:10" x14ac:dyDescent="0.25">
      <c r="A29" s="165">
        <f t="shared" si="0"/>
        <v>19</v>
      </c>
      <c r="B29" s="169" t="s">
        <v>543</v>
      </c>
      <c r="I29" s="175"/>
      <c r="J29" s="165">
        <f t="shared" si="1"/>
        <v>19</v>
      </c>
    </row>
    <row r="30" spans="1:10" x14ac:dyDescent="0.25">
      <c r="A30" s="165">
        <f t="shared" si="0"/>
        <v>20</v>
      </c>
      <c r="B30" s="304" t="s">
        <v>544</v>
      </c>
      <c r="E30" s="165" t="s">
        <v>545</v>
      </c>
      <c r="F30" s="189"/>
      <c r="G30" s="190">
        <v>0</v>
      </c>
      <c r="H30" s="266"/>
      <c r="I30" s="194"/>
      <c r="J30" s="165">
        <f t="shared" si="1"/>
        <v>20</v>
      </c>
    </row>
    <row r="31" spans="1:10" x14ac:dyDescent="0.25">
      <c r="A31" s="165">
        <f t="shared" si="0"/>
        <v>21</v>
      </c>
      <c r="B31" s="304" t="s">
        <v>546</v>
      </c>
      <c r="E31" s="165" t="s">
        <v>547</v>
      </c>
      <c r="F31" s="189"/>
      <c r="G31" s="199">
        <v>0</v>
      </c>
      <c r="H31" s="266"/>
      <c r="I31" s="194"/>
      <c r="J31" s="165">
        <f t="shared" si="1"/>
        <v>21</v>
      </c>
    </row>
    <row r="32" spans="1:10" ht="16.5" thickBot="1" x14ac:dyDescent="0.3">
      <c r="A32" s="165">
        <f t="shared" si="0"/>
        <v>22</v>
      </c>
      <c r="B32" s="304" t="s">
        <v>548</v>
      </c>
      <c r="G32" s="197">
        <f>IFERROR((G31/G30),0)</f>
        <v>0</v>
      </c>
      <c r="H32" s="198"/>
      <c r="I32" s="175" t="s">
        <v>549</v>
      </c>
      <c r="J32" s="165">
        <f t="shared" si="1"/>
        <v>22</v>
      </c>
    </row>
    <row r="33" spans="1:11" ht="16.5" thickTop="1" x14ac:dyDescent="0.25">
      <c r="A33" s="165">
        <f t="shared" si="0"/>
        <v>23</v>
      </c>
      <c r="I33" s="175"/>
      <c r="J33" s="165">
        <f t="shared" si="1"/>
        <v>23</v>
      </c>
    </row>
    <row r="34" spans="1:11" x14ac:dyDescent="0.25">
      <c r="A34" s="165">
        <f t="shared" si="0"/>
        <v>24</v>
      </c>
      <c r="B34" s="169" t="s">
        <v>550</v>
      </c>
      <c r="I34" s="175"/>
      <c r="J34" s="165">
        <f t="shared" si="1"/>
        <v>24</v>
      </c>
    </row>
    <row r="35" spans="1:11" x14ac:dyDescent="0.25">
      <c r="A35" s="165">
        <f t="shared" si="0"/>
        <v>25</v>
      </c>
      <c r="B35" s="304" t="s">
        <v>551</v>
      </c>
      <c r="E35" s="165" t="s">
        <v>552</v>
      </c>
      <c r="F35" s="189"/>
      <c r="G35" s="190">
        <v>7729413.6809999999</v>
      </c>
      <c r="H35" s="266"/>
      <c r="I35" s="194"/>
      <c r="J35" s="165">
        <f t="shared" si="1"/>
        <v>25</v>
      </c>
      <c r="K35" s="177"/>
    </row>
    <row r="36" spans="1:11" x14ac:dyDescent="0.25">
      <c r="A36" s="165">
        <f t="shared" si="0"/>
        <v>26</v>
      </c>
      <c r="B36" s="304" t="s">
        <v>553</v>
      </c>
      <c r="E36" s="165" t="s">
        <v>545</v>
      </c>
      <c r="G36" s="200">
        <f>-G30</f>
        <v>0</v>
      </c>
      <c r="H36" s="200"/>
      <c r="I36" s="175" t="s">
        <v>554</v>
      </c>
      <c r="J36" s="165">
        <f t="shared" si="1"/>
        <v>26</v>
      </c>
    </row>
    <row r="37" spans="1:11" x14ac:dyDescent="0.25">
      <c r="A37" s="165">
        <f t="shared" si="0"/>
        <v>27</v>
      </c>
      <c r="B37" s="304" t="s">
        <v>555</v>
      </c>
      <c r="E37" s="165" t="s">
        <v>556</v>
      </c>
      <c r="G37" s="172">
        <v>0</v>
      </c>
      <c r="H37" s="266"/>
      <c r="I37" s="194"/>
      <c r="J37" s="165">
        <f t="shared" si="1"/>
        <v>27</v>
      </c>
    </row>
    <row r="38" spans="1:11" x14ac:dyDescent="0.25">
      <c r="A38" s="165">
        <f t="shared" si="0"/>
        <v>28</v>
      </c>
      <c r="B38" s="304" t="s">
        <v>557</v>
      </c>
      <c r="E38" s="165" t="s">
        <v>558</v>
      </c>
      <c r="G38" s="172">
        <v>10034.102000000001</v>
      </c>
      <c r="H38" s="266"/>
      <c r="I38" s="194"/>
      <c r="J38" s="165">
        <f t="shared" si="1"/>
        <v>28</v>
      </c>
    </row>
    <row r="39" spans="1:11" ht="16.5" thickBot="1" x14ac:dyDescent="0.3">
      <c r="A39" s="165">
        <f t="shared" si="0"/>
        <v>29</v>
      </c>
      <c r="B39" s="304" t="s">
        <v>559</v>
      </c>
      <c r="G39" s="201">
        <f>SUM(G35:G38)</f>
        <v>7739447.7829999998</v>
      </c>
      <c r="H39" s="202"/>
      <c r="I39" s="175" t="s">
        <v>560</v>
      </c>
      <c r="J39" s="165">
        <f t="shared" si="1"/>
        <v>29</v>
      </c>
    </row>
    <row r="40" spans="1:11" ht="17.25" thickTop="1" thickBot="1" x14ac:dyDescent="0.3">
      <c r="A40" s="203">
        <f t="shared" si="0"/>
        <v>30</v>
      </c>
      <c r="B40" s="185"/>
      <c r="C40" s="185"/>
      <c r="D40" s="185"/>
      <c r="E40" s="185"/>
      <c r="F40" s="185"/>
      <c r="G40" s="185"/>
      <c r="H40" s="185"/>
      <c r="I40" s="204"/>
      <c r="J40" s="203">
        <f t="shared" si="1"/>
        <v>30</v>
      </c>
    </row>
    <row r="41" spans="1:11" x14ac:dyDescent="0.25">
      <c r="A41" s="165">
        <f>A40+1</f>
        <v>31</v>
      </c>
      <c r="I41" s="175"/>
      <c r="J41" s="165">
        <f>J40+1</f>
        <v>31</v>
      </c>
    </row>
    <row r="42" spans="1:11" ht="16.5" thickBot="1" x14ac:dyDescent="0.3">
      <c r="A42" s="165">
        <f>A41+1</f>
        <v>32</v>
      </c>
      <c r="B42" s="169" t="s">
        <v>561</v>
      </c>
      <c r="G42" s="205">
        <v>0.10100000000000001</v>
      </c>
      <c r="H42" s="266"/>
      <c r="I42" s="175" t="s">
        <v>562</v>
      </c>
      <c r="J42" s="165">
        <f>J41+1</f>
        <v>32</v>
      </c>
    </row>
    <row r="43" spans="1:11" ht="16.5" thickTop="1" x14ac:dyDescent="0.25">
      <c r="A43" s="165">
        <f t="shared" si="0"/>
        <v>33</v>
      </c>
      <c r="C43" s="183" t="s">
        <v>287</v>
      </c>
      <c r="D43" s="183" t="s">
        <v>288</v>
      </c>
      <c r="E43" s="183" t="s">
        <v>563</v>
      </c>
      <c r="F43" s="183"/>
      <c r="G43" s="183" t="s">
        <v>564</v>
      </c>
      <c r="H43" s="183"/>
      <c r="I43" s="175"/>
      <c r="J43" s="165">
        <f t="shared" si="1"/>
        <v>33</v>
      </c>
    </row>
    <row r="44" spans="1:11" x14ac:dyDescent="0.25">
      <c r="A44" s="165">
        <f t="shared" si="0"/>
        <v>34</v>
      </c>
      <c r="D44" s="165" t="s">
        <v>565</v>
      </c>
      <c r="E44" s="165" t="s">
        <v>566</v>
      </c>
      <c r="F44" s="165"/>
      <c r="G44" s="165" t="s">
        <v>567</v>
      </c>
      <c r="H44" s="165"/>
      <c r="I44" s="175"/>
      <c r="J44" s="165">
        <f t="shared" si="1"/>
        <v>34</v>
      </c>
    </row>
    <row r="45" spans="1:11" ht="18.75" x14ac:dyDescent="0.25">
      <c r="A45" s="165">
        <f t="shared" si="0"/>
        <v>35</v>
      </c>
      <c r="B45" s="169" t="s">
        <v>568</v>
      </c>
      <c r="C45" s="167" t="s">
        <v>569</v>
      </c>
      <c r="D45" s="167" t="s">
        <v>570</v>
      </c>
      <c r="E45" s="167" t="s">
        <v>571</v>
      </c>
      <c r="F45" s="167"/>
      <c r="G45" s="167" t="s">
        <v>572</v>
      </c>
      <c r="H45" s="165"/>
      <c r="I45" s="175"/>
      <c r="J45" s="165">
        <f t="shared" si="1"/>
        <v>35</v>
      </c>
    </row>
    <row r="46" spans="1:11" x14ac:dyDescent="0.25">
      <c r="A46" s="165">
        <f t="shared" si="0"/>
        <v>36</v>
      </c>
      <c r="I46" s="175"/>
      <c r="J46" s="165">
        <f t="shared" si="1"/>
        <v>36</v>
      </c>
    </row>
    <row r="47" spans="1:11" x14ac:dyDescent="0.25">
      <c r="A47" s="165">
        <f t="shared" si="0"/>
        <v>37</v>
      </c>
      <c r="B47" s="304" t="s">
        <v>573</v>
      </c>
      <c r="C47" s="180">
        <f>G17</f>
        <v>6040400.358</v>
      </c>
      <c r="D47" s="206">
        <f>C47/C$50</f>
        <v>0.43835028486472494</v>
      </c>
      <c r="E47" s="207">
        <f>G27</f>
        <v>3.9622448648295373E-2</v>
      </c>
      <c r="G47" s="208">
        <f>D47*E47</f>
        <v>1.7368511652018213E-2</v>
      </c>
      <c r="H47" s="208"/>
      <c r="I47" s="175" t="s">
        <v>574</v>
      </c>
      <c r="J47" s="165">
        <f t="shared" si="1"/>
        <v>37</v>
      </c>
    </row>
    <row r="48" spans="1:11" x14ac:dyDescent="0.25">
      <c r="A48" s="165">
        <f t="shared" si="0"/>
        <v>38</v>
      </c>
      <c r="B48" s="304" t="s">
        <v>575</v>
      </c>
      <c r="C48" s="209">
        <f>G30</f>
        <v>0</v>
      </c>
      <c r="D48" s="206">
        <f>C48/C$50</f>
        <v>0</v>
      </c>
      <c r="E48" s="207">
        <f>G32</f>
        <v>0</v>
      </c>
      <c r="G48" s="208">
        <f>D48*E48</f>
        <v>0</v>
      </c>
      <c r="H48" s="208"/>
      <c r="I48" s="175" t="s">
        <v>576</v>
      </c>
      <c r="J48" s="165">
        <f t="shared" si="1"/>
        <v>38</v>
      </c>
    </row>
    <row r="49" spans="1:10" x14ac:dyDescent="0.25">
      <c r="A49" s="165">
        <f t="shared" si="0"/>
        <v>39</v>
      </c>
      <c r="B49" s="304" t="s">
        <v>577</v>
      </c>
      <c r="C49" s="209">
        <f>G39</f>
        <v>7739447.7829999998</v>
      </c>
      <c r="D49" s="210">
        <f>C49/C$50</f>
        <v>0.56164971513527517</v>
      </c>
      <c r="E49" s="211">
        <f>G42</f>
        <v>0.10100000000000001</v>
      </c>
      <c r="G49" s="212">
        <f>D49*E49</f>
        <v>5.6726621228662795E-2</v>
      </c>
      <c r="H49" s="198"/>
      <c r="I49" s="175" t="s">
        <v>578</v>
      </c>
      <c r="J49" s="165">
        <f t="shared" si="1"/>
        <v>39</v>
      </c>
    </row>
    <row r="50" spans="1:10" ht="16.5" thickBot="1" x14ac:dyDescent="0.3">
      <c r="A50" s="165">
        <f t="shared" si="0"/>
        <v>40</v>
      </c>
      <c r="B50" s="304" t="s">
        <v>579</v>
      </c>
      <c r="C50" s="213">
        <f>SUM(C47:C49)</f>
        <v>13779848.140999999</v>
      </c>
      <c r="D50" s="214">
        <f>SUM(D47:D49)</f>
        <v>1</v>
      </c>
      <c r="G50" s="197">
        <f>SUM(G47:G49)</f>
        <v>7.4095132880681008E-2</v>
      </c>
      <c r="H50" s="198"/>
      <c r="I50" s="175" t="s">
        <v>580</v>
      </c>
      <c r="J50" s="165">
        <f t="shared" si="1"/>
        <v>40</v>
      </c>
    </row>
    <row r="51" spans="1:10" ht="16.5" thickTop="1" x14ac:dyDescent="0.25">
      <c r="A51" s="165">
        <f t="shared" si="0"/>
        <v>41</v>
      </c>
      <c r="I51" s="175"/>
      <c r="J51" s="165">
        <f t="shared" si="1"/>
        <v>41</v>
      </c>
    </row>
    <row r="52" spans="1:10" ht="16.5" thickBot="1" x14ac:dyDescent="0.3">
      <c r="A52" s="165">
        <f t="shared" si="0"/>
        <v>42</v>
      </c>
      <c r="B52" s="169" t="s">
        <v>581</v>
      </c>
      <c r="G52" s="197">
        <f>G48+G49</f>
        <v>5.6726621228662795E-2</v>
      </c>
      <c r="H52" s="198"/>
      <c r="I52" s="175" t="s">
        <v>582</v>
      </c>
      <c r="J52" s="165">
        <f t="shared" si="1"/>
        <v>42</v>
      </c>
    </row>
    <row r="53" spans="1:10" ht="17.25" thickTop="1" thickBot="1" x14ac:dyDescent="0.3">
      <c r="A53" s="203">
        <f>A52+1</f>
        <v>43</v>
      </c>
      <c r="B53" s="185"/>
      <c r="C53" s="185"/>
      <c r="D53" s="185"/>
      <c r="E53" s="185"/>
      <c r="F53" s="185"/>
      <c r="G53" s="185"/>
      <c r="H53" s="185"/>
      <c r="I53" s="204"/>
      <c r="J53" s="203">
        <f>J52+1</f>
        <v>43</v>
      </c>
    </row>
    <row r="54" spans="1:10" x14ac:dyDescent="0.25">
      <c r="A54" s="165">
        <f t="shared" ref="A54:A102" si="2">A53+1</f>
        <v>44</v>
      </c>
      <c r="I54" s="175"/>
      <c r="J54" s="165">
        <f t="shared" ref="J54:J102" si="3">J53+1</f>
        <v>44</v>
      </c>
    </row>
    <row r="55" spans="1:10" ht="16.5" thickBot="1" x14ac:dyDescent="0.3">
      <c r="A55" s="165">
        <f>A54+1</f>
        <v>45</v>
      </c>
      <c r="B55" s="169" t="s">
        <v>583</v>
      </c>
      <c r="G55" s="205">
        <v>5.0000000000000001E-3</v>
      </c>
      <c r="I55" s="175" t="s">
        <v>584</v>
      </c>
      <c r="J55" s="165">
        <f>J54+1</f>
        <v>45</v>
      </c>
    </row>
    <row r="56" spans="1:10" ht="16.5" thickTop="1" x14ac:dyDescent="0.25">
      <c r="A56" s="165">
        <f t="shared" si="2"/>
        <v>46</v>
      </c>
      <c r="C56" s="183" t="s">
        <v>287</v>
      </c>
      <c r="D56" s="183" t="s">
        <v>288</v>
      </c>
      <c r="E56" s="183" t="s">
        <v>563</v>
      </c>
      <c r="F56" s="183"/>
      <c r="G56" s="183" t="s">
        <v>564</v>
      </c>
      <c r="I56" s="175"/>
      <c r="J56" s="165">
        <f t="shared" si="3"/>
        <v>46</v>
      </c>
    </row>
    <row r="57" spans="1:10" x14ac:dyDescent="0.25">
      <c r="A57" s="165">
        <f t="shared" si="2"/>
        <v>47</v>
      </c>
      <c r="D57" s="165" t="s">
        <v>565</v>
      </c>
      <c r="E57" s="165" t="s">
        <v>566</v>
      </c>
      <c r="F57" s="165"/>
      <c r="G57" s="165" t="s">
        <v>567</v>
      </c>
      <c r="I57" s="175"/>
      <c r="J57" s="165">
        <f t="shared" si="3"/>
        <v>47</v>
      </c>
    </row>
    <row r="58" spans="1:10" ht="18.75" x14ac:dyDescent="0.25">
      <c r="A58" s="165">
        <f t="shared" si="2"/>
        <v>48</v>
      </c>
      <c r="B58" s="169" t="s">
        <v>568</v>
      </c>
      <c r="C58" s="167" t="s">
        <v>569</v>
      </c>
      <c r="D58" s="167" t="s">
        <v>570</v>
      </c>
      <c r="E58" s="167" t="s">
        <v>571</v>
      </c>
      <c r="F58" s="167"/>
      <c r="G58" s="167" t="s">
        <v>572</v>
      </c>
      <c r="I58" s="175"/>
      <c r="J58" s="165">
        <f t="shared" si="3"/>
        <v>48</v>
      </c>
    </row>
    <row r="59" spans="1:10" x14ac:dyDescent="0.25">
      <c r="A59" s="165">
        <f t="shared" si="2"/>
        <v>49</v>
      </c>
      <c r="I59" s="175"/>
      <c r="J59" s="165">
        <f t="shared" si="3"/>
        <v>49</v>
      </c>
    </row>
    <row r="60" spans="1:10" x14ac:dyDescent="0.25">
      <c r="A60" s="165">
        <f t="shared" si="2"/>
        <v>50</v>
      </c>
      <c r="B60" s="304" t="s">
        <v>573</v>
      </c>
      <c r="C60" s="180">
        <f>G17</f>
        <v>6040400.358</v>
      </c>
      <c r="D60" s="206">
        <f>C60/C$63</f>
        <v>0.43835028486472494</v>
      </c>
      <c r="E60" s="215">
        <v>0</v>
      </c>
      <c r="G60" s="208">
        <f>D60*E60</f>
        <v>0</v>
      </c>
      <c r="I60" s="175" t="s">
        <v>585</v>
      </c>
      <c r="J60" s="165">
        <f t="shared" si="3"/>
        <v>50</v>
      </c>
    </row>
    <row r="61" spans="1:10" x14ac:dyDescent="0.25">
      <c r="A61" s="165">
        <f t="shared" si="2"/>
        <v>51</v>
      </c>
      <c r="B61" s="304" t="s">
        <v>575</v>
      </c>
      <c r="C61" s="209">
        <f>G30</f>
        <v>0</v>
      </c>
      <c r="D61" s="206">
        <f>C61/C$63</f>
        <v>0</v>
      </c>
      <c r="E61" s="215">
        <v>0</v>
      </c>
      <c r="G61" s="208">
        <f>D61*E61</f>
        <v>0</v>
      </c>
      <c r="I61" s="175" t="s">
        <v>585</v>
      </c>
      <c r="J61" s="165">
        <f t="shared" si="3"/>
        <v>51</v>
      </c>
    </row>
    <row r="62" spans="1:10" x14ac:dyDescent="0.25">
      <c r="A62" s="165">
        <f t="shared" si="2"/>
        <v>52</v>
      </c>
      <c r="B62" s="304" t="s">
        <v>577</v>
      </c>
      <c r="C62" s="209">
        <f>G39</f>
        <v>7739447.7829999998</v>
      </c>
      <c r="D62" s="210">
        <f>C62/C$63</f>
        <v>0.56164971513527517</v>
      </c>
      <c r="E62" s="211">
        <f>G55</f>
        <v>5.0000000000000001E-3</v>
      </c>
      <c r="G62" s="212">
        <f>D62*E62</f>
        <v>2.8082485756763761E-3</v>
      </c>
      <c r="I62" s="175" t="s">
        <v>586</v>
      </c>
      <c r="J62" s="165">
        <f t="shared" si="3"/>
        <v>52</v>
      </c>
    </row>
    <row r="63" spans="1:10" ht="16.5" thickBot="1" x14ac:dyDescent="0.3">
      <c r="A63" s="165">
        <f t="shared" si="2"/>
        <v>53</v>
      </c>
      <c r="B63" s="304" t="s">
        <v>579</v>
      </c>
      <c r="C63" s="213">
        <f>SUM(C60:C62)</f>
        <v>13779848.140999999</v>
      </c>
      <c r="D63" s="214">
        <f>SUM(D60:D62)</f>
        <v>1</v>
      </c>
      <c r="G63" s="197">
        <f>SUM(G60:G62)</f>
        <v>2.8082485756763761E-3</v>
      </c>
      <c r="I63" s="175" t="s">
        <v>587</v>
      </c>
      <c r="J63" s="165">
        <f t="shared" si="3"/>
        <v>53</v>
      </c>
    </row>
    <row r="64" spans="1:10" ht="16.5" thickTop="1" x14ac:dyDescent="0.25">
      <c r="A64" s="165">
        <f t="shared" si="2"/>
        <v>54</v>
      </c>
      <c r="I64" s="175"/>
      <c r="J64" s="165">
        <f t="shared" si="3"/>
        <v>54</v>
      </c>
    </row>
    <row r="65" spans="1:10" ht="16.5" thickBot="1" x14ac:dyDescent="0.3">
      <c r="A65" s="165">
        <f t="shared" si="2"/>
        <v>55</v>
      </c>
      <c r="B65" s="169" t="s">
        <v>588</v>
      </c>
      <c r="G65" s="214">
        <f>G62</f>
        <v>2.8082485756763761E-3</v>
      </c>
      <c r="I65" s="175" t="s">
        <v>589</v>
      </c>
      <c r="J65" s="165">
        <f t="shared" si="3"/>
        <v>55</v>
      </c>
    </row>
    <row r="66" spans="1:10" ht="16.5" thickTop="1" x14ac:dyDescent="0.25">
      <c r="B66" s="169"/>
      <c r="G66" s="216"/>
      <c r="I66" s="175"/>
      <c r="J66" s="165"/>
    </row>
    <row r="67" spans="1:10" ht="18.75" x14ac:dyDescent="0.25">
      <c r="A67" s="182">
        <v>1</v>
      </c>
      <c r="B67" s="304" t="s">
        <v>590</v>
      </c>
      <c r="G67" s="216"/>
      <c r="I67" s="175"/>
      <c r="J67" s="165"/>
    </row>
    <row r="68" spans="1:10" x14ac:dyDescent="0.25">
      <c r="B68" s="169"/>
      <c r="G68" s="216"/>
      <c r="I68" s="175"/>
      <c r="J68" s="165"/>
    </row>
    <row r="69" spans="1:10" x14ac:dyDescent="0.25">
      <c r="B69" s="169"/>
      <c r="G69" s="216"/>
      <c r="I69" s="98"/>
      <c r="J69" s="165"/>
    </row>
    <row r="70" spans="1:10" x14ac:dyDescent="0.25">
      <c r="B70" s="575" t="s">
        <v>206</v>
      </c>
      <c r="C70" s="575"/>
      <c r="D70" s="575"/>
      <c r="E70" s="575"/>
      <c r="F70" s="575"/>
      <c r="G70" s="575"/>
      <c r="H70" s="575"/>
      <c r="I70" s="575"/>
      <c r="J70" s="165"/>
    </row>
    <row r="71" spans="1:10" x14ac:dyDescent="0.25">
      <c r="B71" s="575" t="s">
        <v>513</v>
      </c>
      <c r="C71" s="575"/>
      <c r="D71" s="575"/>
      <c r="E71" s="575"/>
      <c r="F71" s="575"/>
      <c r="G71" s="575"/>
      <c r="H71" s="575"/>
      <c r="I71" s="575"/>
      <c r="J71" s="165"/>
    </row>
    <row r="72" spans="1:10" x14ac:dyDescent="0.25">
      <c r="B72" s="575" t="s">
        <v>514</v>
      </c>
      <c r="C72" s="575"/>
      <c r="D72" s="575"/>
      <c r="E72" s="575"/>
      <c r="F72" s="575"/>
      <c r="G72" s="575"/>
      <c r="H72" s="575"/>
      <c r="I72" s="575"/>
      <c r="J72" s="165"/>
    </row>
    <row r="73" spans="1:10" x14ac:dyDescent="0.25">
      <c r="B73" s="576" t="str">
        <f>B6</f>
        <v>Base Period &amp; True-Up Period 12 - Months Ending December 31, 2020</v>
      </c>
      <c r="C73" s="576"/>
      <c r="D73" s="576"/>
      <c r="E73" s="576"/>
      <c r="F73" s="576"/>
      <c r="G73" s="576"/>
      <c r="H73" s="576"/>
      <c r="I73" s="576"/>
      <c r="J73" s="165"/>
    </row>
    <row r="74" spans="1:10" x14ac:dyDescent="0.25">
      <c r="B74" s="577" t="s">
        <v>2</v>
      </c>
      <c r="C74" s="578"/>
      <c r="D74" s="578"/>
      <c r="E74" s="578"/>
      <c r="F74" s="578"/>
      <c r="G74" s="578"/>
      <c r="H74" s="578"/>
      <c r="I74" s="578"/>
      <c r="J74" s="165"/>
    </row>
    <row r="75" spans="1:10" s="217" customFormat="1" x14ac:dyDescent="0.25">
      <c r="A75" s="165"/>
      <c r="B75" s="165"/>
      <c r="C75" s="165"/>
      <c r="D75" s="165"/>
      <c r="E75" s="165"/>
      <c r="F75" s="165"/>
      <c r="G75" s="165"/>
      <c r="H75" s="165"/>
      <c r="I75" s="175"/>
      <c r="J75" s="165"/>
    </row>
    <row r="76" spans="1:10" s="217" customFormat="1" x14ac:dyDescent="0.25">
      <c r="A76" s="165" t="s">
        <v>3</v>
      </c>
      <c r="B76" s="266"/>
      <c r="C76" s="266"/>
      <c r="D76" s="266"/>
      <c r="E76" s="165" t="s">
        <v>286</v>
      </c>
      <c r="F76" s="266"/>
      <c r="G76" s="266"/>
      <c r="H76" s="266"/>
      <c r="I76" s="175"/>
      <c r="J76" s="165" t="s">
        <v>3</v>
      </c>
    </row>
    <row r="77" spans="1:10" s="217" customFormat="1" x14ac:dyDescent="0.25">
      <c r="A77" s="165" t="s">
        <v>7</v>
      </c>
      <c r="B77" s="165"/>
      <c r="C77" s="165"/>
      <c r="D77" s="165"/>
      <c r="E77" s="167" t="s">
        <v>289</v>
      </c>
      <c r="F77" s="165"/>
      <c r="G77" s="168" t="s">
        <v>5</v>
      </c>
      <c r="H77" s="266"/>
      <c r="I77" s="188" t="s">
        <v>6</v>
      </c>
      <c r="J77" s="165" t="s">
        <v>7</v>
      </c>
    </row>
    <row r="78" spans="1:10" x14ac:dyDescent="0.25">
      <c r="I78" s="175"/>
      <c r="J78" s="165"/>
    </row>
    <row r="79" spans="1:10" ht="19.5" thickBot="1" x14ac:dyDescent="0.3">
      <c r="A79" s="165">
        <v>1</v>
      </c>
      <c r="B79" s="169" t="s">
        <v>591</v>
      </c>
      <c r="G79" s="205">
        <v>0</v>
      </c>
      <c r="H79" s="266"/>
      <c r="I79" s="218"/>
      <c r="J79" s="165">
        <f>A79</f>
        <v>1</v>
      </c>
    </row>
    <row r="80" spans="1:10" ht="16.5" thickTop="1" x14ac:dyDescent="0.25">
      <c r="A80" s="165">
        <f t="shared" si="2"/>
        <v>2</v>
      </c>
      <c r="C80" s="183" t="s">
        <v>287</v>
      </c>
      <c r="D80" s="183" t="s">
        <v>288</v>
      </c>
      <c r="E80" s="183" t="s">
        <v>563</v>
      </c>
      <c r="F80" s="183"/>
      <c r="G80" s="183" t="s">
        <v>564</v>
      </c>
      <c r="H80" s="183"/>
      <c r="I80" s="175"/>
      <c r="J80" s="165">
        <f t="shared" si="3"/>
        <v>2</v>
      </c>
    </row>
    <row r="81" spans="1:10" x14ac:dyDescent="0.25">
      <c r="A81" s="165">
        <f t="shared" si="2"/>
        <v>3</v>
      </c>
      <c r="D81" s="165" t="s">
        <v>565</v>
      </c>
      <c r="E81" s="165" t="s">
        <v>566</v>
      </c>
      <c r="F81" s="165"/>
      <c r="G81" s="165" t="s">
        <v>567</v>
      </c>
      <c r="H81" s="165"/>
      <c r="I81" s="175"/>
      <c r="J81" s="165">
        <f t="shared" si="3"/>
        <v>3</v>
      </c>
    </row>
    <row r="82" spans="1:10" ht="18.75" x14ac:dyDescent="0.25">
      <c r="A82" s="165">
        <f t="shared" si="2"/>
        <v>4</v>
      </c>
      <c r="B82" s="169" t="s">
        <v>592</v>
      </c>
      <c r="C82" s="167" t="s">
        <v>593</v>
      </c>
      <c r="D82" s="167" t="s">
        <v>570</v>
      </c>
      <c r="E82" s="167" t="s">
        <v>571</v>
      </c>
      <c r="F82" s="167"/>
      <c r="G82" s="167" t="s">
        <v>572</v>
      </c>
      <c r="H82" s="165"/>
      <c r="I82" s="175"/>
      <c r="J82" s="165">
        <f t="shared" si="3"/>
        <v>4</v>
      </c>
    </row>
    <row r="83" spans="1:10" x14ac:dyDescent="0.25">
      <c r="A83" s="165">
        <f t="shared" si="2"/>
        <v>5</v>
      </c>
      <c r="I83" s="175"/>
      <c r="J83" s="165">
        <f t="shared" si="3"/>
        <v>5</v>
      </c>
    </row>
    <row r="84" spans="1:10" x14ac:dyDescent="0.25">
      <c r="A84" s="165">
        <f t="shared" si="2"/>
        <v>6</v>
      </c>
      <c r="B84" s="304" t="s">
        <v>573</v>
      </c>
      <c r="C84" s="180">
        <f>G17</f>
        <v>6040400.358</v>
      </c>
      <c r="D84" s="206">
        <f>C84/C$87</f>
        <v>0.43835028486472494</v>
      </c>
      <c r="E84" s="207">
        <f>G27</f>
        <v>3.9622448648295373E-2</v>
      </c>
      <c r="G84" s="208">
        <f>D84*E84</f>
        <v>1.7368511652018213E-2</v>
      </c>
      <c r="H84" s="208"/>
      <c r="I84" s="175" t="s">
        <v>594</v>
      </c>
      <c r="J84" s="165">
        <f t="shared" si="3"/>
        <v>6</v>
      </c>
    </row>
    <row r="85" spans="1:10" x14ac:dyDescent="0.25">
      <c r="A85" s="165">
        <f t="shared" si="2"/>
        <v>7</v>
      </c>
      <c r="B85" s="304" t="s">
        <v>575</v>
      </c>
      <c r="C85" s="209">
        <f>G30</f>
        <v>0</v>
      </c>
      <c r="D85" s="206">
        <f>C85/C$87</f>
        <v>0</v>
      </c>
      <c r="E85" s="207">
        <f>G32</f>
        <v>0</v>
      </c>
      <c r="G85" s="208">
        <f>D85*E85</f>
        <v>0</v>
      </c>
      <c r="H85" s="208"/>
      <c r="I85" s="175" t="s">
        <v>595</v>
      </c>
      <c r="J85" s="165">
        <f t="shared" si="3"/>
        <v>7</v>
      </c>
    </row>
    <row r="86" spans="1:10" x14ac:dyDescent="0.25">
      <c r="A86" s="165">
        <f t="shared" si="2"/>
        <v>8</v>
      </c>
      <c r="B86" s="304" t="s">
        <v>577</v>
      </c>
      <c r="C86" s="209">
        <f>G39</f>
        <v>7739447.7829999998</v>
      </c>
      <c r="D86" s="210">
        <f>C86/C$87</f>
        <v>0.56164971513527517</v>
      </c>
      <c r="E86" s="211">
        <f>G79</f>
        <v>0</v>
      </c>
      <c r="G86" s="212">
        <f>D86*E86</f>
        <v>0</v>
      </c>
      <c r="H86" s="198"/>
      <c r="I86" s="175" t="s">
        <v>596</v>
      </c>
      <c r="J86" s="165">
        <f t="shared" si="3"/>
        <v>8</v>
      </c>
    </row>
    <row r="87" spans="1:10" ht="16.5" thickBot="1" x14ac:dyDescent="0.3">
      <c r="A87" s="165">
        <f t="shared" si="2"/>
        <v>9</v>
      </c>
      <c r="B87" s="304" t="s">
        <v>579</v>
      </c>
      <c r="C87" s="213">
        <f>SUM(C84:C86)</f>
        <v>13779848.140999999</v>
      </c>
      <c r="D87" s="214">
        <f>SUM(D84:D86)</f>
        <v>1</v>
      </c>
      <c r="G87" s="197">
        <f>SUM(G84:G86)</f>
        <v>1.7368511652018213E-2</v>
      </c>
      <c r="H87" s="198"/>
      <c r="I87" s="175" t="s">
        <v>597</v>
      </c>
      <c r="J87" s="165">
        <f t="shared" si="3"/>
        <v>9</v>
      </c>
    </row>
    <row r="88" spans="1:10" ht="16.5" thickTop="1" x14ac:dyDescent="0.25">
      <c r="A88" s="165">
        <f t="shared" si="2"/>
        <v>10</v>
      </c>
      <c r="I88" s="175"/>
      <c r="J88" s="165">
        <f t="shared" si="3"/>
        <v>10</v>
      </c>
    </row>
    <row r="89" spans="1:10" ht="16.5" thickBot="1" x14ac:dyDescent="0.3">
      <c r="A89" s="165">
        <f t="shared" si="2"/>
        <v>11</v>
      </c>
      <c r="B89" s="169" t="s">
        <v>598</v>
      </c>
      <c r="G89" s="197">
        <f>G85+G86</f>
        <v>0</v>
      </c>
      <c r="H89" s="198"/>
      <c r="I89" s="175" t="s">
        <v>599</v>
      </c>
      <c r="J89" s="165">
        <f t="shared" si="3"/>
        <v>11</v>
      </c>
    </row>
    <row r="90" spans="1:10" ht="17.25" thickTop="1" thickBot="1" x14ac:dyDescent="0.3">
      <c r="A90" s="203">
        <f t="shared" si="2"/>
        <v>12</v>
      </c>
      <c r="B90" s="219"/>
      <c r="C90" s="185"/>
      <c r="D90" s="185"/>
      <c r="E90" s="185"/>
      <c r="F90" s="185"/>
      <c r="G90" s="220"/>
      <c r="H90" s="220"/>
      <c r="I90" s="204"/>
      <c r="J90" s="203">
        <f t="shared" si="3"/>
        <v>12</v>
      </c>
    </row>
    <row r="91" spans="1:10" x14ac:dyDescent="0.25">
      <c r="A91" s="165">
        <f t="shared" si="2"/>
        <v>13</v>
      </c>
      <c r="I91" s="175"/>
      <c r="J91" s="165">
        <f t="shared" si="3"/>
        <v>13</v>
      </c>
    </row>
    <row r="92" spans="1:10" ht="16.5" thickBot="1" x14ac:dyDescent="0.3">
      <c r="A92" s="165">
        <f t="shared" si="2"/>
        <v>14</v>
      </c>
      <c r="B92" s="169" t="s">
        <v>583</v>
      </c>
      <c r="G92" s="205">
        <v>0</v>
      </c>
      <c r="I92" s="175" t="s">
        <v>584</v>
      </c>
      <c r="J92" s="165">
        <f t="shared" si="3"/>
        <v>14</v>
      </c>
    </row>
    <row r="93" spans="1:10" ht="16.5" thickTop="1" x14ac:dyDescent="0.25">
      <c r="A93" s="165">
        <f t="shared" si="2"/>
        <v>15</v>
      </c>
      <c r="C93" s="183" t="s">
        <v>287</v>
      </c>
      <c r="D93" s="183" t="s">
        <v>288</v>
      </c>
      <c r="E93" s="183" t="s">
        <v>563</v>
      </c>
      <c r="F93" s="183"/>
      <c r="G93" s="183" t="s">
        <v>564</v>
      </c>
      <c r="I93" s="175"/>
      <c r="J93" s="165">
        <f t="shared" si="3"/>
        <v>15</v>
      </c>
    </row>
    <row r="94" spans="1:10" x14ac:dyDescent="0.25">
      <c r="A94" s="165">
        <f t="shared" si="2"/>
        <v>16</v>
      </c>
      <c r="D94" s="165" t="s">
        <v>565</v>
      </c>
      <c r="E94" s="165" t="s">
        <v>566</v>
      </c>
      <c r="F94" s="165"/>
      <c r="G94" s="165" t="s">
        <v>567</v>
      </c>
      <c r="I94" s="175"/>
      <c r="J94" s="165">
        <f t="shared" si="3"/>
        <v>16</v>
      </c>
    </row>
    <row r="95" spans="1:10" ht="18.75" x14ac:dyDescent="0.25">
      <c r="A95" s="165">
        <f t="shared" si="2"/>
        <v>17</v>
      </c>
      <c r="B95" s="169" t="s">
        <v>568</v>
      </c>
      <c r="C95" s="167" t="s">
        <v>593</v>
      </c>
      <c r="D95" s="167" t="s">
        <v>570</v>
      </c>
      <c r="E95" s="167" t="s">
        <v>571</v>
      </c>
      <c r="F95" s="167"/>
      <c r="G95" s="167" t="s">
        <v>572</v>
      </c>
      <c r="I95" s="175"/>
      <c r="J95" s="165">
        <f t="shared" si="3"/>
        <v>17</v>
      </c>
    </row>
    <row r="96" spans="1:10" x14ac:dyDescent="0.25">
      <c r="A96" s="165">
        <f t="shared" si="2"/>
        <v>18</v>
      </c>
      <c r="I96" s="175"/>
      <c r="J96" s="165">
        <f t="shared" si="3"/>
        <v>18</v>
      </c>
    </row>
    <row r="97" spans="1:10" x14ac:dyDescent="0.25">
      <c r="A97" s="165">
        <f t="shared" si="2"/>
        <v>19</v>
      </c>
      <c r="B97" s="304" t="s">
        <v>573</v>
      </c>
      <c r="C97" s="180">
        <f>G17</f>
        <v>6040400.358</v>
      </c>
      <c r="D97" s="206">
        <f>C97/C$100</f>
        <v>0.43835028486472494</v>
      </c>
      <c r="E97" s="215">
        <v>0</v>
      </c>
      <c r="G97" s="208">
        <f>D97*E97</f>
        <v>0</v>
      </c>
      <c r="I97" s="175" t="s">
        <v>585</v>
      </c>
      <c r="J97" s="165">
        <f t="shared" si="3"/>
        <v>19</v>
      </c>
    </row>
    <row r="98" spans="1:10" x14ac:dyDescent="0.25">
      <c r="A98" s="165">
        <f t="shared" si="2"/>
        <v>20</v>
      </c>
      <c r="B98" s="304" t="s">
        <v>575</v>
      </c>
      <c r="C98" s="209">
        <f>G30</f>
        <v>0</v>
      </c>
      <c r="D98" s="206">
        <f>C98/C$100</f>
        <v>0</v>
      </c>
      <c r="E98" s="215">
        <v>0</v>
      </c>
      <c r="G98" s="208">
        <f>D98*E98</f>
        <v>0</v>
      </c>
      <c r="I98" s="175" t="s">
        <v>585</v>
      </c>
      <c r="J98" s="165">
        <f t="shared" si="3"/>
        <v>20</v>
      </c>
    </row>
    <row r="99" spans="1:10" x14ac:dyDescent="0.25">
      <c r="A99" s="165">
        <f t="shared" si="2"/>
        <v>21</v>
      </c>
      <c r="B99" s="304" t="s">
        <v>577</v>
      </c>
      <c r="C99" s="209">
        <f>G39</f>
        <v>7739447.7829999998</v>
      </c>
      <c r="D99" s="210">
        <f>C99/C$100</f>
        <v>0.56164971513527517</v>
      </c>
      <c r="E99" s="211">
        <f>G92</f>
        <v>0</v>
      </c>
      <c r="G99" s="212">
        <f>D99*E99</f>
        <v>0</v>
      </c>
      <c r="I99" s="175" t="s">
        <v>600</v>
      </c>
      <c r="J99" s="165">
        <f t="shared" si="3"/>
        <v>21</v>
      </c>
    </row>
    <row r="100" spans="1:10" ht="16.5" thickBot="1" x14ac:dyDescent="0.3">
      <c r="A100" s="165">
        <f t="shared" si="2"/>
        <v>22</v>
      </c>
      <c r="B100" s="304" t="s">
        <v>579</v>
      </c>
      <c r="C100" s="213">
        <f>SUM(C97:C99)</f>
        <v>13779848.140999999</v>
      </c>
      <c r="D100" s="214">
        <f>SUM(D97:D99)</f>
        <v>1</v>
      </c>
      <c r="G100" s="197">
        <f>SUM(G97:G99)</f>
        <v>0</v>
      </c>
      <c r="I100" s="175" t="s">
        <v>152</v>
      </c>
      <c r="J100" s="165">
        <f t="shared" si="3"/>
        <v>22</v>
      </c>
    </row>
    <row r="101" spans="1:10" ht="16.5" thickTop="1" x14ac:dyDescent="0.25">
      <c r="A101" s="165">
        <f t="shared" si="2"/>
        <v>23</v>
      </c>
      <c r="I101" s="175"/>
      <c r="J101" s="165">
        <f t="shared" si="3"/>
        <v>23</v>
      </c>
    </row>
    <row r="102" spans="1:10" ht="16.5" thickBot="1" x14ac:dyDescent="0.3">
      <c r="A102" s="165">
        <f t="shared" si="2"/>
        <v>24</v>
      </c>
      <c r="B102" s="169" t="s">
        <v>588</v>
      </c>
      <c r="G102" s="214">
        <f>G99</f>
        <v>0</v>
      </c>
      <c r="I102" s="175" t="s">
        <v>601</v>
      </c>
      <c r="J102" s="165">
        <f t="shared" si="3"/>
        <v>24</v>
      </c>
    </row>
    <row r="103" spans="1:10" ht="16.5" thickTop="1" x14ac:dyDescent="0.25">
      <c r="B103" s="169"/>
      <c r="G103" s="216"/>
      <c r="I103" s="175"/>
      <c r="J103" s="165"/>
    </row>
    <row r="104" spans="1:10" ht="18.75" x14ac:dyDescent="0.25">
      <c r="A104" s="182">
        <v>1</v>
      </c>
      <c r="B104" s="304" t="s">
        <v>602</v>
      </c>
      <c r="G104" s="216"/>
      <c r="I104" s="175"/>
      <c r="J104" s="165"/>
    </row>
    <row r="105" spans="1:10" ht="18.75" x14ac:dyDescent="0.25">
      <c r="A105" s="182">
        <v>2</v>
      </c>
      <c r="B105" s="304" t="s">
        <v>590</v>
      </c>
      <c r="G105" s="181"/>
      <c r="H105" s="181"/>
      <c r="J105" s="165" t="s">
        <v>21</v>
      </c>
    </row>
    <row r="106" spans="1:10" ht="18.75" x14ac:dyDescent="0.25">
      <c r="A106" s="222"/>
      <c r="B106" s="217"/>
      <c r="G106" s="181"/>
      <c r="H106" s="181"/>
      <c r="J106" s="165"/>
    </row>
    <row r="107" spans="1:10" ht="18.75" x14ac:dyDescent="0.25">
      <c r="A107" s="182"/>
      <c r="G107" s="181"/>
      <c r="H107" s="181"/>
      <c r="I107" s="98"/>
      <c r="J107" s="165"/>
    </row>
    <row r="108" spans="1:10" x14ac:dyDescent="0.25">
      <c r="B108" s="575" t="s">
        <v>206</v>
      </c>
      <c r="C108" s="575"/>
      <c r="D108" s="575"/>
      <c r="E108" s="575"/>
      <c r="F108" s="575"/>
      <c r="G108" s="575"/>
      <c r="H108" s="575"/>
      <c r="I108" s="575"/>
      <c r="J108" s="165"/>
    </row>
    <row r="109" spans="1:10" x14ac:dyDescent="0.25">
      <c r="B109" s="575" t="s">
        <v>513</v>
      </c>
      <c r="C109" s="575"/>
      <c r="D109" s="575"/>
      <c r="E109" s="575"/>
      <c r="F109" s="575"/>
      <c r="G109" s="575"/>
      <c r="H109" s="575"/>
      <c r="I109" s="575"/>
      <c r="J109" s="165"/>
    </row>
    <row r="110" spans="1:10" x14ac:dyDescent="0.25">
      <c r="B110" s="575" t="s">
        <v>514</v>
      </c>
      <c r="C110" s="575"/>
      <c r="D110" s="575"/>
      <c r="E110" s="575"/>
      <c r="F110" s="575"/>
      <c r="G110" s="575"/>
      <c r="H110" s="575"/>
      <c r="I110" s="575"/>
      <c r="J110" s="165"/>
    </row>
    <row r="111" spans="1:10" x14ac:dyDescent="0.25">
      <c r="B111" s="576" t="str">
        <f>B6</f>
        <v>Base Period &amp; True-Up Period 12 - Months Ending December 31, 2020</v>
      </c>
      <c r="C111" s="576"/>
      <c r="D111" s="576"/>
      <c r="E111" s="576"/>
      <c r="F111" s="576"/>
      <c r="G111" s="576"/>
      <c r="H111" s="576"/>
      <c r="I111" s="576"/>
      <c r="J111" s="165"/>
    </row>
    <row r="112" spans="1:10" x14ac:dyDescent="0.25">
      <c r="B112" s="577" t="s">
        <v>2</v>
      </c>
      <c r="C112" s="578"/>
      <c r="D112" s="578"/>
      <c r="E112" s="578"/>
      <c r="F112" s="578"/>
      <c r="G112" s="578"/>
      <c r="H112" s="578"/>
      <c r="I112" s="578"/>
      <c r="J112" s="165"/>
    </row>
    <row r="113" spans="1:12" x14ac:dyDescent="0.25">
      <c r="B113" s="165"/>
      <c r="C113" s="165"/>
      <c r="D113" s="165"/>
      <c r="E113" s="165"/>
      <c r="F113" s="165"/>
      <c r="G113" s="165"/>
      <c r="H113" s="165"/>
      <c r="I113" s="175"/>
      <c r="J113" s="165"/>
    </row>
    <row r="114" spans="1:12" x14ac:dyDescent="0.25">
      <c r="A114" s="165" t="s">
        <v>3</v>
      </c>
      <c r="B114" s="266"/>
      <c r="C114" s="266"/>
      <c r="D114" s="266"/>
      <c r="E114" s="266"/>
      <c r="F114" s="266"/>
      <c r="G114" s="266"/>
      <c r="H114" s="266"/>
      <c r="I114" s="175"/>
      <c r="J114" s="165" t="s">
        <v>3</v>
      </c>
    </row>
    <row r="115" spans="1:12" x14ac:dyDescent="0.25">
      <c r="A115" s="165" t="s">
        <v>7</v>
      </c>
      <c r="B115" s="165"/>
      <c r="C115" s="165"/>
      <c r="D115" s="165"/>
      <c r="E115" s="165"/>
      <c r="F115" s="165"/>
      <c r="G115" s="167" t="s">
        <v>5</v>
      </c>
      <c r="H115" s="266"/>
      <c r="I115" s="188" t="s">
        <v>6</v>
      </c>
      <c r="J115" s="165" t="s">
        <v>7</v>
      </c>
    </row>
    <row r="116" spans="1:12" x14ac:dyDescent="0.25">
      <c r="G116" s="165"/>
      <c r="H116" s="165"/>
      <c r="I116" s="175"/>
      <c r="J116" s="165"/>
    </row>
    <row r="117" spans="1:12" ht="18.75" x14ac:dyDescent="0.25">
      <c r="A117" s="165">
        <v>1</v>
      </c>
      <c r="B117" s="169" t="s">
        <v>603</v>
      </c>
      <c r="E117" s="266"/>
      <c r="F117" s="266"/>
      <c r="G117" s="223"/>
      <c r="H117" s="223"/>
      <c r="I117" s="175"/>
      <c r="J117" s="165">
        <v>1</v>
      </c>
    </row>
    <row r="118" spans="1:12" x14ac:dyDescent="0.25">
      <c r="A118" s="165">
        <f>A117+1</f>
        <v>2</v>
      </c>
      <c r="B118" s="224"/>
      <c r="E118" s="266"/>
      <c r="F118" s="266"/>
      <c r="G118" s="223"/>
      <c r="H118" s="223"/>
      <c r="I118" s="175"/>
      <c r="J118" s="165">
        <f>J117+1</f>
        <v>2</v>
      </c>
    </row>
    <row r="119" spans="1:12" x14ac:dyDescent="0.25">
      <c r="A119" s="165">
        <f>A118+1</f>
        <v>3</v>
      </c>
      <c r="B119" s="169" t="s">
        <v>604</v>
      </c>
      <c r="E119" s="266"/>
      <c r="F119" s="266"/>
      <c r="G119" s="223"/>
      <c r="H119" s="223"/>
      <c r="I119" s="175"/>
      <c r="J119" s="165">
        <f>J118+1</f>
        <v>3</v>
      </c>
    </row>
    <row r="120" spans="1:12" x14ac:dyDescent="0.25">
      <c r="A120" s="165">
        <f>A119+1</f>
        <v>4</v>
      </c>
      <c r="B120" s="266"/>
      <c r="C120" s="266"/>
      <c r="D120" s="266"/>
      <c r="E120" s="266"/>
      <c r="F120" s="266"/>
      <c r="G120" s="223"/>
      <c r="H120" s="223"/>
      <c r="I120" s="175"/>
      <c r="J120" s="165">
        <f>J119+1</f>
        <v>4</v>
      </c>
    </row>
    <row r="121" spans="1:12" x14ac:dyDescent="0.25">
      <c r="A121" s="165">
        <f t="shared" ref="A121:A180" si="4">A120+1</f>
        <v>5</v>
      </c>
      <c r="B121" s="170" t="s">
        <v>605</v>
      </c>
      <c r="C121" s="266"/>
      <c r="D121" s="266"/>
      <c r="E121" s="266"/>
      <c r="F121" s="266"/>
      <c r="G121" s="223"/>
      <c r="H121" s="223"/>
      <c r="I121" s="225"/>
      <c r="J121" s="165">
        <f t="shared" ref="J121:J180" si="5">J120+1</f>
        <v>5</v>
      </c>
    </row>
    <row r="122" spans="1:12" x14ac:dyDescent="0.25">
      <c r="A122" s="165">
        <f t="shared" si="4"/>
        <v>6</v>
      </c>
      <c r="B122" s="304" t="s">
        <v>606</v>
      </c>
      <c r="D122" s="266"/>
      <c r="E122" s="266"/>
      <c r="F122" s="266"/>
      <c r="G122" s="226">
        <f>G52</f>
        <v>5.6726621228662795E-2</v>
      </c>
      <c r="H122" s="266"/>
      <c r="I122" s="175" t="s">
        <v>607</v>
      </c>
      <c r="J122" s="165">
        <f t="shared" si="5"/>
        <v>6</v>
      </c>
      <c r="K122" s="165"/>
    </row>
    <row r="123" spans="1:12" x14ac:dyDescent="0.25">
      <c r="A123" s="165">
        <f t="shared" si="4"/>
        <v>7</v>
      </c>
      <c r="B123" s="304" t="s">
        <v>608</v>
      </c>
      <c r="D123" s="266"/>
      <c r="E123" s="266"/>
      <c r="F123" s="266"/>
      <c r="G123" s="489">
        <v>3299.4664590749462</v>
      </c>
      <c r="H123" s="42" t="s">
        <v>33</v>
      </c>
      <c r="I123" s="175" t="s">
        <v>609</v>
      </c>
      <c r="J123" s="165">
        <f t="shared" si="5"/>
        <v>7</v>
      </c>
      <c r="K123" s="165"/>
    </row>
    <row r="124" spans="1:12" x14ac:dyDescent="0.25">
      <c r="A124" s="165">
        <f t="shared" si="4"/>
        <v>8</v>
      </c>
      <c r="B124" s="304" t="s">
        <v>610</v>
      </c>
      <c r="D124" s="266"/>
      <c r="E124" s="266"/>
      <c r="F124" s="266"/>
      <c r="G124" s="228">
        <v>8011.4031624399995</v>
      </c>
      <c r="H124" s="266"/>
      <c r="I124" s="218" t="s">
        <v>611</v>
      </c>
      <c r="J124" s="165">
        <f t="shared" si="5"/>
        <v>8</v>
      </c>
      <c r="K124" s="266"/>
    </row>
    <row r="125" spans="1:12" x14ac:dyDescent="0.25">
      <c r="A125" s="165">
        <f t="shared" si="4"/>
        <v>9</v>
      </c>
      <c r="B125" s="304" t="s">
        <v>612</v>
      </c>
      <c r="D125" s="266"/>
      <c r="E125" s="229"/>
      <c r="F125" s="266"/>
      <c r="G125" s="230">
        <v>4577996.2614806164</v>
      </c>
      <c r="H125" s="42" t="s">
        <v>33</v>
      </c>
      <c r="I125" s="175" t="s">
        <v>671</v>
      </c>
      <c r="J125" s="165">
        <f t="shared" si="5"/>
        <v>9</v>
      </c>
    </row>
    <row r="126" spans="1:12" x14ac:dyDescent="0.25">
      <c r="A126" s="165">
        <f t="shared" si="4"/>
        <v>10</v>
      </c>
      <c r="B126" s="304" t="s">
        <v>613</v>
      </c>
      <c r="D126" s="231"/>
      <c r="E126" s="266"/>
      <c r="F126" s="266"/>
      <c r="G126" s="232" t="s">
        <v>614</v>
      </c>
      <c r="H126" s="266"/>
      <c r="I126" s="175" t="s">
        <v>615</v>
      </c>
      <c r="J126" s="165">
        <f t="shared" si="5"/>
        <v>10</v>
      </c>
      <c r="L126" s="233"/>
    </row>
    <row r="127" spans="1:12" x14ac:dyDescent="0.25">
      <c r="A127" s="165">
        <f t="shared" si="4"/>
        <v>11</v>
      </c>
      <c r="G127" s="165"/>
      <c r="H127" s="165"/>
      <c r="J127" s="165">
        <f t="shared" si="5"/>
        <v>11</v>
      </c>
    </row>
    <row r="128" spans="1:12" x14ac:dyDescent="0.25">
      <c r="A128" s="165">
        <f t="shared" si="4"/>
        <v>12</v>
      </c>
      <c r="B128" s="304" t="s">
        <v>616</v>
      </c>
      <c r="D128" s="266"/>
      <c r="E128" s="266"/>
      <c r="F128" s="266"/>
      <c r="G128" s="490">
        <f>(((G122)+(G124/G125))*G126-(G123/G125))/(1-G126)</f>
        <v>1.4632105668083286E-2</v>
      </c>
      <c r="H128" s="42" t="s">
        <v>33</v>
      </c>
      <c r="I128" s="175" t="s">
        <v>617</v>
      </c>
      <c r="J128" s="165">
        <f t="shared" si="5"/>
        <v>12</v>
      </c>
      <c r="L128" s="235"/>
    </row>
    <row r="129" spans="1:11" x14ac:dyDescent="0.25">
      <c r="A129" s="165">
        <f t="shared" si="4"/>
        <v>13</v>
      </c>
      <c r="B129" s="236" t="s">
        <v>618</v>
      </c>
      <c r="G129" s="165"/>
      <c r="H129" s="165"/>
      <c r="J129" s="165">
        <f t="shared" si="5"/>
        <v>13</v>
      </c>
    </row>
    <row r="130" spans="1:11" x14ac:dyDescent="0.25">
      <c r="A130" s="165">
        <f t="shared" si="4"/>
        <v>14</v>
      </c>
      <c r="G130" s="165"/>
      <c r="H130" s="165"/>
      <c r="J130" s="165">
        <f t="shared" si="5"/>
        <v>14</v>
      </c>
    </row>
    <row r="131" spans="1:11" x14ac:dyDescent="0.25">
      <c r="A131" s="165">
        <f t="shared" si="4"/>
        <v>15</v>
      </c>
      <c r="B131" s="169" t="s">
        <v>619</v>
      </c>
      <c r="C131" s="266"/>
      <c r="D131" s="266"/>
      <c r="E131" s="266"/>
      <c r="F131" s="266"/>
      <c r="G131" s="237"/>
      <c r="H131" s="237"/>
      <c r="I131" s="238"/>
      <c r="J131" s="165">
        <f t="shared" si="5"/>
        <v>15</v>
      </c>
      <c r="K131" s="239"/>
    </row>
    <row r="132" spans="1:11" x14ac:dyDescent="0.25">
      <c r="A132" s="165">
        <f t="shared" si="4"/>
        <v>16</v>
      </c>
      <c r="B132" s="179"/>
      <c r="C132" s="266"/>
      <c r="D132" s="266"/>
      <c r="E132" s="266"/>
      <c r="F132" s="266"/>
      <c r="G132" s="237"/>
      <c r="H132" s="237"/>
      <c r="I132" s="240"/>
      <c r="J132" s="165">
        <f t="shared" si="5"/>
        <v>16</v>
      </c>
      <c r="K132" s="266"/>
    </row>
    <row r="133" spans="1:11" x14ac:dyDescent="0.25">
      <c r="A133" s="165">
        <f t="shared" si="4"/>
        <v>17</v>
      </c>
      <c r="B133" s="170" t="s">
        <v>605</v>
      </c>
      <c r="C133" s="266"/>
      <c r="D133" s="266"/>
      <c r="E133" s="266"/>
      <c r="F133" s="266"/>
      <c r="G133" s="237"/>
      <c r="H133" s="237"/>
      <c r="I133" s="240"/>
      <c r="J133" s="165">
        <f t="shared" si="5"/>
        <v>17</v>
      </c>
      <c r="K133" s="266"/>
    </row>
    <row r="134" spans="1:11" x14ac:dyDescent="0.25">
      <c r="A134" s="165">
        <f t="shared" si="4"/>
        <v>18</v>
      </c>
      <c r="B134" s="304" t="s">
        <v>606</v>
      </c>
      <c r="D134" s="266"/>
      <c r="E134" s="266"/>
      <c r="F134" s="266"/>
      <c r="G134" s="206">
        <f>G122</f>
        <v>5.6726621228662795E-2</v>
      </c>
      <c r="H134" s="206"/>
      <c r="I134" s="175" t="s">
        <v>620</v>
      </c>
      <c r="J134" s="165">
        <f t="shared" si="5"/>
        <v>18</v>
      </c>
      <c r="K134" s="165"/>
    </row>
    <row r="135" spans="1:11" x14ac:dyDescent="0.25">
      <c r="A135" s="165">
        <f t="shared" si="4"/>
        <v>19</v>
      </c>
      <c r="B135" s="304" t="s">
        <v>621</v>
      </c>
      <c r="D135" s="266"/>
      <c r="E135" s="266"/>
      <c r="F135" s="266"/>
      <c r="G135" s="241">
        <f>G124</f>
        <v>8011.4031624399995</v>
      </c>
      <c r="H135" s="241"/>
      <c r="I135" s="175" t="s">
        <v>622</v>
      </c>
      <c r="J135" s="165">
        <f t="shared" si="5"/>
        <v>19</v>
      </c>
      <c r="K135" s="165"/>
    </row>
    <row r="136" spans="1:11" x14ac:dyDescent="0.25">
      <c r="A136" s="165">
        <f t="shared" si="4"/>
        <v>20</v>
      </c>
      <c r="B136" s="304" t="s">
        <v>623</v>
      </c>
      <c r="D136" s="266"/>
      <c r="E136" s="266"/>
      <c r="F136" s="266"/>
      <c r="G136" s="242">
        <f>G125</f>
        <v>4577996.2614806164</v>
      </c>
      <c r="H136" s="42" t="s">
        <v>33</v>
      </c>
      <c r="I136" s="175" t="s">
        <v>624</v>
      </c>
      <c r="J136" s="165">
        <f t="shared" si="5"/>
        <v>20</v>
      </c>
      <c r="K136" s="165"/>
    </row>
    <row r="137" spans="1:11" x14ac:dyDescent="0.25">
      <c r="A137" s="165">
        <f t="shared" si="4"/>
        <v>21</v>
      </c>
      <c r="B137" s="304" t="s">
        <v>625</v>
      </c>
      <c r="D137" s="266"/>
      <c r="E137" s="266"/>
      <c r="F137" s="266"/>
      <c r="G137" s="491">
        <f>G128</f>
        <v>1.4632105668083286E-2</v>
      </c>
      <c r="H137" s="42" t="s">
        <v>33</v>
      </c>
      <c r="I137" s="175" t="s">
        <v>626</v>
      </c>
      <c r="J137" s="165">
        <f t="shared" si="5"/>
        <v>21</v>
      </c>
    </row>
    <row r="138" spans="1:11" x14ac:dyDescent="0.25">
      <c r="A138" s="165">
        <f t="shared" si="4"/>
        <v>22</v>
      </c>
      <c r="B138" s="304" t="s">
        <v>627</v>
      </c>
      <c r="D138" s="266"/>
      <c r="E138" s="266"/>
      <c r="F138" s="266"/>
      <c r="G138" s="232" t="s">
        <v>628</v>
      </c>
      <c r="H138" s="266"/>
      <c r="I138" s="175" t="s">
        <v>629</v>
      </c>
      <c r="J138" s="165">
        <f t="shared" si="5"/>
        <v>22</v>
      </c>
    </row>
    <row r="139" spans="1:11" x14ac:dyDescent="0.25">
      <c r="A139" s="165">
        <f t="shared" si="4"/>
        <v>23</v>
      </c>
      <c r="B139" s="513"/>
      <c r="D139" s="266"/>
      <c r="E139" s="266"/>
      <c r="F139" s="266"/>
      <c r="G139" s="244"/>
      <c r="H139" s="244"/>
      <c r="I139" s="240"/>
      <c r="J139" s="165">
        <f t="shared" si="5"/>
        <v>23</v>
      </c>
    </row>
    <row r="140" spans="1:11" x14ac:dyDescent="0.25">
      <c r="A140" s="165">
        <f t="shared" si="4"/>
        <v>24</v>
      </c>
      <c r="B140" s="304" t="s">
        <v>630</v>
      </c>
      <c r="C140" s="165"/>
      <c r="D140" s="165"/>
      <c r="E140" s="266"/>
      <c r="F140" s="266"/>
      <c r="G140" s="492">
        <f>((G134)+(G135/G136)+G128)*G138/(1-G138)</f>
        <v>7.0895236003673074E-3</v>
      </c>
      <c r="H140" s="42" t="s">
        <v>33</v>
      </c>
      <c r="I140" s="175" t="s">
        <v>631</v>
      </c>
      <c r="J140" s="165">
        <f t="shared" si="5"/>
        <v>24</v>
      </c>
    </row>
    <row r="141" spans="1:11" x14ac:dyDescent="0.25">
      <c r="A141" s="165">
        <f t="shared" si="4"/>
        <v>25</v>
      </c>
      <c r="B141" s="236" t="s">
        <v>632</v>
      </c>
      <c r="G141" s="165"/>
      <c r="H141" s="165"/>
      <c r="I141" s="175"/>
      <c r="J141" s="165">
        <f t="shared" si="5"/>
        <v>25</v>
      </c>
      <c r="K141" s="165"/>
    </row>
    <row r="142" spans="1:11" x14ac:dyDescent="0.25">
      <c r="A142" s="165">
        <f t="shared" si="4"/>
        <v>26</v>
      </c>
      <c r="G142" s="165"/>
      <c r="H142" s="165"/>
      <c r="I142" s="175"/>
      <c r="J142" s="165">
        <f t="shared" si="5"/>
        <v>26</v>
      </c>
      <c r="K142" s="165"/>
    </row>
    <row r="143" spans="1:11" x14ac:dyDescent="0.25">
      <c r="A143" s="165">
        <f t="shared" si="4"/>
        <v>27</v>
      </c>
      <c r="B143" s="169" t="s">
        <v>633</v>
      </c>
      <c r="G143" s="490">
        <f>G140+G128</f>
        <v>2.1721629268450594E-2</v>
      </c>
      <c r="H143" s="42" t="s">
        <v>33</v>
      </c>
      <c r="I143" s="175" t="s">
        <v>634</v>
      </c>
      <c r="J143" s="165">
        <f t="shared" si="5"/>
        <v>27</v>
      </c>
      <c r="K143" s="165"/>
    </row>
    <row r="144" spans="1:11" x14ac:dyDescent="0.25">
      <c r="A144" s="165">
        <f t="shared" si="4"/>
        <v>28</v>
      </c>
      <c r="G144" s="165"/>
      <c r="H144" s="165"/>
      <c r="I144" s="175"/>
      <c r="J144" s="165">
        <f t="shared" si="5"/>
        <v>28</v>
      </c>
      <c r="K144" s="165"/>
    </row>
    <row r="145" spans="1:12" x14ac:dyDescent="0.25">
      <c r="A145" s="165">
        <f t="shared" si="4"/>
        <v>29</v>
      </c>
      <c r="B145" s="169" t="s">
        <v>635</v>
      </c>
      <c r="G145" s="247">
        <f>G50</f>
        <v>7.4095132880681008E-2</v>
      </c>
      <c r="H145" s="266"/>
      <c r="I145" s="175" t="s">
        <v>636</v>
      </c>
      <c r="J145" s="165">
        <f t="shared" si="5"/>
        <v>29</v>
      </c>
      <c r="K145" s="165"/>
    </row>
    <row r="146" spans="1:12" x14ac:dyDescent="0.25">
      <c r="A146" s="165">
        <f t="shared" si="4"/>
        <v>30</v>
      </c>
      <c r="G146" s="206"/>
      <c r="H146" s="206"/>
      <c r="I146" s="175"/>
      <c r="J146" s="165">
        <f t="shared" si="5"/>
        <v>30</v>
      </c>
      <c r="K146" s="165"/>
    </row>
    <row r="147" spans="1:12" ht="19.5" thickBot="1" x14ac:dyDescent="0.3">
      <c r="A147" s="165">
        <f t="shared" si="4"/>
        <v>31</v>
      </c>
      <c r="B147" s="169" t="s">
        <v>637</v>
      </c>
      <c r="G147" s="493">
        <f>G143+G145</f>
        <v>9.5816762149131596E-2</v>
      </c>
      <c r="H147" s="42" t="s">
        <v>33</v>
      </c>
      <c r="I147" s="175" t="s">
        <v>638</v>
      </c>
      <c r="J147" s="165">
        <f t="shared" si="5"/>
        <v>31</v>
      </c>
      <c r="K147" s="249"/>
      <c r="L147" s="235"/>
    </row>
    <row r="148" spans="1:12" ht="17.25" thickTop="1" thickBot="1" x14ac:dyDescent="0.3">
      <c r="A148" s="203">
        <f t="shared" si="4"/>
        <v>32</v>
      </c>
      <c r="B148" s="185"/>
      <c r="C148" s="185"/>
      <c r="D148" s="185"/>
      <c r="E148" s="185"/>
      <c r="F148" s="185"/>
      <c r="G148" s="203"/>
      <c r="H148" s="203"/>
      <c r="I148" s="204"/>
      <c r="J148" s="203">
        <f t="shared" si="5"/>
        <v>32</v>
      </c>
    </row>
    <row r="149" spans="1:12" x14ac:dyDescent="0.25">
      <c r="A149" s="165">
        <f t="shared" si="4"/>
        <v>33</v>
      </c>
      <c r="G149" s="165"/>
      <c r="H149" s="165"/>
      <c r="I149" s="175"/>
      <c r="J149" s="165">
        <f t="shared" si="5"/>
        <v>33</v>
      </c>
    </row>
    <row r="150" spans="1:12" ht="18.75" x14ac:dyDescent="0.25">
      <c r="A150" s="165">
        <f t="shared" si="4"/>
        <v>34</v>
      </c>
      <c r="B150" s="169" t="s">
        <v>639</v>
      </c>
      <c r="E150" s="266"/>
      <c r="F150" s="266"/>
      <c r="G150" s="223"/>
      <c r="H150" s="223"/>
      <c r="I150" s="175"/>
      <c r="J150" s="165">
        <f t="shared" si="5"/>
        <v>34</v>
      </c>
    </row>
    <row r="151" spans="1:12" x14ac:dyDescent="0.25">
      <c r="A151" s="165">
        <f t="shared" si="4"/>
        <v>35</v>
      </c>
      <c r="B151" s="224"/>
      <c r="E151" s="266"/>
      <c r="F151" s="266"/>
      <c r="G151" s="223"/>
      <c r="H151" s="223"/>
      <c r="I151" s="175"/>
      <c r="J151" s="165">
        <f t="shared" si="5"/>
        <v>35</v>
      </c>
      <c r="L151" s="250"/>
    </row>
    <row r="152" spans="1:12" x14ac:dyDescent="0.25">
      <c r="A152" s="165">
        <f t="shared" si="4"/>
        <v>36</v>
      </c>
      <c r="B152" s="169" t="s">
        <v>604</v>
      </c>
      <c r="E152" s="266"/>
      <c r="F152" s="266"/>
      <c r="G152" s="223"/>
      <c r="H152" s="223"/>
      <c r="I152" s="175"/>
      <c r="J152" s="165">
        <f t="shared" si="5"/>
        <v>36</v>
      </c>
    </row>
    <row r="153" spans="1:12" x14ac:dyDescent="0.25">
      <c r="A153" s="165">
        <f t="shared" si="4"/>
        <v>37</v>
      </c>
      <c r="B153" s="266"/>
      <c r="C153" s="266"/>
      <c r="D153" s="266"/>
      <c r="E153" s="266"/>
      <c r="F153" s="266"/>
      <c r="G153" s="223"/>
      <c r="H153" s="223"/>
      <c r="I153" s="175"/>
      <c r="J153" s="165">
        <f t="shared" si="5"/>
        <v>37</v>
      </c>
    </row>
    <row r="154" spans="1:12" x14ac:dyDescent="0.25">
      <c r="A154" s="165">
        <f t="shared" si="4"/>
        <v>38</v>
      </c>
      <c r="B154" s="170" t="s">
        <v>605</v>
      </c>
      <c r="C154" s="266"/>
      <c r="D154" s="266"/>
      <c r="E154" s="266"/>
      <c r="F154" s="266"/>
      <c r="G154" s="223"/>
      <c r="H154" s="223"/>
      <c r="I154" s="225"/>
      <c r="J154" s="165">
        <f t="shared" si="5"/>
        <v>38</v>
      </c>
    </row>
    <row r="155" spans="1:12" x14ac:dyDescent="0.25">
      <c r="A155" s="165">
        <f t="shared" si="4"/>
        <v>39</v>
      </c>
      <c r="B155" s="304" t="s">
        <v>640</v>
      </c>
      <c r="D155" s="266"/>
      <c r="E155" s="266"/>
      <c r="F155" s="266"/>
      <c r="G155" s="226">
        <f>G65</f>
        <v>2.8082485756763761E-3</v>
      </c>
      <c r="H155" s="266"/>
      <c r="I155" s="175" t="s">
        <v>641</v>
      </c>
      <c r="J155" s="165">
        <f t="shared" si="5"/>
        <v>39</v>
      </c>
      <c r="K155" s="165"/>
    </row>
    <row r="156" spans="1:12" x14ac:dyDescent="0.25">
      <c r="A156" s="165">
        <f t="shared" si="4"/>
        <v>40</v>
      </c>
      <c r="B156" s="304" t="s">
        <v>608</v>
      </c>
      <c r="D156" s="266"/>
      <c r="E156" s="266"/>
      <c r="F156" s="266"/>
      <c r="G156" s="251">
        <v>0</v>
      </c>
      <c r="H156" s="266"/>
      <c r="I156" s="175" t="s">
        <v>585</v>
      </c>
      <c r="J156" s="165">
        <f t="shared" si="5"/>
        <v>40</v>
      </c>
      <c r="K156" s="165"/>
    </row>
    <row r="157" spans="1:12" x14ac:dyDescent="0.25">
      <c r="A157" s="165">
        <f t="shared" si="4"/>
        <v>41</v>
      </c>
      <c r="B157" s="304" t="s">
        <v>610</v>
      </c>
      <c r="D157" s="266"/>
      <c r="E157" s="266"/>
      <c r="F157" s="266"/>
      <c r="G157" s="251">
        <v>0</v>
      </c>
      <c r="H157" s="266"/>
      <c r="I157" s="175" t="s">
        <v>585</v>
      </c>
      <c r="J157" s="165">
        <f t="shared" si="5"/>
        <v>41</v>
      </c>
      <c r="K157" s="266"/>
    </row>
    <row r="158" spans="1:12" x14ac:dyDescent="0.25">
      <c r="A158" s="165">
        <f t="shared" si="4"/>
        <v>42</v>
      </c>
      <c r="B158" s="304" t="s">
        <v>612</v>
      </c>
      <c r="D158" s="266"/>
      <c r="E158" s="229"/>
      <c r="F158" s="266"/>
      <c r="G158" s="230">
        <v>4577996.2614806164</v>
      </c>
      <c r="H158" s="42" t="s">
        <v>33</v>
      </c>
      <c r="I158" s="175" t="s">
        <v>671</v>
      </c>
      <c r="J158" s="165">
        <f t="shared" si="5"/>
        <v>42</v>
      </c>
    </row>
    <row r="159" spans="1:12" x14ac:dyDescent="0.25">
      <c r="A159" s="165">
        <f t="shared" si="4"/>
        <v>43</v>
      </c>
      <c r="B159" s="304" t="s">
        <v>613</v>
      </c>
      <c r="D159" s="231"/>
      <c r="E159" s="266"/>
      <c r="F159" s="266"/>
      <c r="G159" s="232" t="s">
        <v>614</v>
      </c>
      <c r="H159" s="266"/>
      <c r="I159" s="175" t="s">
        <v>615</v>
      </c>
      <c r="J159" s="165">
        <f t="shared" si="5"/>
        <v>43</v>
      </c>
      <c r="L159" s="233"/>
    </row>
    <row r="160" spans="1:12" x14ac:dyDescent="0.25">
      <c r="A160" s="165">
        <f t="shared" si="4"/>
        <v>44</v>
      </c>
      <c r="G160" s="165"/>
      <c r="H160" s="165"/>
      <c r="J160" s="165">
        <f t="shared" si="5"/>
        <v>44</v>
      </c>
    </row>
    <row r="161" spans="1:12" x14ac:dyDescent="0.25">
      <c r="A161" s="165">
        <f t="shared" si="4"/>
        <v>45</v>
      </c>
      <c r="B161" s="304" t="s">
        <v>616</v>
      </c>
      <c r="D161" s="266"/>
      <c r="E161" s="266"/>
      <c r="F161" s="266"/>
      <c r="G161" s="234">
        <f>(((G155)+(G157/G158))*G159-(G156/G158))/(1-G159)</f>
        <v>7.4649645682536576E-4</v>
      </c>
      <c r="H161" s="234"/>
      <c r="I161" s="175" t="s">
        <v>617</v>
      </c>
      <c r="J161" s="165">
        <f t="shared" si="5"/>
        <v>45</v>
      </c>
      <c r="L161" s="235"/>
    </row>
    <row r="162" spans="1:12" x14ac:dyDescent="0.25">
      <c r="A162" s="165">
        <f t="shared" si="4"/>
        <v>46</v>
      </c>
      <c r="B162" s="236" t="s">
        <v>618</v>
      </c>
      <c r="G162" s="165"/>
      <c r="H162" s="165"/>
      <c r="J162" s="165">
        <f t="shared" si="5"/>
        <v>46</v>
      </c>
    </row>
    <row r="163" spans="1:12" x14ac:dyDescent="0.25">
      <c r="A163" s="165">
        <f t="shared" si="4"/>
        <v>47</v>
      </c>
      <c r="G163" s="165"/>
      <c r="H163" s="165"/>
      <c r="J163" s="165">
        <f t="shared" si="5"/>
        <v>47</v>
      </c>
    </row>
    <row r="164" spans="1:12" x14ac:dyDescent="0.25">
      <c r="A164" s="165">
        <f t="shared" si="4"/>
        <v>48</v>
      </c>
      <c r="B164" s="169" t="s">
        <v>619</v>
      </c>
      <c r="C164" s="266"/>
      <c r="D164" s="266"/>
      <c r="E164" s="266"/>
      <c r="F164" s="266"/>
      <c r="G164" s="237"/>
      <c r="H164" s="237"/>
      <c r="I164" s="238"/>
      <c r="J164" s="165">
        <f t="shared" si="5"/>
        <v>48</v>
      </c>
      <c r="K164" s="239"/>
    </row>
    <row r="165" spans="1:12" x14ac:dyDescent="0.25">
      <c r="A165" s="165">
        <f t="shared" si="4"/>
        <v>49</v>
      </c>
      <c r="B165" s="179"/>
      <c r="C165" s="266"/>
      <c r="D165" s="266"/>
      <c r="E165" s="266"/>
      <c r="F165" s="266"/>
      <c r="G165" s="237"/>
      <c r="H165" s="237"/>
      <c r="I165" s="240"/>
      <c r="J165" s="165">
        <f t="shared" si="5"/>
        <v>49</v>
      </c>
      <c r="K165" s="266"/>
    </row>
    <row r="166" spans="1:12" x14ac:dyDescent="0.25">
      <c r="A166" s="165">
        <f t="shared" si="4"/>
        <v>50</v>
      </c>
      <c r="B166" s="170" t="s">
        <v>605</v>
      </c>
      <c r="C166" s="266"/>
      <c r="D166" s="266"/>
      <c r="E166" s="266"/>
      <c r="F166" s="266"/>
      <c r="G166" s="237"/>
      <c r="H166" s="237"/>
      <c r="I166" s="240"/>
      <c r="J166" s="165">
        <f t="shared" si="5"/>
        <v>50</v>
      </c>
      <c r="K166" s="266"/>
    </row>
    <row r="167" spans="1:12" x14ac:dyDescent="0.25">
      <c r="A167" s="165">
        <f t="shared" si="4"/>
        <v>51</v>
      </c>
      <c r="B167" s="304" t="s">
        <v>640</v>
      </c>
      <c r="D167" s="266"/>
      <c r="E167" s="266"/>
      <c r="F167" s="266"/>
      <c r="G167" s="206">
        <f>G155</f>
        <v>2.8082485756763761E-3</v>
      </c>
      <c r="H167" s="206"/>
      <c r="I167" s="175" t="s">
        <v>642</v>
      </c>
      <c r="J167" s="165">
        <f t="shared" si="5"/>
        <v>51</v>
      </c>
      <c r="K167" s="165"/>
    </row>
    <row r="168" spans="1:12" x14ac:dyDescent="0.25">
      <c r="A168" s="165">
        <f t="shared" si="4"/>
        <v>52</v>
      </c>
      <c r="B168" s="304" t="s">
        <v>621</v>
      </c>
      <c r="D168" s="266"/>
      <c r="E168" s="266"/>
      <c r="F168" s="266"/>
      <c r="G168" s="241">
        <f>G157</f>
        <v>0</v>
      </c>
      <c r="H168" s="241"/>
      <c r="I168" s="175" t="s">
        <v>643</v>
      </c>
      <c r="J168" s="165">
        <f t="shared" si="5"/>
        <v>52</v>
      </c>
      <c r="K168" s="165"/>
    </row>
    <row r="169" spans="1:12" x14ac:dyDescent="0.25">
      <c r="A169" s="165">
        <f t="shared" si="4"/>
        <v>53</v>
      </c>
      <c r="B169" s="304" t="s">
        <v>623</v>
      </c>
      <c r="D169" s="266"/>
      <c r="E169" s="266"/>
      <c r="F169" s="266"/>
      <c r="G169" s="242">
        <f>G158</f>
        <v>4577996.2614806164</v>
      </c>
      <c r="H169" s="42" t="s">
        <v>33</v>
      </c>
      <c r="I169" s="175" t="s">
        <v>644</v>
      </c>
      <c r="J169" s="165">
        <f t="shared" si="5"/>
        <v>53</v>
      </c>
      <c r="K169" s="165"/>
    </row>
    <row r="170" spans="1:12" x14ac:dyDescent="0.25">
      <c r="A170" s="165">
        <f t="shared" si="4"/>
        <v>54</v>
      </c>
      <c r="B170" s="304" t="s">
        <v>625</v>
      </c>
      <c r="D170" s="266"/>
      <c r="E170" s="266"/>
      <c r="F170" s="266"/>
      <c r="G170" s="243">
        <f>G161</f>
        <v>7.4649645682536576E-4</v>
      </c>
      <c r="H170" s="243"/>
      <c r="I170" s="175" t="s">
        <v>645</v>
      </c>
      <c r="J170" s="165">
        <f t="shared" si="5"/>
        <v>54</v>
      </c>
    </row>
    <row r="171" spans="1:12" x14ac:dyDescent="0.25">
      <c r="A171" s="165">
        <f t="shared" si="4"/>
        <v>55</v>
      </c>
      <c r="B171" s="304" t="s">
        <v>627</v>
      </c>
      <c r="D171" s="266"/>
      <c r="E171" s="266"/>
      <c r="F171" s="266"/>
      <c r="G171" s="232" t="s">
        <v>628</v>
      </c>
      <c r="H171" s="266"/>
      <c r="I171" s="175" t="s">
        <v>629</v>
      </c>
      <c r="J171" s="165">
        <f t="shared" si="5"/>
        <v>55</v>
      </c>
    </row>
    <row r="172" spans="1:12" x14ac:dyDescent="0.25">
      <c r="A172" s="165">
        <f t="shared" si="4"/>
        <v>56</v>
      </c>
      <c r="B172" s="513"/>
      <c r="D172" s="266"/>
      <c r="E172" s="266"/>
      <c r="F172" s="266"/>
      <c r="G172" s="244"/>
      <c r="H172" s="244"/>
      <c r="I172" s="240"/>
      <c r="J172" s="165">
        <f t="shared" si="5"/>
        <v>56</v>
      </c>
      <c r="K172" s="252"/>
    </row>
    <row r="173" spans="1:12" x14ac:dyDescent="0.25">
      <c r="A173" s="165">
        <f t="shared" si="4"/>
        <v>57</v>
      </c>
      <c r="B173" s="304" t="s">
        <v>630</v>
      </c>
      <c r="C173" s="165"/>
      <c r="D173" s="165"/>
      <c r="E173" s="266"/>
      <c r="F173" s="266"/>
      <c r="G173" s="245">
        <f>((G167)+(G168/G169)+G161)*G171/(1-G171)</f>
        <v>3.4471200183540368E-4</v>
      </c>
      <c r="H173" s="246"/>
      <c r="I173" s="175" t="s">
        <v>631</v>
      </c>
      <c r="J173" s="165">
        <f t="shared" si="5"/>
        <v>57</v>
      </c>
    </row>
    <row r="174" spans="1:12" x14ac:dyDescent="0.25">
      <c r="A174" s="165">
        <f t="shared" si="4"/>
        <v>58</v>
      </c>
      <c r="B174" s="236" t="s">
        <v>632</v>
      </c>
      <c r="G174" s="165"/>
      <c r="H174" s="165"/>
      <c r="I174" s="175"/>
      <c r="J174" s="165">
        <f t="shared" si="5"/>
        <v>58</v>
      </c>
      <c r="K174" s="165"/>
    </row>
    <row r="175" spans="1:12" x14ac:dyDescent="0.25">
      <c r="A175" s="165">
        <f t="shared" si="4"/>
        <v>59</v>
      </c>
      <c r="G175" s="165"/>
      <c r="H175" s="165"/>
      <c r="I175" s="175"/>
      <c r="J175" s="165">
        <f t="shared" si="5"/>
        <v>59</v>
      </c>
      <c r="K175" s="165"/>
    </row>
    <row r="176" spans="1:12" x14ac:dyDescent="0.25">
      <c r="A176" s="165">
        <f t="shared" si="4"/>
        <v>60</v>
      </c>
      <c r="B176" s="169" t="s">
        <v>633</v>
      </c>
      <c r="G176" s="234">
        <f>G173+G161</f>
        <v>1.0912084586607695E-3</v>
      </c>
      <c r="H176" s="234"/>
      <c r="I176" s="175" t="s">
        <v>646</v>
      </c>
      <c r="J176" s="165">
        <f t="shared" si="5"/>
        <v>60</v>
      </c>
      <c r="K176" s="165"/>
    </row>
    <row r="177" spans="1:12" x14ac:dyDescent="0.25">
      <c r="A177" s="165">
        <f t="shared" si="4"/>
        <v>61</v>
      </c>
      <c r="G177" s="165"/>
      <c r="H177" s="165"/>
      <c r="I177" s="175"/>
      <c r="J177" s="165">
        <f t="shared" si="5"/>
        <v>61</v>
      </c>
      <c r="K177" s="165"/>
    </row>
    <row r="178" spans="1:12" x14ac:dyDescent="0.25">
      <c r="A178" s="165">
        <f t="shared" si="4"/>
        <v>62</v>
      </c>
      <c r="B178" s="169" t="s">
        <v>647</v>
      </c>
      <c r="G178" s="253">
        <f>G63</f>
        <v>2.8082485756763761E-3</v>
      </c>
      <c r="H178" s="266"/>
      <c r="I178" s="175" t="s">
        <v>648</v>
      </c>
      <c r="J178" s="165">
        <f t="shared" si="5"/>
        <v>62</v>
      </c>
      <c r="K178" s="165"/>
    </row>
    <row r="179" spans="1:12" x14ac:dyDescent="0.25">
      <c r="A179" s="165">
        <f t="shared" si="4"/>
        <v>63</v>
      </c>
      <c r="G179" s="206"/>
      <c r="H179" s="206"/>
      <c r="I179" s="175"/>
      <c r="J179" s="165">
        <f t="shared" si="5"/>
        <v>63</v>
      </c>
      <c r="K179" s="165"/>
    </row>
    <row r="180" spans="1:12" ht="19.5" thickBot="1" x14ac:dyDescent="0.3">
      <c r="A180" s="165">
        <f t="shared" si="4"/>
        <v>64</v>
      </c>
      <c r="B180" s="169" t="s">
        <v>649</v>
      </c>
      <c r="G180" s="248">
        <f>G176+G178</f>
        <v>3.8994570343371454E-3</v>
      </c>
      <c r="H180" s="246"/>
      <c r="I180" s="175" t="s">
        <v>650</v>
      </c>
      <c r="J180" s="165">
        <f t="shared" si="5"/>
        <v>64</v>
      </c>
      <c r="K180" s="249"/>
      <c r="L180" s="235"/>
    </row>
    <row r="181" spans="1:12" ht="16.5" thickTop="1" x14ac:dyDescent="0.25">
      <c r="B181" s="169"/>
      <c r="G181" s="254"/>
      <c r="H181" s="254"/>
      <c r="I181" s="175"/>
      <c r="J181" s="165"/>
      <c r="K181" s="249"/>
      <c r="L181" s="235"/>
    </row>
    <row r="182" spans="1:12" x14ac:dyDescent="0.25">
      <c r="B182" s="169"/>
      <c r="G182" s="254"/>
      <c r="H182" s="254"/>
      <c r="I182" s="175"/>
      <c r="J182" s="165"/>
      <c r="K182" s="249"/>
      <c r="L182" s="235"/>
    </row>
    <row r="183" spans="1:12" x14ac:dyDescent="0.25">
      <c r="A183" s="42" t="s">
        <v>33</v>
      </c>
      <c r="B183" s="513" t="s">
        <v>262</v>
      </c>
      <c r="C183" s="255"/>
      <c r="D183" s="255"/>
      <c r="E183" s="255"/>
      <c r="F183" s="255"/>
      <c r="G183" s="256"/>
      <c r="H183" s="256"/>
      <c r="I183" s="257"/>
      <c r="J183" s="165"/>
    </row>
    <row r="184" spans="1:12" x14ac:dyDescent="0.25">
      <c r="A184" s="42"/>
      <c r="B184" s="513" t="s">
        <v>263</v>
      </c>
      <c r="C184" s="255"/>
      <c r="D184" s="255"/>
      <c r="E184" s="255"/>
      <c r="F184" s="255"/>
      <c r="G184" s="256"/>
      <c r="H184" s="256"/>
      <c r="I184" s="257"/>
      <c r="J184" s="165"/>
    </row>
    <row r="185" spans="1:12" x14ac:dyDescent="0.25">
      <c r="A185" s="42"/>
      <c r="B185" s="513"/>
      <c r="C185" s="255"/>
      <c r="D185" s="255"/>
      <c r="E185" s="255"/>
      <c r="F185" s="255"/>
      <c r="G185" s="256"/>
      <c r="H185" s="256"/>
      <c r="I185" s="257"/>
      <c r="J185" s="165"/>
    </row>
    <row r="186" spans="1:12" x14ac:dyDescent="0.25">
      <c r="A186" s="42"/>
      <c r="B186" s="12"/>
      <c r="C186" s="255"/>
      <c r="D186" s="255"/>
      <c r="E186" s="255"/>
      <c r="F186" s="255"/>
      <c r="G186" s="256"/>
      <c r="H186" s="256"/>
      <c r="I186" s="98"/>
      <c r="J186" s="165"/>
    </row>
    <row r="187" spans="1:12" x14ac:dyDescent="0.25">
      <c r="B187" s="575" t="s">
        <v>206</v>
      </c>
      <c r="C187" s="575"/>
      <c r="D187" s="575"/>
      <c r="E187" s="575"/>
      <c r="F187" s="575"/>
      <c r="G187" s="575"/>
      <c r="H187" s="575"/>
      <c r="I187" s="575"/>
      <c r="J187" s="165"/>
    </row>
    <row r="188" spans="1:12" x14ac:dyDescent="0.25">
      <c r="B188" s="575" t="s">
        <v>513</v>
      </c>
      <c r="C188" s="575"/>
      <c r="D188" s="575"/>
      <c r="E188" s="575"/>
      <c r="F188" s="575"/>
      <c r="G188" s="575"/>
      <c r="H188" s="575"/>
      <c r="I188" s="575"/>
      <c r="J188" s="165"/>
    </row>
    <row r="189" spans="1:12" x14ac:dyDescent="0.25">
      <c r="B189" s="575" t="s">
        <v>514</v>
      </c>
      <c r="C189" s="575"/>
      <c r="D189" s="575"/>
      <c r="E189" s="575"/>
      <c r="F189" s="575"/>
      <c r="G189" s="575"/>
      <c r="H189" s="575"/>
      <c r="I189" s="575"/>
      <c r="J189" s="165"/>
    </row>
    <row r="190" spans="1:12" x14ac:dyDescent="0.25">
      <c r="B190" s="576" t="str">
        <f>B6</f>
        <v>Base Period &amp; True-Up Period 12 - Months Ending December 31, 2020</v>
      </c>
      <c r="C190" s="576"/>
      <c r="D190" s="576"/>
      <c r="E190" s="576"/>
      <c r="F190" s="576"/>
      <c r="G190" s="576"/>
      <c r="H190" s="576"/>
      <c r="I190" s="576"/>
      <c r="J190" s="165"/>
    </row>
    <row r="191" spans="1:12" x14ac:dyDescent="0.25">
      <c r="B191" s="577" t="s">
        <v>2</v>
      </c>
      <c r="C191" s="578"/>
      <c r="D191" s="578"/>
      <c r="E191" s="578"/>
      <c r="F191" s="578"/>
      <c r="G191" s="578"/>
      <c r="H191" s="578"/>
      <c r="I191" s="578"/>
      <c r="J191" s="165"/>
    </row>
    <row r="192" spans="1:12" x14ac:dyDescent="0.25">
      <c r="B192" s="165"/>
      <c r="C192" s="165"/>
      <c r="D192" s="165"/>
      <c r="E192" s="165"/>
      <c r="F192" s="165"/>
      <c r="G192" s="266"/>
      <c r="H192" s="266"/>
      <c r="I192" s="175"/>
      <c r="J192" s="165"/>
    </row>
    <row r="193" spans="1:10" x14ac:dyDescent="0.25">
      <c r="A193" s="165" t="s">
        <v>3</v>
      </c>
      <c r="B193" s="266"/>
      <c r="C193" s="266"/>
      <c r="D193" s="266"/>
      <c r="E193" s="266"/>
      <c r="F193" s="266"/>
      <c r="G193" s="266"/>
      <c r="H193" s="266"/>
      <c r="I193" s="175"/>
      <c r="J193" s="165" t="s">
        <v>3</v>
      </c>
    </row>
    <row r="194" spans="1:10" x14ac:dyDescent="0.25">
      <c r="A194" s="165" t="s">
        <v>7</v>
      </c>
      <c r="B194" s="165"/>
      <c r="C194" s="165"/>
      <c r="D194" s="165"/>
      <c r="E194" s="165"/>
      <c r="F194" s="165"/>
      <c r="G194" s="167" t="s">
        <v>5</v>
      </c>
      <c r="H194" s="266"/>
      <c r="I194" s="188" t="s">
        <v>6</v>
      </c>
      <c r="J194" s="165" t="s">
        <v>7</v>
      </c>
    </row>
    <row r="195" spans="1:10" x14ac:dyDescent="0.25">
      <c r="G195" s="165"/>
      <c r="H195" s="165"/>
      <c r="I195" s="175"/>
      <c r="J195" s="165"/>
    </row>
    <row r="196" spans="1:10" ht="18.75" x14ac:dyDescent="0.25">
      <c r="A196" s="165">
        <v>1</v>
      </c>
      <c r="B196" s="169" t="s">
        <v>651</v>
      </c>
      <c r="E196" s="266"/>
      <c r="F196" s="266"/>
      <c r="G196" s="223"/>
      <c r="H196" s="223"/>
      <c r="I196" s="175"/>
      <c r="J196" s="165">
        <v>1</v>
      </c>
    </row>
    <row r="197" spans="1:10" x14ac:dyDescent="0.25">
      <c r="A197" s="165">
        <f>A196+1</f>
        <v>2</v>
      </c>
      <c r="B197" s="224"/>
      <c r="E197" s="266"/>
      <c r="F197" s="266"/>
      <c r="G197" s="223"/>
      <c r="H197" s="223"/>
      <c r="I197" s="175"/>
      <c r="J197" s="165">
        <f>J196+1</f>
        <v>2</v>
      </c>
    </row>
    <row r="198" spans="1:10" x14ac:dyDescent="0.25">
      <c r="A198" s="165">
        <f>A197+1</f>
        <v>3</v>
      </c>
      <c r="B198" s="169" t="s">
        <v>604</v>
      </c>
      <c r="E198" s="266"/>
      <c r="F198" s="266"/>
      <c r="G198" s="223"/>
      <c r="H198" s="223"/>
      <c r="I198" s="175"/>
      <c r="J198" s="165">
        <f>J197+1</f>
        <v>3</v>
      </c>
    </row>
    <row r="199" spans="1:10" x14ac:dyDescent="0.25">
      <c r="A199" s="165">
        <f>A198+1</f>
        <v>4</v>
      </c>
      <c r="B199" s="266"/>
      <c r="C199" s="266"/>
      <c r="D199" s="266"/>
      <c r="E199" s="266"/>
      <c r="F199" s="266"/>
      <c r="G199" s="223"/>
      <c r="H199" s="223"/>
      <c r="I199" s="175"/>
      <c r="J199" s="165">
        <f>J198+1</f>
        <v>4</v>
      </c>
    </row>
    <row r="200" spans="1:10" x14ac:dyDescent="0.25">
      <c r="A200" s="165">
        <f t="shared" ref="A200:A259" si="6">A199+1</f>
        <v>5</v>
      </c>
      <c r="B200" s="170" t="s">
        <v>605</v>
      </c>
      <c r="C200" s="266"/>
      <c r="D200" s="266"/>
      <c r="E200" s="266"/>
      <c r="F200" s="266"/>
      <c r="G200" s="223"/>
      <c r="H200" s="223"/>
      <c r="I200" s="225"/>
      <c r="J200" s="165">
        <f t="shared" ref="J200:J259" si="7">J199+1</f>
        <v>5</v>
      </c>
    </row>
    <row r="201" spans="1:10" x14ac:dyDescent="0.25">
      <c r="A201" s="165">
        <f t="shared" si="6"/>
        <v>6</v>
      </c>
      <c r="B201" s="304" t="s">
        <v>606</v>
      </c>
      <c r="D201" s="266"/>
      <c r="E201" s="266"/>
      <c r="F201" s="266"/>
      <c r="G201" s="226">
        <f>G89</f>
        <v>0</v>
      </c>
      <c r="H201" s="266"/>
      <c r="I201" s="175" t="s">
        <v>652</v>
      </c>
      <c r="J201" s="165">
        <f t="shared" si="7"/>
        <v>6</v>
      </c>
    </row>
    <row r="202" spans="1:10" x14ac:dyDescent="0.25">
      <c r="A202" s="165">
        <f t="shared" si="6"/>
        <v>7</v>
      </c>
      <c r="B202" s="304" t="s">
        <v>608</v>
      </c>
      <c r="D202" s="266"/>
      <c r="E202" s="266"/>
      <c r="F202" s="266"/>
      <c r="G202" s="251">
        <v>0</v>
      </c>
      <c r="H202" s="266"/>
      <c r="I202" s="175" t="s">
        <v>653</v>
      </c>
      <c r="J202" s="165">
        <f t="shared" si="7"/>
        <v>7</v>
      </c>
    </row>
    <row r="203" spans="1:10" x14ac:dyDescent="0.25">
      <c r="A203" s="165">
        <f t="shared" si="6"/>
        <v>8</v>
      </c>
      <c r="B203" s="304" t="s">
        <v>610</v>
      </c>
      <c r="D203" s="266"/>
      <c r="E203" s="266"/>
      <c r="F203" s="266"/>
      <c r="G203" s="228">
        <v>0</v>
      </c>
      <c r="H203" s="266"/>
      <c r="I203" s="218"/>
      <c r="J203" s="165">
        <f t="shared" si="7"/>
        <v>8</v>
      </c>
    </row>
    <row r="204" spans="1:10" x14ac:dyDescent="0.25">
      <c r="A204" s="165">
        <f t="shared" si="6"/>
        <v>9</v>
      </c>
      <c r="B204" s="304" t="s">
        <v>654</v>
      </c>
      <c r="D204" s="266"/>
      <c r="E204" s="266"/>
      <c r="F204" s="266"/>
      <c r="G204" s="227">
        <v>0</v>
      </c>
      <c r="H204" s="266"/>
      <c r="I204" s="175" t="s">
        <v>655</v>
      </c>
      <c r="J204" s="165">
        <f t="shared" si="7"/>
        <v>9</v>
      </c>
    </row>
    <row r="205" spans="1:10" x14ac:dyDescent="0.25">
      <c r="A205" s="165">
        <f t="shared" si="6"/>
        <v>10</v>
      </c>
      <c r="B205" s="304" t="s">
        <v>613</v>
      </c>
      <c r="D205" s="266"/>
      <c r="E205" s="266"/>
      <c r="F205" s="266"/>
      <c r="G205" s="258" t="str">
        <f>G126</f>
        <v>21%</v>
      </c>
      <c r="H205" s="266"/>
      <c r="I205" s="175" t="s">
        <v>656</v>
      </c>
      <c r="J205" s="165">
        <f t="shared" si="7"/>
        <v>10</v>
      </c>
    </row>
    <row r="206" spans="1:10" x14ac:dyDescent="0.25">
      <c r="A206" s="165">
        <f t="shared" si="6"/>
        <v>11</v>
      </c>
      <c r="G206" s="165"/>
      <c r="H206" s="165"/>
      <c r="J206" s="165">
        <f t="shared" si="7"/>
        <v>11</v>
      </c>
    </row>
    <row r="207" spans="1:10" x14ac:dyDescent="0.25">
      <c r="A207" s="165">
        <f t="shared" si="6"/>
        <v>12</v>
      </c>
      <c r="B207" s="304" t="s">
        <v>657</v>
      </c>
      <c r="D207" s="266"/>
      <c r="E207" s="266"/>
      <c r="F207" s="266"/>
      <c r="G207" s="234">
        <f>IFERROR((((G201)+(G203/G204))*G205-(G202/G204))/(1-G205),0)</f>
        <v>0</v>
      </c>
      <c r="H207" s="234"/>
      <c r="I207" s="175" t="s">
        <v>658</v>
      </c>
      <c r="J207" s="165">
        <f t="shared" si="7"/>
        <v>12</v>
      </c>
    </row>
    <row r="208" spans="1:10" x14ac:dyDescent="0.25">
      <c r="A208" s="165">
        <f t="shared" si="6"/>
        <v>13</v>
      </c>
      <c r="B208" s="236" t="s">
        <v>618</v>
      </c>
      <c r="D208" s="236"/>
      <c r="G208" s="216"/>
      <c r="H208" s="216"/>
      <c r="J208" s="165">
        <f t="shared" si="7"/>
        <v>13</v>
      </c>
    </row>
    <row r="209" spans="1:10" x14ac:dyDescent="0.25">
      <c r="A209" s="165">
        <f t="shared" si="6"/>
        <v>14</v>
      </c>
      <c r="G209" s="165"/>
      <c r="H209" s="165"/>
      <c r="J209" s="165">
        <f t="shared" si="7"/>
        <v>14</v>
      </c>
    </row>
    <row r="210" spans="1:10" x14ac:dyDescent="0.25">
      <c r="A210" s="165">
        <f t="shared" si="6"/>
        <v>15</v>
      </c>
      <c r="B210" s="169" t="s">
        <v>619</v>
      </c>
      <c r="C210" s="266"/>
      <c r="D210" s="266"/>
      <c r="E210" s="266"/>
      <c r="F210" s="266"/>
      <c r="G210" s="237"/>
      <c r="H210" s="237"/>
      <c r="I210" s="238"/>
      <c r="J210" s="165">
        <f t="shared" si="7"/>
        <v>15</v>
      </c>
    </row>
    <row r="211" spans="1:10" x14ac:dyDescent="0.25">
      <c r="A211" s="165">
        <f t="shared" si="6"/>
        <v>16</v>
      </c>
      <c r="B211" s="179"/>
      <c r="C211" s="266"/>
      <c r="D211" s="266"/>
      <c r="E211" s="266"/>
      <c r="F211" s="266"/>
      <c r="G211" s="237"/>
      <c r="H211" s="237"/>
      <c r="I211" s="225"/>
      <c r="J211" s="165">
        <f t="shared" si="7"/>
        <v>16</v>
      </c>
    </row>
    <row r="212" spans="1:10" x14ac:dyDescent="0.25">
      <c r="A212" s="165">
        <f t="shared" si="6"/>
        <v>17</v>
      </c>
      <c r="B212" s="170" t="s">
        <v>605</v>
      </c>
      <c r="C212" s="266"/>
      <c r="D212" s="266"/>
      <c r="E212" s="266"/>
      <c r="F212" s="266"/>
      <c r="G212" s="237"/>
      <c r="H212" s="237"/>
      <c r="I212" s="225"/>
      <c r="J212" s="165">
        <f t="shared" si="7"/>
        <v>17</v>
      </c>
    </row>
    <row r="213" spans="1:10" x14ac:dyDescent="0.25">
      <c r="A213" s="165">
        <f t="shared" si="6"/>
        <v>18</v>
      </c>
      <c r="B213" s="304" t="s">
        <v>606</v>
      </c>
      <c r="D213" s="266"/>
      <c r="E213" s="266"/>
      <c r="F213" s="266"/>
      <c r="G213" s="206">
        <f>G201</f>
        <v>0</v>
      </c>
      <c r="H213" s="206"/>
      <c r="I213" s="175" t="s">
        <v>620</v>
      </c>
      <c r="J213" s="165">
        <f t="shared" si="7"/>
        <v>18</v>
      </c>
    </row>
    <row r="214" spans="1:10" x14ac:dyDescent="0.25">
      <c r="A214" s="165">
        <f t="shared" si="6"/>
        <v>19</v>
      </c>
      <c r="B214" s="304" t="s">
        <v>621</v>
      </c>
      <c r="D214" s="266"/>
      <c r="E214" s="266"/>
      <c r="F214" s="266"/>
      <c r="G214" s="241">
        <f>G203</f>
        <v>0</v>
      </c>
      <c r="H214" s="241"/>
      <c r="I214" s="175" t="s">
        <v>622</v>
      </c>
      <c r="J214" s="165">
        <f t="shared" si="7"/>
        <v>19</v>
      </c>
    </row>
    <row r="215" spans="1:10" x14ac:dyDescent="0.25">
      <c r="A215" s="165">
        <f t="shared" si="6"/>
        <v>20</v>
      </c>
      <c r="B215" s="304" t="s">
        <v>659</v>
      </c>
      <c r="D215" s="266"/>
      <c r="E215" s="266"/>
      <c r="F215" s="266"/>
      <c r="G215" s="241">
        <f>G204</f>
        <v>0</v>
      </c>
      <c r="H215" s="241"/>
      <c r="I215" s="175" t="s">
        <v>624</v>
      </c>
      <c r="J215" s="165">
        <f t="shared" si="7"/>
        <v>20</v>
      </c>
    </row>
    <row r="216" spans="1:10" x14ac:dyDescent="0.25">
      <c r="A216" s="165">
        <f t="shared" si="6"/>
        <v>21</v>
      </c>
      <c r="B216" s="304" t="s">
        <v>625</v>
      </c>
      <c r="D216" s="266"/>
      <c r="E216" s="266"/>
      <c r="F216" s="266"/>
      <c r="G216" s="243">
        <f>G207</f>
        <v>0</v>
      </c>
      <c r="H216" s="243"/>
      <c r="I216" s="175" t="s">
        <v>626</v>
      </c>
      <c r="J216" s="165">
        <f t="shared" si="7"/>
        <v>21</v>
      </c>
    </row>
    <row r="217" spans="1:10" x14ac:dyDescent="0.25">
      <c r="A217" s="165">
        <f t="shared" si="6"/>
        <v>22</v>
      </c>
      <c r="B217" s="304" t="s">
        <v>627</v>
      </c>
      <c r="D217" s="266"/>
      <c r="E217" s="266"/>
      <c r="F217" s="266"/>
      <c r="G217" s="259" t="str">
        <f>G138</f>
        <v>8.84%</v>
      </c>
      <c r="H217" s="266"/>
      <c r="I217" s="175" t="s">
        <v>660</v>
      </c>
      <c r="J217" s="165">
        <f t="shared" si="7"/>
        <v>22</v>
      </c>
    </row>
    <row r="218" spans="1:10" x14ac:dyDescent="0.25">
      <c r="A218" s="165">
        <f t="shared" si="6"/>
        <v>23</v>
      </c>
      <c r="B218" s="513"/>
      <c r="D218" s="266"/>
      <c r="E218" s="266"/>
      <c r="F218" s="266"/>
      <c r="G218" s="244"/>
      <c r="H218" s="244"/>
      <c r="I218" s="240"/>
      <c r="J218" s="165">
        <f t="shared" si="7"/>
        <v>23</v>
      </c>
    </row>
    <row r="219" spans="1:10" x14ac:dyDescent="0.25">
      <c r="A219" s="165">
        <f t="shared" si="6"/>
        <v>24</v>
      </c>
      <c r="B219" s="304" t="s">
        <v>630</v>
      </c>
      <c r="C219" s="165"/>
      <c r="D219" s="165"/>
      <c r="E219" s="266"/>
      <c r="F219" s="266"/>
      <c r="G219" s="245">
        <f>IFERROR(((G213)+(G214/G215)+G207)*G217/(1-G217),0)</f>
        <v>0</v>
      </c>
      <c r="H219" s="246"/>
      <c r="I219" s="175" t="s">
        <v>631</v>
      </c>
      <c r="J219" s="165">
        <f t="shared" si="7"/>
        <v>24</v>
      </c>
    </row>
    <row r="220" spans="1:10" x14ac:dyDescent="0.25">
      <c r="A220" s="165">
        <f t="shared" si="6"/>
        <v>25</v>
      </c>
      <c r="B220" s="236" t="s">
        <v>632</v>
      </c>
      <c r="D220" s="236"/>
      <c r="G220" s="165"/>
      <c r="H220" s="165"/>
      <c r="I220" s="175"/>
      <c r="J220" s="165">
        <f t="shared" si="7"/>
        <v>25</v>
      </c>
    </row>
    <row r="221" spans="1:10" x14ac:dyDescent="0.25">
      <c r="A221" s="165">
        <f t="shared" si="6"/>
        <v>26</v>
      </c>
      <c r="G221" s="165"/>
      <c r="H221" s="165"/>
      <c r="I221" s="175"/>
      <c r="J221" s="165">
        <f t="shared" si="7"/>
        <v>26</v>
      </c>
    </row>
    <row r="222" spans="1:10" x14ac:dyDescent="0.25">
      <c r="A222" s="165">
        <f t="shared" si="6"/>
        <v>27</v>
      </c>
      <c r="B222" s="169" t="s">
        <v>633</v>
      </c>
      <c r="G222" s="234">
        <f>G219+G207</f>
        <v>0</v>
      </c>
      <c r="H222" s="234"/>
      <c r="I222" s="175" t="s">
        <v>634</v>
      </c>
      <c r="J222" s="165">
        <f t="shared" si="7"/>
        <v>27</v>
      </c>
    </row>
    <row r="223" spans="1:10" x14ac:dyDescent="0.25">
      <c r="A223" s="165">
        <f t="shared" si="6"/>
        <v>28</v>
      </c>
      <c r="G223" s="165"/>
      <c r="H223" s="165"/>
      <c r="I223" s="175"/>
      <c r="J223" s="165">
        <f t="shared" si="7"/>
        <v>28</v>
      </c>
    </row>
    <row r="224" spans="1:10" x14ac:dyDescent="0.25">
      <c r="A224" s="165">
        <f t="shared" si="6"/>
        <v>29</v>
      </c>
      <c r="B224" s="169" t="s">
        <v>661</v>
      </c>
      <c r="G224" s="260">
        <f>G87</f>
        <v>1.7368511652018213E-2</v>
      </c>
      <c r="H224" s="266"/>
      <c r="I224" s="175" t="s">
        <v>662</v>
      </c>
      <c r="J224" s="165">
        <f t="shared" si="7"/>
        <v>29</v>
      </c>
    </row>
    <row r="225" spans="1:10" x14ac:dyDescent="0.25">
      <c r="A225" s="165">
        <f t="shared" si="6"/>
        <v>30</v>
      </c>
      <c r="G225" s="165"/>
      <c r="H225" s="165"/>
      <c r="I225" s="175"/>
      <c r="J225" s="165">
        <f t="shared" si="7"/>
        <v>30</v>
      </c>
    </row>
    <row r="226" spans="1:10" ht="19.5" thickBot="1" x14ac:dyDescent="0.3">
      <c r="A226" s="165">
        <f t="shared" si="6"/>
        <v>31</v>
      </c>
      <c r="B226" s="169" t="s">
        <v>663</v>
      </c>
      <c r="G226" s="261">
        <f>G222+G224</f>
        <v>1.7368511652018213E-2</v>
      </c>
      <c r="H226" s="262"/>
      <c r="I226" s="175" t="s">
        <v>638</v>
      </c>
      <c r="J226" s="165">
        <f t="shared" si="7"/>
        <v>31</v>
      </c>
    </row>
    <row r="227" spans="1:10" ht="17.25" thickTop="1" thickBot="1" x14ac:dyDescent="0.3">
      <c r="A227" s="203">
        <f t="shared" si="6"/>
        <v>32</v>
      </c>
      <c r="B227" s="219"/>
      <c r="C227" s="185"/>
      <c r="D227" s="185"/>
      <c r="E227" s="185"/>
      <c r="F227" s="185"/>
      <c r="G227" s="263"/>
      <c r="H227" s="263"/>
      <c r="I227" s="204"/>
      <c r="J227" s="203">
        <f t="shared" si="7"/>
        <v>32</v>
      </c>
    </row>
    <row r="228" spans="1:10" x14ac:dyDescent="0.25">
      <c r="A228" s="165">
        <f t="shared" si="6"/>
        <v>33</v>
      </c>
      <c r="B228" s="169"/>
      <c r="G228" s="262"/>
      <c r="H228" s="262"/>
      <c r="I228" s="175"/>
      <c r="J228" s="165">
        <f t="shared" si="7"/>
        <v>33</v>
      </c>
    </row>
    <row r="229" spans="1:10" ht="18.75" x14ac:dyDescent="0.25">
      <c r="A229" s="165">
        <f t="shared" si="6"/>
        <v>34</v>
      </c>
      <c r="B229" s="169" t="s">
        <v>639</v>
      </c>
      <c r="E229" s="266"/>
      <c r="F229" s="266"/>
      <c r="G229" s="223"/>
      <c r="H229" s="223"/>
      <c r="I229" s="175"/>
      <c r="J229" s="165">
        <f t="shared" si="7"/>
        <v>34</v>
      </c>
    </row>
    <row r="230" spans="1:10" x14ac:dyDescent="0.25">
      <c r="A230" s="165">
        <f t="shared" si="6"/>
        <v>35</v>
      </c>
      <c r="B230" s="224"/>
      <c r="E230" s="266"/>
      <c r="F230" s="266"/>
      <c r="G230" s="223"/>
      <c r="H230" s="223"/>
      <c r="I230" s="175"/>
      <c r="J230" s="165">
        <f t="shared" si="7"/>
        <v>35</v>
      </c>
    </row>
    <row r="231" spans="1:10" x14ac:dyDescent="0.25">
      <c r="A231" s="165">
        <f t="shared" si="6"/>
        <v>36</v>
      </c>
      <c r="B231" s="169" t="s">
        <v>604</v>
      </c>
      <c r="E231" s="266"/>
      <c r="F231" s="266"/>
      <c r="G231" s="223"/>
      <c r="H231" s="223"/>
      <c r="I231" s="175"/>
      <c r="J231" s="165">
        <f t="shared" si="7"/>
        <v>36</v>
      </c>
    </row>
    <row r="232" spans="1:10" x14ac:dyDescent="0.25">
      <c r="A232" s="165">
        <f t="shared" si="6"/>
        <v>37</v>
      </c>
      <c r="B232" s="266"/>
      <c r="C232" s="266"/>
      <c r="D232" s="266"/>
      <c r="E232" s="266"/>
      <c r="F232" s="266"/>
      <c r="G232" s="223"/>
      <c r="H232" s="223"/>
      <c r="I232" s="175"/>
      <c r="J232" s="165">
        <f t="shared" si="7"/>
        <v>37</v>
      </c>
    </row>
    <row r="233" spans="1:10" x14ac:dyDescent="0.25">
      <c r="A233" s="165">
        <f t="shared" si="6"/>
        <v>38</v>
      </c>
      <c r="B233" s="170" t="s">
        <v>605</v>
      </c>
      <c r="C233" s="266"/>
      <c r="D233" s="266"/>
      <c r="E233" s="266"/>
      <c r="F233" s="266"/>
      <c r="G233" s="223"/>
      <c r="H233" s="223"/>
      <c r="I233" s="225"/>
      <c r="J233" s="165">
        <f t="shared" si="7"/>
        <v>38</v>
      </c>
    </row>
    <row r="234" spans="1:10" x14ac:dyDescent="0.25">
      <c r="A234" s="165">
        <f t="shared" si="6"/>
        <v>39</v>
      </c>
      <c r="B234" s="304" t="s">
        <v>640</v>
      </c>
      <c r="D234" s="266"/>
      <c r="E234" s="266"/>
      <c r="F234" s="266"/>
      <c r="G234" s="226">
        <f>G102</f>
        <v>0</v>
      </c>
      <c r="H234" s="266"/>
      <c r="I234" s="175" t="s">
        <v>664</v>
      </c>
      <c r="J234" s="165">
        <f t="shared" si="7"/>
        <v>39</v>
      </c>
    </row>
    <row r="235" spans="1:10" x14ac:dyDescent="0.25">
      <c r="A235" s="165">
        <f t="shared" si="6"/>
        <v>40</v>
      </c>
      <c r="B235" s="304" t="s">
        <v>608</v>
      </c>
      <c r="D235" s="266"/>
      <c r="E235" s="266"/>
      <c r="F235" s="266"/>
      <c r="G235" s="251">
        <v>0</v>
      </c>
      <c r="H235" s="266"/>
      <c r="I235" s="175" t="s">
        <v>653</v>
      </c>
      <c r="J235" s="165">
        <f t="shared" si="7"/>
        <v>40</v>
      </c>
    </row>
    <row r="236" spans="1:10" x14ac:dyDescent="0.25">
      <c r="A236" s="165">
        <f t="shared" si="6"/>
        <v>41</v>
      </c>
      <c r="B236" s="304" t="s">
        <v>610</v>
      </c>
      <c r="D236" s="266"/>
      <c r="E236" s="266"/>
      <c r="F236" s="266"/>
      <c r="G236" s="228">
        <v>0</v>
      </c>
      <c r="H236" s="266"/>
      <c r="I236" s="218"/>
      <c r="J236" s="165">
        <f t="shared" si="7"/>
        <v>41</v>
      </c>
    </row>
    <row r="237" spans="1:10" x14ac:dyDescent="0.25">
      <c r="A237" s="165">
        <f t="shared" si="6"/>
        <v>42</v>
      </c>
      <c r="B237" s="304" t="s">
        <v>665</v>
      </c>
      <c r="D237" s="266"/>
      <c r="E237" s="266"/>
      <c r="F237" s="266"/>
      <c r="G237" s="227">
        <v>0</v>
      </c>
      <c r="H237" s="266"/>
      <c r="I237" s="175" t="s">
        <v>655</v>
      </c>
      <c r="J237" s="165">
        <f t="shared" si="7"/>
        <v>42</v>
      </c>
    </row>
    <row r="238" spans="1:10" x14ac:dyDescent="0.25">
      <c r="A238" s="165">
        <f t="shared" si="6"/>
        <v>43</v>
      </c>
      <c r="B238" s="304" t="s">
        <v>613</v>
      </c>
      <c r="D238" s="266"/>
      <c r="E238" s="266"/>
      <c r="F238" s="266"/>
      <c r="G238" s="258" t="str">
        <f>G159</f>
        <v>21%</v>
      </c>
      <c r="H238" s="266"/>
      <c r="I238" s="175" t="s">
        <v>656</v>
      </c>
      <c r="J238" s="165">
        <f t="shared" si="7"/>
        <v>43</v>
      </c>
    </row>
    <row r="239" spans="1:10" x14ac:dyDescent="0.25">
      <c r="A239" s="165">
        <f t="shared" si="6"/>
        <v>44</v>
      </c>
      <c r="G239" s="165"/>
      <c r="H239" s="165"/>
      <c r="J239" s="165">
        <f t="shared" si="7"/>
        <v>44</v>
      </c>
    </row>
    <row r="240" spans="1:10" x14ac:dyDescent="0.25">
      <c r="A240" s="165">
        <f t="shared" si="6"/>
        <v>45</v>
      </c>
      <c r="B240" s="304" t="s">
        <v>616</v>
      </c>
      <c r="D240" s="266"/>
      <c r="E240" s="266"/>
      <c r="F240" s="266"/>
      <c r="G240" s="234">
        <f>IFERROR((((G234)+(G236/G237))*G238-(G235/G237))/(1-G238),0)</f>
        <v>0</v>
      </c>
      <c r="H240" s="234"/>
      <c r="I240" s="175" t="s">
        <v>658</v>
      </c>
      <c r="J240" s="165">
        <f t="shared" si="7"/>
        <v>45</v>
      </c>
    </row>
    <row r="241" spans="1:10" x14ac:dyDescent="0.25">
      <c r="A241" s="165">
        <f t="shared" si="6"/>
        <v>46</v>
      </c>
      <c r="B241" s="236" t="s">
        <v>618</v>
      </c>
      <c r="D241" s="236"/>
      <c r="G241" s="216"/>
      <c r="H241" s="216"/>
      <c r="J241" s="165">
        <f t="shared" si="7"/>
        <v>46</v>
      </c>
    </row>
    <row r="242" spans="1:10" x14ac:dyDescent="0.25">
      <c r="A242" s="165">
        <f t="shared" si="6"/>
        <v>47</v>
      </c>
      <c r="G242" s="165"/>
      <c r="H242" s="165"/>
      <c r="J242" s="165">
        <f t="shared" si="7"/>
        <v>47</v>
      </c>
    </row>
    <row r="243" spans="1:10" x14ac:dyDescent="0.25">
      <c r="A243" s="165">
        <f t="shared" si="6"/>
        <v>48</v>
      </c>
      <c r="B243" s="169" t="s">
        <v>619</v>
      </c>
      <c r="C243" s="266"/>
      <c r="D243" s="266"/>
      <c r="E243" s="266"/>
      <c r="F243" s="266"/>
      <c r="G243" s="237"/>
      <c r="H243" s="237"/>
      <c r="I243" s="238"/>
      <c r="J243" s="165">
        <f t="shared" si="7"/>
        <v>48</v>
      </c>
    </row>
    <row r="244" spans="1:10" x14ac:dyDescent="0.25">
      <c r="A244" s="165">
        <f t="shared" si="6"/>
        <v>49</v>
      </c>
      <c r="B244" s="179"/>
      <c r="C244" s="266"/>
      <c r="D244" s="266"/>
      <c r="E244" s="266"/>
      <c r="F244" s="266"/>
      <c r="G244" s="237"/>
      <c r="H244" s="237"/>
      <c r="I244" s="225"/>
      <c r="J244" s="165">
        <f t="shared" si="7"/>
        <v>49</v>
      </c>
    </row>
    <row r="245" spans="1:10" x14ac:dyDescent="0.25">
      <c r="A245" s="165">
        <f t="shared" si="6"/>
        <v>50</v>
      </c>
      <c r="B245" s="170" t="s">
        <v>605</v>
      </c>
      <c r="C245" s="266"/>
      <c r="D245" s="266"/>
      <c r="E245" s="266"/>
      <c r="F245" s="266"/>
      <c r="G245" s="237"/>
      <c r="H245" s="237"/>
      <c r="I245" s="225"/>
      <c r="J245" s="165">
        <f t="shared" si="7"/>
        <v>50</v>
      </c>
    </row>
    <row r="246" spans="1:10" x14ac:dyDescent="0.25">
      <c r="A246" s="165">
        <f t="shared" si="6"/>
        <v>51</v>
      </c>
      <c r="B246" s="304" t="s">
        <v>640</v>
      </c>
      <c r="D246" s="266"/>
      <c r="E246" s="266"/>
      <c r="F246" s="266"/>
      <c r="G246" s="206">
        <f>G234</f>
        <v>0</v>
      </c>
      <c r="H246" s="206"/>
      <c r="I246" s="175" t="s">
        <v>642</v>
      </c>
      <c r="J246" s="165">
        <f t="shared" si="7"/>
        <v>51</v>
      </c>
    </row>
    <row r="247" spans="1:10" x14ac:dyDescent="0.25">
      <c r="A247" s="165">
        <f t="shared" si="6"/>
        <v>52</v>
      </c>
      <c r="B247" s="304" t="s">
        <v>621</v>
      </c>
      <c r="D247" s="266"/>
      <c r="E247" s="266"/>
      <c r="F247" s="266"/>
      <c r="G247" s="241">
        <f>G236</f>
        <v>0</v>
      </c>
      <c r="H247" s="241"/>
      <c r="I247" s="175" t="s">
        <v>643</v>
      </c>
      <c r="J247" s="165">
        <f t="shared" si="7"/>
        <v>52</v>
      </c>
    </row>
    <row r="248" spans="1:10" x14ac:dyDescent="0.25">
      <c r="A248" s="165">
        <f t="shared" si="6"/>
        <v>53</v>
      </c>
      <c r="B248" s="304" t="s">
        <v>666</v>
      </c>
      <c r="D248" s="266"/>
      <c r="E248" s="266"/>
      <c r="F248" s="266"/>
      <c r="G248" s="241">
        <f>G237</f>
        <v>0</v>
      </c>
      <c r="H248" s="241"/>
      <c r="I248" s="175" t="s">
        <v>644</v>
      </c>
      <c r="J248" s="165">
        <f t="shared" si="7"/>
        <v>53</v>
      </c>
    </row>
    <row r="249" spans="1:10" x14ac:dyDescent="0.25">
      <c r="A249" s="165">
        <f t="shared" si="6"/>
        <v>54</v>
      </c>
      <c r="B249" s="304" t="s">
        <v>625</v>
      </c>
      <c r="D249" s="266"/>
      <c r="E249" s="266"/>
      <c r="F249" s="266"/>
      <c r="G249" s="243">
        <f>G240</f>
        <v>0</v>
      </c>
      <c r="H249" s="243"/>
      <c r="I249" s="175" t="s">
        <v>645</v>
      </c>
      <c r="J249" s="165">
        <f t="shared" si="7"/>
        <v>54</v>
      </c>
    </row>
    <row r="250" spans="1:10" x14ac:dyDescent="0.25">
      <c r="A250" s="165">
        <f t="shared" si="6"/>
        <v>55</v>
      </c>
      <c r="B250" s="304" t="s">
        <v>627</v>
      </c>
      <c r="D250" s="266"/>
      <c r="E250" s="266"/>
      <c r="F250" s="266"/>
      <c r="G250" s="259" t="str">
        <f>G171</f>
        <v>8.84%</v>
      </c>
      <c r="H250" s="266"/>
      <c r="I250" s="175" t="s">
        <v>667</v>
      </c>
      <c r="J250" s="165">
        <f t="shared" si="7"/>
        <v>55</v>
      </c>
    </row>
    <row r="251" spans="1:10" x14ac:dyDescent="0.25">
      <c r="A251" s="165">
        <f t="shared" si="6"/>
        <v>56</v>
      </c>
      <c r="B251" s="513"/>
      <c r="D251" s="266"/>
      <c r="E251" s="266"/>
      <c r="F251" s="266"/>
      <c r="G251" s="244"/>
      <c r="H251" s="244"/>
      <c r="I251" s="240"/>
      <c r="J251" s="165">
        <f t="shared" si="7"/>
        <v>56</v>
      </c>
    </row>
    <row r="252" spans="1:10" x14ac:dyDescent="0.25">
      <c r="A252" s="165">
        <f t="shared" si="6"/>
        <v>57</v>
      </c>
      <c r="B252" s="304" t="s">
        <v>630</v>
      </c>
      <c r="C252" s="165"/>
      <c r="D252" s="165"/>
      <c r="E252" s="266"/>
      <c r="F252" s="266"/>
      <c r="G252" s="245">
        <f>IFERROR(((G246)+(G247/G248)+G240)*G250/(1-G250),0)</f>
        <v>0</v>
      </c>
      <c r="H252" s="246"/>
      <c r="I252" s="175" t="s">
        <v>631</v>
      </c>
      <c r="J252" s="165">
        <f t="shared" si="7"/>
        <v>57</v>
      </c>
    </row>
    <row r="253" spans="1:10" x14ac:dyDescent="0.25">
      <c r="A253" s="165">
        <f t="shared" si="6"/>
        <v>58</v>
      </c>
      <c r="B253" s="236" t="s">
        <v>632</v>
      </c>
      <c r="D253" s="236"/>
      <c r="G253" s="165"/>
      <c r="H253" s="165"/>
      <c r="I253" s="175"/>
      <c r="J253" s="165">
        <f t="shared" si="7"/>
        <v>58</v>
      </c>
    </row>
    <row r="254" spans="1:10" x14ac:dyDescent="0.25">
      <c r="A254" s="165">
        <f t="shared" si="6"/>
        <v>59</v>
      </c>
      <c r="G254" s="165"/>
      <c r="H254" s="165"/>
      <c r="I254" s="175"/>
      <c r="J254" s="165">
        <f t="shared" si="7"/>
        <v>59</v>
      </c>
    </row>
    <row r="255" spans="1:10" x14ac:dyDescent="0.25">
      <c r="A255" s="165">
        <f t="shared" si="6"/>
        <v>60</v>
      </c>
      <c r="B255" s="169" t="s">
        <v>633</v>
      </c>
      <c r="G255" s="234">
        <f>G252+G240</f>
        <v>0</v>
      </c>
      <c r="H255" s="234"/>
      <c r="I255" s="175" t="s">
        <v>646</v>
      </c>
      <c r="J255" s="165">
        <f t="shared" si="7"/>
        <v>60</v>
      </c>
    </row>
    <row r="256" spans="1:10" x14ac:dyDescent="0.25">
      <c r="A256" s="165">
        <f t="shared" si="6"/>
        <v>61</v>
      </c>
      <c r="G256" s="165"/>
      <c r="H256" s="165"/>
      <c r="I256" s="175"/>
      <c r="J256" s="165">
        <f t="shared" si="7"/>
        <v>61</v>
      </c>
    </row>
    <row r="257" spans="1:10" x14ac:dyDescent="0.25">
      <c r="A257" s="165">
        <f t="shared" si="6"/>
        <v>62</v>
      </c>
      <c r="B257" s="169" t="s">
        <v>647</v>
      </c>
      <c r="G257" s="260">
        <f>G100</f>
        <v>0</v>
      </c>
      <c r="H257" s="266"/>
      <c r="I257" s="175" t="s">
        <v>668</v>
      </c>
      <c r="J257" s="165">
        <f t="shared" si="7"/>
        <v>62</v>
      </c>
    </row>
    <row r="258" spans="1:10" x14ac:dyDescent="0.25">
      <c r="A258" s="165">
        <f t="shared" si="6"/>
        <v>63</v>
      </c>
      <c r="G258" s="165"/>
      <c r="H258" s="165"/>
      <c r="I258" s="175"/>
      <c r="J258" s="165">
        <f t="shared" si="7"/>
        <v>63</v>
      </c>
    </row>
    <row r="259" spans="1:10" ht="19.5" thickBot="1" x14ac:dyDescent="0.3">
      <c r="A259" s="165">
        <f t="shared" si="6"/>
        <v>64</v>
      </c>
      <c r="B259" s="169" t="s">
        <v>649</v>
      </c>
      <c r="G259" s="261">
        <f>G255+G257</f>
        <v>0</v>
      </c>
      <c r="H259" s="262"/>
      <c r="I259" s="175" t="s">
        <v>650</v>
      </c>
      <c r="J259" s="165">
        <f t="shared" si="7"/>
        <v>64</v>
      </c>
    </row>
    <row r="260" spans="1:10" ht="16.5" thickTop="1" x14ac:dyDescent="0.25">
      <c r="A260" s="171"/>
      <c r="B260" s="217"/>
      <c r="C260" s="217"/>
      <c r="D260" s="217"/>
      <c r="E260" s="217"/>
      <c r="F260" s="217"/>
      <c r="G260" s="217"/>
      <c r="H260" s="217"/>
      <c r="I260" s="264"/>
      <c r="J260" s="217"/>
    </row>
    <row r="261" spans="1:10" ht="18.75" x14ac:dyDescent="0.25">
      <c r="A261" s="182">
        <v>1</v>
      </c>
      <c r="B261" s="304" t="s">
        <v>669</v>
      </c>
      <c r="C261" s="217"/>
      <c r="D261" s="217"/>
      <c r="E261" s="217"/>
      <c r="F261" s="217"/>
      <c r="G261" s="217"/>
      <c r="H261" s="217"/>
      <c r="I261" s="264"/>
      <c r="J261" s="217"/>
    </row>
    <row r="262" spans="1:10" x14ac:dyDescent="0.25">
      <c r="A262" s="171"/>
      <c r="B262" s="217"/>
      <c r="C262" s="217"/>
      <c r="D262" s="217"/>
      <c r="E262" s="217"/>
      <c r="F262" s="217"/>
      <c r="G262" s="217"/>
      <c r="H262" s="217"/>
      <c r="I262" s="264"/>
      <c r="J262" s="217"/>
    </row>
    <row r="263" spans="1:10" ht="18.75" x14ac:dyDescent="0.25">
      <c r="A263" s="182"/>
    </row>
  </sheetData>
  <mergeCells count="20">
    <mergeCell ref="B190:I190"/>
    <mergeCell ref="B112:I112"/>
    <mergeCell ref="B187:I187"/>
    <mergeCell ref="B188:I188"/>
    <mergeCell ref="B191:I191"/>
    <mergeCell ref="B189:I189"/>
    <mergeCell ref="B3:I3"/>
    <mergeCell ref="B70:I70"/>
    <mergeCell ref="B71:I71"/>
    <mergeCell ref="B108:I108"/>
    <mergeCell ref="B109:I109"/>
    <mergeCell ref="B111:I111"/>
    <mergeCell ref="B4:I4"/>
    <mergeCell ref="B5:I5"/>
    <mergeCell ref="B6:I6"/>
    <mergeCell ref="B7:I7"/>
    <mergeCell ref="B72:I72"/>
    <mergeCell ref="B73:I73"/>
    <mergeCell ref="B74:I74"/>
    <mergeCell ref="B110:I110"/>
  </mergeCells>
  <printOptions horizontalCentered="1"/>
  <pageMargins left="0.25" right="0.25" top="0.5" bottom="0.5" header="0.35" footer="0.25"/>
  <pageSetup scale="55" orientation="portrait" horizontalDpi="200" verticalDpi="200" r:id="rId1"/>
  <headerFooter scaleWithDoc="0" alignWithMargins="0">
    <oddHeader>&amp;C&amp;"Times New Roman,Bold"&amp;7AS FILED STMT AH WITH COST ADJ. INCL. IN TO5 C5 (ER23-542)</oddHeader>
    <oddFooter>&amp;L&amp;A&amp;CPage 9.&amp;P&amp;R&amp;F</oddFooter>
  </headerFooter>
  <rowBreaks count="3" manualBreakCount="3">
    <brk id="68" max="9" man="1"/>
    <brk id="106" max="9" man="1"/>
    <brk id="185" max="9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4EF43-0A7B-41BD-98D2-733E50F09882}">
  <sheetPr>
    <pageSetUpPr fitToPage="1"/>
  </sheetPr>
  <dimension ref="A1:J70"/>
  <sheetViews>
    <sheetView zoomScale="80" zoomScaleNormal="80" workbookViewId="0"/>
  </sheetViews>
  <sheetFormatPr defaultColWidth="9.28515625" defaultRowHeight="15.75" x14ac:dyDescent="0.25"/>
  <cols>
    <col min="1" max="1" width="5.28515625" style="267" customWidth="1"/>
    <col min="2" max="2" width="12.5703125" style="189" customWidth="1"/>
    <col min="3" max="3" width="20" style="189" customWidth="1"/>
    <col min="4" max="8" width="21.5703125" style="189" customWidth="1"/>
    <col min="9" max="9" width="5.28515625" style="267" customWidth="1"/>
    <col min="10" max="10" width="13.5703125" style="189" customWidth="1"/>
    <col min="11" max="11" width="12.5703125" style="189" customWidth="1"/>
    <col min="12" max="16384" width="9.28515625" style="189"/>
  </cols>
  <sheetData>
    <row r="1" spans="1:10" x14ac:dyDescent="0.25">
      <c r="D1" s="268"/>
    </row>
    <row r="2" spans="1:10" x14ac:dyDescent="0.25">
      <c r="B2" s="585" t="s">
        <v>206</v>
      </c>
      <c r="C2" s="585"/>
      <c r="D2" s="585"/>
      <c r="E2" s="585"/>
      <c r="F2" s="585"/>
      <c r="G2" s="585"/>
      <c r="H2" s="585"/>
      <c r="I2" s="269"/>
    </row>
    <row r="3" spans="1:10" x14ac:dyDescent="0.25">
      <c r="B3" s="586" t="s">
        <v>733</v>
      </c>
      <c r="C3" s="586"/>
      <c r="D3" s="586"/>
      <c r="E3" s="586"/>
      <c r="F3" s="586"/>
      <c r="G3" s="586"/>
      <c r="H3" s="586"/>
      <c r="I3" s="269"/>
    </row>
    <row r="4" spans="1:10" x14ac:dyDescent="0.25">
      <c r="B4" s="586" t="s">
        <v>672</v>
      </c>
      <c r="C4" s="586"/>
      <c r="D4" s="586"/>
      <c r="E4" s="586"/>
      <c r="F4" s="586"/>
      <c r="G4" s="586"/>
      <c r="H4" s="586"/>
      <c r="I4" s="269"/>
    </row>
    <row r="5" spans="1:10" x14ac:dyDescent="0.25">
      <c r="B5" s="587" t="s">
        <v>2</v>
      </c>
      <c r="C5" s="587"/>
      <c r="D5" s="587"/>
      <c r="E5" s="587"/>
      <c r="F5" s="587"/>
      <c r="G5" s="587"/>
      <c r="H5" s="587"/>
      <c r="I5" s="269"/>
    </row>
    <row r="6" spans="1:10" x14ac:dyDescent="0.25">
      <c r="A6" s="269"/>
      <c r="B6" s="269"/>
      <c r="C6" s="269"/>
      <c r="D6" s="269"/>
      <c r="E6" s="269"/>
      <c r="F6" s="269"/>
      <c r="G6" s="269"/>
      <c r="H6" s="269"/>
      <c r="I6" s="269"/>
    </row>
    <row r="7" spans="1:10" x14ac:dyDescent="0.25">
      <c r="A7" s="165" t="s">
        <v>3</v>
      </c>
      <c r="B7" s="179"/>
      <c r="I7" s="165" t="s">
        <v>3</v>
      </c>
    </row>
    <row r="8" spans="1:10" x14ac:dyDescent="0.25">
      <c r="A8" s="167" t="s">
        <v>7</v>
      </c>
      <c r="B8" s="179"/>
      <c r="I8" s="167" t="s">
        <v>7</v>
      </c>
    </row>
    <row r="9" spans="1:10" x14ac:dyDescent="0.25">
      <c r="A9" s="165">
        <v>1</v>
      </c>
      <c r="C9" s="270" t="s">
        <v>673</v>
      </c>
      <c r="D9" s="270" t="s">
        <v>674</v>
      </c>
      <c r="E9" s="270" t="s">
        <v>675</v>
      </c>
      <c r="F9" s="270" t="s">
        <v>676</v>
      </c>
      <c r="G9" s="270" t="s">
        <v>677</v>
      </c>
      <c r="H9" s="270" t="s">
        <v>678</v>
      </c>
      <c r="I9" s="165">
        <v>1</v>
      </c>
    </row>
    <row r="10" spans="1:10" x14ac:dyDescent="0.25">
      <c r="A10" s="165">
        <f t="shared" ref="A10:A25" si="0">A9+1</f>
        <v>2</v>
      </c>
      <c r="B10" s="271" t="s">
        <v>679</v>
      </c>
      <c r="C10" s="165"/>
      <c r="D10" s="183" t="s">
        <v>680</v>
      </c>
      <c r="E10" s="165"/>
      <c r="F10" s="165" t="s">
        <v>681</v>
      </c>
      <c r="G10" s="165" t="s">
        <v>682</v>
      </c>
      <c r="H10" s="183" t="s">
        <v>683</v>
      </c>
      <c r="I10" s="165">
        <f t="shared" ref="I10:I25" si="1">I9+1</f>
        <v>2</v>
      </c>
    </row>
    <row r="11" spans="1:10" x14ac:dyDescent="0.25">
      <c r="A11" s="165">
        <f t="shared" si="0"/>
        <v>3</v>
      </c>
      <c r="C11" s="270"/>
      <c r="F11" s="266" t="s">
        <v>684</v>
      </c>
      <c r="H11" s="266" t="s">
        <v>684</v>
      </c>
      <c r="I11" s="165">
        <f t="shared" si="1"/>
        <v>3</v>
      </c>
    </row>
    <row r="12" spans="1:10" x14ac:dyDescent="0.25">
      <c r="A12" s="165">
        <f t="shared" si="0"/>
        <v>4</v>
      </c>
      <c r="C12" s="270"/>
      <c r="D12" s="266" t="s">
        <v>685</v>
      </c>
      <c r="E12" s="266"/>
      <c r="F12" s="266" t="s">
        <v>686</v>
      </c>
      <c r="H12" s="266" t="s">
        <v>686</v>
      </c>
      <c r="I12" s="165">
        <f t="shared" si="1"/>
        <v>4</v>
      </c>
    </row>
    <row r="13" spans="1:10" x14ac:dyDescent="0.25">
      <c r="A13" s="165">
        <f t="shared" si="0"/>
        <v>5</v>
      </c>
      <c r="C13" s="266"/>
      <c r="D13" s="266" t="s">
        <v>686</v>
      </c>
      <c r="E13" s="266" t="s">
        <v>685</v>
      </c>
      <c r="F13" s="266" t="s">
        <v>687</v>
      </c>
      <c r="H13" s="266" t="s">
        <v>687</v>
      </c>
      <c r="I13" s="165">
        <f t="shared" si="1"/>
        <v>5</v>
      </c>
    </row>
    <row r="14" spans="1:10" x14ac:dyDescent="0.25">
      <c r="A14" s="165">
        <f t="shared" si="0"/>
        <v>6</v>
      </c>
      <c r="C14" s="266"/>
      <c r="D14" s="266" t="s">
        <v>687</v>
      </c>
      <c r="E14" s="266" t="s">
        <v>688</v>
      </c>
      <c r="F14" s="266" t="s">
        <v>689</v>
      </c>
      <c r="G14" s="266"/>
      <c r="H14" s="266" t="s">
        <v>689</v>
      </c>
      <c r="I14" s="165">
        <f t="shared" si="1"/>
        <v>6</v>
      </c>
    </row>
    <row r="15" spans="1:10" ht="18.75" x14ac:dyDescent="0.25">
      <c r="A15" s="165">
        <f t="shared" si="0"/>
        <v>7</v>
      </c>
      <c r="B15" s="272" t="s">
        <v>296</v>
      </c>
      <c r="C15" s="272" t="s">
        <v>690</v>
      </c>
      <c r="D15" s="184" t="s">
        <v>689</v>
      </c>
      <c r="E15" s="184" t="s">
        <v>691</v>
      </c>
      <c r="F15" s="184" t="s">
        <v>692</v>
      </c>
      <c r="G15" s="273" t="s">
        <v>688</v>
      </c>
      <c r="H15" s="184" t="s">
        <v>693</v>
      </c>
      <c r="I15" s="165">
        <f t="shared" si="1"/>
        <v>7</v>
      </c>
    </row>
    <row r="16" spans="1:10" x14ac:dyDescent="0.25">
      <c r="A16" s="165">
        <f t="shared" si="0"/>
        <v>8</v>
      </c>
      <c r="B16" s="274" t="s">
        <v>694</v>
      </c>
      <c r="C16" s="284">
        <f>2020</f>
        <v>2020</v>
      </c>
      <c r="D16" s="275">
        <f>'Pg2 BK-1 Comparison'!J94/12</f>
        <v>262.621977919247</v>
      </c>
      <c r="E16" s="276">
        <v>4.1999999999999997E-3</v>
      </c>
      <c r="F16" s="301">
        <f>+D16</f>
        <v>262.621977919247</v>
      </c>
      <c r="G16" s="300">
        <f>(D16/2)*E16</f>
        <v>0.55150615363041866</v>
      </c>
      <c r="H16" s="302">
        <f t="shared" ref="H16:H31" si="2">F16+G16</f>
        <v>263.17348407287744</v>
      </c>
      <c r="I16" s="165">
        <f t="shared" si="1"/>
        <v>8</v>
      </c>
      <c r="J16" s="285"/>
    </row>
    <row r="17" spans="1:10" x14ac:dyDescent="0.25">
      <c r="A17" s="165">
        <f t="shared" si="0"/>
        <v>9</v>
      </c>
      <c r="B17" s="274" t="s">
        <v>695</v>
      </c>
      <c r="C17" s="284">
        <f>C16</f>
        <v>2020</v>
      </c>
      <c r="D17" s="278">
        <f>D16</f>
        <v>262.621977919247</v>
      </c>
      <c r="E17" s="276">
        <v>3.8999999999999998E-3</v>
      </c>
      <c r="F17" s="288">
        <f t="shared" ref="F17:F56" si="3">H16+D17</f>
        <v>525.7954619921245</v>
      </c>
      <c r="G17" s="277">
        <f>(H16+F17)/2*E17</f>
        <v>1.5384894448267539</v>
      </c>
      <c r="H17" s="289">
        <f t="shared" si="2"/>
        <v>527.33395143695122</v>
      </c>
      <c r="I17" s="165">
        <f t="shared" si="1"/>
        <v>9</v>
      </c>
      <c r="J17" s="285"/>
    </row>
    <row r="18" spans="1:10" x14ac:dyDescent="0.25">
      <c r="A18" s="165">
        <f t="shared" si="0"/>
        <v>10</v>
      </c>
      <c r="B18" s="274" t="s">
        <v>696</v>
      </c>
      <c r="C18" s="284">
        <f t="shared" ref="C18:D26" si="4">C17</f>
        <v>2020</v>
      </c>
      <c r="D18" s="278">
        <f t="shared" si="4"/>
        <v>262.621977919247</v>
      </c>
      <c r="E18" s="276">
        <v>4.1999999999999997E-3</v>
      </c>
      <c r="F18" s="288">
        <f t="shared" si="3"/>
        <v>789.95592935619823</v>
      </c>
      <c r="G18" s="277">
        <f t="shared" ref="G18:G32" si="5">(H17+F18)/2*E18</f>
        <v>2.7663087496656136</v>
      </c>
      <c r="H18" s="289">
        <f t="shared" si="2"/>
        <v>792.72223810586388</v>
      </c>
      <c r="I18" s="165">
        <f t="shared" si="1"/>
        <v>10</v>
      </c>
      <c r="J18" s="285"/>
    </row>
    <row r="19" spans="1:10" x14ac:dyDescent="0.25">
      <c r="A19" s="165">
        <f t="shared" si="0"/>
        <v>11</v>
      </c>
      <c r="B19" s="274" t="s">
        <v>697</v>
      </c>
      <c r="C19" s="284">
        <f t="shared" si="4"/>
        <v>2020</v>
      </c>
      <c r="D19" s="278">
        <f t="shared" si="4"/>
        <v>262.621977919247</v>
      </c>
      <c r="E19" s="276">
        <v>3.8999999999999998E-3</v>
      </c>
      <c r="F19" s="288">
        <f t="shared" si="3"/>
        <v>1055.3442160251109</v>
      </c>
      <c r="G19" s="277">
        <f t="shared" si="5"/>
        <v>3.6037295855554006</v>
      </c>
      <c r="H19" s="289">
        <f t="shared" si="2"/>
        <v>1058.9479456106662</v>
      </c>
      <c r="I19" s="165">
        <f t="shared" si="1"/>
        <v>11</v>
      </c>
      <c r="J19" s="285"/>
    </row>
    <row r="20" spans="1:10" x14ac:dyDescent="0.25">
      <c r="A20" s="165">
        <f t="shared" si="0"/>
        <v>12</v>
      </c>
      <c r="B20" s="274" t="s">
        <v>698</v>
      </c>
      <c r="C20" s="284">
        <f t="shared" si="4"/>
        <v>2020</v>
      </c>
      <c r="D20" s="278">
        <f t="shared" si="4"/>
        <v>262.621977919247</v>
      </c>
      <c r="E20" s="276">
        <v>4.0000000000000001E-3</v>
      </c>
      <c r="F20" s="288">
        <f t="shared" si="3"/>
        <v>1321.5699235299132</v>
      </c>
      <c r="G20" s="277">
        <f t="shared" si="5"/>
        <v>4.7610357382811594</v>
      </c>
      <c r="H20" s="289">
        <f t="shared" si="2"/>
        <v>1326.3309592681944</v>
      </c>
      <c r="I20" s="165">
        <f t="shared" si="1"/>
        <v>12</v>
      </c>
      <c r="J20" s="285"/>
    </row>
    <row r="21" spans="1:10" x14ac:dyDescent="0.25">
      <c r="A21" s="165">
        <f t="shared" si="0"/>
        <v>13</v>
      </c>
      <c r="B21" s="274" t="s">
        <v>699</v>
      </c>
      <c r="C21" s="284">
        <f t="shared" si="4"/>
        <v>2020</v>
      </c>
      <c r="D21" s="278">
        <f t="shared" si="4"/>
        <v>262.621977919247</v>
      </c>
      <c r="E21" s="276">
        <v>3.8999999999999998E-3</v>
      </c>
      <c r="F21" s="288">
        <f t="shared" si="3"/>
        <v>1588.9529371874414</v>
      </c>
      <c r="G21" s="277">
        <f t="shared" si="5"/>
        <v>5.6848035980884895</v>
      </c>
      <c r="H21" s="289">
        <f t="shared" si="2"/>
        <v>1594.63774078553</v>
      </c>
      <c r="I21" s="165">
        <f t="shared" si="1"/>
        <v>13</v>
      </c>
      <c r="J21" s="285"/>
    </row>
    <row r="22" spans="1:10" x14ac:dyDescent="0.25">
      <c r="A22" s="165">
        <f t="shared" si="0"/>
        <v>14</v>
      </c>
      <c r="B22" s="274" t="s">
        <v>700</v>
      </c>
      <c r="C22" s="284">
        <f t="shared" si="4"/>
        <v>2020</v>
      </c>
      <c r="D22" s="278">
        <f t="shared" si="4"/>
        <v>262.621977919247</v>
      </c>
      <c r="E22" s="276">
        <v>2.8999999999999998E-3</v>
      </c>
      <c r="F22" s="288">
        <f t="shared" si="3"/>
        <v>1857.259718704777</v>
      </c>
      <c r="G22" s="277">
        <f t="shared" si="5"/>
        <v>5.0052513162609449</v>
      </c>
      <c r="H22" s="289">
        <f t="shared" si="2"/>
        <v>1862.2649700210379</v>
      </c>
      <c r="I22" s="165">
        <f t="shared" si="1"/>
        <v>14</v>
      </c>
      <c r="J22" s="285"/>
    </row>
    <row r="23" spans="1:10" x14ac:dyDescent="0.25">
      <c r="A23" s="165">
        <f t="shared" si="0"/>
        <v>15</v>
      </c>
      <c r="B23" s="274" t="s">
        <v>701</v>
      </c>
      <c r="C23" s="284">
        <f t="shared" si="4"/>
        <v>2020</v>
      </c>
      <c r="D23" s="278">
        <f t="shared" si="4"/>
        <v>262.621977919247</v>
      </c>
      <c r="E23" s="276">
        <v>2.8999999999999998E-3</v>
      </c>
      <c r="F23" s="288">
        <f t="shared" si="3"/>
        <v>2124.8869479402847</v>
      </c>
      <c r="G23" s="277">
        <f t="shared" si="5"/>
        <v>5.7813702810439169</v>
      </c>
      <c r="H23" s="289">
        <f t="shared" si="2"/>
        <v>2130.6683182213287</v>
      </c>
      <c r="I23" s="165">
        <f t="shared" si="1"/>
        <v>15</v>
      </c>
      <c r="J23" s="285"/>
    </row>
    <row r="24" spans="1:10" x14ac:dyDescent="0.25">
      <c r="A24" s="165">
        <f t="shared" si="0"/>
        <v>16</v>
      </c>
      <c r="B24" s="274" t="s">
        <v>702</v>
      </c>
      <c r="C24" s="284">
        <f t="shared" si="4"/>
        <v>2020</v>
      </c>
      <c r="D24" s="278">
        <f t="shared" si="4"/>
        <v>262.621977919247</v>
      </c>
      <c r="E24" s="276">
        <v>2.8E-3</v>
      </c>
      <c r="F24" s="288">
        <f t="shared" si="3"/>
        <v>2393.2902961405757</v>
      </c>
      <c r="G24" s="277">
        <f t="shared" si="5"/>
        <v>6.3335420601066659</v>
      </c>
      <c r="H24" s="289">
        <f t="shared" si="2"/>
        <v>2399.6238382006823</v>
      </c>
      <c r="I24" s="165">
        <f t="shared" si="1"/>
        <v>16</v>
      </c>
      <c r="J24" s="285"/>
    </row>
    <row r="25" spans="1:10" x14ac:dyDescent="0.25">
      <c r="A25" s="165">
        <f t="shared" si="0"/>
        <v>17</v>
      </c>
      <c r="B25" s="274" t="s">
        <v>703</v>
      </c>
      <c r="C25" s="284">
        <f t="shared" si="4"/>
        <v>2020</v>
      </c>
      <c r="D25" s="278">
        <f t="shared" si="4"/>
        <v>262.621977919247</v>
      </c>
      <c r="E25" s="276">
        <v>2.8E-3</v>
      </c>
      <c r="F25" s="288">
        <f t="shared" si="3"/>
        <v>2662.2458161199293</v>
      </c>
      <c r="G25" s="277">
        <f t="shared" si="5"/>
        <v>7.0866175160488565</v>
      </c>
      <c r="H25" s="289">
        <f t="shared" si="2"/>
        <v>2669.3324336359783</v>
      </c>
      <c r="I25" s="165">
        <f t="shared" si="1"/>
        <v>17</v>
      </c>
      <c r="J25" s="285"/>
    </row>
    <row r="26" spans="1:10" x14ac:dyDescent="0.25">
      <c r="A26" s="165">
        <f t="shared" ref="A26:A56" si="6">A25+1</f>
        <v>18</v>
      </c>
      <c r="B26" s="274" t="s">
        <v>704</v>
      </c>
      <c r="C26" s="284">
        <f t="shared" si="4"/>
        <v>2020</v>
      </c>
      <c r="D26" s="278">
        <f t="shared" si="4"/>
        <v>262.621977919247</v>
      </c>
      <c r="E26" s="276">
        <v>2.7000000000000001E-3</v>
      </c>
      <c r="F26" s="288">
        <f t="shared" si="3"/>
        <v>2931.9544115552253</v>
      </c>
      <c r="G26" s="277">
        <f t="shared" si="5"/>
        <v>7.5617372410081254</v>
      </c>
      <c r="H26" s="289">
        <f t="shared" si="2"/>
        <v>2939.5161487962332</v>
      </c>
      <c r="I26" s="165">
        <f t="shared" ref="I26:I56" si="7">I25+1</f>
        <v>18</v>
      </c>
      <c r="J26" s="285"/>
    </row>
    <row r="27" spans="1:10" x14ac:dyDescent="0.25">
      <c r="A27" s="165">
        <f t="shared" si="6"/>
        <v>19</v>
      </c>
      <c r="B27" s="279" t="s">
        <v>705</v>
      </c>
      <c r="C27" s="286">
        <f>C26</f>
        <v>2020</v>
      </c>
      <c r="D27" s="280">
        <f>D26</f>
        <v>262.621977919247</v>
      </c>
      <c r="E27" s="281">
        <v>2.8E-3</v>
      </c>
      <c r="F27" s="282">
        <f t="shared" si="3"/>
        <v>3202.1381267154802</v>
      </c>
      <c r="G27" s="283">
        <f t="shared" si="5"/>
        <v>8.5983159857163987</v>
      </c>
      <c r="H27" s="287">
        <f t="shared" si="2"/>
        <v>3210.7364427011967</v>
      </c>
      <c r="I27" s="165">
        <f t="shared" si="7"/>
        <v>19</v>
      </c>
      <c r="J27" s="285"/>
    </row>
    <row r="28" spans="1:10" x14ac:dyDescent="0.25">
      <c r="A28" s="165">
        <f t="shared" si="6"/>
        <v>20</v>
      </c>
      <c r="B28" s="274" t="s">
        <v>694</v>
      </c>
      <c r="C28" s="284">
        <f>C27+1</f>
        <v>2021</v>
      </c>
      <c r="D28" s="278"/>
      <c r="E28" s="276">
        <v>2.8E-3</v>
      </c>
      <c r="F28" s="288">
        <f t="shared" si="3"/>
        <v>3210.7364427011967</v>
      </c>
      <c r="G28" s="277">
        <f t="shared" si="5"/>
        <v>8.9900620395633499</v>
      </c>
      <c r="H28" s="289">
        <f t="shared" si="2"/>
        <v>3219.72650474076</v>
      </c>
      <c r="I28" s="165">
        <f t="shared" si="7"/>
        <v>20</v>
      </c>
      <c r="J28" s="285"/>
    </row>
    <row r="29" spans="1:10" x14ac:dyDescent="0.25">
      <c r="A29" s="165">
        <f t="shared" si="6"/>
        <v>21</v>
      </c>
      <c r="B29" s="274" t="s">
        <v>695</v>
      </c>
      <c r="C29" s="284">
        <f>C28</f>
        <v>2021</v>
      </c>
      <c r="D29" s="278"/>
      <c r="E29" s="276">
        <v>2.5000000000000001E-3</v>
      </c>
      <c r="F29" s="288">
        <f t="shared" si="3"/>
        <v>3219.72650474076</v>
      </c>
      <c r="G29" s="277">
        <f t="shared" si="5"/>
        <v>8.0493162618518994</v>
      </c>
      <c r="H29" s="289">
        <f t="shared" si="2"/>
        <v>3227.7758210026118</v>
      </c>
      <c r="I29" s="165">
        <f t="shared" si="7"/>
        <v>21</v>
      </c>
      <c r="J29" s="285"/>
    </row>
    <row r="30" spans="1:10" x14ac:dyDescent="0.25">
      <c r="A30" s="165">
        <f t="shared" si="6"/>
        <v>22</v>
      </c>
      <c r="B30" s="274" t="s">
        <v>696</v>
      </c>
      <c r="C30" s="284">
        <f t="shared" ref="C30:C38" si="8">C29</f>
        <v>2021</v>
      </c>
      <c r="D30" s="278"/>
      <c r="E30" s="276">
        <v>2.8E-3</v>
      </c>
      <c r="F30" s="288">
        <f t="shared" si="3"/>
        <v>3227.7758210026118</v>
      </c>
      <c r="G30" s="277">
        <f t="shared" si="5"/>
        <v>9.0377722988073135</v>
      </c>
      <c r="H30" s="289">
        <f t="shared" si="2"/>
        <v>3236.8135933014191</v>
      </c>
      <c r="I30" s="165">
        <f t="shared" si="7"/>
        <v>22</v>
      </c>
      <c r="J30" s="285"/>
    </row>
    <row r="31" spans="1:10" x14ac:dyDescent="0.25">
      <c r="A31" s="165">
        <f t="shared" si="6"/>
        <v>23</v>
      </c>
      <c r="B31" s="274" t="s">
        <v>697</v>
      </c>
      <c r="C31" s="284">
        <f t="shared" si="8"/>
        <v>2021</v>
      </c>
      <c r="D31" s="278"/>
      <c r="E31" s="276">
        <v>2.7000000000000001E-3</v>
      </c>
      <c r="F31" s="288">
        <f t="shared" si="3"/>
        <v>3236.8135933014191</v>
      </c>
      <c r="G31" s="277">
        <f t="shared" si="5"/>
        <v>8.739396701913833</v>
      </c>
      <c r="H31" s="289">
        <f t="shared" si="2"/>
        <v>3245.552990003333</v>
      </c>
      <c r="I31" s="165">
        <f t="shared" si="7"/>
        <v>23</v>
      </c>
      <c r="J31" s="285"/>
    </row>
    <row r="32" spans="1:10" x14ac:dyDescent="0.25">
      <c r="A32" s="165">
        <f t="shared" si="6"/>
        <v>24</v>
      </c>
      <c r="B32" s="274" t="s">
        <v>698</v>
      </c>
      <c r="C32" s="284">
        <f t="shared" si="8"/>
        <v>2021</v>
      </c>
      <c r="D32" s="278"/>
      <c r="E32" s="276">
        <v>2.8E-3</v>
      </c>
      <c r="F32" s="288">
        <f t="shared" si="3"/>
        <v>3245.552990003333</v>
      </c>
      <c r="G32" s="277">
        <f t="shared" si="5"/>
        <v>9.0875483720093317</v>
      </c>
      <c r="H32" s="289">
        <f t="shared" ref="H32:H56" si="9">F32+G32</f>
        <v>3254.6405383753422</v>
      </c>
      <c r="I32" s="165">
        <f t="shared" si="7"/>
        <v>24</v>
      </c>
      <c r="J32" s="285"/>
    </row>
    <row r="33" spans="1:10" x14ac:dyDescent="0.25">
      <c r="A33" s="165">
        <f t="shared" si="6"/>
        <v>25</v>
      </c>
      <c r="B33" s="274" t="s">
        <v>699</v>
      </c>
      <c r="C33" s="284">
        <f t="shared" si="8"/>
        <v>2021</v>
      </c>
      <c r="D33" s="278"/>
      <c r="E33" s="276">
        <v>2.7000000000000001E-3</v>
      </c>
      <c r="F33" s="288">
        <f t="shared" si="3"/>
        <v>3254.6405383753422</v>
      </c>
      <c r="G33" s="277">
        <f t="shared" ref="G33:G56" si="10">(H32+F33)/2*E33</f>
        <v>8.7875294536134252</v>
      </c>
      <c r="H33" s="289">
        <f t="shared" si="9"/>
        <v>3263.4280678289556</v>
      </c>
      <c r="I33" s="165">
        <f t="shared" si="7"/>
        <v>25</v>
      </c>
      <c r="J33" s="285"/>
    </row>
    <row r="34" spans="1:10" x14ac:dyDescent="0.25">
      <c r="A34" s="165">
        <f t="shared" si="6"/>
        <v>26</v>
      </c>
      <c r="B34" s="274" t="s">
        <v>700</v>
      </c>
      <c r="C34" s="284">
        <f t="shared" si="8"/>
        <v>2021</v>
      </c>
      <c r="D34" s="278"/>
      <c r="E34" s="276">
        <v>2.8E-3</v>
      </c>
      <c r="F34" s="288">
        <f t="shared" si="3"/>
        <v>3263.4280678289556</v>
      </c>
      <c r="G34" s="277">
        <f t="shared" si="10"/>
        <v>9.1375985899210761</v>
      </c>
      <c r="H34" s="289">
        <f t="shared" si="9"/>
        <v>3272.5656664188768</v>
      </c>
      <c r="I34" s="165">
        <f t="shared" si="7"/>
        <v>26</v>
      </c>
      <c r="J34" s="285"/>
    </row>
    <row r="35" spans="1:10" x14ac:dyDescent="0.25">
      <c r="A35" s="165">
        <f t="shared" si="6"/>
        <v>27</v>
      </c>
      <c r="B35" s="274" t="s">
        <v>701</v>
      </c>
      <c r="C35" s="284">
        <f t="shared" si="8"/>
        <v>2021</v>
      </c>
      <c r="D35" s="278"/>
      <c r="E35" s="276">
        <v>2.8E-3</v>
      </c>
      <c r="F35" s="288">
        <f t="shared" si="3"/>
        <v>3272.5656664188768</v>
      </c>
      <c r="G35" s="277">
        <f t="shared" si="10"/>
        <v>9.1631838659728544</v>
      </c>
      <c r="H35" s="289">
        <f t="shared" si="9"/>
        <v>3281.7288502848496</v>
      </c>
      <c r="I35" s="165">
        <f t="shared" si="7"/>
        <v>27</v>
      </c>
      <c r="J35" s="285"/>
    </row>
    <row r="36" spans="1:10" x14ac:dyDescent="0.25">
      <c r="A36" s="165">
        <f t="shared" si="6"/>
        <v>28</v>
      </c>
      <c r="B36" s="274" t="s">
        <v>702</v>
      </c>
      <c r="C36" s="284">
        <f t="shared" si="8"/>
        <v>2021</v>
      </c>
      <c r="D36" s="278"/>
      <c r="E36" s="276">
        <v>2.7000000000000001E-3</v>
      </c>
      <c r="F36" s="288">
        <f t="shared" si="3"/>
        <v>3281.7288502848496</v>
      </c>
      <c r="G36" s="277">
        <f t="shared" si="10"/>
        <v>8.8606678957690939</v>
      </c>
      <c r="H36" s="289">
        <f t="shared" si="9"/>
        <v>3290.5895181806186</v>
      </c>
      <c r="I36" s="165">
        <f t="shared" si="7"/>
        <v>28</v>
      </c>
      <c r="J36" s="285"/>
    </row>
    <row r="37" spans="1:10" x14ac:dyDescent="0.25">
      <c r="A37" s="165">
        <f t="shared" si="6"/>
        <v>29</v>
      </c>
      <c r="B37" s="274" t="s">
        <v>703</v>
      </c>
      <c r="C37" s="284">
        <f t="shared" si="8"/>
        <v>2021</v>
      </c>
      <c r="D37" s="278"/>
      <c r="E37" s="276">
        <v>2.8E-3</v>
      </c>
      <c r="F37" s="288">
        <f t="shared" si="3"/>
        <v>3290.5895181806186</v>
      </c>
      <c r="G37" s="277">
        <f t="shared" si="10"/>
        <v>9.2136506509057323</v>
      </c>
      <c r="H37" s="289">
        <f t="shared" si="9"/>
        <v>3299.8031688315245</v>
      </c>
      <c r="I37" s="165">
        <f t="shared" si="7"/>
        <v>29</v>
      </c>
      <c r="J37" s="285"/>
    </row>
    <row r="38" spans="1:10" x14ac:dyDescent="0.25">
      <c r="A38" s="165">
        <f t="shared" si="6"/>
        <v>30</v>
      </c>
      <c r="B38" s="274" t="s">
        <v>704</v>
      </c>
      <c r="C38" s="284">
        <f t="shared" si="8"/>
        <v>2021</v>
      </c>
      <c r="D38" s="278"/>
      <c r="E38" s="276">
        <v>2.7000000000000001E-3</v>
      </c>
      <c r="F38" s="288">
        <f t="shared" si="3"/>
        <v>3299.8031688315245</v>
      </c>
      <c r="G38" s="277">
        <f t="shared" si="10"/>
        <v>8.9094685558451161</v>
      </c>
      <c r="H38" s="289">
        <f t="shared" si="9"/>
        <v>3308.7126373873698</v>
      </c>
      <c r="I38" s="165">
        <f t="shared" si="7"/>
        <v>30</v>
      </c>
      <c r="J38" s="285"/>
    </row>
    <row r="39" spans="1:10" x14ac:dyDescent="0.25">
      <c r="A39" s="165">
        <f t="shared" si="6"/>
        <v>31</v>
      </c>
      <c r="B39" s="279" t="s">
        <v>705</v>
      </c>
      <c r="C39" s="286">
        <f>C38</f>
        <v>2021</v>
      </c>
      <c r="D39" s="280"/>
      <c r="E39" s="281">
        <v>2.8E-3</v>
      </c>
      <c r="F39" s="282">
        <f t="shared" si="3"/>
        <v>3308.7126373873698</v>
      </c>
      <c r="G39" s="283">
        <f t="shared" si="10"/>
        <v>9.2643953846846347</v>
      </c>
      <c r="H39" s="287">
        <f t="shared" si="9"/>
        <v>3317.9770327720544</v>
      </c>
      <c r="I39" s="165">
        <f t="shared" si="7"/>
        <v>31</v>
      </c>
      <c r="J39" s="285"/>
    </row>
    <row r="40" spans="1:10" x14ac:dyDescent="0.25">
      <c r="A40" s="165">
        <f t="shared" si="6"/>
        <v>32</v>
      </c>
      <c r="B40" s="274" t="s">
        <v>694</v>
      </c>
      <c r="C40" s="284">
        <v>2022</v>
      </c>
      <c r="D40" s="278"/>
      <c r="E40" s="276">
        <v>2.8E-3</v>
      </c>
      <c r="F40" s="288">
        <f t="shared" si="3"/>
        <v>3317.9770327720544</v>
      </c>
      <c r="G40" s="277">
        <f t="shared" si="10"/>
        <v>9.2903356917617526</v>
      </c>
      <c r="H40" s="289">
        <f t="shared" si="9"/>
        <v>3327.2673684638162</v>
      </c>
      <c r="I40" s="165">
        <f t="shared" si="7"/>
        <v>32</v>
      </c>
      <c r="J40" s="285"/>
    </row>
    <row r="41" spans="1:10" x14ac:dyDescent="0.25">
      <c r="A41" s="165">
        <f t="shared" si="6"/>
        <v>33</v>
      </c>
      <c r="B41" s="274" t="s">
        <v>695</v>
      </c>
      <c r="C41" s="284">
        <v>2022</v>
      </c>
      <c r="D41" s="278"/>
      <c r="E41" s="276">
        <v>2.5000000000000001E-3</v>
      </c>
      <c r="F41" s="288">
        <f t="shared" si="3"/>
        <v>3327.2673684638162</v>
      </c>
      <c r="G41" s="277">
        <f t="shared" si="10"/>
        <v>8.318168421159541</v>
      </c>
      <c r="H41" s="289">
        <f t="shared" si="9"/>
        <v>3335.5855368849757</v>
      </c>
      <c r="I41" s="165">
        <f t="shared" si="7"/>
        <v>33</v>
      </c>
      <c r="J41" s="285"/>
    </row>
    <row r="42" spans="1:10" x14ac:dyDescent="0.25">
      <c r="A42" s="165">
        <f t="shared" si="6"/>
        <v>34</v>
      </c>
      <c r="B42" s="274" t="s">
        <v>696</v>
      </c>
      <c r="C42" s="284">
        <v>2022</v>
      </c>
      <c r="D42" s="278"/>
      <c r="E42" s="276">
        <v>2.8E-3</v>
      </c>
      <c r="F42" s="288">
        <f t="shared" si="3"/>
        <v>3335.5855368849757</v>
      </c>
      <c r="G42" s="277">
        <f t="shared" si="10"/>
        <v>9.3396395032779314</v>
      </c>
      <c r="H42" s="289">
        <f t="shared" si="9"/>
        <v>3344.9251763882535</v>
      </c>
      <c r="I42" s="165">
        <f t="shared" si="7"/>
        <v>34</v>
      </c>
      <c r="J42" s="285"/>
    </row>
    <row r="43" spans="1:10" x14ac:dyDescent="0.25">
      <c r="A43" s="165">
        <f t="shared" si="6"/>
        <v>35</v>
      </c>
      <c r="B43" s="274" t="s">
        <v>697</v>
      </c>
      <c r="C43" s="284">
        <v>2022</v>
      </c>
      <c r="D43" s="278"/>
      <c r="E43" s="276">
        <v>2.7000000000000001E-3</v>
      </c>
      <c r="F43" s="288">
        <f t="shared" si="3"/>
        <v>3344.9251763882535</v>
      </c>
      <c r="G43" s="277">
        <f t="shared" si="10"/>
        <v>9.0312979762482843</v>
      </c>
      <c r="H43" s="289">
        <f t="shared" si="9"/>
        <v>3353.9564743645019</v>
      </c>
      <c r="I43" s="165">
        <f t="shared" si="7"/>
        <v>35</v>
      </c>
      <c r="J43" s="285"/>
    </row>
    <row r="44" spans="1:10" x14ac:dyDescent="0.25">
      <c r="A44" s="165">
        <f t="shared" si="6"/>
        <v>36</v>
      </c>
      <c r="B44" s="274" t="s">
        <v>698</v>
      </c>
      <c r="C44" s="284">
        <v>2022</v>
      </c>
      <c r="D44" s="278"/>
      <c r="E44" s="276">
        <v>2.8E-3</v>
      </c>
      <c r="F44" s="288">
        <f t="shared" si="3"/>
        <v>3353.9564743645019</v>
      </c>
      <c r="G44" s="277">
        <f t="shared" si="10"/>
        <v>9.3910781282206059</v>
      </c>
      <c r="H44" s="289">
        <f t="shared" si="9"/>
        <v>3363.3475524927226</v>
      </c>
      <c r="I44" s="165">
        <f t="shared" si="7"/>
        <v>36</v>
      </c>
      <c r="J44" s="285"/>
    </row>
    <row r="45" spans="1:10" x14ac:dyDescent="0.25">
      <c r="A45" s="165">
        <f t="shared" si="6"/>
        <v>37</v>
      </c>
      <c r="B45" s="274" t="s">
        <v>699</v>
      </c>
      <c r="C45" s="284">
        <v>2022</v>
      </c>
      <c r="D45" s="278"/>
      <c r="E45" s="276">
        <v>2.7000000000000001E-3</v>
      </c>
      <c r="F45" s="288">
        <f t="shared" si="3"/>
        <v>3363.3475524927226</v>
      </c>
      <c r="G45" s="277">
        <f t="shared" si="10"/>
        <v>9.0810383917303508</v>
      </c>
      <c r="H45" s="289">
        <f t="shared" si="9"/>
        <v>3372.4285908844531</v>
      </c>
      <c r="I45" s="165">
        <f t="shared" si="7"/>
        <v>37</v>
      </c>
      <c r="J45" s="285"/>
    </row>
    <row r="46" spans="1:10" x14ac:dyDescent="0.25">
      <c r="A46" s="165">
        <f t="shared" si="6"/>
        <v>38</v>
      </c>
      <c r="B46" s="274" t="s">
        <v>700</v>
      </c>
      <c r="C46" s="284">
        <v>2022</v>
      </c>
      <c r="D46" s="278"/>
      <c r="E46" s="276">
        <v>3.0999999999999999E-3</v>
      </c>
      <c r="F46" s="288">
        <f t="shared" si="3"/>
        <v>3372.4285908844531</v>
      </c>
      <c r="G46" s="277">
        <f t="shared" si="10"/>
        <v>10.454528631741804</v>
      </c>
      <c r="H46" s="289">
        <f t="shared" si="9"/>
        <v>3382.8831195161947</v>
      </c>
      <c r="I46" s="165">
        <f t="shared" si="7"/>
        <v>38</v>
      </c>
      <c r="J46" s="285"/>
    </row>
    <row r="47" spans="1:10" x14ac:dyDescent="0.25">
      <c r="A47" s="165">
        <f t="shared" si="6"/>
        <v>39</v>
      </c>
      <c r="B47" s="274" t="s">
        <v>701</v>
      </c>
      <c r="C47" s="284">
        <v>2022</v>
      </c>
      <c r="D47" s="278"/>
      <c r="E47" s="276">
        <v>3.0999999999999999E-3</v>
      </c>
      <c r="F47" s="288">
        <f t="shared" si="3"/>
        <v>3382.8831195161947</v>
      </c>
      <c r="G47" s="277">
        <f t="shared" si="10"/>
        <v>10.486937670500204</v>
      </c>
      <c r="H47" s="289">
        <f t="shared" si="9"/>
        <v>3393.3700571866948</v>
      </c>
      <c r="I47" s="165">
        <f t="shared" si="7"/>
        <v>39</v>
      </c>
      <c r="J47" s="285"/>
    </row>
    <row r="48" spans="1:10" x14ac:dyDescent="0.25">
      <c r="A48" s="165">
        <f t="shared" si="6"/>
        <v>40</v>
      </c>
      <c r="B48" s="274" t="s">
        <v>702</v>
      </c>
      <c r="C48" s="284">
        <v>2022</v>
      </c>
      <c r="D48" s="278"/>
      <c r="E48" s="276">
        <v>3.0000000000000001E-3</v>
      </c>
      <c r="F48" s="288">
        <f t="shared" si="3"/>
        <v>3393.3700571866948</v>
      </c>
      <c r="G48" s="277">
        <f t="shared" si="10"/>
        <v>10.180110171560084</v>
      </c>
      <c r="H48" s="289">
        <f t="shared" si="9"/>
        <v>3403.5501673582548</v>
      </c>
      <c r="I48" s="165">
        <f t="shared" si="7"/>
        <v>40</v>
      </c>
      <c r="J48" s="285"/>
    </row>
    <row r="49" spans="1:10" x14ac:dyDescent="0.25">
      <c r="A49" s="165">
        <f t="shared" si="6"/>
        <v>41</v>
      </c>
      <c r="B49" s="274" t="s">
        <v>703</v>
      </c>
      <c r="C49" s="284">
        <v>2022</v>
      </c>
      <c r="D49" s="278"/>
      <c r="E49" s="276">
        <v>4.1999999999999997E-3</v>
      </c>
      <c r="F49" s="288">
        <f t="shared" si="3"/>
        <v>3403.5501673582548</v>
      </c>
      <c r="G49" s="277">
        <f t="shared" si="10"/>
        <v>14.294910702904669</v>
      </c>
      <c r="H49" s="289">
        <f t="shared" si="9"/>
        <v>3417.8450780611597</v>
      </c>
      <c r="I49" s="165">
        <f t="shared" si="7"/>
        <v>41</v>
      </c>
      <c r="J49" s="285"/>
    </row>
    <row r="50" spans="1:10" x14ac:dyDescent="0.25">
      <c r="A50" s="165">
        <f t="shared" si="6"/>
        <v>42</v>
      </c>
      <c r="B50" s="274" t="s">
        <v>704</v>
      </c>
      <c r="C50" s="284">
        <v>2022</v>
      </c>
      <c r="D50" s="278"/>
      <c r="E50" s="276">
        <v>4.0000000000000001E-3</v>
      </c>
      <c r="F50" s="288">
        <f t="shared" si="3"/>
        <v>3417.8450780611597</v>
      </c>
      <c r="G50" s="277">
        <f t="shared" si="10"/>
        <v>13.67138031224464</v>
      </c>
      <c r="H50" s="289">
        <f t="shared" si="9"/>
        <v>3431.5164583734045</v>
      </c>
      <c r="I50" s="165">
        <f t="shared" si="7"/>
        <v>42</v>
      </c>
      <c r="J50" s="285"/>
    </row>
    <row r="51" spans="1:10" x14ac:dyDescent="0.25">
      <c r="A51" s="165">
        <f t="shared" si="6"/>
        <v>43</v>
      </c>
      <c r="B51" s="279" t="s">
        <v>705</v>
      </c>
      <c r="C51" s="286">
        <v>2022</v>
      </c>
      <c r="D51" s="280"/>
      <c r="E51" s="281">
        <v>4.1999999999999997E-3</v>
      </c>
      <c r="F51" s="282">
        <f t="shared" si="3"/>
        <v>3431.5164583734045</v>
      </c>
      <c r="G51" s="283">
        <f t="shared" si="10"/>
        <v>14.412369125168297</v>
      </c>
      <c r="H51" s="287">
        <f t="shared" si="9"/>
        <v>3445.9288274985729</v>
      </c>
      <c r="I51" s="165">
        <f t="shared" si="7"/>
        <v>43</v>
      </c>
      <c r="J51" s="285"/>
    </row>
    <row r="52" spans="1:10" x14ac:dyDescent="0.25">
      <c r="A52" s="165">
        <f t="shared" si="6"/>
        <v>44</v>
      </c>
      <c r="B52" s="274" t="s">
        <v>694</v>
      </c>
      <c r="C52" s="284">
        <v>2023</v>
      </c>
      <c r="D52" s="278"/>
      <c r="E52" s="276">
        <v>5.4000000000000003E-3</v>
      </c>
      <c r="F52" s="288">
        <f t="shared" si="3"/>
        <v>3445.9288274985729</v>
      </c>
      <c r="G52" s="277">
        <f t="shared" si="10"/>
        <v>18.608015668492296</v>
      </c>
      <c r="H52" s="289">
        <f t="shared" si="9"/>
        <v>3464.5368431670654</v>
      </c>
      <c r="I52" s="165">
        <f t="shared" si="7"/>
        <v>44</v>
      </c>
      <c r="J52" s="285"/>
    </row>
    <row r="53" spans="1:10" x14ac:dyDescent="0.25">
      <c r="A53" s="165">
        <f t="shared" si="6"/>
        <v>45</v>
      </c>
      <c r="B53" s="274" t="s">
        <v>695</v>
      </c>
      <c r="C53" s="284">
        <v>2023</v>
      </c>
      <c r="D53" s="278"/>
      <c r="E53" s="276">
        <v>4.7999999999999996E-3</v>
      </c>
      <c r="F53" s="288">
        <f t="shared" si="3"/>
        <v>3464.5368431670654</v>
      </c>
      <c r="G53" s="277">
        <f t="shared" si="10"/>
        <v>16.629776847201914</v>
      </c>
      <c r="H53" s="289">
        <f t="shared" si="9"/>
        <v>3481.1666200142672</v>
      </c>
      <c r="I53" s="165">
        <f t="shared" si="7"/>
        <v>45</v>
      </c>
      <c r="J53" s="285"/>
    </row>
    <row r="54" spans="1:10" x14ac:dyDescent="0.25">
      <c r="A54" s="165">
        <f t="shared" si="6"/>
        <v>46</v>
      </c>
      <c r="B54" s="274" t="s">
        <v>696</v>
      </c>
      <c r="C54" s="284">
        <v>2023</v>
      </c>
      <c r="D54" s="278"/>
      <c r="E54" s="276">
        <v>5.4000000000000003E-3</v>
      </c>
      <c r="F54" s="288">
        <f t="shared" si="3"/>
        <v>3481.1666200142672</v>
      </c>
      <c r="G54" s="277">
        <f t="shared" si="10"/>
        <v>18.798299748077042</v>
      </c>
      <c r="H54" s="289">
        <f t="shared" si="9"/>
        <v>3499.9649197623444</v>
      </c>
      <c r="I54" s="165">
        <f t="shared" si="7"/>
        <v>46</v>
      </c>
      <c r="J54" s="285"/>
    </row>
    <row r="55" spans="1:10" x14ac:dyDescent="0.25">
      <c r="A55" s="165">
        <f t="shared" si="6"/>
        <v>47</v>
      </c>
      <c r="B55" s="274" t="s">
        <v>697</v>
      </c>
      <c r="C55" s="284">
        <v>2023</v>
      </c>
      <c r="D55" s="278"/>
      <c r="E55" s="276">
        <v>6.1999999999999998E-3</v>
      </c>
      <c r="F55" s="288">
        <f t="shared" si="3"/>
        <v>3499.9649197623444</v>
      </c>
      <c r="G55" s="277">
        <f t="shared" si="10"/>
        <v>21.699782502526535</v>
      </c>
      <c r="H55" s="289">
        <f t="shared" si="9"/>
        <v>3521.6647022648708</v>
      </c>
      <c r="I55" s="165">
        <f t="shared" si="7"/>
        <v>47</v>
      </c>
      <c r="J55" s="285"/>
    </row>
    <row r="56" spans="1:10" x14ac:dyDescent="0.25">
      <c r="A56" s="165">
        <f t="shared" si="6"/>
        <v>48</v>
      </c>
      <c r="B56" s="274" t="s">
        <v>698</v>
      </c>
      <c r="C56" s="284">
        <v>2023</v>
      </c>
      <c r="D56" s="278"/>
      <c r="E56" s="276">
        <v>6.4000000000000003E-3</v>
      </c>
      <c r="F56" s="288">
        <f t="shared" si="3"/>
        <v>3521.6647022648708</v>
      </c>
      <c r="G56" s="277">
        <f t="shared" si="10"/>
        <v>22.538654094495175</v>
      </c>
      <c r="H56" s="289">
        <f t="shared" si="9"/>
        <v>3544.2033563593659</v>
      </c>
      <c r="I56" s="165">
        <f t="shared" si="7"/>
        <v>48</v>
      </c>
      <c r="J56" s="285"/>
    </row>
    <row r="57" spans="1:10" x14ac:dyDescent="0.25">
      <c r="A57" s="165">
        <f>A56+1</f>
        <v>49</v>
      </c>
      <c r="B57" s="274" t="s">
        <v>699</v>
      </c>
      <c r="C57" s="284">
        <v>2023</v>
      </c>
      <c r="D57" s="533"/>
      <c r="E57" s="276">
        <v>6.1999999999999998E-3</v>
      </c>
      <c r="F57" s="288">
        <f>H56+D57</f>
        <v>3544.2033563593659</v>
      </c>
      <c r="G57" s="534">
        <f>(H56+F57)/2*E57</f>
        <v>21.974060809428067</v>
      </c>
      <c r="H57" s="289">
        <f>F57+G57</f>
        <v>3566.1774171687939</v>
      </c>
      <c r="I57" s="165">
        <f>I56+1</f>
        <v>49</v>
      </c>
      <c r="J57" s="285"/>
    </row>
    <row r="58" spans="1:10" x14ac:dyDescent="0.25">
      <c r="A58" s="165">
        <f t="shared" ref="A58:A64" si="11">A57+1</f>
        <v>50</v>
      </c>
      <c r="B58" s="274" t="s">
        <v>700</v>
      </c>
      <c r="C58" s="284">
        <v>2023</v>
      </c>
      <c r="D58" s="278"/>
      <c r="E58" s="276">
        <v>6.7999999999999996E-3</v>
      </c>
      <c r="F58" s="288">
        <f t="shared" ref="F58:F63" si="12">H57+D58</f>
        <v>3566.1774171687939</v>
      </c>
      <c r="G58" s="534">
        <f t="shared" ref="G58:G63" si="13">(H57+F58)/2*E58</f>
        <v>24.250006436747796</v>
      </c>
      <c r="H58" s="289">
        <f t="shared" ref="H58:H63" si="14">F58+G58</f>
        <v>3590.4274236055417</v>
      </c>
      <c r="I58" s="165">
        <f t="shared" ref="I58:I64" si="15">I57+1</f>
        <v>50</v>
      </c>
      <c r="J58" s="285"/>
    </row>
    <row r="59" spans="1:10" x14ac:dyDescent="0.25">
      <c r="A59" s="165">
        <f t="shared" si="11"/>
        <v>51</v>
      </c>
      <c r="B59" s="274" t="s">
        <v>701</v>
      </c>
      <c r="C59" s="284">
        <v>2023</v>
      </c>
      <c r="D59" s="278"/>
      <c r="E59" s="276">
        <v>6.7999999999999996E-3</v>
      </c>
      <c r="F59" s="288">
        <f t="shared" si="12"/>
        <v>3590.4274236055417</v>
      </c>
      <c r="G59" s="534">
        <f t="shared" si="13"/>
        <v>24.414906480517683</v>
      </c>
      <c r="H59" s="289">
        <f t="shared" si="14"/>
        <v>3614.8423300860595</v>
      </c>
      <c r="I59" s="165">
        <f t="shared" si="15"/>
        <v>51</v>
      </c>
      <c r="J59" s="285"/>
    </row>
    <row r="60" spans="1:10" x14ac:dyDescent="0.25">
      <c r="A60" s="165">
        <f t="shared" si="11"/>
        <v>52</v>
      </c>
      <c r="B60" s="274" t="s">
        <v>702</v>
      </c>
      <c r="C60" s="284">
        <v>2023</v>
      </c>
      <c r="D60" s="278"/>
      <c r="E60" s="276">
        <v>6.6E-3</v>
      </c>
      <c r="F60" s="288">
        <f t="shared" si="12"/>
        <v>3614.8423300860595</v>
      </c>
      <c r="G60" s="534">
        <f t="shared" si="13"/>
        <v>23.857959378567994</v>
      </c>
      <c r="H60" s="289">
        <f t="shared" si="14"/>
        <v>3638.7002894646275</v>
      </c>
      <c r="I60" s="165">
        <f t="shared" si="15"/>
        <v>52</v>
      </c>
      <c r="J60" s="285"/>
    </row>
    <row r="61" spans="1:10" x14ac:dyDescent="0.25">
      <c r="A61" s="165">
        <f t="shared" si="11"/>
        <v>53</v>
      </c>
      <c r="B61" s="274" t="s">
        <v>703</v>
      </c>
      <c r="C61" s="284">
        <v>2023</v>
      </c>
      <c r="D61" s="278"/>
      <c r="E61" s="276">
        <v>7.1000000000000004E-3</v>
      </c>
      <c r="F61" s="288">
        <f t="shared" si="12"/>
        <v>3638.7002894646275</v>
      </c>
      <c r="G61" s="534">
        <f t="shared" si="13"/>
        <v>25.834772055198858</v>
      </c>
      <c r="H61" s="289">
        <f t="shared" si="14"/>
        <v>3664.5350615198263</v>
      </c>
      <c r="I61" s="165">
        <f t="shared" si="15"/>
        <v>53</v>
      </c>
      <c r="J61" s="285"/>
    </row>
    <row r="62" spans="1:10" x14ac:dyDescent="0.25">
      <c r="A62" s="165">
        <f t="shared" si="11"/>
        <v>54</v>
      </c>
      <c r="B62" s="274" t="s">
        <v>704</v>
      </c>
      <c r="C62" s="284">
        <v>2023</v>
      </c>
      <c r="D62" s="278"/>
      <c r="E62" s="276">
        <v>6.8999999999999999E-3</v>
      </c>
      <c r="F62" s="288">
        <f t="shared" si="12"/>
        <v>3664.5350615198263</v>
      </c>
      <c r="G62" s="534">
        <f t="shared" si="13"/>
        <v>25.285291924486803</v>
      </c>
      <c r="H62" s="289">
        <f t="shared" si="14"/>
        <v>3689.8203534443132</v>
      </c>
      <c r="I62" s="165">
        <f t="shared" si="15"/>
        <v>54</v>
      </c>
      <c r="J62" s="285"/>
    </row>
    <row r="63" spans="1:10" x14ac:dyDescent="0.25">
      <c r="A63" s="165">
        <f t="shared" si="11"/>
        <v>55</v>
      </c>
      <c r="B63" s="279" t="s">
        <v>705</v>
      </c>
      <c r="C63" s="286">
        <v>2023</v>
      </c>
      <c r="D63" s="535"/>
      <c r="E63" s="281">
        <v>7.1000000000000004E-3</v>
      </c>
      <c r="F63" s="282">
        <f t="shared" si="12"/>
        <v>3689.8203534443132</v>
      </c>
      <c r="G63" s="283">
        <f t="shared" si="13"/>
        <v>26.197724509454627</v>
      </c>
      <c r="H63" s="287">
        <f t="shared" si="14"/>
        <v>3716.0180779537677</v>
      </c>
      <c r="I63" s="165">
        <f t="shared" si="15"/>
        <v>55</v>
      </c>
    </row>
    <row r="64" spans="1:10" ht="16.5" thickBot="1" x14ac:dyDescent="0.3">
      <c r="A64" s="165">
        <f t="shared" si="11"/>
        <v>56</v>
      </c>
      <c r="D64" s="541">
        <f>SUM(D16:D63)</f>
        <v>3151.463735030964</v>
      </c>
      <c r="E64" s="290"/>
      <c r="F64" s="291"/>
      <c r="G64" s="303">
        <f>SUM(G16:G63)</f>
        <v>564.55434292280336</v>
      </c>
      <c r="H64" s="292"/>
      <c r="I64" s="165">
        <f t="shared" si="15"/>
        <v>56</v>
      </c>
    </row>
    <row r="65" spans="1:8" ht="16.5" thickTop="1" x14ac:dyDescent="0.25">
      <c r="D65" s="293"/>
      <c r="E65" s="293"/>
      <c r="F65" s="293"/>
      <c r="G65" s="294"/>
      <c r="H65" s="294"/>
    </row>
    <row r="66" spans="1:8" ht="18.75" x14ac:dyDescent="0.25">
      <c r="A66" s="295">
        <v>1</v>
      </c>
      <c r="B66" s="189" t="s">
        <v>706</v>
      </c>
      <c r="C66" s="296"/>
    </row>
    <row r="67" spans="1:8" ht="18.75" x14ac:dyDescent="0.25">
      <c r="A67" s="295">
        <v>2</v>
      </c>
      <c r="B67" s="189" t="s">
        <v>707</v>
      </c>
    </row>
    <row r="68" spans="1:8" ht="18.75" x14ac:dyDescent="0.25">
      <c r="A68" s="295">
        <v>3</v>
      </c>
      <c r="B68" s="189" t="s">
        <v>708</v>
      </c>
    </row>
    <row r="69" spans="1:8" x14ac:dyDescent="0.25">
      <c r="B69" s="189" t="s">
        <v>709</v>
      </c>
    </row>
    <row r="70" spans="1:8" x14ac:dyDescent="0.25">
      <c r="A70" s="552"/>
      <c r="B70" s="553" t="s">
        <v>728</v>
      </c>
      <c r="C70" s="553"/>
    </row>
  </sheetData>
  <mergeCells count="4">
    <mergeCell ref="B2:H2"/>
    <mergeCell ref="B3:H3"/>
    <mergeCell ref="B4:H4"/>
    <mergeCell ref="B5:H5"/>
  </mergeCells>
  <printOptions horizontalCentered="1"/>
  <pageMargins left="0.25" right="0.25" top="0.5" bottom="0.75" header="0.25" footer="0.25"/>
  <pageSetup scale="63" orientation="portrait" horizontalDpi="200" verticalDpi="200" r:id="rId1"/>
  <headerFooter scaleWithDoc="0" alignWithMargins="0">
    <oddFooter>&amp;L&amp;A&amp;CPage 10&amp;R&amp;F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8DF96-9B4F-4852-AFDB-C9F932A53DD3}">
  <sheetPr codeName="Sheet3"/>
  <dimension ref="A1:N232"/>
  <sheetViews>
    <sheetView topLeftCell="A13" zoomScale="80" zoomScaleNormal="80" workbookViewId="0">
      <selection activeCell="B43" sqref="B43"/>
    </sheetView>
  </sheetViews>
  <sheetFormatPr defaultColWidth="9.28515625" defaultRowHeight="15" x14ac:dyDescent="0.2"/>
  <cols>
    <col min="1" max="1" width="4.7109375" style="9" bestFit="1" customWidth="1"/>
    <col min="2" max="2" width="72.7109375" style="9" customWidth="1"/>
    <col min="3" max="3" width="1.7109375" style="9" customWidth="1"/>
    <col min="4" max="4" width="15.7109375" style="9" customWidth="1"/>
    <col min="5" max="5" width="1.7109375" style="9" customWidth="1"/>
    <col min="6" max="6" width="16" style="9" customWidth="1"/>
    <col min="7" max="7" width="1.7109375" style="9" customWidth="1"/>
    <col min="8" max="8" width="17.7109375" style="9" customWidth="1"/>
    <col min="9" max="9" width="1.5703125" style="9" customWidth="1"/>
    <col min="10" max="10" width="13.5703125" style="9" customWidth="1"/>
    <col min="11" max="11" width="33.7109375" style="9" customWidth="1"/>
    <col min="12" max="12" width="4.7109375" style="95" bestFit="1" customWidth="1"/>
    <col min="13" max="13" width="13.28515625" style="9" bestFit="1" customWidth="1"/>
    <col min="14" max="16384" width="9.28515625" style="9"/>
  </cols>
  <sheetData>
    <row r="1" spans="1:14" ht="15.7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2"/>
      <c r="L1" s="2"/>
    </row>
    <row r="2" spans="1:14" ht="15.75" x14ac:dyDescent="0.25">
      <c r="A2" s="2"/>
      <c r="B2" s="566" t="s">
        <v>0</v>
      </c>
      <c r="C2" s="565"/>
      <c r="D2" s="565"/>
      <c r="E2" s="565"/>
      <c r="F2" s="565"/>
      <c r="G2" s="565"/>
      <c r="H2" s="565"/>
      <c r="I2" s="565"/>
      <c r="J2" s="565"/>
      <c r="K2" s="565"/>
      <c r="L2" s="2"/>
    </row>
    <row r="3" spans="1:14" ht="15.75" x14ac:dyDescent="0.25">
      <c r="A3" s="2" t="s">
        <v>21</v>
      </c>
      <c r="B3" s="566" t="s">
        <v>731</v>
      </c>
      <c r="C3" s="566"/>
      <c r="D3" s="566"/>
      <c r="E3" s="566"/>
      <c r="F3" s="566"/>
      <c r="G3" s="566"/>
      <c r="H3" s="566"/>
      <c r="I3" s="566"/>
      <c r="J3" s="566"/>
      <c r="K3" s="566"/>
      <c r="L3" s="2"/>
    </row>
    <row r="4" spans="1:14" ht="15.75" x14ac:dyDescent="0.25">
      <c r="A4" s="2"/>
      <c r="B4" s="566" t="s">
        <v>717</v>
      </c>
      <c r="C4" s="567"/>
      <c r="D4" s="567"/>
      <c r="E4" s="567"/>
      <c r="F4" s="567"/>
      <c r="G4" s="567"/>
      <c r="H4" s="567"/>
      <c r="I4" s="567"/>
      <c r="J4" s="567"/>
      <c r="K4" s="567"/>
      <c r="L4" s="2"/>
    </row>
    <row r="5" spans="1:14" ht="15.75" x14ac:dyDescent="0.25">
      <c r="A5" s="2"/>
      <c r="B5" s="564" t="s">
        <v>2</v>
      </c>
      <c r="C5" s="565"/>
      <c r="D5" s="565"/>
      <c r="E5" s="565"/>
      <c r="F5" s="565"/>
      <c r="G5" s="565"/>
      <c r="H5" s="565"/>
      <c r="I5" s="565"/>
      <c r="J5" s="565"/>
      <c r="K5" s="565"/>
      <c r="L5" s="2"/>
    </row>
    <row r="6" spans="1:14" ht="15.75" x14ac:dyDescent="0.25">
      <c r="A6" s="2"/>
      <c r="B6" s="8"/>
      <c r="C6" s="1"/>
      <c r="D6" s="1"/>
      <c r="E6" s="1"/>
      <c r="F6" s="96"/>
      <c r="G6" s="97"/>
      <c r="H6" s="96"/>
      <c r="I6" s="1"/>
      <c r="K6" s="1"/>
      <c r="L6" s="2"/>
    </row>
    <row r="7" spans="1:14" ht="15.75" x14ac:dyDescent="0.25">
      <c r="A7" s="2"/>
      <c r="B7" s="8"/>
      <c r="C7" s="1"/>
      <c r="D7" s="1"/>
      <c r="E7" s="1"/>
      <c r="F7" s="10" t="s">
        <v>22</v>
      </c>
      <c r="G7"/>
      <c r="H7" s="10" t="s">
        <v>23</v>
      </c>
      <c r="I7"/>
      <c r="J7" s="10" t="s">
        <v>24</v>
      </c>
      <c r="K7" s="1"/>
      <c r="L7" s="2"/>
    </row>
    <row r="8" spans="1:14" ht="47.25" x14ac:dyDescent="0.25">
      <c r="A8" s="2" t="s">
        <v>3</v>
      </c>
      <c r="B8" s="5"/>
      <c r="C8" s="5"/>
      <c r="D8" s="5"/>
      <c r="E8" s="5"/>
      <c r="F8" s="563" t="s">
        <v>729</v>
      </c>
      <c r="G8" s="12"/>
      <c r="H8" s="11" t="s">
        <v>738</v>
      </c>
      <c r="I8" s="12"/>
      <c r="J8" s="13" t="s">
        <v>25</v>
      </c>
      <c r="K8" s="2"/>
      <c r="L8" s="2" t="s">
        <v>3</v>
      </c>
      <c r="N8" s="11"/>
    </row>
    <row r="9" spans="1:14" ht="15.75" x14ac:dyDescent="0.25">
      <c r="A9" s="3" t="s">
        <v>7</v>
      </c>
      <c r="B9" s="12" t="s">
        <v>21</v>
      </c>
      <c r="C9" s="5"/>
      <c r="D9" s="5"/>
      <c r="E9" s="5"/>
      <c r="F9" s="14" t="s">
        <v>26</v>
      </c>
      <c r="G9" s="5"/>
      <c r="H9" s="14" t="s">
        <v>27</v>
      </c>
      <c r="I9" s="5"/>
      <c r="J9" s="15" t="s">
        <v>28</v>
      </c>
      <c r="K9" s="3" t="s">
        <v>6</v>
      </c>
      <c r="L9" s="3" t="s">
        <v>7</v>
      </c>
    </row>
    <row r="10" spans="1:14" ht="15.75" x14ac:dyDescent="0.25">
      <c r="A10" s="2"/>
      <c r="B10" s="16" t="s">
        <v>29</v>
      </c>
      <c r="C10" s="17"/>
      <c r="D10" s="17"/>
      <c r="E10" s="17"/>
      <c r="F10" s="5"/>
      <c r="G10" s="5"/>
      <c r="H10" s="5"/>
      <c r="I10" s="5"/>
      <c r="J10" s="5"/>
      <c r="K10" s="2"/>
      <c r="L10" s="2"/>
    </row>
    <row r="11" spans="1:14" ht="15.75" x14ac:dyDescent="0.25">
      <c r="A11" s="2">
        <f t="shared" ref="A11:A40" si="0">A10+1</f>
        <v>1</v>
      </c>
      <c r="B11" s="18" t="s">
        <v>30</v>
      </c>
      <c r="C11" s="19" t="s">
        <v>21</v>
      </c>
      <c r="D11" s="19"/>
      <c r="E11" s="19"/>
      <c r="F11" s="21">
        <f>'Pg3 BK-1 Rev TO5 C4'!E11</f>
        <v>95535.541019356009</v>
      </c>
      <c r="G11" s="20"/>
      <c r="H11" s="21">
        <f>'Pg4 BK-1 Rev TO5 C4-Cost Adj '!E12</f>
        <v>95535.541019356009</v>
      </c>
      <c r="I11" s="5"/>
      <c r="J11" s="7">
        <f>F11-H11</f>
        <v>0</v>
      </c>
      <c r="K11" s="2" t="s">
        <v>31</v>
      </c>
      <c r="L11" s="2">
        <f>L10+1</f>
        <v>1</v>
      </c>
    </row>
    <row r="12" spans="1:14" ht="15.75" x14ac:dyDescent="0.25">
      <c r="A12" s="2">
        <f t="shared" si="0"/>
        <v>2</v>
      </c>
      <c r="B12" s="18" t="s">
        <v>21</v>
      </c>
      <c r="C12" s="19"/>
      <c r="D12" s="19"/>
      <c r="E12" s="19"/>
      <c r="F12" s="5" t="s">
        <v>21</v>
      </c>
      <c r="G12" s="5"/>
      <c r="H12" s="5" t="s">
        <v>21</v>
      </c>
      <c r="I12" s="5"/>
      <c r="J12" s="5"/>
      <c r="K12" s="2"/>
      <c r="L12" s="2">
        <f>L11+1</f>
        <v>2</v>
      </c>
    </row>
    <row r="13" spans="1:14" ht="15.75" x14ac:dyDescent="0.25">
      <c r="A13" s="2">
        <f t="shared" si="0"/>
        <v>3</v>
      </c>
      <c r="B13" s="18" t="s">
        <v>32</v>
      </c>
      <c r="C13" s="19"/>
      <c r="D13" s="19"/>
      <c r="E13" s="19"/>
      <c r="F13" s="425">
        <f>'Pg3 BK-1 Rev TO5 C4'!E13</f>
        <v>84464</v>
      </c>
      <c r="G13" s="42" t="s">
        <v>33</v>
      </c>
      <c r="H13" s="22">
        <f>'Pg4 BK-1 Rev TO5 C4-Cost Adj '!E14</f>
        <v>81351.457442747444</v>
      </c>
      <c r="J13" s="23">
        <f>F13-H13</f>
        <v>3112.5425572525564</v>
      </c>
      <c r="K13" s="2" t="s">
        <v>34</v>
      </c>
      <c r="L13" s="2">
        <f>L12+1</f>
        <v>3</v>
      </c>
    </row>
    <row r="14" spans="1:14" ht="15.75" x14ac:dyDescent="0.25">
      <c r="A14" s="2">
        <f t="shared" si="0"/>
        <v>4</v>
      </c>
      <c r="B14" s="18"/>
      <c r="C14" s="19"/>
      <c r="D14" s="19"/>
      <c r="E14" s="19"/>
      <c r="F14" s="5"/>
      <c r="G14" s="12"/>
      <c r="H14" s="5"/>
      <c r="I14" s="12"/>
      <c r="J14" s="5"/>
      <c r="K14" s="2"/>
      <c r="L14" s="2">
        <f t="shared" ref="L14:L40" si="1">L13+1</f>
        <v>4</v>
      </c>
    </row>
    <row r="15" spans="1:14" ht="15.75" x14ac:dyDescent="0.25">
      <c r="A15" s="2">
        <f t="shared" si="0"/>
        <v>5</v>
      </c>
      <c r="B15" s="18" t="s">
        <v>35</v>
      </c>
      <c r="C15" s="19"/>
      <c r="D15" s="19"/>
      <c r="E15" s="19"/>
      <c r="F15" s="24">
        <f>'Pg3 BK-1 Rev TO5 C4'!E15</f>
        <v>0</v>
      </c>
      <c r="G15" s="12"/>
      <c r="H15" s="24">
        <f>'Pg4 BK-1 Rev TO5 C4-Cost Adj '!E16</f>
        <v>0</v>
      </c>
      <c r="I15" s="12"/>
      <c r="J15" s="25">
        <f>F15-H15</f>
        <v>0</v>
      </c>
      <c r="K15" s="2" t="s">
        <v>36</v>
      </c>
      <c r="L15" s="2">
        <f t="shared" si="1"/>
        <v>5</v>
      </c>
    </row>
    <row r="16" spans="1:14" ht="15.75" x14ac:dyDescent="0.25">
      <c r="A16" s="2">
        <f t="shared" si="0"/>
        <v>6</v>
      </c>
      <c r="B16" s="18" t="s">
        <v>37</v>
      </c>
      <c r="C16" s="19" t="s">
        <v>21</v>
      </c>
      <c r="D16" s="19"/>
      <c r="E16" s="19"/>
      <c r="F16" s="426">
        <f>F11+F13+F15</f>
        <v>179999.54101935599</v>
      </c>
      <c r="G16" s="42" t="s">
        <v>33</v>
      </c>
      <c r="H16" s="26">
        <f>H11+H13+H15</f>
        <v>176886.99846210345</v>
      </c>
      <c r="I16" s="5"/>
      <c r="J16" s="426">
        <f>F16-H16</f>
        <v>3112.5425572525419</v>
      </c>
      <c r="K16" s="2" t="s">
        <v>38</v>
      </c>
      <c r="L16" s="2">
        <f t="shared" si="1"/>
        <v>6</v>
      </c>
    </row>
    <row r="17" spans="1:13" ht="15.75" x14ac:dyDescent="0.25">
      <c r="A17" s="2">
        <f t="shared" si="0"/>
        <v>7</v>
      </c>
      <c r="B17" s="5"/>
      <c r="C17" s="5"/>
      <c r="D17" s="5"/>
      <c r="E17" s="5"/>
      <c r="F17" s="5"/>
      <c r="G17" s="5"/>
      <c r="H17" s="5"/>
      <c r="I17" s="5"/>
      <c r="J17" s="5"/>
      <c r="K17" s="2"/>
      <c r="L17" s="2">
        <f t="shared" si="1"/>
        <v>7</v>
      </c>
    </row>
    <row r="18" spans="1:13" ht="15.75" x14ac:dyDescent="0.25">
      <c r="A18" s="2">
        <f t="shared" si="0"/>
        <v>8</v>
      </c>
      <c r="B18" s="5" t="s">
        <v>39</v>
      </c>
      <c r="C18" s="19"/>
      <c r="D18" s="19"/>
      <c r="E18" s="19"/>
      <c r="F18" s="22">
        <f>'Pg3 BK-1 Rev TO5 C4'!E18</f>
        <v>225950.77038593692</v>
      </c>
      <c r="G18" s="42"/>
      <c r="H18" s="22">
        <f>'Pg4 BK-1 Rev TO5 C4-Cost Adj '!E19</f>
        <v>225950.77038593692</v>
      </c>
      <c r="I18" s="5"/>
      <c r="J18" s="23">
        <f>F18-H18</f>
        <v>0</v>
      </c>
      <c r="K18" s="2" t="s">
        <v>40</v>
      </c>
      <c r="L18" s="2">
        <f t="shared" si="1"/>
        <v>8</v>
      </c>
    </row>
    <row r="19" spans="1:13" ht="15.75" x14ac:dyDescent="0.25">
      <c r="A19" s="2">
        <f t="shared" si="0"/>
        <v>9</v>
      </c>
      <c r="B19" s="5"/>
      <c r="C19" s="5"/>
      <c r="D19" s="5"/>
      <c r="E19" s="5"/>
      <c r="F19" s="22"/>
      <c r="G19" s="5"/>
      <c r="H19" s="22"/>
      <c r="I19" s="5"/>
      <c r="J19" s="5"/>
      <c r="K19" s="2"/>
      <c r="L19" s="2">
        <f t="shared" si="1"/>
        <v>9</v>
      </c>
    </row>
    <row r="20" spans="1:13" ht="18.75" x14ac:dyDescent="0.25">
      <c r="A20" s="2">
        <f t="shared" si="0"/>
        <v>10</v>
      </c>
      <c r="B20" s="27" t="s">
        <v>41</v>
      </c>
      <c r="C20" s="5"/>
      <c r="D20" s="5"/>
      <c r="E20" s="5"/>
      <c r="F20" s="22">
        <f>'Pg3 BK-1 Rev TO5 C4'!E20</f>
        <v>0</v>
      </c>
      <c r="G20" s="5"/>
      <c r="H20" s="22">
        <f>'Pg4 BK-1 Rev TO5 C4-Cost Adj '!E21</f>
        <v>0</v>
      </c>
      <c r="I20" s="5"/>
      <c r="J20" s="23">
        <f>F20-H20</f>
        <v>0</v>
      </c>
      <c r="K20" s="2" t="s">
        <v>42</v>
      </c>
      <c r="L20" s="2">
        <f t="shared" si="1"/>
        <v>10</v>
      </c>
    </row>
    <row r="21" spans="1:13" ht="15.75" x14ac:dyDescent="0.25">
      <c r="A21" s="2">
        <f t="shared" si="0"/>
        <v>11</v>
      </c>
      <c r="B21" s="5"/>
      <c r="C21" s="5"/>
      <c r="D21" s="5"/>
      <c r="E21" s="5"/>
      <c r="F21" s="22"/>
      <c r="G21" s="5"/>
      <c r="H21" s="22"/>
      <c r="I21" s="5"/>
      <c r="J21" s="5"/>
      <c r="K21" s="2"/>
      <c r="L21" s="2">
        <f t="shared" si="1"/>
        <v>11</v>
      </c>
    </row>
    <row r="22" spans="1:13" ht="15.75" x14ac:dyDescent="0.25">
      <c r="A22" s="2">
        <f t="shared" si="0"/>
        <v>12</v>
      </c>
      <c r="B22" s="5" t="s">
        <v>43</v>
      </c>
      <c r="C22" s="19" t="s">
        <v>21</v>
      </c>
      <c r="D22" s="19"/>
      <c r="E22" s="19"/>
      <c r="F22" s="22">
        <f>'Pg3 BK-1 Rev TO5 C4'!E22</f>
        <v>57780.481143755853</v>
      </c>
      <c r="G22" s="42"/>
      <c r="H22" s="22">
        <f>'Pg4 BK-1 Rev TO5 C4-Cost Adj '!E23</f>
        <v>57780.481143755853</v>
      </c>
      <c r="I22" s="12"/>
      <c r="J22" s="23">
        <f>F22-H22</f>
        <v>0</v>
      </c>
      <c r="K22" s="2" t="s">
        <v>44</v>
      </c>
      <c r="L22" s="2">
        <f t="shared" si="1"/>
        <v>12</v>
      </c>
      <c r="M22" s="539"/>
    </row>
    <row r="23" spans="1:13" ht="15.75" x14ac:dyDescent="0.25">
      <c r="A23" s="2">
        <f t="shared" si="0"/>
        <v>13</v>
      </c>
      <c r="B23" s="18"/>
      <c r="C23" s="19"/>
      <c r="D23" s="19"/>
      <c r="E23" s="19"/>
      <c r="F23" s="22"/>
      <c r="G23" s="5"/>
      <c r="H23" s="22"/>
      <c r="I23" s="5"/>
      <c r="J23" s="5"/>
      <c r="K23" s="28"/>
      <c r="L23" s="2">
        <f t="shared" si="1"/>
        <v>13</v>
      </c>
    </row>
    <row r="24" spans="1:13" ht="15.75" x14ac:dyDescent="0.25">
      <c r="A24" s="2">
        <f t="shared" si="0"/>
        <v>14</v>
      </c>
      <c r="B24" s="5" t="s">
        <v>45</v>
      </c>
      <c r="C24" s="19"/>
      <c r="D24" s="19"/>
      <c r="E24" s="19"/>
      <c r="F24" s="29">
        <f>'Pg3 BK-1 Rev TO5 C4'!E24</f>
        <v>3104.6015779338113</v>
      </c>
      <c r="G24" s="20"/>
      <c r="H24" s="29">
        <f>'Pg4 BK-1 Rev TO5 C4-Cost Adj '!E25</f>
        <v>3104.6015779338113</v>
      </c>
      <c r="I24" s="5"/>
      <c r="J24" s="25">
        <f>F24-H24</f>
        <v>0</v>
      </c>
      <c r="K24" s="2" t="s">
        <v>46</v>
      </c>
      <c r="L24" s="2">
        <f t="shared" si="1"/>
        <v>14</v>
      </c>
    </row>
    <row r="25" spans="1:13" ht="15.75" x14ac:dyDescent="0.25">
      <c r="A25" s="2">
        <f t="shared" si="0"/>
        <v>15</v>
      </c>
      <c r="B25" s="18" t="s">
        <v>47</v>
      </c>
      <c r="C25" s="19"/>
      <c r="D25" s="19"/>
      <c r="E25" s="19"/>
      <c r="F25" s="30">
        <f>SUM(F16:F24)</f>
        <v>466835.3941269826</v>
      </c>
      <c r="G25" s="20" t="s">
        <v>33</v>
      </c>
      <c r="H25" s="31">
        <f>SUM(H16:H24)</f>
        <v>463722.85156973003</v>
      </c>
      <c r="J25" s="30">
        <f>SUM(J16:J24)</f>
        <v>3112.5425572525419</v>
      </c>
      <c r="K25" s="28" t="s">
        <v>48</v>
      </c>
      <c r="L25" s="2">
        <f t="shared" si="1"/>
        <v>15</v>
      </c>
    </row>
    <row r="26" spans="1:13" ht="15.75" x14ac:dyDescent="0.25">
      <c r="A26" s="2">
        <f t="shared" si="0"/>
        <v>16</v>
      </c>
      <c r="B26" s="18"/>
      <c r="C26" s="19"/>
      <c r="D26" s="19"/>
      <c r="E26" s="19"/>
      <c r="F26" s="12"/>
      <c r="G26" s="5"/>
      <c r="H26" s="5"/>
      <c r="J26" s="5"/>
      <c r="K26" s="2"/>
      <c r="L26" s="2">
        <f t="shared" si="1"/>
        <v>16</v>
      </c>
    </row>
    <row r="27" spans="1:13" ht="18.75" x14ac:dyDescent="0.25">
      <c r="A27" s="2">
        <f t="shared" si="0"/>
        <v>17</v>
      </c>
      <c r="B27" s="32" t="s">
        <v>49</v>
      </c>
      <c r="C27" s="19"/>
      <c r="D27" s="19"/>
      <c r="E27" s="19"/>
      <c r="F27" s="33">
        <f>'Pg3 BK-1 Rev TO5 C4'!E27</f>
        <v>9.5816789408915859E-2</v>
      </c>
      <c r="G27" s="20"/>
      <c r="H27" s="33">
        <f>'Pg4 BK-1 Rev TO5 C4-Cost Adj '!E28</f>
        <v>9.5816762149131596E-2</v>
      </c>
      <c r="J27" s="528">
        <f>F27-H27</f>
        <v>2.7259784263211628E-8</v>
      </c>
      <c r="K27" s="2" t="s">
        <v>50</v>
      </c>
      <c r="L27" s="2">
        <f t="shared" si="1"/>
        <v>17</v>
      </c>
    </row>
    <row r="28" spans="1:13" ht="15.75" x14ac:dyDescent="0.25">
      <c r="A28" s="2">
        <f t="shared" si="0"/>
        <v>18</v>
      </c>
      <c r="B28" s="18" t="s">
        <v>51</v>
      </c>
      <c r="C28" s="19"/>
      <c r="D28" s="19"/>
      <c r="E28" s="19"/>
      <c r="F28" s="30">
        <f>'Pg3 BK-1 Rev TO5 C4'!E28</f>
        <v>4578385.3293002723</v>
      </c>
      <c r="G28" s="20" t="s">
        <v>33</v>
      </c>
      <c r="H28" s="31">
        <f>'Pg4 BK-1 Rev TO5 C4-Cost Adj '!E29</f>
        <v>4577996.2614806164</v>
      </c>
      <c r="J28" s="548">
        <f>F28-H28</f>
        <v>389.06781965587288</v>
      </c>
      <c r="K28" s="2" t="s">
        <v>52</v>
      </c>
      <c r="L28" s="2">
        <f t="shared" si="1"/>
        <v>18</v>
      </c>
    </row>
    <row r="29" spans="1:13" ht="15.75" x14ac:dyDescent="0.25">
      <c r="A29" s="2">
        <f t="shared" si="0"/>
        <v>19</v>
      </c>
      <c r="B29" s="27" t="s">
        <v>53</v>
      </c>
      <c r="C29" s="5"/>
      <c r="D29" s="5"/>
      <c r="E29" s="5"/>
      <c r="F29" s="34">
        <f>F27*F28</f>
        <v>438686.18293043406</v>
      </c>
      <c r="G29" s="20" t="s">
        <v>33</v>
      </c>
      <c r="H29" s="35">
        <f>H27*H28</f>
        <v>438648.77890590188</v>
      </c>
      <c r="J29" s="34">
        <f>F29-H29</f>
        <v>37.404024532181211</v>
      </c>
      <c r="K29" s="28" t="s">
        <v>54</v>
      </c>
      <c r="L29" s="2">
        <f t="shared" si="1"/>
        <v>19</v>
      </c>
    </row>
    <row r="30" spans="1:13" ht="15.75" x14ac:dyDescent="0.25">
      <c r="A30" s="2">
        <f t="shared" si="0"/>
        <v>20</v>
      </c>
      <c r="B30" s="5"/>
      <c r="C30" s="5"/>
      <c r="D30" s="5"/>
      <c r="E30" s="5"/>
      <c r="F30" s="34"/>
      <c r="G30" s="20"/>
      <c r="H30" s="35"/>
      <c r="J30" s="34"/>
      <c r="K30" s="2"/>
      <c r="L30" s="2">
        <f t="shared" si="1"/>
        <v>20</v>
      </c>
    </row>
    <row r="31" spans="1:13" ht="18.75" x14ac:dyDescent="0.25">
      <c r="A31" s="2">
        <f t="shared" si="0"/>
        <v>21</v>
      </c>
      <c r="B31" s="32" t="s">
        <v>55</v>
      </c>
      <c r="C31" s="5"/>
      <c r="D31" s="5"/>
      <c r="E31" s="5"/>
      <c r="F31" s="36">
        <f>'Pg3 BK-1 Rev TO5 C4'!E31</f>
        <v>3.8994570343371454E-3</v>
      </c>
      <c r="G31" s="20"/>
      <c r="H31" s="36">
        <f>'Pg4 BK-1 Rev TO5 C4-Cost Adj '!E32</f>
        <v>3.8994570343371454E-3</v>
      </c>
      <c r="J31" s="529">
        <f>F31-H31</f>
        <v>0</v>
      </c>
      <c r="K31" s="2" t="s">
        <v>56</v>
      </c>
      <c r="L31" s="2">
        <f t="shared" si="1"/>
        <v>21</v>
      </c>
    </row>
    <row r="32" spans="1:13" ht="15.75" x14ac:dyDescent="0.25">
      <c r="A32" s="2">
        <f t="shared" si="0"/>
        <v>22</v>
      </c>
      <c r="B32" s="32" t="s">
        <v>51</v>
      </c>
      <c r="C32" s="5"/>
      <c r="D32" s="5"/>
      <c r="E32" s="5"/>
      <c r="F32" s="30">
        <f>'Pg3 BK-1 Rev TO5 C4'!E32</f>
        <v>4578385.3293002723</v>
      </c>
      <c r="G32" s="20" t="s">
        <v>33</v>
      </c>
      <c r="H32" s="31">
        <f>'Pg4 BK-1 Rev TO5 C4-Cost Adj '!E33</f>
        <v>4577996.2614806164</v>
      </c>
      <c r="J32" s="30">
        <f>F32-H32</f>
        <v>389.06781965587288</v>
      </c>
      <c r="K32" s="2" t="s">
        <v>57</v>
      </c>
      <c r="L32" s="2">
        <f t="shared" si="1"/>
        <v>22</v>
      </c>
    </row>
    <row r="33" spans="1:12" ht="15.75" x14ac:dyDescent="0.25">
      <c r="A33" s="2">
        <f t="shared" si="0"/>
        <v>23</v>
      </c>
      <c r="B33" s="27" t="s">
        <v>58</v>
      </c>
      <c r="C33" s="5"/>
      <c r="D33" s="5"/>
      <c r="E33" s="5"/>
      <c r="F33" s="34">
        <f>F31*F32</f>
        <v>17853.216878245934</v>
      </c>
      <c r="G33" s="20" t="s">
        <v>33</v>
      </c>
      <c r="H33" s="35">
        <f>H31*H32</f>
        <v>17851.699724999744</v>
      </c>
      <c r="J33" s="34">
        <f>F33-H33</f>
        <v>1.5171532461899915</v>
      </c>
      <c r="K33" s="28" t="s">
        <v>59</v>
      </c>
      <c r="L33" s="2">
        <f t="shared" si="1"/>
        <v>23</v>
      </c>
    </row>
    <row r="34" spans="1:12" ht="15.75" x14ac:dyDescent="0.25">
      <c r="A34" s="2">
        <f t="shared" si="0"/>
        <v>24</v>
      </c>
      <c r="B34" s="5"/>
      <c r="C34" s="5"/>
      <c r="D34" s="5"/>
      <c r="E34" s="5"/>
      <c r="F34" s="34"/>
      <c r="G34" s="20"/>
      <c r="H34" s="35"/>
      <c r="J34" s="34"/>
      <c r="K34" s="2"/>
      <c r="L34" s="2">
        <f t="shared" si="1"/>
        <v>24</v>
      </c>
    </row>
    <row r="35" spans="1:12" ht="15.75" x14ac:dyDescent="0.25">
      <c r="A35" s="2">
        <f t="shared" si="0"/>
        <v>25</v>
      </c>
      <c r="B35" s="27" t="s">
        <v>60</v>
      </c>
      <c r="C35" s="5"/>
      <c r="D35" s="5"/>
      <c r="E35" s="5"/>
      <c r="F35" s="21">
        <f>'Pg3 BK-1 Rev TO5 C4'!E35</f>
        <v>1304.0991895338727</v>
      </c>
      <c r="G35" s="22"/>
      <c r="H35" s="21">
        <f>'Pg4 BK-1 Rev TO5 C4-Cost Adj '!E36</f>
        <v>1304.0991895338727</v>
      </c>
      <c r="I35" s="22"/>
      <c r="J35" s="21">
        <f t="shared" ref="J35:J38" si="2">F35-H35</f>
        <v>0</v>
      </c>
      <c r="K35" s="2" t="s">
        <v>61</v>
      </c>
      <c r="L35" s="2">
        <f t="shared" si="1"/>
        <v>25</v>
      </c>
    </row>
    <row r="36" spans="1:12" ht="15.75" x14ac:dyDescent="0.25">
      <c r="A36" s="2">
        <f t="shared" si="0"/>
        <v>26</v>
      </c>
      <c r="B36" s="27" t="s">
        <v>62</v>
      </c>
      <c r="C36" s="5"/>
      <c r="D36" s="5"/>
      <c r="E36" s="5"/>
      <c r="F36" s="22">
        <f>'Pg3 BK-1 Rev TO5 C4'!E36</f>
        <v>-4408.3500000000004</v>
      </c>
      <c r="G36" s="20"/>
      <c r="H36" s="22">
        <f>'Pg4 BK-1 Rev TO5 C4-Cost Adj '!E37</f>
        <v>-4408.3500000000004</v>
      </c>
      <c r="I36" s="5"/>
      <c r="J36" s="23">
        <f t="shared" si="2"/>
        <v>0</v>
      </c>
      <c r="K36" s="2" t="s">
        <v>63</v>
      </c>
      <c r="L36" s="2">
        <f t="shared" si="1"/>
        <v>26</v>
      </c>
    </row>
    <row r="37" spans="1:12" ht="15.75" x14ac:dyDescent="0.25">
      <c r="A37" s="2">
        <f t="shared" si="0"/>
        <v>27</v>
      </c>
      <c r="B37" s="27" t="s">
        <v>64</v>
      </c>
      <c r="C37" s="5"/>
      <c r="D37" s="5"/>
      <c r="E37" s="5"/>
      <c r="F37" s="22">
        <f>'Pg3 BK-1 Rev TO5 C4'!E37</f>
        <v>0</v>
      </c>
      <c r="G37" s="5"/>
      <c r="H37" s="22">
        <f>'Pg4 BK-1 Rev TO5 C4-Cost Adj '!E38</f>
        <v>0</v>
      </c>
      <c r="I37" s="5"/>
      <c r="J37" s="23">
        <f t="shared" si="2"/>
        <v>0</v>
      </c>
      <c r="K37" s="2" t="s">
        <v>65</v>
      </c>
      <c r="L37" s="2">
        <f t="shared" si="1"/>
        <v>27</v>
      </c>
    </row>
    <row r="38" spans="1:12" ht="15.75" x14ac:dyDescent="0.25">
      <c r="A38" s="2">
        <f t="shared" si="0"/>
        <v>28</v>
      </c>
      <c r="B38" s="37" t="s">
        <v>66</v>
      </c>
      <c r="C38" s="5"/>
      <c r="D38" s="5"/>
      <c r="E38" s="5"/>
      <c r="F38" s="29">
        <f>'Pg3 BK-1 Rev TO5 C4'!E38</f>
        <v>0</v>
      </c>
      <c r="G38" s="20"/>
      <c r="H38" s="29">
        <f>'Pg4 BK-1 Rev TO5 C4-Cost Adj '!E39</f>
        <v>0</v>
      </c>
      <c r="I38" s="5"/>
      <c r="J38" s="25">
        <f t="shared" si="2"/>
        <v>0</v>
      </c>
      <c r="K38" s="2" t="s">
        <v>67</v>
      </c>
      <c r="L38" s="2">
        <f t="shared" si="1"/>
        <v>28</v>
      </c>
    </row>
    <row r="39" spans="1:12" ht="15.75" x14ac:dyDescent="0.25">
      <c r="A39" s="2">
        <f t="shared" si="0"/>
        <v>29</v>
      </c>
      <c r="B39" s="5"/>
      <c r="C39" s="5"/>
      <c r="D39" s="5"/>
      <c r="E39" s="5"/>
      <c r="F39" s="5"/>
      <c r="G39" s="5"/>
      <c r="H39" s="5"/>
      <c r="I39" s="5"/>
      <c r="J39" s="5"/>
      <c r="K39" s="28"/>
      <c r="L39" s="2">
        <f t="shared" si="1"/>
        <v>29</v>
      </c>
    </row>
    <row r="40" spans="1:12" ht="32.25" thickBot="1" x14ac:dyDescent="0.4">
      <c r="A40" s="2">
        <f t="shared" si="0"/>
        <v>30</v>
      </c>
      <c r="B40" s="265" t="s">
        <v>68</v>
      </c>
      <c r="C40" s="19"/>
      <c r="D40" s="19"/>
      <c r="E40" s="19"/>
      <c r="F40" s="38">
        <f>F25+F29+F33+SUM(F35:F38)</f>
        <v>920270.54312519648</v>
      </c>
      <c r="G40" s="20" t="s">
        <v>33</v>
      </c>
      <c r="H40" s="39">
        <f>H25+H29+H33+SUM(H35:H38)</f>
        <v>917119.07939016551</v>
      </c>
      <c r="J40" s="38">
        <f>F40-H40</f>
        <v>3151.463735030964</v>
      </c>
      <c r="K40" s="92" t="s">
        <v>69</v>
      </c>
      <c r="L40" s="2">
        <f t="shared" si="1"/>
        <v>30</v>
      </c>
    </row>
    <row r="41" spans="1:12" ht="16.5" thickTop="1" x14ac:dyDescent="0.25">
      <c r="A41" s="2"/>
      <c r="B41" s="27"/>
      <c r="C41" s="19"/>
      <c r="D41" s="19"/>
      <c r="E41" s="19"/>
      <c r="F41" s="40"/>
      <c r="G41" s="20"/>
      <c r="H41" s="41"/>
      <c r="J41" s="41"/>
      <c r="K41" s="28"/>
      <c r="L41" s="2"/>
    </row>
    <row r="42" spans="1:12" ht="15.75" x14ac:dyDescent="0.25">
      <c r="A42" s="42" t="s">
        <v>33</v>
      </c>
      <c r="B42" s="12" t="s">
        <v>742</v>
      </c>
      <c r="C42" s="19"/>
      <c r="D42" s="19"/>
      <c r="E42" s="19"/>
      <c r="F42" s="40"/>
      <c r="G42" s="20"/>
      <c r="H42" s="41"/>
      <c r="J42" s="41"/>
      <c r="K42" s="28"/>
      <c r="L42" s="2"/>
    </row>
    <row r="43" spans="1:12" ht="15.75" x14ac:dyDescent="0.25">
      <c r="A43" s="42"/>
      <c r="B43" s="12" t="s">
        <v>739</v>
      </c>
      <c r="C43" s="19"/>
      <c r="D43" s="19"/>
      <c r="E43" s="19"/>
      <c r="F43" s="40"/>
      <c r="G43" s="20"/>
      <c r="H43" s="41"/>
      <c r="J43" s="41"/>
      <c r="K43" s="28"/>
      <c r="L43" s="2"/>
    </row>
    <row r="44" spans="1:12" ht="18.75" x14ac:dyDescent="0.25">
      <c r="A44" s="43">
        <v>1</v>
      </c>
      <c r="B44" s="27" t="s">
        <v>70</v>
      </c>
      <c r="C44" s="19"/>
      <c r="D44" s="19"/>
      <c r="E44" s="19"/>
      <c r="F44" s="40"/>
      <c r="G44" s="20"/>
      <c r="H44" s="41"/>
      <c r="J44" s="41"/>
      <c r="K44" s="28"/>
      <c r="L44" s="2"/>
    </row>
    <row r="45" spans="1:12" ht="15.75" x14ac:dyDescent="0.25">
      <c r="A45" s="2"/>
      <c r="B45" s="27"/>
      <c r="C45" s="19"/>
      <c r="D45" s="19"/>
      <c r="E45" s="19"/>
      <c r="F45" s="40"/>
      <c r="G45" s="20"/>
      <c r="H45" s="41"/>
      <c r="J45" s="41"/>
      <c r="K45" s="28"/>
      <c r="L45" s="2"/>
    </row>
    <row r="46" spans="1:12" ht="15.75" x14ac:dyDescent="0.25">
      <c r="A46" s="2"/>
      <c r="B46" s="27"/>
      <c r="C46" s="19"/>
      <c r="D46" s="19"/>
      <c r="E46" s="19"/>
      <c r="F46" s="40"/>
      <c r="G46" s="20"/>
      <c r="H46" s="41"/>
      <c r="J46" s="41"/>
      <c r="K46" s="28"/>
      <c r="L46" s="2"/>
    </row>
    <row r="47" spans="1:12" ht="15.75" x14ac:dyDescent="0.25">
      <c r="A47" s="2"/>
      <c r="B47" s="566" t="s">
        <v>0</v>
      </c>
      <c r="C47" s="565"/>
      <c r="D47" s="565"/>
      <c r="E47" s="565"/>
      <c r="F47" s="565"/>
      <c r="G47" s="565"/>
      <c r="H47" s="565"/>
      <c r="I47" s="565"/>
      <c r="J47" s="565"/>
      <c r="K47" s="565"/>
      <c r="L47" s="2"/>
    </row>
    <row r="48" spans="1:12" ht="15.75" x14ac:dyDescent="0.25">
      <c r="A48" s="2" t="s">
        <v>21</v>
      </c>
      <c r="B48" s="566" t="str">
        <f>B3</f>
        <v>TO5 Cycle 6 Annual Informational Filing</v>
      </c>
      <c r="C48" s="565"/>
      <c r="D48" s="565"/>
      <c r="E48" s="565"/>
      <c r="F48" s="565"/>
      <c r="G48" s="565"/>
      <c r="H48" s="565"/>
      <c r="I48" s="565"/>
      <c r="J48" s="565"/>
      <c r="K48" s="565"/>
      <c r="L48" s="2"/>
    </row>
    <row r="49" spans="1:14" ht="15.75" x14ac:dyDescent="0.25">
      <c r="A49" s="2"/>
      <c r="B49" s="566" t="str">
        <f>B4</f>
        <v>Derivation of Other BTRR Adjustments Applicable to TO5 Cycle 4</v>
      </c>
      <c r="C49" s="567"/>
      <c r="D49" s="567"/>
      <c r="E49" s="567"/>
      <c r="F49" s="567"/>
      <c r="G49" s="567"/>
      <c r="H49" s="567"/>
      <c r="I49" s="567"/>
      <c r="J49" s="567"/>
      <c r="K49" s="567"/>
      <c r="L49" s="2"/>
    </row>
    <row r="50" spans="1:14" ht="15.75" x14ac:dyDescent="0.25">
      <c r="A50" s="2"/>
      <c r="B50" s="564" t="s">
        <v>2</v>
      </c>
      <c r="C50" s="565"/>
      <c r="D50" s="565"/>
      <c r="E50" s="565"/>
      <c r="F50" s="565"/>
      <c r="G50" s="565"/>
      <c r="H50" s="565"/>
      <c r="I50" s="565"/>
      <c r="J50" s="565"/>
      <c r="K50" s="565"/>
      <c r="L50" s="2"/>
    </row>
    <row r="51" spans="1:14" ht="15.75" x14ac:dyDescent="0.25">
      <c r="A51" s="2"/>
      <c r="B51" s="8"/>
      <c r="C51" s="1"/>
      <c r="D51" s="1"/>
      <c r="E51" s="1"/>
      <c r="G51" s="1"/>
      <c r="I51" s="1"/>
      <c r="K51" s="1"/>
      <c r="L51" s="2"/>
    </row>
    <row r="52" spans="1:14" ht="15.75" x14ac:dyDescent="0.25">
      <c r="A52" s="2"/>
      <c r="B52" s="8"/>
      <c r="C52" s="1"/>
      <c r="D52" s="1"/>
      <c r="E52" s="1"/>
      <c r="F52" s="10" t="s">
        <v>22</v>
      </c>
      <c r="G52"/>
      <c r="H52" s="10" t="s">
        <v>23</v>
      </c>
      <c r="I52"/>
      <c r="J52" s="10" t="s">
        <v>24</v>
      </c>
      <c r="K52" s="1"/>
      <c r="L52" s="2"/>
    </row>
    <row r="53" spans="1:14" ht="49.9" customHeight="1" x14ac:dyDescent="0.25">
      <c r="A53" s="2" t="s">
        <v>3</v>
      </c>
      <c r="B53" s="5"/>
      <c r="C53" s="5"/>
      <c r="D53" s="5"/>
      <c r="E53" s="5"/>
      <c r="F53" s="11" t="str">
        <f>F8</f>
        <v xml:space="preserve">Revised TO5 C4 </v>
      </c>
      <c r="G53" s="12"/>
      <c r="H53" s="11" t="str">
        <f>H8</f>
        <v>As Filed TO5 C4 ER22-527 and ER23-542</v>
      </c>
      <c r="I53" s="12"/>
      <c r="J53" s="13" t="s">
        <v>25</v>
      </c>
      <c r="K53" s="2"/>
      <c r="L53" s="2" t="s">
        <v>3</v>
      </c>
      <c r="N53" s="11"/>
    </row>
    <row r="54" spans="1:14" ht="18.75" x14ac:dyDescent="0.25">
      <c r="A54" s="3" t="s">
        <v>7</v>
      </c>
      <c r="B54" s="12" t="s">
        <v>21</v>
      </c>
      <c r="C54" s="5"/>
      <c r="D54" s="5"/>
      <c r="E54" s="5"/>
      <c r="F54" s="14" t="s">
        <v>71</v>
      </c>
      <c r="G54" s="5"/>
      <c r="H54" s="14" t="s">
        <v>71</v>
      </c>
      <c r="I54" s="5"/>
      <c r="J54" s="15" t="s">
        <v>28</v>
      </c>
      <c r="K54" s="3" t="s">
        <v>6</v>
      </c>
      <c r="L54" s="3" t="s">
        <v>7</v>
      </c>
    </row>
    <row r="55" spans="1:14" ht="18.75" x14ac:dyDescent="0.25">
      <c r="A55" s="2"/>
      <c r="B55" s="44" t="s">
        <v>72</v>
      </c>
      <c r="C55" s="19"/>
      <c r="D55" s="19"/>
      <c r="E55" s="19"/>
      <c r="F55" s="40"/>
      <c r="G55" s="20"/>
      <c r="H55" s="41"/>
      <c r="J55" s="41"/>
      <c r="K55" s="28"/>
      <c r="L55" s="2"/>
    </row>
    <row r="56" spans="1:14" ht="15.75" x14ac:dyDescent="0.25">
      <c r="A56" s="2">
        <v>1</v>
      </c>
      <c r="B56" s="32" t="s">
        <v>73</v>
      </c>
      <c r="C56" s="19"/>
      <c r="D56" s="19"/>
      <c r="E56" s="19"/>
      <c r="F56" s="41">
        <f>'Pg3 BK-1 Rev TO5 C4'!E56</f>
        <v>0</v>
      </c>
      <c r="G56" s="20"/>
      <c r="H56" s="41">
        <f>'Pg4 BK-1 Rev TO5 C4-Cost Adj '!E57</f>
        <v>0</v>
      </c>
      <c r="J56" s="41">
        <f>F56-H56</f>
        <v>0</v>
      </c>
      <c r="K56" s="2" t="s">
        <v>74</v>
      </c>
      <c r="L56" s="2">
        <v>1</v>
      </c>
    </row>
    <row r="57" spans="1:14" ht="15.75" x14ac:dyDescent="0.25">
      <c r="A57" s="2">
        <f>A56+1</f>
        <v>2</v>
      </c>
      <c r="B57" s="32"/>
      <c r="C57" s="19"/>
      <c r="D57" s="19"/>
      <c r="E57" s="19"/>
      <c r="F57" s="40"/>
      <c r="G57" s="20"/>
      <c r="H57" s="41"/>
      <c r="J57" s="41"/>
      <c r="K57" s="28"/>
      <c r="L57" s="2">
        <f>L56+1</f>
        <v>2</v>
      </c>
    </row>
    <row r="58" spans="1:14" ht="18.75" x14ac:dyDescent="0.25">
      <c r="A58" s="2">
        <f t="shared" ref="A58:A94" si="3">A57+1</f>
        <v>3</v>
      </c>
      <c r="B58" s="32" t="s">
        <v>75</v>
      </c>
      <c r="C58" s="19"/>
      <c r="D58" s="19"/>
      <c r="E58" s="19"/>
      <c r="F58" s="45">
        <f>'Pg3 BK-1 Rev TO5 C4'!E58</f>
        <v>1.7368511652018213E-2</v>
      </c>
      <c r="G58" s="20"/>
      <c r="H58" s="45">
        <f>'Pg4 BK-1 Rev TO5 C4-Cost Adj '!E59</f>
        <v>1.7368511652018213E-2</v>
      </c>
      <c r="J58" s="530">
        <f>F58-H58</f>
        <v>0</v>
      </c>
      <c r="K58" s="2" t="s">
        <v>76</v>
      </c>
      <c r="L58" s="2">
        <f t="shared" ref="L58:L94" si="4">L57+1</f>
        <v>3</v>
      </c>
    </row>
    <row r="59" spans="1:14" ht="15.75" x14ac:dyDescent="0.25">
      <c r="A59" s="2">
        <f t="shared" si="3"/>
        <v>4</v>
      </c>
      <c r="B59" s="27" t="s">
        <v>77</v>
      </c>
      <c r="C59" s="19"/>
      <c r="D59" s="19"/>
      <c r="E59" s="19"/>
      <c r="F59" s="46">
        <f>'Pg3 BK-1 Rev TO5 C4'!E59</f>
        <v>0</v>
      </c>
      <c r="G59" s="20"/>
      <c r="H59" s="46">
        <f>'Pg4 BK-1 Rev TO5 C4-Cost Adj '!E60</f>
        <v>0</v>
      </c>
      <c r="J59" s="47">
        <f>F59-H59</f>
        <v>0</v>
      </c>
      <c r="K59" s="2" t="s">
        <v>78</v>
      </c>
      <c r="L59" s="2">
        <f t="shared" si="4"/>
        <v>4</v>
      </c>
    </row>
    <row r="60" spans="1:14" ht="15.75" x14ac:dyDescent="0.25">
      <c r="A60" s="2">
        <f t="shared" si="3"/>
        <v>5</v>
      </c>
      <c r="B60" s="27" t="s">
        <v>79</v>
      </c>
      <c r="C60" s="19"/>
      <c r="D60" s="19"/>
      <c r="E60" s="19"/>
      <c r="F60" s="48">
        <f>F59*F58</f>
        <v>0</v>
      </c>
      <c r="G60" s="20"/>
      <c r="H60" s="48">
        <f>H59*H58</f>
        <v>0</v>
      </c>
      <c r="J60" s="41">
        <f>F60-H60</f>
        <v>0</v>
      </c>
      <c r="K60" s="28" t="s">
        <v>80</v>
      </c>
      <c r="L60" s="2">
        <f t="shared" si="4"/>
        <v>5</v>
      </c>
    </row>
    <row r="61" spans="1:14" ht="15.75" x14ac:dyDescent="0.25">
      <c r="A61" s="2">
        <f t="shared" si="3"/>
        <v>6</v>
      </c>
      <c r="B61" s="27"/>
      <c r="C61" s="19"/>
      <c r="D61" s="19"/>
      <c r="E61" s="19"/>
      <c r="F61" s="49"/>
      <c r="G61" s="20"/>
      <c r="H61" s="49"/>
      <c r="J61" s="41"/>
      <c r="K61" s="28"/>
      <c r="L61" s="2">
        <f t="shared" si="4"/>
        <v>6</v>
      </c>
    </row>
    <row r="62" spans="1:14" ht="18.75" x14ac:dyDescent="0.25">
      <c r="A62" s="2">
        <f t="shared" si="3"/>
        <v>7</v>
      </c>
      <c r="B62" s="32" t="s">
        <v>55</v>
      </c>
      <c r="C62" s="19"/>
      <c r="D62" s="19"/>
      <c r="E62" s="19"/>
      <c r="F62" s="45">
        <f>'Pg3 BK-1 Rev TO5 C4'!E62</f>
        <v>0</v>
      </c>
      <c r="G62" s="20"/>
      <c r="H62" s="45">
        <f>'Pg4 BK-1 Rev TO5 C4-Cost Adj '!E63</f>
        <v>0</v>
      </c>
      <c r="J62" s="530">
        <f>F62-H62</f>
        <v>0</v>
      </c>
      <c r="K62" s="2" t="s">
        <v>81</v>
      </c>
      <c r="L62" s="2">
        <f t="shared" si="4"/>
        <v>7</v>
      </c>
    </row>
    <row r="63" spans="1:14" ht="15.75" x14ac:dyDescent="0.25">
      <c r="A63" s="2">
        <f t="shared" si="3"/>
        <v>8</v>
      </c>
      <c r="B63" s="27" t="s">
        <v>77</v>
      </c>
      <c r="C63" s="19"/>
      <c r="D63" s="19"/>
      <c r="E63" s="19"/>
      <c r="F63" s="46">
        <f>'Pg3 BK-1 Rev TO5 C4'!E63</f>
        <v>0</v>
      </c>
      <c r="G63" s="20"/>
      <c r="H63" s="46">
        <f>'Pg4 BK-1 Rev TO5 C4-Cost Adj '!E64</f>
        <v>0</v>
      </c>
      <c r="J63" s="47">
        <f>F63-H63</f>
        <v>0</v>
      </c>
      <c r="K63" s="2" t="s">
        <v>82</v>
      </c>
      <c r="L63" s="2">
        <f t="shared" si="4"/>
        <v>8</v>
      </c>
    </row>
    <row r="64" spans="1:14" ht="15.75" x14ac:dyDescent="0.25">
      <c r="A64" s="2">
        <f t="shared" si="3"/>
        <v>9</v>
      </c>
      <c r="B64" s="27" t="s">
        <v>58</v>
      </c>
      <c r="C64" s="19"/>
      <c r="D64" s="19"/>
      <c r="E64" s="19"/>
      <c r="F64" s="48">
        <f>F63*F62</f>
        <v>0</v>
      </c>
      <c r="G64" s="20"/>
      <c r="H64" s="48">
        <f>H63*H62</f>
        <v>0</v>
      </c>
      <c r="J64" s="41">
        <f>F64-H64</f>
        <v>0</v>
      </c>
      <c r="K64" s="28" t="s">
        <v>83</v>
      </c>
      <c r="L64" s="2">
        <f t="shared" si="4"/>
        <v>9</v>
      </c>
    </row>
    <row r="65" spans="1:12" ht="15.75" x14ac:dyDescent="0.25">
      <c r="A65" s="2">
        <f t="shared" si="3"/>
        <v>10</v>
      </c>
      <c r="B65" s="27"/>
      <c r="C65" s="19"/>
      <c r="D65" s="19"/>
      <c r="E65" s="19"/>
      <c r="F65" s="49"/>
      <c r="G65" s="20"/>
      <c r="H65" s="49"/>
      <c r="J65" s="41"/>
      <c r="K65" s="28"/>
      <c r="L65" s="2">
        <f t="shared" si="4"/>
        <v>10</v>
      </c>
    </row>
    <row r="66" spans="1:12" ht="16.5" thickBot="1" x14ac:dyDescent="0.3">
      <c r="A66" s="2">
        <f t="shared" si="3"/>
        <v>11</v>
      </c>
      <c r="B66" s="27" t="s">
        <v>84</v>
      </c>
      <c r="C66" s="19"/>
      <c r="D66" s="19"/>
      <c r="E66" s="19"/>
      <c r="F66" s="50">
        <f>F56+F60+F64</f>
        <v>0</v>
      </c>
      <c r="G66" s="20"/>
      <c r="H66" s="50">
        <f>H56+H60+H64</f>
        <v>0</v>
      </c>
      <c r="J66" s="51">
        <f>F66-H66</f>
        <v>0</v>
      </c>
      <c r="K66" s="28" t="s">
        <v>85</v>
      </c>
      <c r="L66" s="2">
        <f t="shared" si="4"/>
        <v>11</v>
      </c>
    </row>
    <row r="67" spans="1:12" ht="16.5" thickTop="1" x14ac:dyDescent="0.25">
      <c r="A67" s="2">
        <f t="shared" si="3"/>
        <v>12</v>
      </c>
      <c r="B67" s="27"/>
      <c r="C67" s="19"/>
      <c r="D67" s="19"/>
      <c r="E67" s="19"/>
      <c r="F67" s="52"/>
      <c r="G67" s="20"/>
      <c r="H67" s="52"/>
      <c r="J67" s="41"/>
      <c r="K67" s="28"/>
      <c r="L67" s="2">
        <f t="shared" si="4"/>
        <v>12</v>
      </c>
    </row>
    <row r="68" spans="1:12" ht="18.75" x14ac:dyDescent="0.25">
      <c r="A68" s="2">
        <f t="shared" si="3"/>
        <v>13</v>
      </c>
      <c r="B68" s="53" t="s">
        <v>86</v>
      </c>
      <c r="C68" s="19"/>
      <c r="D68" s="19"/>
      <c r="E68" s="19"/>
      <c r="F68" s="52"/>
      <c r="G68" s="20"/>
      <c r="H68" s="52"/>
      <c r="J68" s="41"/>
      <c r="K68" s="28"/>
      <c r="L68" s="2">
        <f t="shared" si="4"/>
        <v>13</v>
      </c>
    </row>
    <row r="69" spans="1:12" ht="15.75" x14ac:dyDescent="0.25">
      <c r="A69" s="2">
        <f t="shared" si="3"/>
        <v>14</v>
      </c>
      <c r="B69" s="32" t="s">
        <v>87</v>
      </c>
      <c r="C69" s="19"/>
      <c r="D69" s="19"/>
      <c r="E69" s="19"/>
      <c r="F69" s="49">
        <f>'Pg3 BK-1 Rev TO5 C4'!E69</f>
        <v>0</v>
      </c>
      <c r="G69" s="20"/>
      <c r="H69" s="49">
        <f>'Pg4 BK-1 Rev TO5 C4-Cost Adj '!E70</f>
        <v>0</v>
      </c>
      <c r="J69" s="41">
        <f>F69-H69</f>
        <v>0</v>
      </c>
      <c r="K69" s="2" t="s">
        <v>88</v>
      </c>
      <c r="L69" s="2">
        <f t="shared" si="4"/>
        <v>14</v>
      </c>
    </row>
    <row r="70" spans="1:12" ht="15.75" x14ac:dyDescent="0.25">
      <c r="A70" s="2">
        <f t="shared" si="3"/>
        <v>15</v>
      </c>
      <c r="B70" s="32"/>
      <c r="C70" s="19"/>
      <c r="D70" s="19"/>
      <c r="E70" s="19"/>
      <c r="F70" s="54"/>
      <c r="G70" s="20"/>
      <c r="H70" s="54"/>
      <c r="J70" s="41"/>
      <c r="K70" s="28"/>
      <c r="L70" s="2">
        <f t="shared" si="4"/>
        <v>15</v>
      </c>
    </row>
    <row r="71" spans="1:12" ht="15.75" x14ac:dyDescent="0.25">
      <c r="A71" s="2">
        <f t="shared" si="3"/>
        <v>16</v>
      </c>
      <c r="B71" s="32" t="s">
        <v>89</v>
      </c>
      <c r="C71" s="19"/>
      <c r="D71" s="19"/>
      <c r="E71" s="19"/>
      <c r="F71" s="49">
        <f>'Pg3 BK-1 Rev TO5 C4'!E71</f>
        <v>0</v>
      </c>
      <c r="G71" s="20"/>
      <c r="H71" s="49">
        <f>'Pg4 BK-1 Rev TO5 C4-Cost Adj '!E72</f>
        <v>0</v>
      </c>
      <c r="J71" s="41">
        <f>F71-H71</f>
        <v>0</v>
      </c>
      <c r="K71" s="2" t="s">
        <v>90</v>
      </c>
      <c r="L71" s="2">
        <f t="shared" si="4"/>
        <v>16</v>
      </c>
    </row>
    <row r="72" spans="1:12" ht="18.75" x14ac:dyDescent="0.25">
      <c r="A72" s="2">
        <f t="shared" si="3"/>
        <v>17</v>
      </c>
      <c r="B72" s="32" t="s">
        <v>49</v>
      </c>
      <c r="C72" s="19"/>
      <c r="D72" s="19"/>
      <c r="E72" s="19"/>
      <c r="F72" s="55">
        <f>'Pg3 BK-1 Rev TO5 C4'!E72</f>
        <v>9.5816789408915859E-2</v>
      </c>
      <c r="G72" s="20"/>
      <c r="H72" s="55">
        <f>'Pg4 BK-1 Rev TO5 C4-Cost Adj '!E73</f>
        <v>9.5816762149131596E-2</v>
      </c>
      <c r="J72" s="531">
        <f>F72-H72</f>
        <v>2.7259784263211628E-8</v>
      </c>
      <c r="K72" s="2" t="s">
        <v>91</v>
      </c>
      <c r="L72" s="2">
        <f t="shared" si="4"/>
        <v>17</v>
      </c>
    </row>
    <row r="73" spans="1:12" ht="18.75" x14ac:dyDescent="0.25">
      <c r="A73" s="2">
        <f t="shared" si="3"/>
        <v>18</v>
      </c>
      <c r="B73" s="27" t="s">
        <v>92</v>
      </c>
      <c r="C73" s="19"/>
      <c r="D73" s="19"/>
      <c r="E73" s="19"/>
      <c r="F73" s="48">
        <f>F71*F72</f>
        <v>0</v>
      </c>
      <c r="G73" s="56"/>
      <c r="H73" s="48">
        <f>H71*H72</f>
        <v>0</v>
      </c>
      <c r="I73" s="56"/>
      <c r="J73" s="57">
        <f>F73-H73</f>
        <v>0</v>
      </c>
      <c r="K73" s="28" t="s">
        <v>93</v>
      </c>
      <c r="L73" s="2">
        <f t="shared" si="4"/>
        <v>18</v>
      </c>
    </row>
    <row r="74" spans="1:12" ht="15.75" x14ac:dyDescent="0.25">
      <c r="A74" s="2">
        <f t="shared" si="3"/>
        <v>19</v>
      </c>
      <c r="B74" s="27"/>
      <c r="C74" s="19"/>
      <c r="D74" s="19"/>
      <c r="E74" s="19"/>
      <c r="F74" s="49"/>
      <c r="G74" s="20"/>
      <c r="H74" s="49"/>
      <c r="J74" s="41"/>
      <c r="K74" s="28"/>
      <c r="L74" s="2">
        <f t="shared" si="4"/>
        <v>19</v>
      </c>
    </row>
    <row r="75" spans="1:12" ht="15.75" x14ac:dyDescent="0.25">
      <c r="A75" s="2">
        <f t="shared" si="3"/>
        <v>20</v>
      </c>
      <c r="B75" s="32" t="s">
        <v>89</v>
      </c>
      <c r="C75" s="19"/>
      <c r="D75" s="19"/>
      <c r="E75" s="19"/>
      <c r="F75" s="49">
        <f>'Pg3 BK-1 Rev TO5 C4'!E75</f>
        <v>0</v>
      </c>
      <c r="G75" s="20"/>
      <c r="H75" s="49">
        <f>'Pg4 BK-1 Rev TO5 C4-Cost Adj '!E76</f>
        <v>0</v>
      </c>
      <c r="J75" s="41">
        <f>F75-H75</f>
        <v>0</v>
      </c>
      <c r="K75" s="2" t="s">
        <v>94</v>
      </c>
      <c r="L75" s="2">
        <f t="shared" si="4"/>
        <v>20</v>
      </c>
    </row>
    <row r="76" spans="1:12" ht="18.75" x14ac:dyDescent="0.25">
      <c r="A76" s="2">
        <f t="shared" si="3"/>
        <v>21</v>
      </c>
      <c r="B76" s="32" t="s">
        <v>55</v>
      </c>
      <c r="C76" s="19"/>
      <c r="D76" s="19"/>
      <c r="E76" s="19"/>
      <c r="F76" s="55">
        <f>'Pg3 BK-1 Rev TO5 C4'!E76</f>
        <v>0</v>
      </c>
      <c r="G76" s="20"/>
      <c r="H76" s="55">
        <f>'Pg4 BK-1 Rev TO5 C4-Cost Adj '!E77</f>
        <v>0</v>
      </c>
      <c r="J76" s="531">
        <f>F76-H76</f>
        <v>0</v>
      </c>
      <c r="K76" s="2" t="s">
        <v>95</v>
      </c>
      <c r="L76" s="2">
        <f t="shared" si="4"/>
        <v>21</v>
      </c>
    </row>
    <row r="77" spans="1:12" ht="15.75" x14ac:dyDescent="0.25">
      <c r="A77" s="2">
        <f t="shared" si="3"/>
        <v>22</v>
      </c>
      <c r="B77" s="27" t="s">
        <v>96</v>
      </c>
      <c r="C77" s="19"/>
      <c r="D77" s="19"/>
      <c r="E77" s="19"/>
      <c r="F77" s="48">
        <f>F75*F76</f>
        <v>0</v>
      </c>
      <c r="G77" s="20"/>
      <c r="H77" s="48">
        <f>H75*H76</f>
        <v>0</v>
      </c>
      <c r="J77" s="41">
        <f>F77-H77</f>
        <v>0</v>
      </c>
      <c r="K77" s="28" t="s">
        <v>97</v>
      </c>
      <c r="L77" s="2">
        <f t="shared" si="4"/>
        <v>22</v>
      </c>
    </row>
    <row r="78" spans="1:12" ht="15.75" x14ac:dyDescent="0.25">
      <c r="A78" s="2">
        <f t="shared" si="3"/>
        <v>23</v>
      </c>
      <c r="B78" s="27"/>
      <c r="C78" s="19"/>
      <c r="D78" s="19"/>
      <c r="E78" s="19"/>
      <c r="F78" s="52"/>
      <c r="G78" s="20"/>
      <c r="H78" s="52"/>
      <c r="J78" s="41"/>
      <c r="K78" s="28"/>
      <c r="L78" s="2">
        <f t="shared" si="4"/>
        <v>23</v>
      </c>
    </row>
    <row r="79" spans="1:12" ht="16.5" thickBot="1" x14ac:dyDescent="0.3">
      <c r="A79" s="2">
        <f t="shared" si="3"/>
        <v>24</v>
      </c>
      <c r="B79" s="27" t="s">
        <v>98</v>
      </c>
      <c r="C79" s="19"/>
      <c r="D79" s="19"/>
      <c r="E79" s="19"/>
      <c r="F79" s="50">
        <f>F69+F73+F77</f>
        <v>0</v>
      </c>
      <c r="G79" s="20"/>
      <c r="H79" s="50">
        <f>H69+H73+H77</f>
        <v>0</v>
      </c>
      <c r="J79" s="51">
        <f>F79-H79</f>
        <v>0</v>
      </c>
      <c r="K79" s="28" t="s">
        <v>99</v>
      </c>
      <c r="L79" s="2">
        <f t="shared" si="4"/>
        <v>24</v>
      </c>
    </row>
    <row r="80" spans="1:12" ht="16.5" thickTop="1" x14ac:dyDescent="0.25">
      <c r="A80" s="2">
        <f t="shared" si="3"/>
        <v>25</v>
      </c>
      <c r="B80" s="27"/>
      <c r="C80" s="19"/>
      <c r="D80" s="19"/>
      <c r="E80" s="19"/>
      <c r="F80" s="52"/>
      <c r="G80" s="20"/>
      <c r="H80" s="52"/>
      <c r="J80" s="41"/>
      <c r="K80" s="28"/>
      <c r="L80" s="2">
        <f t="shared" si="4"/>
        <v>25</v>
      </c>
    </row>
    <row r="81" spans="1:12" ht="18.75" x14ac:dyDescent="0.25">
      <c r="A81" s="2">
        <f t="shared" si="3"/>
        <v>26</v>
      </c>
      <c r="B81" s="53" t="s">
        <v>100</v>
      </c>
      <c r="C81" s="19"/>
      <c r="D81" s="19"/>
      <c r="E81" s="19"/>
      <c r="F81" s="58"/>
      <c r="G81" s="20"/>
      <c r="H81" s="58"/>
      <c r="J81" s="41"/>
      <c r="K81" s="28"/>
      <c r="L81" s="2">
        <f t="shared" si="4"/>
        <v>26</v>
      </c>
    </row>
    <row r="82" spans="1:12" ht="15.75" x14ac:dyDescent="0.25">
      <c r="A82" s="2">
        <f t="shared" si="3"/>
        <v>27</v>
      </c>
      <c r="B82" s="27" t="s">
        <v>101</v>
      </c>
      <c r="C82" s="19"/>
      <c r="D82" s="19"/>
      <c r="E82" s="19"/>
      <c r="F82" s="59">
        <f>'Pg3 BK-1 Rev TO5 C4'!E82</f>
        <v>0</v>
      </c>
      <c r="G82" s="20"/>
      <c r="H82" s="59">
        <f>'Pg4 BK-1 Rev TO5 C4-Cost Adj '!E83</f>
        <v>0</v>
      </c>
      <c r="J82" s="41">
        <f>F82-H82</f>
        <v>0</v>
      </c>
      <c r="K82" s="2" t="s">
        <v>102</v>
      </c>
      <c r="L82" s="2">
        <f t="shared" si="4"/>
        <v>27</v>
      </c>
    </row>
    <row r="83" spans="1:12" ht="18.75" x14ac:dyDescent="0.25">
      <c r="A83" s="2">
        <f t="shared" si="3"/>
        <v>28</v>
      </c>
      <c r="B83" s="32" t="s">
        <v>49</v>
      </c>
      <c r="C83" s="19"/>
      <c r="D83" s="19"/>
      <c r="E83" s="19"/>
      <c r="F83" s="60">
        <f>'Pg3 BK-1 Rev TO5 C4'!E83</f>
        <v>9.5816789408915859E-2</v>
      </c>
      <c r="G83" s="20"/>
      <c r="H83" s="60">
        <f>'Pg4 BK-1 Rev TO5 C4-Cost Adj '!E84</f>
        <v>9.5816762149131596E-2</v>
      </c>
      <c r="J83" s="531">
        <f>F83-H83</f>
        <v>2.7259784263211628E-8</v>
      </c>
      <c r="K83" s="2" t="s">
        <v>103</v>
      </c>
      <c r="L83" s="2">
        <f t="shared" si="4"/>
        <v>28</v>
      </c>
    </row>
    <row r="84" spans="1:12" ht="15.75" x14ac:dyDescent="0.25">
      <c r="A84" s="2">
        <f t="shared" si="3"/>
        <v>29</v>
      </c>
      <c r="B84" s="27" t="s">
        <v>104</v>
      </c>
      <c r="C84" s="19"/>
      <c r="D84" s="19"/>
      <c r="E84" s="19"/>
      <c r="F84" s="61">
        <f>F82*F83</f>
        <v>0</v>
      </c>
      <c r="G84" s="20"/>
      <c r="H84" s="61">
        <f>H82*H83</f>
        <v>0</v>
      </c>
      <c r="J84" s="41">
        <f>F84-H84</f>
        <v>0</v>
      </c>
      <c r="K84" s="28" t="s">
        <v>105</v>
      </c>
      <c r="L84" s="2">
        <f t="shared" si="4"/>
        <v>29</v>
      </c>
    </row>
    <row r="85" spans="1:12" ht="15.75" x14ac:dyDescent="0.25">
      <c r="A85" s="2">
        <f t="shared" si="3"/>
        <v>30</v>
      </c>
      <c r="B85" s="27"/>
      <c r="C85" s="19"/>
      <c r="D85" s="19"/>
      <c r="E85" s="19"/>
      <c r="F85" s="59"/>
      <c r="G85" s="20"/>
      <c r="H85" s="59"/>
      <c r="J85" s="41"/>
      <c r="K85" s="28"/>
      <c r="L85" s="2">
        <f t="shared" si="4"/>
        <v>30</v>
      </c>
    </row>
    <row r="86" spans="1:12" ht="15.75" x14ac:dyDescent="0.25">
      <c r="A86" s="2">
        <f t="shared" si="3"/>
        <v>31</v>
      </c>
      <c r="B86" s="27" t="s">
        <v>101</v>
      </c>
      <c r="C86" s="19"/>
      <c r="D86" s="19"/>
      <c r="E86" s="19"/>
      <c r="F86" s="59">
        <f>'Pg3 BK-1 Rev TO5 C4'!E86</f>
        <v>0</v>
      </c>
      <c r="G86" s="20"/>
      <c r="H86" s="59">
        <f>'Pg4 BK-1 Rev TO5 C4-Cost Adj '!E87</f>
        <v>0</v>
      </c>
      <c r="J86" s="41">
        <f>F86-H86</f>
        <v>0</v>
      </c>
      <c r="K86" s="2" t="s">
        <v>106</v>
      </c>
      <c r="L86" s="2">
        <f t="shared" si="4"/>
        <v>31</v>
      </c>
    </row>
    <row r="87" spans="1:12" ht="18.75" x14ac:dyDescent="0.25">
      <c r="A87" s="2">
        <f t="shared" si="3"/>
        <v>32</v>
      </c>
      <c r="B87" s="32" t="s">
        <v>55</v>
      </c>
      <c r="C87" s="19"/>
      <c r="D87" s="19"/>
      <c r="E87" s="19"/>
      <c r="F87" s="60">
        <f>'Pg3 BK-1 Rev TO5 C4'!E87</f>
        <v>3.8994570343371454E-3</v>
      </c>
      <c r="G87" s="20"/>
      <c r="H87" s="60">
        <f>'Pg4 BK-1 Rev TO5 C4-Cost Adj '!E88</f>
        <v>3.8994570343371454E-3</v>
      </c>
      <c r="J87" s="531">
        <f>F87-H87</f>
        <v>0</v>
      </c>
      <c r="K87" s="2" t="s">
        <v>107</v>
      </c>
      <c r="L87" s="2">
        <f t="shared" si="4"/>
        <v>32</v>
      </c>
    </row>
    <row r="88" spans="1:12" ht="15.75" x14ac:dyDescent="0.25">
      <c r="A88" s="2">
        <f t="shared" si="3"/>
        <v>33</v>
      </c>
      <c r="B88" s="27" t="s">
        <v>108</v>
      </c>
      <c r="C88" s="19"/>
      <c r="D88" s="19"/>
      <c r="E88" s="19"/>
      <c r="F88" s="61">
        <f>F86*F87</f>
        <v>0</v>
      </c>
      <c r="G88" s="20"/>
      <c r="H88" s="61">
        <f>H86*H87</f>
        <v>0</v>
      </c>
      <c r="J88" s="41">
        <f>F88-H88</f>
        <v>0</v>
      </c>
      <c r="K88" s="28" t="s">
        <v>109</v>
      </c>
      <c r="L88" s="2">
        <f t="shared" si="4"/>
        <v>33</v>
      </c>
    </row>
    <row r="89" spans="1:12" ht="15.75" x14ac:dyDescent="0.25">
      <c r="A89" s="2">
        <f t="shared" si="3"/>
        <v>34</v>
      </c>
      <c r="B89" s="27"/>
      <c r="C89" s="19"/>
      <c r="D89" s="19"/>
      <c r="E89" s="19"/>
      <c r="F89" s="59"/>
      <c r="G89" s="20"/>
      <c r="H89" s="59"/>
      <c r="J89" s="41"/>
      <c r="K89" s="28"/>
      <c r="L89" s="2">
        <f t="shared" si="4"/>
        <v>34</v>
      </c>
    </row>
    <row r="90" spans="1:12" ht="16.5" thickBot="1" x14ac:dyDescent="0.3">
      <c r="A90" s="2">
        <f t="shared" si="3"/>
        <v>35</v>
      </c>
      <c r="B90" s="27" t="s">
        <v>110</v>
      </c>
      <c r="C90" s="19"/>
      <c r="D90" s="19"/>
      <c r="E90" s="19"/>
      <c r="F90" s="50">
        <f>F84+F88</f>
        <v>0</v>
      </c>
      <c r="G90" s="20"/>
      <c r="H90" s="50">
        <f>H84+H88</f>
        <v>0</v>
      </c>
      <c r="J90" s="532">
        <f>F90-H90</f>
        <v>0</v>
      </c>
      <c r="K90" s="28" t="s">
        <v>111</v>
      </c>
      <c r="L90" s="2">
        <f t="shared" si="4"/>
        <v>35</v>
      </c>
    </row>
    <row r="91" spans="1:12" ht="16.5" thickTop="1" x14ac:dyDescent="0.25">
      <c r="A91" s="2">
        <f t="shared" si="3"/>
        <v>36</v>
      </c>
      <c r="B91" s="27"/>
      <c r="C91" s="19"/>
      <c r="D91" s="19"/>
      <c r="E91" s="19"/>
      <c r="F91" s="58"/>
      <c r="G91" s="20"/>
      <c r="H91" s="58"/>
      <c r="J91" s="41"/>
      <c r="K91" s="28"/>
      <c r="L91" s="2">
        <f t="shared" si="4"/>
        <v>36</v>
      </c>
    </row>
    <row r="92" spans="1:12" ht="19.5" thickBot="1" x14ac:dyDescent="0.3">
      <c r="A92" s="2">
        <f t="shared" si="3"/>
        <v>37</v>
      </c>
      <c r="B92" s="27" t="s">
        <v>112</v>
      </c>
      <c r="C92" s="19"/>
      <c r="D92" s="19"/>
      <c r="E92" s="19"/>
      <c r="F92" s="62">
        <f>F66+F79+F90</f>
        <v>0</v>
      </c>
      <c r="G92" s="20"/>
      <c r="H92" s="62">
        <f>H66+H79+H90</f>
        <v>0</v>
      </c>
      <c r="J92" s="39">
        <f>F92-H92</f>
        <v>0</v>
      </c>
      <c r="K92" s="28" t="s">
        <v>113</v>
      </c>
      <c r="L92" s="2">
        <f t="shared" si="4"/>
        <v>37</v>
      </c>
    </row>
    <row r="93" spans="1:12" ht="16.5" thickTop="1" x14ac:dyDescent="0.25">
      <c r="A93" s="2">
        <f t="shared" si="3"/>
        <v>38</v>
      </c>
      <c r="B93" s="27"/>
      <c r="C93" s="19"/>
      <c r="D93" s="19"/>
      <c r="E93" s="19"/>
      <c r="F93" s="58"/>
      <c r="G93" s="20"/>
      <c r="H93" s="58"/>
      <c r="J93" s="41"/>
      <c r="K93" s="28"/>
      <c r="L93" s="2">
        <f t="shared" si="4"/>
        <v>38</v>
      </c>
    </row>
    <row r="94" spans="1:12" ht="19.5" thickBot="1" x14ac:dyDescent="0.3">
      <c r="A94" s="2">
        <f t="shared" si="3"/>
        <v>39</v>
      </c>
      <c r="B94" s="53" t="s">
        <v>114</v>
      </c>
      <c r="C94" s="19"/>
      <c r="D94" s="19"/>
      <c r="E94" s="19"/>
      <c r="F94" s="63">
        <f>F40+F92</f>
        <v>920270.54312519648</v>
      </c>
      <c r="G94" s="42" t="s">
        <v>33</v>
      </c>
      <c r="H94" s="62">
        <f>H40+H92</f>
        <v>917119.07939016551</v>
      </c>
      <c r="J94" s="38">
        <f>F94-H94</f>
        <v>3151.463735030964</v>
      </c>
      <c r="K94" s="28" t="s">
        <v>115</v>
      </c>
      <c r="L94" s="2">
        <f t="shared" si="4"/>
        <v>39</v>
      </c>
    </row>
    <row r="95" spans="1:12" ht="16.5" thickTop="1" x14ac:dyDescent="0.25">
      <c r="A95" s="2"/>
      <c r="B95" s="53"/>
      <c r="C95" s="19"/>
      <c r="D95" s="19"/>
      <c r="E95" s="19"/>
      <c r="F95" s="40"/>
      <c r="G95" s="42"/>
      <c r="H95" s="40"/>
      <c r="J95" s="41"/>
      <c r="K95" s="28"/>
      <c r="L95" s="2"/>
    </row>
    <row r="96" spans="1:12" ht="15.75" x14ac:dyDescent="0.25">
      <c r="A96" s="42" t="s">
        <v>33</v>
      </c>
      <c r="B96" s="12" t="str">
        <f>B42</f>
        <v>Items in BOLD have changed due to A&amp;G adj. missed in prior cost adj. filing and CEMA/WMPMA exclusion corrections compared to the original TO5 Cycle 4 filing per ER22-527 and cost adj.</v>
      </c>
      <c r="C96" s="19"/>
      <c r="D96" s="19"/>
      <c r="E96" s="19"/>
      <c r="F96" s="40"/>
      <c r="G96" s="20"/>
      <c r="H96" s="41"/>
      <c r="J96" s="41"/>
      <c r="K96" s="2"/>
      <c r="L96" s="2"/>
    </row>
    <row r="97" spans="1:12" ht="15.75" x14ac:dyDescent="0.25">
      <c r="A97" s="42"/>
      <c r="B97" s="12" t="str">
        <f>B43</f>
        <v>incl. in TO5 Cycle 5 per ER23-542.</v>
      </c>
      <c r="C97" s="19"/>
      <c r="D97" s="19"/>
      <c r="E97" s="19"/>
      <c r="F97" s="40"/>
      <c r="G97" s="20"/>
      <c r="H97" s="41"/>
      <c r="J97" s="41"/>
      <c r="K97" s="2"/>
      <c r="L97" s="2"/>
    </row>
    <row r="98" spans="1:12" ht="18.75" x14ac:dyDescent="0.25">
      <c r="A98" s="43">
        <v>1</v>
      </c>
      <c r="B98" s="27" t="s">
        <v>70</v>
      </c>
      <c r="C98" s="19"/>
      <c r="D98" s="19"/>
      <c r="E98" s="19"/>
      <c r="F98" s="5"/>
      <c r="G98" s="5"/>
      <c r="H98" s="5"/>
      <c r="I98" s="5"/>
      <c r="J98" s="5"/>
      <c r="K98" s="2"/>
      <c r="L98" s="2"/>
    </row>
    <row r="99" spans="1:12" ht="18.75" x14ac:dyDescent="0.25">
      <c r="A99" s="43">
        <v>2</v>
      </c>
      <c r="B99" s="27" t="s">
        <v>116</v>
      </c>
      <c r="C99" s="19"/>
      <c r="D99" s="19"/>
      <c r="E99" s="19"/>
      <c r="F99" s="5"/>
      <c r="G99" s="5"/>
      <c r="H99" s="5"/>
      <c r="I99" s="5"/>
      <c r="J99" s="5"/>
      <c r="K99" s="2"/>
      <c r="L99" s="2"/>
    </row>
    <row r="100" spans="1:12" ht="18.75" x14ac:dyDescent="0.25">
      <c r="A100" s="43">
        <v>3</v>
      </c>
      <c r="B100" s="27" t="s">
        <v>117</v>
      </c>
      <c r="C100" s="19"/>
      <c r="D100" s="19"/>
      <c r="E100" s="19"/>
      <c r="F100" s="5"/>
      <c r="G100" s="5"/>
      <c r="H100" s="5"/>
      <c r="I100" s="5"/>
      <c r="J100" s="5"/>
      <c r="K100" s="2"/>
      <c r="L100" s="2"/>
    </row>
    <row r="101" spans="1:12" ht="15.75" x14ac:dyDescent="0.25">
      <c r="A101" s="2"/>
      <c r="B101" s="12"/>
      <c r="C101" s="19"/>
      <c r="D101" s="19"/>
      <c r="E101" s="19"/>
      <c r="F101" s="5"/>
      <c r="G101" s="5"/>
      <c r="H101" s="5"/>
      <c r="I101" s="5"/>
      <c r="J101" s="5"/>
      <c r="K101" s="2"/>
      <c r="L101" s="2"/>
    </row>
    <row r="102" spans="1:12" ht="15.75" x14ac:dyDescent="0.25">
      <c r="A102" s="2"/>
      <c r="B102" s="5"/>
      <c r="C102" s="19"/>
      <c r="D102" s="19"/>
      <c r="E102" s="19"/>
      <c r="F102" s="5"/>
      <c r="G102" s="5"/>
      <c r="H102" s="5"/>
      <c r="I102" s="5"/>
      <c r="J102" s="5"/>
      <c r="K102" s="2"/>
      <c r="L102" s="2"/>
    </row>
    <row r="103" spans="1:12" ht="15.75" x14ac:dyDescent="0.25">
      <c r="A103" s="2"/>
      <c r="B103" s="566" t="s">
        <v>0</v>
      </c>
      <c r="C103" s="565"/>
      <c r="D103" s="565"/>
      <c r="E103" s="565"/>
      <c r="F103" s="565"/>
      <c r="G103" s="565"/>
      <c r="H103" s="565"/>
      <c r="I103" s="565"/>
      <c r="J103" s="565"/>
      <c r="K103" s="565"/>
      <c r="L103" s="2"/>
    </row>
    <row r="104" spans="1:12" ht="15.75" x14ac:dyDescent="0.25">
      <c r="A104" s="2"/>
      <c r="B104" s="566" t="str">
        <f>B3</f>
        <v>TO5 Cycle 6 Annual Informational Filing</v>
      </c>
      <c r="C104" s="565"/>
      <c r="D104" s="565"/>
      <c r="E104" s="565"/>
      <c r="F104" s="565"/>
      <c r="G104" s="565"/>
      <c r="H104" s="565"/>
      <c r="I104" s="565"/>
      <c r="J104" s="565"/>
      <c r="K104" s="565"/>
      <c r="L104" s="2"/>
    </row>
    <row r="105" spans="1:12" ht="15.75" x14ac:dyDescent="0.25">
      <c r="A105" s="2" t="s">
        <v>21</v>
      </c>
      <c r="B105" s="566" t="str">
        <f>B4</f>
        <v>Derivation of Other BTRR Adjustments Applicable to TO5 Cycle 4</v>
      </c>
      <c r="C105" s="567"/>
      <c r="D105" s="567"/>
      <c r="E105" s="567"/>
      <c r="F105" s="567"/>
      <c r="G105" s="567"/>
      <c r="H105" s="567"/>
      <c r="I105" s="567"/>
      <c r="J105" s="567"/>
      <c r="K105" s="567"/>
      <c r="L105" s="2" t="s">
        <v>21</v>
      </c>
    </row>
    <row r="106" spans="1:12" ht="15.75" x14ac:dyDescent="0.25">
      <c r="A106" s="2"/>
      <c r="B106" s="564" t="s">
        <v>2</v>
      </c>
      <c r="C106" s="565"/>
      <c r="D106" s="565"/>
      <c r="E106" s="565"/>
      <c r="F106" s="565"/>
      <c r="G106" s="565"/>
      <c r="H106" s="565"/>
      <c r="I106" s="565"/>
      <c r="J106" s="565"/>
      <c r="K106" s="565"/>
      <c r="L106" s="2"/>
    </row>
    <row r="107" spans="1:12" ht="15.75" x14ac:dyDescent="0.25">
      <c r="A107" s="2"/>
      <c r="B107" s="8"/>
      <c r="C107" s="1"/>
      <c r="D107" s="1"/>
      <c r="E107" s="1"/>
      <c r="G107" s="1"/>
      <c r="I107" s="1"/>
      <c r="K107" s="1"/>
      <c r="L107" s="2"/>
    </row>
    <row r="108" spans="1:12" ht="15.75" x14ac:dyDescent="0.25">
      <c r="A108" s="2"/>
      <c r="B108" s="8"/>
      <c r="C108" s="1"/>
      <c r="D108" s="1"/>
      <c r="E108" s="1"/>
      <c r="F108" s="10" t="s">
        <v>22</v>
      </c>
      <c r="G108"/>
      <c r="H108" s="10" t="s">
        <v>23</v>
      </c>
      <c r="I108"/>
      <c r="J108" s="10" t="s">
        <v>24</v>
      </c>
      <c r="K108" s="1"/>
      <c r="L108" s="2"/>
    </row>
    <row r="109" spans="1:12" ht="47.25" x14ac:dyDescent="0.25">
      <c r="A109" s="2" t="s">
        <v>3</v>
      </c>
      <c r="B109" s="5"/>
      <c r="C109" s="5"/>
      <c r="D109" s="5"/>
      <c r="E109" s="5"/>
      <c r="F109" s="11" t="str">
        <f>F8</f>
        <v xml:space="preserve">Revised TO5 C4 </v>
      </c>
      <c r="G109" s="12"/>
      <c r="H109" s="11" t="str">
        <f>H8</f>
        <v>As Filed TO5 C4 ER22-527 and ER23-542</v>
      </c>
      <c r="I109" s="12"/>
      <c r="J109" s="13" t="s">
        <v>25</v>
      </c>
      <c r="K109" s="2"/>
      <c r="L109" s="2" t="s">
        <v>3</v>
      </c>
    </row>
    <row r="110" spans="1:12" ht="15.75" x14ac:dyDescent="0.25">
      <c r="A110" s="3" t="s">
        <v>7</v>
      </c>
      <c r="B110" s="12" t="s">
        <v>21</v>
      </c>
      <c r="C110" s="5"/>
      <c r="D110" s="5"/>
      <c r="E110" s="5"/>
      <c r="F110" s="14" t="s">
        <v>5</v>
      </c>
      <c r="G110" s="5"/>
      <c r="H110" s="14" t="s">
        <v>5</v>
      </c>
      <c r="I110" s="5"/>
      <c r="J110" s="15" t="s">
        <v>28</v>
      </c>
      <c r="K110" s="3" t="s">
        <v>6</v>
      </c>
      <c r="L110" s="3" t="s">
        <v>7</v>
      </c>
    </row>
    <row r="111" spans="1:12" ht="15.75" x14ac:dyDescent="0.25">
      <c r="A111" s="2"/>
      <c r="B111" s="16" t="s">
        <v>118</v>
      </c>
      <c r="C111" s="64"/>
      <c r="D111" s="64"/>
      <c r="E111" s="64"/>
      <c r="F111" s="5"/>
      <c r="G111" s="5"/>
      <c r="H111" s="5"/>
      <c r="I111" s="5"/>
      <c r="J111" s="5"/>
      <c r="K111" s="2"/>
      <c r="L111" s="2"/>
    </row>
    <row r="112" spans="1:12" ht="15.75" x14ac:dyDescent="0.25">
      <c r="A112" s="2">
        <v>1</v>
      </c>
      <c r="B112" s="65" t="s">
        <v>119</v>
      </c>
      <c r="C112" s="64"/>
      <c r="D112" s="64"/>
      <c r="E112" s="64"/>
      <c r="F112" s="5"/>
      <c r="G112" s="5"/>
      <c r="H112" s="5"/>
      <c r="I112" s="5"/>
      <c r="J112" s="5"/>
      <c r="K112" s="2"/>
      <c r="L112" s="2">
        <v>1</v>
      </c>
    </row>
    <row r="113" spans="1:12" ht="15.75" x14ac:dyDescent="0.25">
      <c r="A113" s="2">
        <f t="shared" ref="A113:A150" si="5">A112+1</f>
        <v>2</v>
      </c>
      <c r="B113" s="18" t="s">
        <v>120</v>
      </c>
      <c r="C113" s="64"/>
      <c r="D113" s="64"/>
      <c r="E113" s="64"/>
      <c r="F113" s="66">
        <f>'Pg3 BK-1 Rev TO5 C4'!E113</f>
        <v>5246121.1315707676</v>
      </c>
      <c r="G113" s="42"/>
      <c r="H113" s="66">
        <f>'Pg4 BK-1 Rev TO5 C4-Cost Adj '!E114</f>
        <v>5246121.1315707676</v>
      </c>
      <c r="I113" s="5"/>
      <c r="J113" s="7">
        <f>F113-H113</f>
        <v>0</v>
      </c>
      <c r="K113" s="2" t="s">
        <v>121</v>
      </c>
      <c r="L113" s="2">
        <f>L112+1</f>
        <v>2</v>
      </c>
    </row>
    <row r="114" spans="1:12" ht="15.75" x14ac:dyDescent="0.25">
      <c r="A114" s="2">
        <f t="shared" si="5"/>
        <v>3</v>
      </c>
      <c r="B114" s="18" t="s">
        <v>122</v>
      </c>
      <c r="C114" s="64"/>
      <c r="D114" s="64"/>
      <c r="E114" s="64"/>
      <c r="F114" s="67">
        <f>'Pg3 BK-1 Rev TO5 C4'!E114</f>
        <v>6185.413608726165</v>
      </c>
      <c r="G114" s="42"/>
      <c r="H114" s="67">
        <f>'Pg4 BK-1 Rev TO5 C4-Cost Adj '!E115</f>
        <v>6185.413608726165</v>
      </c>
      <c r="J114" s="556">
        <f>F114-H114</f>
        <v>0</v>
      </c>
      <c r="K114" s="2" t="s">
        <v>123</v>
      </c>
      <c r="L114" s="2">
        <f>L113+1</f>
        <v>3</v>
      </c>
    </row>
    <row r="115" spans="1:12" ht="15.75" x14ac:dyDescent="0.25">
      <c r="A115" s="2">
        <f t="shared" si="5"/>
        <v>4</v>
      </c>
      <c r="B115" s="18" t="s">
        <v>124</v>
      </c>
      <c r="C115" s="64"/>
      <c r="D115" s="64"/>
      <c r="E115" s="64"/>
      <c r="F115" s="67">
        <f>'Pg3 BK-1 Rev TO5 C4'!E115</f>
        <v>51220.11925408426</v>
      </c>
      <c r="G115" s="42"/>
      <c r="H115" s="67">
        <f>'Pg4 BK-1 Rev TO5 C4-Cost Adj '!E116</f>
        <v>51220.11925408426</v>
      </c>
      <c r="J115" s="556">
        <f t="shared" ref="J115:J116" si="6">F115-H115</f>
        <v>0</v>
      </c>
      <c r="K115" s="2" t="s">
        <v>125</v>
      </c>
      <c r="L115" s="2">
        <f>L114+1</f>
        <v>4</v>
      </c>
    </row>
    <row r="116" spans="1:12" ht="15.75" x14ac:dyDescent="0.25">
      <c r="A116" s="2">
        <f t="shared" si="5"/>
        <v>5</v>
      </c>
      <c r="B116" s="18" t="s">
        <v>126</v>
      </c>
      <c r="C116" s="64"/>
      <c r="D116" s="64"/>
      <c r="E116" s="64"/>
      <c r="F116" s="68">
        <f>'Pg3 BK-1 Rev TO5 C4'!E116</f>
        <v>107749.97527197437</v>
      </c>
      <c r="G116" s="42"/>
      <c r="H116" s="68">
        <f>'Pg4 BK-1 Rev TO5 C4-Cost Adj '!E117</f>
        <v>107749.97527197437</v>
      </c>
      <c r="J116" s="71">
        <f t="shared" si="6"/>
        <v>0</v>
      </c>
      <c r="K116" s="2" t="s">
        <v>127</v>
      </c>
      <c r="L116" s="2">
        <f>L115+1</f>
        <v>5</v>
      </c>
    </row>
    <row r="117" spans="1:12" ht="15.75" x14ac:dyDescent="0.25">
      <c r="A117" s="2">
        <f t="shared" si="5"/>
        <v>6</v>
      </c>
      <c r="B117" s="18" t="s">
        <v>128</v>
      </c>
      <c r="C117" s="2"/>
      <c r="D117" s="2"/>
      <c r="E117" s="2"/>
      <c r="F117" s="35">
        <f>SUM(F113:F116)</f>
        <v>5411276.6397055527</v>
      </c>
      <c r="G117" s="42"/>
      <c r="H117" s="35">
        <f>SUM(H113:H116)</f>
        <v>5411276.6397055527</v>
      </c>
      <c r="J117" s="35">
        <f>SUM(J113:J116)</f>
        <v>0</v>
      </c>
      <c r="K117" s="2" t="s">
        <v>129</v>
      </c>
      <c r="L117" s="2">
        <f t="shared" ref="L117:L150" si="7">L116+1</f>
        <v>6</v>
      </c>
    </row>
    <row r="118" spans="1:12" ht="15.75" x14ac:dyDescent="0.25">
      <c r="A118" s="2">
        <f t="shared" si="5"/>
        <v>7</v>
      </c>
      <c r="B118" s="18"/>
      <c r="C118" s="2"/>
      <c r="D118" s="2"/>
      <c r="E118" s="2"/>
      <c r="F118" s="69"/>
      <c r="G118" s="5"/>
      <c r="H118" s="69"/>
      <c r="J118" s="5"/>
      <c r="K118" s="2"/>
      <c r="L118" s="2">
        <f t="shared" si="7"/>
        <v>7</v>
      </c>
    </row>
    <row r="119" spans="1:12" ht="15.75" x14ac:dyDescent="0.25">
      <c r="A119" s="2">
        <f t="shared" si="5"/>
        <v>8</v>
      </c>
      <c r="B119" s="65" t="s">
        <v>130</v>
      </c>
      <c r="C119" s="2"/>
      <c r="D119" s="2"/>
      <c r="E119" s="2"/>
      <c r="F119" s="35"/>
      <c r="G119" s="5"/>
      <c r="H119" s="35"/>
      <c r="J119" s="6"/>
      <c r="K119" s="2"/>
      <c r="L119" s="2">
        <f t="shared" si="7"/>
        <v>8</v>
      </c>
    </row>
    <row r="120" spans="1:12" ht="15.75" x14ac:dyDescent="0.25">
      <c r="A120" s="2">
        <f t="shared" si="5"/>
        <v>9</v>
      </c>
      <c r="B120" s="18" t="s">
        <v>131</v>
      </c>
      <c r="C120" s="2"/>
      <c r="D120" s="2"/>
      <c r="E120" s="2"/>
      <c r="F120" s="35">
        <f>'Pg3 BK-1 Rev TO5 C4'!E120</f>
        <v>0</v>
      </c>
      <c r="G120" s="5"/>
      <c r="H120" s="35">
        <f>'Pg4 BK-1 Rev TO5 C4-Cost Adj '!E121</f>
        <v>0</v>
      </c>
      <c r="J120" s="6">
        <f>F120-H120</f>
        <v>0</v>
      </c>
      <c r="K120" s="2" t="s">
        <v>132</v>
      </c>
      <c r="L120" s="2">
        <f t="shared" si="7"/>
        <v>9</v>
      </c>
    </row>
    <row r="121" spans="1:12" ht="15.75" x14ac:dyDescent="0.25">
      <c r="A121" s="2">
        <f t="shared" si="5"/>
        <v>10</v>
      </c>
      <c r="B121" s="18" t="s">
        <v>133</v>
      </c>
      <c r="C121" s="2"/>
      <c r="D121" s="2"/>
      <c r="E121" s="2"/>
      <c r="F121" s="70">
        <f>'Pg3 BK-1 Rev TO5 C4'!E121</f>
        <v>0</v>
      </c>
      <c r="G121" s="5"/>
      <c r="H121" s="70">
        <f>'Pg4 BK-1 Rev TO5 C4-Cost Adj '!E122</f>
        <v>0</v>
      </c>
      <c r="J121" s="71">
        <f>F121-H121</f>
        <v>0</v>
      </c>
      <c r="K121" s="2" t="s">
        <v>134</v>
      </c>
      <c r="L121" s="2">
        <f t="shared" si="7"/>
        <v>10</v>
      </c>
    </row>
    <row r="122" spans="1:12" ht="15.75" x14ac:dyDescent="0.25">
      <c r="A122" s="2">
        <f t="shared" si="5"/>
        <v>11</v>
      </c>
      <c r="B122" s="18" t="s">
        <v>135</v>
      </c>
      <c r="C122" s="2"/>
      <c r="D122" s="2"/>
      <c r="E122" s="2"/>
      <c r="F122" s="72">
        <f>SUM(F120:F121)</f>
        <v>0</v>
      </c>
      <c r="G122" s="5"/>
      <c r="H122" s="72">
        <f>SUM(H120:H121)</f>
        <v>0</v>
      </c>
      <c r="J122" s="72">
        <f>SUM(J120:J121)</f>
        <v>0</v>
      </c>
      <c r="K122" s="28" t="s">
        <v>136</v>
      </c>
      <c r="L122" s="2">
        <f t="shared" si="7"/>
        <v>11</v>
      </c>
    </row>
    <row r="123" spans="1:12" ht="15.75" x14ac:dyDescent="0.25">
      <c r="A123" s="2">
        <f t="shared" si="5"/>
        <v>12</v>
      </c>
      <c r="B123" s="18"/>
      <c r="C123" s="2"/>
      <c r="D123" s="2"/>
      <c r="E123" s="2"/>
      <c r="F123" s="69"/>
      <c r="G123" s="5"/>
      <c r="H123" s="69"/>
      <c r="J123" s="5"/>
      <c r="K123" s="2"/>
      <c r="L123" s="2">
        <f t="shared" si="7"/>
        <v>12</v>
      </c>
    </row>
    <row r="124" spans="1:12" ht="15.75" x14ac:dyDescent="0.25">
      <c r="A124" s="2">
        <f t="shared" si="5"/>
        <v>13</v>
      </c>
      <c r="B124" s="65" t="s">
        <v>137</v>
      </c>
      <c r="C124" s="5"/>
      <c r="D124" s="5"/>
      <c r="E124" s="5"/>
      <c r="F124" s="69"/>
      <c r="G124" s="5"/>
      <c r="H124" s="69"/>
      <c r="J124" s="5"/>
      <c r="K124" s="2"/>
      <c r="L124" s="2">
        <f t="shared" si="7"/>
        <v>13</v>
      </c>
    </row>
    <row r="125" spans="1:12" ht="15.75" x14ac:dyDescent="0.25">
      <c r="A125" s="2">
        <f t="shared" si="5"/>
        <v>14</v>
      </c>
      <c r="B125" s="5" t="s">
        <v>138</v>
      </c>
      <c r="C125" s="2"/>
      <c r="D125" s="2"/>
      <c r="E125" s="2"/>
      <c r="F125" s="35">
        <f>'Pg3 BK-1 Rev TO5 C4'!E125</f>
        <v>-934308.51593694778</v>
      </c>
      <c r="G125" s="42"/>
      <c r="H125" s="35">
        <f>'Pg4 BK-1 Rev TO5 C4-Cost Adj '!E126</f>
        <v>-934308.51593694778</v>
      </c>
      <c r="J125" s="6">
        <f t="shared" ref="J125" si="8">F125-H125</f>
        <v>0</v>
      </c>
      <c r="K125" s="2" t="s">
        <v>139</v>
      </c>
      <c r="L125" s="2">
        <f t="shared" si="7"/>
        <v>14</v>
      </c>
    </row>
    <row r="126" spans="1:12" ht="15.75" x14ac:dyDescent="0.25">
      <c r="A126" s="2">
        <f t="shared" si="5"/>
        <v>15</v>
      </c>
      <c r="B126" s="5" t="s">
        <v>140</v>
      </c>
      <c r="C126" s="2"/>
      <c r="D126" s="2"/>
      <c r="E126" s="2"/>
      <c r="F126" s="73">
        <f>'Pg3 BK-1 Rev TO5 C4'!E126</f>
        <v>0</v>
      </c>
      <c r="G126" s="5"/>
      <c r="H126" s="73">
        <f>'Pg4 BK-1 Rev TO5 C4-Cost Adj '!E127</f>
        <v>0</v>
      </c>
      <c r="J126" s="74">
        <f>F126-H126</f>
        <v>0</v>
      </c>
      <c r="K126" s="2" t="s">
        <v>141</v>
      </c>
      <c r="L126" s="2">
        <f t="shared" si="7"/>
        <v>15</v>
      </c>
    </row>
    <row r="127" spans="1:12" ht="15.75" x14ac:dyDescent="0.25">
      <c r="A127" s="2">
        <f t="shared" si="5"/>
        <v>16</v>
      </c>
      <c r="B127" s="5" t="s">
        <v>142</v>
      </c>
      <c r="C127" s="2"/>
      <c r="D127" s="2"/>
      <c r="E127" s="2"/>
      <c r="F127" s="35">
        <f>SUM(F125:F126)</f>
        <v>-934308.51593694778</v>
      </c>
      <c r="G127" s="42"/>
      <c r="H127" s="35">
        <f>SUM(H125:H126)</f>
        <v>-934308.51593694778</v>
      </c>
      <c r="J127" s="6">
        <f>SUM(J125:J126)</f>
        <v>0</v>
      </c>
      <c r="K127" s="28" t="s">
        <v>143</v>
      </c>
      <c r="L127" s="2">
        <f t="shared" si="7"/>
        <v>16</v>
      </c>
    </row>
    <row r="128" spans="1:12" ht="15.75" x14ac:dyDescent="0.25">
      <c r="A128" s="2">
        <f t="shared" si="5"/>
        <v>17</v>
      </c>
      <c r="B128" s="5"/>
      <c r="C128" s="2"/>
      <c r="D128" s="2"/>
      <c r="E128" s="2"/>
      <c r="F128" s="35"/>
      <c r="G128" s="5"/>
      <c r="H128" s="35"/>
      <c r="J128" s="6"/>
      <c r="K128" s="2"/>
      <c r="L128" s="2">
        <f t="shared" si="7"/>
        <v>17</v>
      </c>
    </row>
    <row r="129" spans="1:13" ht="15.75" x14ac:dyDescent="0.25">
      <c r="A129" s="2">
        <f t="shared" si="5"/>
        <v>18</v>
      </c>
      <c r="B129" s="65" t="s">
        <v>144</v>
      </c>
      <c r="C129" s="2"/>
      <c r="D129" s="2"/>
      <c r="E129" s="2"/>
      <c r="F129" s="75"/>
      <c r="G129" s="5"/>
      <c r="H129" s="75"/>
      <c r="J129" s="5"/>
      <c r="K129" s="2"/>
      <c r="L129" s="2">
        <f t="shared" si="7"/>
        <v>18</v>
      </c>
    </row>
    <row r="130" spans="1:13" ht="15.75" x14ac:dyDescent="0.25">
      <c r="A130" s="2">
        <f t="shared" si="5"/>
        <v>19</v>
      </c>
      <c r="B130" s="18" t="s">
        <v>145</v>
      </c>
      <c r="C130" s="2" t="s">
        <v>21</v>
      </c>
      <c r="D130" s="2"/>
      <c r="E130" s="2"/>
      <c r="F130" s="26">
        <f>'Pg3 BK-1 Rev TO5 C4'!E130</f>
        <v>51967.715833331946</v>
      </c>
      <c r="G130" s="42"/>
      <c r="H130" s="26">
        <f>'Pg4 BK-1 Rev TO5 C4-Cost Adj '!E131</f>
        <v>51967.715833331946</v>
      </c>
      <c r="J130" s="21">
        <f t="shared" ref="J130:J132" si="9">F130-H130</f>
        <v>0</v>
      </c>
      <c r="K130" s="2" t="s">
        <v>146</v>
      </c>
      <c r="L130" s="2">
        <f t="shared" si="7"/>
        <v>19</v>
      </c>
    </row>
    <row r="131" spans="1:13" ht="15.75" x14ac:dyDescent="0.25">
      <c r="A131" s="2">
        <f t="shared" si="5"/>
        <v>20</v>
      </c>
      <c r="B131" s="18" t="s">
        <v>147</v>
      </c>
      <c r="C131" s="2" t="s">
        <v>21</v>
      </c>
      <c r="D131" s="2"/>
      <c r="E131" s="2"/>
      <c r="F131" s="75">
        <f>'Pg3 BK-1 Rev TO5 C4'!E131</f>
        <v>37816.931501811814</v>
      </c>
      <c r="G131" s="42"/>
      <c r="H131" s="75">
        <f>'Pg4 BK-1 Rev TO5 C4-Cost Adj '!E132</f>
        <v>37816.931501811814</v>
      </c>
      <c r="J131" s="23">
        <f t="shared" si="9"/>
        <v>0</v>
      </c>
      <c r="K131" s="2" t="s">
        <v>148</v>
      </c>
      <c r="L131" s="2">
        <f t="shared" si="7"/>
        <v>20</v>
      </c>
    </row>
    <row r="132" spans="1:13" ht="15.75" x14ac:dyDescent="0.25">
      <c r="A132" s="2">
        <f t="shared" si="5"/>
        <v>21</v>
      </c>
      <c r="B132" s="18" t="s">
        <v>149</v>
      </c>
      <c r="C132" s="2" t="s">
        <v>21</v>
      </c>
      <c r="D132" s="2"/>
      <c r="E132" s="2"/>
      <c r="F132" s="464">
        <f>'Pg3 BK-1 Rev TO5 C4'!E132</f>
        <v>22499.942627419499</v>
      </c>
      <c r="G132" s="42" t="s">
        <v>33</v>
      </c>
      <c r="H132" s="76">
        <f>'Pg4 BK-1 Rev TO5 C4-Cost Adj '!E133</f>
        <v>22110.874807762932</v>
      </c>
      <c r="J132" s="25">
        <f t="shared" si="9"/>
        <v>389.06781965656774</v>
      </c>
      <c r="K132" s="2" t="s">
        <v>150</v>
      </c>
      <c r="L132" s="2">
        <f t="shared" si="7"/>
        <v>21</v>
      </c>
      <c r="M132" s="546"/>
    </row>
    <row r="133" spans="1:13" ht="15.75" x14ac:dyDescent="0.25">
      <c r="A133" s="2">
        <f t="shared" si="5"/>
        <v>22</v>
      </c>
      <c r="B133" s="18" t="s">
        <v>151</v>
      </c>
      <c r="C133" s="5"/>
      <c r="D133" s="5"/>
      <c r="E133" s="5"/>
      <c r="F133" s="34">
        <f>SUM(F130:F132)</f>
        <v>112284.58996256326</v>
      </c>
      <c r="G133" s="42" t="s">
        <v>33</v>
      </c>
      <c r="H133" s="35">
        <f>SUM(H130:H132)</f>
        <v>111895.52214290669</v>
      </c>
      <c r="J133" s="34">
        <f>SUM(J130:J132)</f>
        <v>389.06781965656774</v>
      </c>
      <c r="K133" s="28" t="s">
        <v>152</v>
      </c>
      <c r="L133" s="2">
        <f t="shared" si="7"/>
        <v>22</v>
      </c>
    </row>
    <row r="134" spans="1:13" ht="15.75" x14ac:dyDescent="0.25">
      <c r="A134" s="2">
        <f t="shared" si="5"/>
        <v>23</v>
      </c>
      <c r="B134" s="18"/>
      <c r="C134" s="5"/>
      <c r="D134" s="5"/>
      <c r="E134" s="5"/>
      <c r="F134" s="34"/>
      <c r="G134" s="42"/>
      <c r="H134" s="35"/>
      <c r="J134" s="34"/>
      <c r="K134" s="2"/>
      <c r="L134" s="2">
        <f t="shared" si="7"/>
        <v>23</v>
      </c>
    </row>
    <row r="135" spans="1:13" ht="15.75" x14ac:dyDescent="0.25">
      <c r="A135" s="2">
        <f t="shared" si="5"/>
        <v>24</v>
      </c>
      <c r="B135" s="18" t="s">
        <v>153</v>
      </c>
      <c r="C135" s="5"/>
      <c r="D135" s="5"/>
      <c r="E135" s="5"/>
      <c r="F135" s="77">
        <f>'Pg3 BK-1 Rev TO5 C4'!E135</f>
        <v>0</v>
      </c>
      <c r="G135" s="42"/>
      <c r="H135" s="77">
        <f>'Pg4 BK-1 Rev TO5 C4-Cost Adj '!E136</f>
        <v>0</v>
      </c>
      <c r="J135" s="536">
        <f>F135-H135</f>
        <v>0</v>
      </c>
      <c r="K135" s="2" t="s">
        <v>154</v>
      </c>
      <c r="L135" s="2">
        <f t="shared" si="7"/>
        <v>24</v>
      </c>
    </row>
    <row r="136" spans="1:13" ht="15.75" x14ac:dyDescent="0.25">
      <c r="A136" s="2">
        <f t="shared" si="5"/>
        <v>25</v>
      </c>
      <c r="B136" s="32" t="s">
        <v>155</v>
      </c>
      <c r="C136" s="5"/>
      <c r="D136" s="5"/>
      <c r="E136" s="5"/>
      <c r="F136" s="79">
        <f>'Pg3 BK-1 Rev TO5 C4'!E136</f>
        <v>-10867.384430895108</v>
      </c>
      <c r="G136" s="42"/>
      <c r="H136" s="79">
        <f>'Pg4 BK-1 Rev TO5 C4-Cost Adj '!E137</f>
        <v>-10867.384430895108</v>
      </c>
      <c r="J136" s="537">
        <f>F136-H136</f>
        <v>0</v>
      </c>
      <c r="K136" s="2" t="s">
        <v>156</v>
      </c>
      <c r="L136" s="2">
        <f t="shared" si="7"/>
        <v>25</v>
      </c>
    </row>
    <row r="137" spans="1:13" ht="15.75" x14ac:dyDescent="0.25">
      <c r="A137" s="2">
        <f t="shared" si="5"/>
        <v>26</v>
      </c>
      <c r="B137" s="18"/>
      <c r="C137" s="5"/>
      <c r="D137" s="5"/>
      <c r="E137" s="5"/>
      <c r="F137" s="80"/>
      <c r="G137" s="5"/>
      <c r="H137" s="80"/>
      <c r="I137" s="5"/>
      <c r="J137" s="5"/>
      <c r="K137" s="28"/>
      <c r="L137" s="2">
        <f t="shared" si="7"/>
        <v>26</v>
      </c>
    </row>
    <row r="138" spans="1:13" ht="16.5" thickBot="1" x14ac:dyDescent="0.3">
      <c r="A138" s="2">
        <f t="shared" si="5"/>
        <v>27</v>
      </c>
      <c r="B138" s="32" t="s">
        <v>157</v>
      </c>
      <c r="C138" s="5"/>
      <c r="D138" s="5"/>
      <c r="E138" s="5"/>
      <c r="F138" s="81">
        <f>F117+F122+F127+F133+F135+F136</f>
        <v>4578385.3293002732</v>
      </c>
      <c r="G138" s="42" t="s">
        <v>33</v>
      </c>
      <c r="H138" s="82">
        <f>H117+H122+H127+H133+H135+H136</f>
        <v>4577996.2614806164</v>
      </c>
      <c r="J138" s="81">
        <f>F138-H138</f>
        <v>389.0678196568042</v>
      </c>
      <c r="K138" s="28" t="s">
        <v>158</v>
      </c>
      <c r="L138" s="2">
        <f t="shared" si="7"/>
        <v>27</v>
      </c>
    </row>
    <row r="139" spans="1:13" ht="16.5" thickTop="1" x14ac:dyDescent="0.25">
      <c r="A139" s="2">
        <f t="shared" si="5"/>
        <v>28</v>
      </c>
      <c r="B139" s="18"/>
      <c r="C139" s="5"/>
      <c r="D139" s="5"/>
      <c r="E139" s="5"/>
      <c r="F139" s="34"/>
      <c r="G139" s="42"/>
      <c r="H139" s="35"/>
      <c r="J139" s="34"/>
      <c r="K139" s="2"/>
      <c r="L139" s="2">
        <f t="shared" si="7"/>
        <v>28</v>
      </c>
    </row>
    <row r="140" spans="1:13" ht="18.75" x14ac:dyDescent="0.25">
      <c r="A140" s="2">
        <f t="shared" si="5"/>
        <v>29</v>
      </c>
      <c r="B140" s="44" t="s">
        <v>159</v>
      </c>
      <c r="C140" s="5"/>
      <c r="D140" s="5"/>
      <c r="E140" s="5"/>
      <c r="F140" s="34"/>
      <c r="G140" s="42"/>
      <c r="H140" s="35"/>
      <c r="J140" s="34"/>
      <c r="K140" s="2"/>
      <c r="L140" s="2">
        <f t="shared" si="7"/>
        <v>29</v>
      </c>
    </row>
    <row r="141" spans="1:13" ht="15.75" x14ac:dyDescent="0.25">
      <c r="A141" s="2">
        <f t="shared" si="5"/>
        <v>30</v>
      </c>
      <c r="B141" s="32" t="s">
        <v>160</v>
      </c>
      <c r="C141" s="5"/>
      <c r="D141" s="5"/>
      <c r="E141" s="5"/>
      <c r="F141" s="35">
        <f>'Pg3 BK-1 Rev TO5 C4'!E141</f>
        <v>0</v>
      </c>
      <c r="G141" s="42"/>
      <c r="H141" s="35">
        <f>'Pg4 BK-1 Rev TO5 C4-Cost Adj '!E142</f>
        <v>0</v>
      </c>
      <c r="J141" s="35">
        <f>F141-H141</f>
        <v>0</v>
      </c>
      <c r="K141" s="2" t="s">
        <v>161</v>
      </c>
      <c r="L141" s="2">
        <f t="shared" si="7"/>
        <v>30</v>
      </c>
    </row>
    <row r="142" spans="1:13" ht="15.75" x14ac:dyDescent="0.25">
      <c r="A142" s="2">
        <f t="shared" si="5"/>
        <v>31</v>
      </c>
      <c r="B142" s="32" t="s">
        <v>162</v>
      </c>
      <c r="C142" s="5"/>
      <c r="D142" s="5"/>
      <c r="E142" s="5"/>
      <c r="F142" s="73">
        <f>'Pg3 BK-1 Rev TO5 C4'!E142</f>
        <v>0</v>
      </c>
      <c r="G142" s="83"/>
      <c r="H142" s="73">
        <f>'Pg4 BK-1 Rev TO5 C4-Cost Adj '!E143</f>
        <v>0</v>
      </c>
      <c r="J142" s="73">
        <f>F142-H142</f>
        <v>0</v>
      </c>
      <c r="K142" s="2" t="s">
        <v>163</v>
      </c>
      <c r="L142" s="2">
        <f t="shared" si="7"/>
        <v>31</v>
      </c>
    </row>
    <row r="143" spans="1:13" ht="15.75" x14ac:dyDescent="0.25">
      <c r="A143" s="2">
        <f t="shared" si="5"/>
        <v>32</v>
      </c>
      <c r="B143" s="27" t="s">
        <v>164</v>
      </c>
      <c r="C143" s="5"/>
      <c r="D143" s="5"/>
      <c r="E143" s="5"/>
      <c r="F143" s="35">
        <f>SUM(F141:F142)</f>
        <v>0</v>
      </c>
      <c r="G143" s="42"/>
      <c r="H143" s="35">
        <f>SUM(H141:H142)</f>
        <v>0</v>
      </c>
      <c r="J143" s="35">
        <f>SUM(J141:J142)</f>
        <v>0</v>
      </c>
      <c r="K143" s="28" t="s">
        <v>165</v>
      </c>
      <c r="L143" s="2">
        <f t="shared" si="7"/>
        <v>32</v>
      </c>
    </row>
    <row r="144" spans="1:13" ht="15.75" x14ac:dyDescent="0.25">
      <c r="A144" s="2">
        <f t="shared" si="5"/>
        <v>33</v>
      </c>
      <c r="B144" s="32"/>
      <c r="C144" s="5"/>
      <c r="D144" s="5"/>
      <c r="E144" s="5"/>
      <c r="F144" s="34"/>
      <c r="G144" s="42"/>
      <c r="H144" s="35"/>
      <c r="J144" s="34"/>
      <c r="K144" s="28"/>
      <c r="L144" s="2">
        <f t="shared" si="7"/>
        <v>33</v>
      </c>
    </row>
    <row r="145" spans="1:12" ht="18.75" x14ac:dyDescent="0.25">
      <c r="A145" s="2">
        <f t="shared" si="5"/>
        <v>34</v>
      </c>
      <c r="B145" s="44" t="s">
        <v>166</v>
      </c>
      <c r="C145" s="5"/>
      <c r="D145" s="5"/>
      <c r="E145" s="5"/>
      <c r="F145" s="34"/>
      <c r="G145" s="42"/>
      <c r="H145" s="35"/>
      <c r="J145" s="34"/>
      <c r="K145" s="28"/>
      <c r="L145" s="2">
        <f t="shared" si="7"/>
        <v>34</v>
      </c>
    </row>
    <row r="146" spans="1:12" ht="15.75" x14ac:dyDescent="0.25">
      <c r="A146" s="2">
        <f t="shared" si="5"/>
        <v>35</v>
      </c>
      <c r="B146" s="32" t="s">
        <v>167</v>
      </c>
      <c r="C146" s="5"/>
      <c r="D146" s="5"/>
      <c r="E146" s="5"/>
      <c r="F146" s="35">
        <f>'Pg3 BK-1 Rev TO5 C4'!E146</f>
        <v>0</v>
      </c>
      <c r="G146" s="42"/>
      <c r="H146" s="35">
        <f>'Pg4 BK-1 Rev TO5 C4-Cost Adj '!E147</f>
        <v>0</v>
      </c>
      <c r="J146" s="35">
        <f>F146-H146</f>
        <v>0</v>
      </c>
      <c r="K146" s="2" t="s">
        <v>168</v>
      </c>
      <c r="L146" s="2">
        <f t="shared" si="7"/>
        <v>35</v>
      </c>
    </row>
    <row r="147" spans="1:12" ht="15.75" x14ac:dyDescent="0.25">
      <c r="A147" s="2">
        <f t="shared" si="5"/>
        <v>36</v>
      </c>
      <c r="B147" s="27" t="s">
        <v>169</v>
      </c>
      <c r="C147" s="5"/>
      <c r="D147" s="5"/>
      <c r="E147" s="5"/>
      <c r="F147" s="73">
        <f>'Pg3 BK-1 Rev TO5 C4'!E147</f>
        <v>0</v>
      </c>
      <c r="G147" s="42"/>
      <c r="H147" s="73">
        <f>'Pg4 BK-1 Rev TO5 C4-Cost Adj '!E148</f>
        <v>0</v>
      </c>
      <c r="J147" s="84">
        <f>F147-H147</f>
        <v>0</v>
      </c>
      <c r="K147" s="2" t="s">
        <v>170</v>
      </c>
      <c r="L147" s="2">
        <f t="shared" si="7"/>
        <v>36</v>
      </c>
    </row>
    <row r="148" spans="1:12" ht="15.75" x14ac:dyDescent="0.25">
      <c r="A148" s="2">
        <f t="shared" si="5"/>
        <v>37</v>
      </c>
      <c r="B148" s="27" t="s">
        <v>171</v>
      </c>
      <c r="C148" s="5"/>
      <c r="D148" s="5"/>
      <c r="E148" s="5"/>
      <c r="F148" s="35">
        <f>SUM(F146:F147)</f>
        <v>0</v>
      </c>
      <c r="G148" s="42"/>
      <c r="H148" s="35">
        <f>SUM(H146:H147)</f>
        <v>0</v>
      </c>
      <c r="J148" s="35">
        <f>SUM(J146:J147)</f>
        <v>0</v>
      </c>
      <c r="K148" s="28" t="s">
        <v>172</v>
      </c>
      <c r="L148" s="2">
        <f t="shared" si="7"/>
        <v>37</v>
      </c>
    </row>
    <row r="149" spans="1:12" ht="15.75" x14ac:dyDescent="0.25">
      <c r="A149" s="2">
        <f t="shared" si="5"/>
        <v>38</v>
      </c>
      <c r="B149" s="32"/>
      <c r="C149" s="5"/>
      <c r="D149" s="5"/>
      <c r="E149" s="5"/>
      <c r="F149" s="34"/>
      <c r="G149" s="42"/>
      <c r="H149" s="35"/>
      <c r="J149" s="34"/>
      <c r="K149" s="28"/>
      <c r="L149" s="2">
        <f t="shared" si="7"/>
        <v>38</v>
      </c>
    </row>
    <row r="150" spans="1:12" ht="18.75" x14ac:dyDescent="0.25">
      <c r="A150" s="2">
        <f t="shared" si="5"/>
        <v>39</v>
      </c>
      <c r="B150" s="44" t="s">
        <v>173</v>
      </c>
      <c r="C150" s="5"/>
      <c r="D150" s="5"/>
      <c r="E150" s="5"/>
      <c r="F150" s="35">
        <f>'Pg3 BK-1 Rev TO5 C4'!E150</f>
        <v>0</v>
      </c>
      <c r="G150" s="42"/>
      <c r="H150" s="35">
        <f>'Pg4 BK-1 Rev TO5 C4-Cost Adj '!E151</f>
        <v>0</v>
      </c>
      <c r="J150" s="35">
        <f>F150-H150</f>
        <v>0</v>
      </c>
      <c r="K150" s="2" t="s">
        <v>174</v>
      </c>
      <c r="L150" s="2">
        <f t="shared" si="7"/>
        <v>39</v>
      </c>
    </row>
    <row r="151" spans="1:12" ht="15.75" x14ac:dyDescent="0.25">
      <c r="A151" s="2"/>
      <c r="B151" s="18"/>
      <c r="C151" s="5"/>
      <c r="D151" s="5"/>
      <c r="E151" s="5"/>
      <c r="F151" s="34"/>
      <c r="G151" s="42"/>
      <c r="H151" s="35"/>
      <c r="J151" s="34"/>
      <c r="K151" s="2"/>
      <c r="L151" s="2"/>
    </row>
    <row r="152" spans="1:12" ht="15.75" x14ac:dyDescent="0.25">
      <c r="A152" s="42" t="s">
        <v>33</v>
      </c>
      <c r="B152" s="12" t="str">
        <f>B42</f>
        <v>Items in BOLD have changed due to A&amp;G adj. missed in prior cost adj. filing and CEMA/WMPMA exclusion corrections compared to the original TO5 Cycle 4 filing per ER22-527 and cost adj.</v>
      </c>
      <c r="C152" s="5"/>
      <c r="D152" s="5"/>
      <c r="E152" s="5"/>
      <c r="F152" s="5"/>
      <c r="G152" s="5"/>
      <c r="H152" s="5"/>
      <c r="I152" s="5"/>
      <c r="J152" s="5"/>
      <c r="K152" s="2"/>
      <c r="L152" s="2"/>
    </row>
    <row r="153" spans="1:12" ht="15.75" x14ac:dyDescent="0.25">
      <c r="A153" s="42"/>
      <c r="B153" s="12" t="str">
        <f>B43</f>
        <v>incl. in TO5 Cycle 5 per ER23-542.</v>
      </c>
      <c r="C153" s="5"/>
      <c r="D153" s="5"/>
      <c r="E153" s="5"/>
      <c r="F153" s="5"/>
      <c r="G153" s="5"/>
      <c r="H153" s="5"/>
      <c r="I153" s="5"/>
      <c r="J153" s="5"/>
      <c r="K153" s="2"/>
      <c r="L153" s="2"/>
    </row>
    <row r="154" spans="1:12" ht="18.75" x14ac:dyDescent="0.25">
      <c r="A154" s="43">
        <v>1</v>
      </c>
      <c r="B154" s="27" t="s">
        <v>116</v>
      </c>
      <c r="C154" s="5"/>
      <c r="D154" s="5"/>
      <c r="E154" s="5"/>
      <c r="F154" s="5"/>
      <c r="G154" s="5"/>
      <c r="H154" s="5"/>
      <c r="I154" s="5"/>
      <c r="J154" s="5"/>
      <c r="K154" s="2"/>
      <c r="L154" s="2"/>
    </row>
    <row r="155" spans="1:12" ht="15.75" x14ac:dyDescent="0.25">
      <c r="A155" s="2"/>
      <c r="B155" s="12"/>
      <c r="C155" s="5"/>
      <c r="D155" s="5"/>
      <c r="E155" s="5"/>
      <c r="F155" s="5"/>
      <c r="G155" s="5"/>
      <c r="H155" s="5"/>
      <c r="I155" s="5"/>
      <c r="J155" s="5"/>
      <c r="K155" s="2"/>
      <c r="L155" s="2"/>
    </row>
    <row r="156" spans="1:12" ht="15.75" x14ac:dyDescent="0.25">
      <c r="A156" s="2"/>
      <c r="B156" s="12"/>
      <c r="C156" s="5"/>
      <c r="D156" s="5"/>
      <c r="E156" s="5"/>
      <c r="F156" s="5"/>
      <c r="G156" s="5"/>
      <c r="H156" s="5"/>
      <c r="I156" s="5"/>
      <c r="J156" s="5"/>
      <c r="K156" s="2"/>
      <c r="L156" s="2"/>
    </row>
    <row r="157" spans="1:12" ht="15.75" x14ac:dyDescent="0.25">
      <c r="A157" s="2"/>
      <c r="B157" s="566" t="s">
        <v>0</v>
      </c>
      <c r="C157" s="565"/>
      <c r="D157" s="565"/>
      <c r="E157" s="565"/>
      <c r="F157" s="565"/>
      <c r="G157" s="565"/>
      <c r="H157" s="565"/>
      <c r="I157" s="565"/>
      <c r="J157" s="565"/>
      <c r="K157" s="565"/>
      <c r="L157" s="2"/>
    </row>
    <row r="158" spans="1:12" ht="15.75" x14ac:dyDescent="0.25">
      <c r="A158" s="2" t="s">
        <v>21</v>
      </c>
      <c r="B158" s="566" t="str">
        <f>B3</f>
        <v>TO5 Cycle 6 Annual Informational Filing</v>
      </c>
      <c r="C158" s="565"/>
      <c r="D158" s="565"/>
      <c r="E158" s="565"/>
      <c r="F158" s="565"/>
      <c r="G158" s="565"/>
      <c r="H158" s="565"/>
      <c r="I158" s="565"/>
      <c r="J158" s="565"/>
      <c r="K158" s="565"/>
      <c r="L158" s="2"/>
    </row>
    <row r="159" spans="1:12" ht="15.75" x14ac:dyDescent="0.25">
      <c r="A159" s="2"/>
      <c r="B159" s="566" t="str">
        <f>B4</f>
        <v>Derivation of Other BTRR Adjustments Applicable to TO5 Cycle 4</v>
      </c>
      <c r="C159" s="567"/>
      <c r="D159" s="567"/>
      <c r="E159" s="567"/>
      <c r="F159" s="567"/>
      <c r="G159" s="567"/>
      <c r="H159" s="567"/>
      <c r="I159" s="567"/>
      <c r="J159" s="567"/>
      <c r="K159" s="567"/>
      <c r="L159" s="2"/>
    </row>
    <row r="160" spans="1:12" ht="15.75" x14ac:dyDescent="0.25">
      <c r="A160" s="2"/>
      <c r="B160" s="564" t="s">
        <v>2</v>
      </c>
      <c r="C160" s="565"/>
      <c r="D160" s="565"/>
      <c r="E160" s="565"/>
      <c r="F160" s="565"/>
      <c r="G160" s="565"/>
      <c r="H160" s="565"/>
      <c r="I160" s="565"/>
      <c r="J160" s="565"/>
      <c r="K160" s="565"/>
      <c r="L160" s="2"/>
    </row>
    <row r="161" spans="1:13" ht="15.75" x14ac:dyDescent="0.25">
      <c r="A161" s="2"/>
      <c r="B161" s="8"/>
      <c r="C161" s="1"/>
      <c r="D161" s="1"/>
      <c r="E161" s="1"/>
      <c r="G161" s="1"/>
      <c r="I161" s="1"/>
      <c r="K161" s="1"/>
      <c r="L161" s="2"/>
    </row>
    <row r="162" spans="1:13" ht="15.75" x14ac:dyDescent="0.25">
      <c r="A162" s="2"/>
      <c r="B162" s="85"/>
      <c r="F162" s="10" t="s">
        <v>22</v>
      </c>
      <c r="G162"/>
      <c r="H162" s="10" t="s">
        <v>23</v>
      </c>
      <c r="I162"/>
      <c r="J162" s="10" t="s">
        <v>24</v>
      </c>
      <c r="L162" s="2"/>
    </row>
    <row r="163" spans="1:13" ht="47.25" x14ac:dyDescent="0.25">
      <c r="A163" s="2" t="s">
        <v>3</v>
      </c>
      <c r="B163" s="5"/>
      <c r="C163" s="5"/>
      <c r="D163" s="5"/>
      <c r="E163" s="5"/>
      <c r="F163" s="11" t="str">
        <f>F8</f>
        <v xml:space="preserve">Revised TO5 C4 </v>
      </c>
      <c r="G163" s="12"/>
      <c r="H163" s="11" t="str">
        <f>H8</f>
        <v>As Filed TO5 C4 ER22-527 and ER23-542</v>
      </c>
      <c r="I163" s="12"/>
      <c r="J163" s="13" t="s">
        <v>25</v>
      </c>
      <c r="K163" s="2"/>
      <c r="L163" s="2" t="s">
        <v>3</v>
      </c>
    </row>
    <row r="164" spans="1:13" ht="15.75" x14ac:dyDescent="0.25">
      <c r="A164" s="3" t="s">
        <v>7</v>
      </c>
      <c r="B164" s="12" t="s">
        <v>21</v>
      </c>
      <c r="C164" s="5"/>
      <c r="D164" s="5"/>
      <c r="E164" s="5"/>
      <c r="F164" s="14" t="s">
        <v>5</v>
      </c>
      <c r="G164" s="5"/>
      <c r="H164" s="14" t="s">
        <v>5</v>
      </c>
      <c r="I164" s="5"/>
      <c r="J164" s="15" t="s">
        <v>28</v>
      </c>
      <c r="K164" s="3" t="s">
        <v>6</v>
      </c>
      <c r="L164" s="3" t="s">
        <v>7</v>
      </c>
    </row>
    <row r="165" spans="1:13" ht="15.75" x14ac:dyDescent="0.25">
      <c r="A165" s="2"/>
      <c r="B165" s="16" t="s">
        <v>175</v>
      </c>
      <c r="C165" s="5"/>
      <c r="D165" s="5"/>
      <c r="E165" s="5"/>
      <c r="F165" s="5"/>
      <c r="G165" s="5"/>
      <c r="H165" s="5"/>
      <c r="I165" s="5"/>
      <c r="J165" s="5"/>
      <c r="K165" s="2"/>
      <c r="L165" s="2"/>
    </row>
    <row r="166" spans="1:13" ht="15.75" x14ac:dyDescent="0.25">
      <c r="A166" s="2">
        <v>1</v>
      </c>
      <c r="B166" s="65" t="s">
        <v>176</v>
      </c>
      <c r="C166" s="5"/>
      <c r="D166" s="5"/>
      <c r="E166" s="5"/>
      <c r="F166" s="5"/>
      <c r="G166" s="5"/>
      <c r="H166" s="5"/>
      <c r="I166" s="5"/>
      <c r="J166" s="5"/>
      <c r="K166" s="2"/>
      <c r="L166" s="2">
        <v>1</v>
      </c>
    </row>
    <row r="167" spans="1:13" ht="15.75" x14ac:dyDescent="0.25">
      <c r="A167" s="2">
        <f t="shared" ref="A167:A190" si="10">A166+1</f>
        <v>2</v>
      </c>
      <c r="B167" s="18" t="s">
        <v>120</v>
      </c>
      <c r="C167" s="5"/>
      <c r="D167" s="5"/>
      <c r="E167" s="5"/>
      <c r="F167" s="26">
        <f>'Pg3 BK-1 Rev TO5 C4'!E167</f>
        <v>6632410.4084030753</v>
      </c>
      <c r="G167" s="42"/>
      <c r="H167" s="26">
        <f>'Pg4 BK-1 Rev TO5 C4-Cost Adj '!E168</f>
        <v>6632410.4084030753</v>
      </c>
      <c r="I167" s="12"/>
      <c r="J167" s="7">
        <f>F167-H167</f>
        <v>0</v>
      </c>
      <c r="K167" s="2" t="s">
        <v>177</v>
      </c>
      <c r="L167" s="2">
        <f t="shared" ref="L167:L190" si="11">L166+1</f>
        <v>2</v>
      </c>
    </row>
    <row r="168" spans="1:13" ht="15.75" x14ac:dyDescent="0.25">
      <c r="A168" s="2">
        <f t="shared" si="10"/>
        <v>3</v>
      </c>
      <c r="B168" s="18" t="s">
        <v>122</v>
      </c>
      <c r="C168" s="5"/>
      <c r="D168" s="5"/>
      <c r="E168" s="5"/>
      <c r="F168" s="75">
        <f>'Pg3 BK-1 Rev TO5 C4'!E168</f>
        <v>34627.403972329441</v>
      </c>
      <c r="G168" s="42"/>
      <c r="H168" s="75">
        <f>'Pg4 BK-1 Rev TO5 C4-Cost Adj '!E169</f>
        <v>34627.403972329441</v>
      </c>
      <c r="J168" s="556">
        <f>F168-H168</f>
        <v>0</v>
      </c>
      <c r="K168" s="2" t="s">
        <v>178</v>
      </c>
      <c r="L168" s="2">
        <f t="shared" si="11"/>
        <v>3</v>
      </c>
    </row>
    <row r="169" spans="1:13" ht="15.75" x14ac:dyDescent="0.25">
      <c r="A169" s="2">
        <f t="shared" si="10"/>
        <v>4</v>
      </c>
      <c r="B169" s="18" t="s">
        <v>124</v>
      </c>
      <c r="C169" s="5"/>
      <c r="D169" s="5"/>
      <c r="E169" s="5"/>
      <c r="F169" s="75">
        <f>'Pg3 BK-1 Rev TO5 C4'!E169</f>
        <v>86594.311561361523</v>
      </c>
      <c r="G169" s="42"/>
      <c r="H169" s="75">
        <f>'Pg4 BK-1 Rev TO5 C4-Cost Adj '!E170</f>
        <v>86594.311561361523</v>
      </c>
      <c r="J169" s="556">
        <f t="shared" ref="J169:J170" si="12">F169-H169</f>
        <v>0</v>
      </c>
      <c r="K169" s="2" t="s">
        <v>179</v>
      </c>
      <c r="L169" s="2">
        <f t="shared" si="11"/>
        <v>4</v>
      </c>
      <c r="M169" s="86"/>
    </row>
    <row r="170" spans="1:13" ht="15.75" x14ac:dyDescent="0.25">
      <c r="A170" s="2">
        <f t="shared" si="10"/>
        <v>5</v>
      </c>
      <c r="B170" s="18" t="s">
        <v>126</v>
      </c>
      <c r="C170" s="2" t="s">
        <v>21</v>
      </c>
      <c r="D170" s="2"/>
      <c r="E170" s="2"/>
      <c r="F170" s="76">
        <f>'Pg3 BK-1 Rev TO5 C4'!E170</f>
        <v>214262.5076566372</v>
      </c>
      <c r="G170" s="42"/>
      <c r="H170" s="76">
        <f>'Pg4 BK-1 Rev TO5 C4-Cost Adj '!E171</f>
        <v>214262.5076566372</v>
      </c>
      <c r="J170" s="71">
        <f t="shared" si="12"/>
        <v>0</v>
      </c>
      <c r="K170" s="2" t="s">
        <v>180</v>
      </c>
      <c r="L170" s="2">
        <f t="shared" si="11"/>
        <v>5</v>
      </c>
    </row>
    <row r="171" spans="1:13" ht="15.75" x14ac:dyDescent="0.25">
      <c r="A171" s="2">
        <f t="shared" si="10"/>
        <v>6</v>
      </c>
      <c r="B171" s="18" t="s">
        <v>181</v>
      </c>
      <c r="C171" s="5"/>
      <c r="D171" s="5"/>
      <c r="E171" s="5"/>
      <c r="F171" s="35">
        <f>SUM(F167:F170)</f>
        <v>6967894.6315934043</v>
      </c>
      <c r="G171" s="42"/>
      <c r="H171" s="35">
        <f>SUM(H167:H170)</f>
        <v>6967894.6315934043</v>
      </c>
      <c r="J171" s="35">
        <f>SUM(J167:J170)</f>
        <v>0</v>
      </c>
      <c r="K171" s="28" t="s">
        <v>129</v>
      </c>
      <c r="L171" s="2">
        <f t="shared" si="11"/>
        <v>6</v>
      </c>
      <c r="M171" s="540"/>
    </row>
    <row r="172" spans="1:13" ht="15.75" x14ac:dyDescent="0.25">
      <c r="A172" s="2">
        <f t="shared" si="10"/>
        <v>7</v>
      </c>
      <c r="B172" s="5"/>
      <c r="C172" s="2"/>
      <c r="D172" s="2"/>
      <c r="E172" s="2"/>
      <c r="F172" s="87"/>
      <c r="G172" s="5"/>
      <c r="H172" s="87"/>
      <c r="J172" s="5"/>
      <c r="K172" s="28"/>
      <c r="L172" s="2">
        <f t="shared" si="11"/>
        <v>7</v>
      </c>
    </row>
    <row r="173" spans="1:13" ht="15.75" x14ac:dyDescent="0.25">
      <c r="A173" s="2">
        <f t="shared" si="10"/>
        <v>8</v>
      </c>
      <c r="B173" s="88" t="s">
        <v>182</v>
      </c>
      <c r="C173" s="5"/>
      <c r="D173" s="5"/>
      <c r="E173" s="5"/>
      <c r="F173" s="87"/>
      <c r="G173" s="5"/>
      <c r="H173" s="87"/>
      <c r="J173" s="5"/>
      <c r="K173" s="28"/>
      <c r="L173" s="2">
        <f t="shared" si="11"/>
        <v>8</v>
      </c>
    </row>
    <row r="174" spans="1:13" ht="15.75" x14ac:dyDescent="0.25">
      <c r="A174" s="2">
        <f t="shared" si="10"/>
        <v>9</v>
      </c>
      <c r="B174" s="5" t="s">
        <v>183</v>
      </c>
      <c r="C174" s="5"/>
      <c r="D174" s="5"/>
      <c r="E174" s="5"/>
      <c r="F174" s="26">
        <f>'Pg3 BK-1 Rev TO5 C4'!E174</f>
        <v>1386289.2768323075</v>
      </c>
      <c r="G174" s="42"/>
      <c r="H174" s="26">
        <f>'Pg4 BK-1 Rev TO5 C4-Cost Adj '!E175</f>
        <v>1386289.2768323075</v>
      </c>
      <c r="J174" s="7">
        <f>F174-H174</f>
        <v>0</v>
      </c>
      <c r="K174" s="2" t="s">
        <v>184</v>
      </c>
      <c r="L174" s="2">
        <f t="shared" si="11"/>
        <v>9</v>
      </c>
    </row>
    <row r="175" spans="1:13" ht="15.75" x14ac:dyDescent="0.25">
      <c r="A175" s="2">
        <f t="shared" si="10"/>
        <v>10</v>
      </c>
      <c r="B175" s="5" t="s">
        <v>185</v>
      </c>
      <c r="C175" s="5"/>
      <c r="D175" s="5"/>
      <c r="E175" s="5"/>
      <c r="F175" s="75">
        <f>'Pg3 BK-1 Rev TO5 C4'!E175</f>
        <v>28441.990363603276</v>
      </c>
      <c r="G175" s="42"/>
      <c r="H175" s="75">
        <f>'Pg4 BK-1 Rev TO5 C4-Cost Adj '!E176</f>
        <v>28441.990363603276</v>
      </c>
      <c r="J175" s="556">
        <f t="shared" ref="J175:J177" si="13">F175-H175</f>
        <v>0</v>
      </c>
      <c r="K175" s="2" t="s">
        <v>186</v>
      </c>
      <c r="L175" s="2">
        <f t="shared" si="11"/>
        <v>10</v>
      </c>
    </row>
    <row r="176" spans="1:13" ht="15.75" x14ac:dyDescent="0.25">
      <c r="A176" s="2">
        <f t="shared" si="10"/>
        <v>11</v>
      </c>
      <c r="B176" s="5" t="s">
        <v>187</v>
      </c>
      <c r="C176" s="5"/>
      <c r="D176" s="5"/>
      <c r="E176" s="5"/>
      <c r="F176" s="75">
        <f>'Pg3 BK-1 Rev TO5 C4'!E176</f>
        <v>35374.192307277262</v>
      </c>
      <c r="G176" s="42"/>
      <c r="H176" s="75">
        <f>'Pg4 BK-1 Rev TO5 C4-Cost Adj '!E177</f>
        <v>35374.192307277262</v>
      </c>
      <c r="J176" s="556">
        <f t="shared" si="13"/>
        <v>0</v>
      </c>
      <c r="K176" s="2" t="s">
        <v>188</v>
      </c>
      <c r="L176" s="2">
        <f t="shared" si="11"/>
        <v>11</v>
      </c>
    </row>
    <row r="177" spans="1:13" ht="15.75" x14ac:dyDescent="0.25">
      <c r="A177" s="2">
        <f t="shared" si="10"/>
        <v>12</v>
      </c>
      <c r="B177" s="5" t="s">
        <v>189</v>
      </c>
      <c r="C177" s="5"/>
      <c r="D177" s="5"/>
      <c r="E177" s="5"/>
      <c r="F177" s="75">
        <f>'Pg3 BK-1 Rev TO5 C4'!E177</f>
        <v>106512.53238466283</v>
      </c>
      <c r="G177" s="42"/>
      <c r="H177" s="75">
        <f>'Pg4 BK-1 Rev TO5 C4-Cost Adj '!E178</f>
        <v>106512.53238466283</v>
      </c>
      <c r="J177" s="71">
        <f t="shared" si="13"/>
        <v>0</v>
      </c>
      <c r="K177" s="2" t="s">
        <v>190</v>
      </c>
      <c r="L177" s="2">
        <f t="shared" si="11"/>
        <v>12</v>
      </c>
    </row>
    <row r="178" spans="1:13" ht="15.75" x14ac:dyDescent="0.25">
      <c r="A178" s="2">
        <f t="shared" si="10"/>
        <v>13</v>
      </c>
      <c r="B178" s="89" t="s">
        <v>191</v>
      </c>
      <c r="C178" s="89"/>
      <c r="D178" s="89"/>
      <c r="E178" s="89"/>
      <c r="F178" s="90">
        <f>SUM(F174:F177)</f>
        <v>1556617.9918878509</v>
      </c>
      <c r="G178" s="42"/>
      <c r="H178" s="90">
        <f>SUM(H174:H177)</f>
        <v>1556617.9918878509</v>
      </c>
      <c r="J178" s="90">
        <f>SUM(J174:J177)</f>
        <v>0</v>
      </c>
      <c r="K178" s="28" t="s">
        <v>192</v>
      </c>
      <c r="L178" s="2">
        <f t="shared" si="11"/>
        <v>13</v>
      </c>
    </row>
    <row r="179" spans="1:13" ht="15.75" x14ac:dyDescent="0.25">
      <c r="A179" s="2">
        <f t="shared" si="10"/>
        <v>14</v>
      </c>
      <c r="B179" s="89"/>
      <c r="C179" s="89"/>
      <c r="D179" s="89"/>
      <c r="E179" s="89"/>
      <c r="F179" s="75"/>
      <c r="G179" s="5"/>
      <c r="H179" s="75"/>
      <c r="J179" s="5"/>
      <c r="K179" s="2"/>
      <c r="L179" s="2">
        <f t="shared" si="11"/>
        <v>14</v>
      </c>
    </row>
    <row r="180" spans="1:13" ht="15.75" x14ac:dyDescent="0.25">
      <c r="A180" s="2">
        <f t="shared" si="10"/>
        <v>15</v>
      </c>
      <c r="B180" s="65" t="s">
        <v>119</v>
      </c>
      <c r="C180" s="89"/>
      <c r="D180" s="89"/>
      <c r="E180" s="89"/>
      <c r="F180" s="75"/>
      <c r="G180" s="5"/>
      <c r="H180" s="75"/>
      <c r="J180" s="5"/>
      <c r="K180" s="2"/>
      <c r="L180" s="2">
        <f t="shared" si="11"/>
        <v>15</v>
      </c>
    </row>
    <row r="181" spans="1:13" ht="15.75" x14ac:dyDescent="0.25">
      <c r="A181" s="2">
        <f t="shared" si="10"/>
        <v>16</v>
      </c>
      <c r="B181" s="18" t="s">
        <v>120</v>
      </c>
      <c r="C181" s="5"/>
      <c r="D181" s="5"/>
      <c r="E181" s="5"/>
      <c r="F181" s="26">
        <f>'Pg3 BK-1 Rev TO5 C4'!E181</f>
        <v>5246121.1315707676</v>
      </c>
      <c r="G181" s="42"/>
      <c r="H181" s="26">
        <f>'Pg4 BK-1 Rev TO5 C4-Cost Adj '!E182</f>
        <v>5246121.1315707676</v>
      </c>
      <c r="J181" s="7">
        <f>F181-H181</f>
        <v>0</v>
      </c>
      <c r="K181" s="2" t="s">
        <v>193</v>
      </c>
      <c r="L181" s="2">
        <f t="shared" si="11"/>
        <v>16</v>
      </c>
    </row>
    <row r="182" spans="1:13" ht="15.75" x14ac:dyDescent="0.25">
      <c r="A182" s="2">
        <f t="shared" si="10"/>
        <v>17</v>
      </c>
      <c r="B182" s="18" t="s">
        <v>122</v>
      </c>
      <c r="C182" s="5"/>
      <c r="D182" s="5"/>
      <c r="E182" s="5"/>
      <c r="F182" s="75">
        <f>'Pg3 BK-1 Rev TO5 C4'!E182</f>
        <v>6185.413608726165</v>
      </c>
      <c r="G182" s="42"/>
      <c r="H182" s="75">
        <f>'Pg4 BK-1 Rev TO5 C4-Cost Adj '!E183</f>
        <v>6185.413608726165</v>
      </c>
      <c r="J182" s="556">
        <f t="shared" ref="J182:J184" si="14">F182-H182</f>
        <v>0</v>
      </c>
      <c r="K182" s="2" t="s">
        <v>194</v>
      </c>
      <c r="L182" s="2">
        <f t="shared" si="11"/>
        <v>17</v>
      </c>
    </row>
    <row r="183" spans="1:13" ht="15.75" x14ac:dyDescent="0.25">
      <c r="A183" s="2">
        <f t="shared" si="10"/>
        <v>18</v>
      </c>
      <c r="B183" s="18" t="s">
        <v>124</v>
      </c>
      <c r="C183" s="5"/>
      <c r="D183" s="5"/>
      <c r="E183" s="5"/>
      <c r="F183" s="75">
        <f>'Pg3 BK-1 Rev TO5 C4'!E183</f>
        <v>51220.11925408426</v>
      </c>
      <c r="G183" s="42"/>
      <c r="H183" s="75">
        <f>'Pg4 BK-1 Rev TO5 C4-Cost Adj '!E184</f>
        <v>51220.11925408426</v>
      </c>
      <c r="J183" s="556">
        <f t="shared" si="14"/>
        <v>0</v>
      </c>
      <c r="K183" s="2" t="s">
        <v>195</v>
      </c>
      <c r="L183" s="2">
        <f t="shared" si="11"/>
        <v>18</v>
      </c>
    </row>
    <row r="184" spans="1:13" ht="15.75" x14ac:dyDescent="0.25">
      <c r="A184" s="2">
        <f t="shared" si="10"/>
        <v>19</v>
      </c>
      <c r="B184" s="18" t="s">
        <v>126</v>
      </c>
      <c r="C184" s="5"/>
      <c r="D184" s="5"/>
      <c r="E184" s="5"/>
      <c r="F184" s="75">
        <f>'Pg3 BK-1 Rev TO5 C4'!E184</f>
        <v>107749.97527197437</v>
      </c>
      <c r="G184" s="42"/>
      <c r="H184" s="75">
        <f>'Pg4 BK-1 Rev TO5 C4-Cost Adj '!E185</f>
        <v>107749.97527197437</v>
      </c>
      <c r="J184" s="556">
        <f t="shared" si="14"/>
        <v>0</v>
      </c>
      <c r="K184" s="2" t="s">
        <v>196</v>
      </c>
      <c r="L184" s="2">
        <f t="shared" si="11"/>
        <v>19</v>
      </c>
    </row>
    <row r="185" spans="1:13" ht="16.5" thickBot="1" x14ac:dyDescent="0.3">
      <c r="A185" s="2">
        <f t="shared" si="10"/>
        <v>20</v>
      </c>
      <c r="B185" s="5" t="s">
        <v>128</v>
      </c>
      <c r="C185" s="5"/>
      <c r="D185" s="5"/>
      <c r="E185" s="5"/>
      <c r="F185" s="91">
        <f>SUM(F181:F184)</f>
        <v>5411276.6397055527</v>
      </c>
      <c r="G185" s="42"/>
      <c r="H185" s="91">
        <f>SUM(H181:H184)</f>
        <v>5411276.6397055527</v>
      </c>
      <c r="J185" s="91">
        <f>SUM(J181:J184)</f>
        <v>0</v>
      </c>
      <c r="K185" s="2" t="s">
        <v>197</v>
      </c>
      <c r="L185" s="2">
        <f t="shared" si="11"/>
        <v>20</v>
      </c>
      <c r="M185" s="539"/>
    </row>
    <row r="186" spans="1:13" ht="16.5" thickTop="1" x14ac:dyDescent="0.25">
      <c r="A186" s="2">
        <f t="shared" si="10"/>
        <v>21</v>
      </c>
      <c r="B186" s="5"/>
      <c r="C186" s="5"/>
      <c r="D186" s="5"/>
      <c r="E186" s="5"/>
      <c r="F186" s="34"/>
      <c r="G186" s="42"/>
      <c r="H186" s="35"/>
      <c r="J186" s="34"/>
      <c r="K186" s="2"/>
      <c r="L186" s="2">
        <f t="shared" si="11"/>
        <v>21</v>
      </c>
    </row>
    <row r="187" spans="1:13" ht="18.75" x14ac:dyDescent="0.25">
      <c r="A187" s="2">
        <f t="shared" si="10"/>
        <v>22</v>
      </c>
      <c r="B187" s="44" t="s">
        <v>198</v>
      </c>
      <c r="C187" s="5"/>
      <c r="D187" s="5"/>
      <c r="E187" s="5"/>
      <c r="F187" s="34"/>
      <c r="G187" s="42"/>
      <c r="H187" s="35"/>
      <c r="J187" s="34"/>
      <c r="K187" s="2"/>
      <c r="L187" s="2">
        <f t="shared" si="11"/>
        <v>22</v>
      </c>
    </row>
    <row r="188" spans="1:13" ht="15.75" x14ac:dyDescent="0.25">
      <c r="A188" s="2">
        <f t="shared" si="10"/>
        <v>23</v>
      </c>
      <c r="B188" s="32" t="s">
        <v>199</v>
      </c>
      <c r="C188" s="5"/>
      <c r="D188" s="5"/>
      <c r="E188" s="5"/>
      <c r="F188" s="35">
        <f>'Pg3 BK-1 Rev TO5 C4'!E188</f>
        <v>0</v>
      </c>
      <c r="G188" s="42"/>
      <c r="H188" s="35">
        <f>'Pg4 BK-1 Rev TO5 C4-Cost Adj '!E189</f>
        <v>0</v>
      </c>
      <c r="J188" s="35">
        <f>F188-H188</f>
        <v>0</v>
      </c>
      <c r="K188" s="2" t="s">
        <v>200</v>
      </c>
      <c r="L188" s="2">
        <f t="shared" si="11"/>
        <v>23</v>
      </c>
    </row>
    <row r="189" spans="1:13" ht="15.75" x14ac:dyDescent="0.25">
      <c r="A189" s="2">
        <f t="shared" si="10"/>
        <v>24</v>
      </c>
      <c r="B189" s="27" t="s">
        <v>201</v>
      </c>
      <c r="C189" s="5"/>
      <c r="D189" s="5"/>
      <c r="E189" s="5"/>
      <c r="F189" s="73">
        <f>'Pg3 BK-1 Rev TO5 C4'!E189</f>
        <v>0</v>
      </c>
      <c r="G189" s="83"/>
      <c r="H189" s="73">
        <f>'Pg4 BK-1 Rev TO5 C4-Cost Adj '!E190</f>
        <v>0</v>
      </c>
      <c r="J189" s="78">
        <f>F189-H189</f>
        <v>0</v>
      </c>
      <c r="K189" s="2" t="s">
        <v>202</v>
      </c>
      <c r="L189" s="2">
        <f t="shared" si="11"/>
        <v>24</v>
      </c>
    </row>
    <row r="190" spans="1:13" ht="16.5" thickBot="1" x14ac:dyDescent="0.3">
      <c r="A190" s="2">
        <f t="shared" si="10"/>
        <v>25</v>
      </c>
      <c r="B190" s="32" t="s">
        <v>203</v>
      </c>
      <c r="C190" s="5"/>
      <c r="D190" s="5"/>
      <c r="E190" s="5"/>
      <c r="F190" s="82">
        <f>F188-F189</f>
        <v>0</v>
      </c>
      <c r="G190" s="42"/>
      <c r="H190" s="82">
        <f>H188-H189</f>
        <v>0</v>
      </c>
      <c r="J190" s="91">
        <f>F190-H190</f>
        <v>0</v>
      </c>
      <c r="K190" s="28" t="s">
        <v>204</v>
      </c>
      <c r="L190" s="2">
        <f t="shared" si="11"/>
        <v>25</v>
      </c>
    </row>
    <row r="191" spans="1:13" ht="16.5" thickTop="1" x14ac:dyDescent="0.25">
      <c r="A191" s="2"/>
      <c r="B191" s="32"/>
      <c r="C191" s="5"/>
      <c r="D191" s="5"/>
      <c r="E191" s="5"/>
      <c r="F191" s="35"/>
      <c r="G191" s="42"/>
      <c r="H191" s="35"/>
      <c r="J191" s="35"/>
      <c r="K191" s="28"/>
      <c r="L191" s="2"/>
    </row>
    <row r="192" spans="1:13" ht="15.75" x14ac:dyDescent="0.25">
      <c r="A192" s="42" t="s">
        <v>33</v>
      </c>
      <c r="B192" s="12" t="str">
        <f>B42</f>
        <v>Items in BOLD have changed due to A&amp;G adj. missed in prior cost adj. filing and CEMA/WMPMA exclusion corrections compared to the original TO5 Cycle 4 filing per ER22-527 and cost adj.</v>
      </c>
      <c r="C192" s="5"/>
      <c r="D192" s="5"/>
      <c r="E192" s="5"/>
      <c r="F192" s="34"/>
      <c r="G192" s="42"/>
      <c r="H192" s="35"/>
      <c r="J192" s="34"/>
      <c r="K192" s="2"/>
      <c r="L192" s="2"/>
    </row>
    <row r="193" spans="1:12" ht="15.75" x14ac:dyDescent="0.25">
      <c r="A193" s="42"/>
      <c r="B193" s="12" t="str">
        <f>B43</f>
        <v>incl. in TO5 Cycle 5 per ER23-542.</v>
      </c>
      <c r="C193" s="5"/>
      <c r="D193" s="5"/>
      <c r="E193" s="5"/>
      <c r="F193" s="34"/>
      <c r="G193" s="42"/>
      <c r="H193" s="35"/>
      <c r="J193" s="34"/>
      <c r="K193" s="2"/>
      <c r="L193" s="2"/>
    </row>
    <row r="194" spans="1:12" ht="18.75" x14ac:dyDescent="0.25">
      <c r="A194" s="43">
        <v>1</v>
      </c>
      <c r="B194" s="27" t="s">
        <v>205</v>
      </c>
      <c r="C194" s="5"/>
      <c r="D194" s="5"/>
      <c r="E194" s="5"/>
      <c r="F194" s="5"/>
      <c r="G194" s="5"/>
      <c r="H194" s="5"/>
      <c r="I194" s="5"/>
      <c r="J194" s="5"/>
      <c r="K194" s="2"/>
      <c r="L194" s="2"/>
    </row>
    <row r="195" spans="1:12" ht="15.75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2"/>
    </row>
    <row r="196" spans="1:12" ht="15.75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2"/>
    </row>
    <row r="197" spans="1:12" ht="15.75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2"/>
    </row>
    <row r="198" spans="1:12" ht="15.75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2"/>
    </row>
    <row r="199" spans="1:12" ht="15.75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2"/>
    </row>
    <row r="200" spans="1:12" ht="15.75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2"/>
    </row>
    <row r="201" spans="1:12" ht="15.75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2"/>
    </row>
    <row r="202" spans="1:12" ht="15.75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2"/>
    </row>
    <row r="203" spans="1:12" ht="15.75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2"/>
    </row>
    <row r="204" spans="1:12" ht="15.75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2"/>
    </row>
    <row r="205" spans="1:12" ht="15.75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2"/>
    </row>
    <row r="206" spans="1:12" ht="15.75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2"/>
    </row>
    <row r="207" spans="1:12" ht="15.75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2"/>
    </row>
    <row r="208" spans="1:12" ht="15.75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2"/>
    </row>
    <row r="209" spans="1:12" ht="15.75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2"/>
    </row>
    <row r="210" spans="1:12" ht="15.75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2"/>
    </row>
    <row r="211" spans="1:12" ht="15.75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2"/>
    </row>
    <row r="212" spans="1:12" ht="15.75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2"/>
    </row>
    <row r="213" spans="1:12" ht="15.75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2"/>
    </row>
    <row r="214" spans="1:12" ht="15.75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2"/>
    </row>
    <row r="215" spans="1:12" ht="15.75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2"/>
    </row>
    <row r="216" spans="1:12" ht="15.75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2"/>
    </row>
    <row r="217" spans="1:12" ht="15.75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2"/>
    </row>
    <row r="218" spans="1:12" ht="15.75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2"/>
    </row>
    <row r="219" spans="1:12" ht="15.75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2"/>
    </row>
    <row r="220" spans="1:12" ht="15.75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2"/>
    </row>
    <row r="221" spans="1:12" ht="15.75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2"/>
    </row>
    <row r="222" spans="1:12" ht="15.75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2"/>
    </row>
    <row r="223" spans="1:12" ht="15.75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2"/>
    </row>
    <row r="224" spans="1:12" ht="15.75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2"/>
    </row>
    <row r="225" spans="1:12" ht="15.75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2"/>
    </row>
    <row r="226" spans="1:12" ht="15.75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2"/>
    </row>
    <row r="227" spans="1:12" ht="15.75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2"/>
    </row>
    <row r="228" spans="1:12" ht="15.75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2"/>
    </row>
    <row r="229" spans="1:12" ht="15.75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2"/>
    </row>
    <row r="230" spans="1:12" ht="15.75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2"/>
    </row>
    <row r="231" spans="1:12" ht="15.75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2"/>
    </row>
    <row r="232" spans="1:12" ht="15.75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2"/>
    </row>
  </sheetData>
  <mergeCells count="16">
    <mergeCell ref="B47:K47"/>
    <mergeCell ref="B2:K2"/>
    <mergeCell ref="B3:K3"/>
    <mergeCell ref="B4:K4"/>
    <mergeCell ref="B5:K5"/>
    <mergeCell ref="B160:K160"/>
    <mergeCell ref="B159:K159"/>
    <mergeCell ref="B48:K48"/>
    <mergeCell ref="B49:K49"/>
    <mergeCell ref="B50:K50"/>
    <mergeCell ref="B103:K103"/>
    <mergeCell ref="B104:K104"/>
    <mergeCell ref="B105:K105"/>
    <mergeCell ref="B106:K106"/>
    <mergeCell ref="B157:K157"/>
    <mergeCell ref="B158:K158"/>
  </mergeCells>
  <printOptions horizontalCentered="1"/>
  <pageMargins left="0" right="0" top="0.5" bottom="0.5" header="0.25" footer="0.25"/>
  <pageSetup scale="55" orientation="portrait" r:id="rId1"/>
  <headerFooter scaleWithDoc="0" alignWithMargins="0">
    <oddFooter>&amp;L&amp;A&amp;CPage 2.&amp;P&amp;R&amp;F</oddFooter>
  </headerFooter>
  <rowBreaks count="3" manualBreakCount="3">
    <brk id="45" max="16383" man="1"/>
    <brk id="101" max="16383" man="1"/>
    <brk id="15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F482D-14B9-4E58-AB41-34151054DBB2}">
  <sheetPr codeName="Sheet4"/>
  <dimension ref="A1:J196"/>
  <sheetViews>
    <sheetView zoomScale="80" zoomScaleNormal="80" workbookViewId="0">
      <selection activeCell="B42" sqref="B42"/>
    </sheetView>
  </sheetViews>
  <sheetFormatPr defaultColWidth="9.28515625" defaultRowHeight="15.75" x14ac:dyDescent="0.25"/>
  <cols>
    <col min="1" max="1" width="5.28515625" style="27" customWidth="1"/>
    <col min="2" max="2" width="88.28515625" style="27" customWidth="1"/>
    <col min="3" max="3" width="10.42578125" style="27" customWidth="1"/>
    <col min="4" max="4" width="1.5703125" style="27" customWidth="1"/>
    <col min="5" max="5" width="21" style="27" customWidth="1"/>
    <col min="6" max="6" width="1.5703125" style="27" customWidth="1"/>
    <col min="7" max="7" width="55.28515625" style="27" customWidth="1"/>
    <col min="8" max="8" width="5.28515625" style="28" customWidth="1"/>
    <col min="9" max="9" width="22.42578125" style="27" customWidth="1"/>
    <col min="10" max="10" width="20.28515625" style="27" bestFit="1" customWidth="1"/>
    <col min="11" max="16384" width="9.28515625" style="27"/>
  </cols>
  <sheetData>
    <row r="1" spans="1:10" x14ac:dyDescent="0.25">
      <c r="G1" s="98"/>
    </row>
    <row r="2" spans="1:10" x14ac:dyDescent="0.25">
      <c r="A2" s="28"/>
      <c r="B2" s="572" t="s">
        <v>206</v>
      </c>
      <c r="C2" s="571"/>
      <c r="D2" s="571"/>
      <c r="E2" s="571"/>
      <c r="F2" s="571"/>
      <c r="G2" s="571"/>
    </row>
    <row r="3" spans="1:10" x14ac:dyDescent="0.25">
      <c r="A3" s="28" t="s">
        <v>21</v>
      </c>
      <c r="B3" s="572" t="s">
        <v>207</v>
      </c>
      <c r="C3" s="571"/>
      <c r="D3" s="571"/>
      <c r="E3" s="571"/>
      <c r="F3" s="571"/>
      <c r="G3" s="571"/>
    </row>
    <row r="4" spans="1:10" ht="17.25" x14ac:dyDescent="0.25">
      <c r="A4" s="28"/>
      <c r="B4" s="572" t="s">
        <v>208</v>
      </c>
      <c r="C4" s="573"/>
      <c r="D4" s="573"/>
      <c r="E4" s="573"/>
      <c r="F4" s="573"/>
      <c r="G4" s="573"/>
    </row>
    <row r="5" spans="1:10" x14ac:dyDescent="0.25">
      <c r="A5" s="28"/>
      <c r="B5" s="574" t="s">
        <v>209</v>
      </c>
      <c r="C5" s="574"/>
      <c r="D5" s="574"/>
      <c r="E5" s="574"/>
      <c r="F5" s="574"/>
      <c r="G5" s="574"/>
    </row>
    <row r="6" spans="1:10" x14ac:dyDescent="0.25">
      <c r="A6" s="28"/>
      <c r="B6" s="570" t="s">
        <v>2</v>
      </c>
      <c r="C6" s="571"/>
      <c r="D6" s="571"/>
      <c r="E6" s="571"/>
      <c r="F6" s="571"/>
      <c r="G6" s="571"/>
    </row>
    <row r="7" spans="1:10" x14ac:dyDescent="0.25">
      <c r="A7" s="28"/>
      <c r="B7" s="99"/>
      <c r="C7" s="94"/>
      <c r="D7" s="94"/>
      <c r="E7" s="94"/>
      <c r="F7" s="94"/>
      <c r="G7" s="94"/>
    </row>
    <row r="8" spans="1:10" x14ac:dyDescent="0.25">
      <c r="A8" s="28" t="s">
        <v>3</v>
      </c>
      <c r="E8" s="100"/>
      <c r="G8" s="28"/>
      <c r="H8" s="28" t="s">
        <v>3</v>
      </c>
    </row>
    <row r="9" spans="1:10" ht="15.75" customHeight="1" x14ac:dyDescent="0.25">
      <c r="A9" s="102" t="s">
        <v>7</v>
      </c>
      <c r="B9" s="94" t="s">
        <v>21</v>
      </c>
      <c r="E9" s="101" t="s">
        <v>5</v>
      </c>
      <c r="G9" s="102" t="s">
        <v>6</v>
      </c>
      <c r="H9" s="102" t="s">
        <v>7</v>
      </c>
    </row>
    <row r="10" spans="1:10" x14ac:dyDescent="0.25">
      <c r="A10" s="103"/>
      <c r="B10" s="44" t="s">
        <v>29</v>
      </c>
      <c r="E10" s="104"/>
      <c r="G10" s="28"/>
      <c r="H10" s="103"/>
    </row>
    <row r="11" spans="1:10" x14ac:dyDescent="0.25">
      <c r="A11" s="28">
        <v>1</v>
      </c>
      <c r="B11" s="32" t="s">
        <v>30</v>
      </c>
      <c r="C11" s="105"/>
      <c r="D11" s="105"/>
      <c r="E11" s="298">
        <v>95535.541019356009</v>
      </c>
      <c r="F11" s="42"/>
      <c r="G11" s="28" t="s">
        <v>210</v>
      </c>
      <c r="H11" s="28">
        <f>A11</f>
        <v>1</v>
      </c>
      <c r="I11" s="106"/>
    </row>
    <row r="12" spans="1:10" x14ac:dyDescent="0.25">
      <c r="A12" s="28">
        <f t="shared" ref="A12:A40" si="0">A11+1</f>
        <v>2</v>
      </c>
      <c r="B12" s="32" t="s">
        <v>21</v>
      </c>
      <c r="C12" s="105"/>
      <c r="D12" s="105"/>
      <c r="E12" s="107" t="s">
        <v>21</v>
      </c>
      <c r="G12" s="28"/>
      <c r="H12" s="28">
        <f t="shared" ref="H12:H40" si="1">H11+1</f>
        <v>2</v>
      </c>
      <c r="I12" s="106"/>
    </row>
    <row r="13" spans="1:10" x14ac:dyDescent="0.25">
      <c r="A13" s="28">
        <f t="shared" si="0"/>
        <v>3</v>
      </c>
      <c r="B13" s="32" t="s">
        <v>32</v>
      </c>
      <c r="C13" s="105"/>
      <c r="D13" s="105"/>
      <c r="E13" s="423">
        <f>'Pg6 Rev Stmt AH'!E43</f>
        <v>84464</v>
      </c>
      <c r="F13" s="42" t="s">
        <v>33</v>
      </c>
      <c r="G13" s="28" t="s">
        <v>722</v>
      </c>
      <c r="H13" s="28">
        <f t="shared" si="1"/>
        <v>3</v>
      </c>
      <c r="I13" s="106"/>
    </row>
    <row r="14" spans="1:10" x14ac:dyDescent="0.25">
      <c r="A14" s="28">
        <f t="shared" si="0"/>
        <v>4</v>
      </c>
      <c r="B14" s="32"/>
      <c r="C14" s="105"/>
      <c r="D14" s="105"/>
      <c r="E14" s="108"/>
      <c r="F14" s="94"/>
      <c r="G14" s="28"/>
      <c r="H14" s="28">
        <f t="shared" si="1"/>
        <v>4</v>
      </c>
      <c r="J14" s="109"/>
    </row>
    <row r="15" spans="1:10" x14ac:dyDescent="0.25">
      <c r="A15" s="28">
        <f t="shared" si="0"/>
        <v>5</v>
      </c>
      <c r="B15" s="32" t="s">
        <v>35</v>
      </c>
      <c r="C15" s="105"/>
      <c r="D15" s="105"/>
      <c r="E15" s="110">
        <v>0</v>
      </c>
      <c r="G15" s="28" t="s">
        <v>211</v>
      </c>
      <c r="H15" s="28">
        <f t="shared" si="1"/>
        <v>5</v>
      </c>
      <c r="J15" s="109"/>
    </row>
    <row r="16" spans="1:10" x14ac:dyDescent="0.25">
      <c r="A16" s="28">
        <f t="shared" si="0"/>
        <v>6</v>
      </c>
      <c r="B16" s="32" t="s">
        <v>37</v>
      </c>
      <c r="C16" s="105"/>
      <c r="D16" s="105"/>
      <c r="E16" s="424">
        <f>E11+E13+E15</f>
        <v>179999.54101935599</v>
      </c>
      <c r="F16" s="42" t="s">
        <v>33</v>
      </c>
      <c r="G16" s="28" t="s">
        <v>38</v>
      </c>
      <c r="H16" s="28">
        <f t="shared" si="1"/>
        <v>6</v>
      </c>
      <c r="I16" s="111"/>
      <c r="J16" s="109"/>
    </row>
    <row r="17" spans="1:9" x14ac:dyDescent="0.25">
      <c r="A17" s="28">
        <f t="shared" si="0"/>
        <v>7</v>
      </c>
      <c r="E17" s="112"/>
      <c r="G17" s="28"/>
      <c r="H17" s="28">
        <f t="shared" si="1"/>
        <v>7</v>
      </c>
    </row>
    <row r="18" spans="1:9" x14ac:dyDescent="0.25">
      <c r="A18" s="28">
        <f t="shared" si="0"/>
        <v>8</v>
      </c>
      <c r="B18" s="27" t="s">
        <v>39</v>
      </c>
      <c r="C18" s="105"/>
      <c r="D18" s="105"/>
      <c r="E18" s="410">
        <v>225950.77038593692</v>
      </c>
      <c r="F18" s="114"/>
      <c r="G18" s="28" t="s">
        <v>258</v>
      </c>
      <c r="H18" s="28">
        <f t="shared" si="1"/>
        <v>8</v>
      </c>
    </row>
    <row r="19" spans="1:9" x14ac:dyDescent="0.25">
      <c r="A19" s="28">
        <f t="shared" si="0"/>
        <v>9</v>
      </c>
      <c r="E19" s="115" t="s">
        <v>21</v>
      </c>
      <c r="G19" s="28"/>
      <c r="H19" s="28">
        <f t="shared" si="1"/>
        <v>9</v>
      </c>
    </row>
    <row r="20" spans="1:9" ht="18.75" x14ac:dyDescent="0.25">
      <c r="A20" s="28">
        <f t="shared" si="0"/>
        <v>10</v>
      </c>
      <c r="B20" s="27" t="s">
        <v>41</v>
      </c>
      <c r="E20" s="116">
        <v>0</v>
      </c>
      <c r="G20" s="28" t="s">
        <v>212</v>
      </c>
      <c r="H20" s="28">
        <f t="shared" si="1"/>
        <v>10</v>
      </c>
      <c r="I20" s="106"/>
    </row>
    <row r="21" spans="1:9" x14ac:dyDescent="0.25">
      <c r="A21" s="28">
        <f t="shared" si="0"/>
        <v>11</v>
      </c>
      <c r="E21" s="115"/>
      <c r="G21" s="28"/>
      <c r="H21" s="28">
        <f t="shared" si="1"/>
        <v>11</v>
      </c>
    </row>
    <row r="22" spans="1:9" x14ac:dyDescent="0.25">
      <c r="A22" s="28">
        <f t="shared" si="0"/>
        <v>12</v>
      </c>
      <c r="B22" s="27" t="s">
        <v>43</v>
      </c>
      <c r="C22" s="105"/>
      <c r="D22" s="105"/>
      <c r="E22" s="117">
        <v>57780.481143755853</v>
      </c>
      <c r="F22" s="42"/>
      <c r="G22" s="28" t="s">
        <v>259</v>
      </c>
      <c r="H22" s="28">
        <f t="shared" si="1"/>
        <v>12</v>
      </c>
      <c r="I22" s="106"/>
    </row>
    <row r="23" spans="1:9" x14ac:dyDescent="0.25">
      <c r="A23" s="28">
        <f t="shared" si="0"/>
        <v>13</v>
      </c>
      <c r="B23" s="32"/>
      <c r="C23" s="105"/>
      <c r="D23" s="105"/>
      <c r="E23" s="118"/>
      <c r="G23" s="28"/>
      <c r="H23" s="28">
        <f t="shared" si="1"/>
        <v>13</v>
      </c>
    </row>
    <row r="24" spans="1:9" x14ac:dyDescent="0.25">
      <c r="A24" s="28">
        <f t="shared" si="0"/>
        <v>14</v>
      </c>
      <c r="B24" s="27" t="s">
        <v>45</v>
      </c>
      <c r="C24" s="105"/>
      <c r="D24" s="105"/>
      <c r="E24" s="119">
        <v>3104.6015779338113</v>
      </c>
      <c r="F24" s="94"/>
      <c r="G24" s="28" t="s">
        <v>213</v>
      </c>
      <c r="H24" s="28">
        <f t="shared" si="1"/>
        <v>14</v>
      </c>
      <c r="I24" s="106"/>
    </row>
    <row r="25" spans="1:9" x14ac:dyDescent="0.25">
      <c r="A25" s="28">
        <f t="shared" si="0"/>
        <v>15</v>
      </c>
      <c r="B25" s="32" t="s">
        <v>47</v>
      </c>
      <c r="C25" s="105"/>
      <c r="D25" s="105"/>
      <c r="E25" s="427">
        <f>SUM(E16+E18+E20+E22+E24)</f>
        <v>466835.3941269826</v>
      </c>
      <c r="F25" s="42" t="s">
        <v>33</v>
      </c>
      <c r="G25" s="28" t="s">
        <v>48</v>
      </c>
      <c r="H25" s="28">
        <f t="shared" si="1"/>
        <v>15</v>
      </c>
    </row>
    <row r="26" spans="1:9" x14ac:dyDescent="0.25">
      <c r="A26" s="28">
        <f t="shared" si="0"/>
        <v>16</v>
      </c>
      <c r="B26" s="32"/>
      <c r="C26" s="105"/>
      <c r="D26" s="105"/>
      <c r="E26" s="120"/>
      <c r="G26" s="28"/>
      <c r="H26" s="28">
        <f t="shared" si="1"/>
        <v>16</v>
      </c>
    </row>
    <row r="27" spans="1:9" ht="18.75" x14ac:dyDescent="0.25">
      <c r="A27" s="28">
        <f t="shared" si="0"/>
        <v>17</v>
      </c>
      <c r="B27" s="32" t="s">
        <v>49</v>
      </c>
      <c r="C27" s="105"/>
      <c r="D27" s="105"/>
      <c r="E27" s="121">
        <f>'Pg8 Rev Stmt AV'!G146</f>
        <v>9.5816789408915859E-2</v>
      </c>
      <c r="F27" s="42"/>
      <c r="G27" s="28" t="s">
        <v>712</v>
      </c>
      <c r="H27" s="28">
        <f t="shared" si="1"/>
        <v>17</v>
      </c>
    </row>
    <row r="28" spans="1:9" x14ac:dyDescent="0.25">
      <c r="A28" s="28">
        <f t="shared" si="0"/>
        <v>18</v>
      </c>
      <c r="B28" s="32" t="s">
        <v>51</v>
      </c>
      <c r="C28" s="105"/>
      <c r="D28" s="105"/>
      <c r="E28" s="122">
        <f>E138</f>
        <v>4578385.3293002723</v>
      </c>
      <c r="F28" s="42" t="s">
        <v>33</v>
      </c>
      <c r="G28" s="28" t="s">
        <v>214</v>
      </c>
      <c r="H28" s="28">
        <f t="shared" si="1"/>
        <v>18</v>
      </c>
    </row>
    <row r="29" spans="1:9" x14ac:dyDescent="0.25">
      <c r="A29" s="28">
        <f t="shared" si="0"/>
        <v>19</v>
      </c>
      <c r="B29" s="27" t="s">
        <v>53</v>
      </c>
      <c r="C29" s="105"/>
      <c r="D29" s="105"/>
      <c r="E29" s="123">
        <f>E28*E27</f>
        <v>438686.18293043406</v>
      </c>
      <c r="F29" s="42" t="s">
        <v>33</v>
      </c>
      <c r="G29" s="28" t="s">
        <v>54</v>
      </c>
      <c r="H29" s="28">
        <f t="shared" si="1"/>
        <v>19</v>
      </c>
    </row>
    <row r="30" spans="1:9" x14ac:dyDescent="0.25">
      <c r="A30" s="28">
        <f t="shared" si="0"/>
        <v>20</v>
      </c>
      <c r="C30" s="105"/>
      <c r="D30" s="105"/>
      <c r="E30" s="120"/>
      <c r="G30" s="28"/>
      <c r="H30" s="28">
        <f t="shared" si="1"/>
        <v>20</v>
      </c>
    </row>
    <row r="31" spans="1:9" ht="18.75" x14ac:dyDescent="0.25">
      <c r="A31" s="28">
        <f t="shared" si="0"/>
        <v>21</v>
      </c>
      <c r="B31" s="32" t="s">
        <v>55</v>
      </c>
      <c r="C31" s="105"/>
      <c r="D31" s="108"/>
      <c r="E31" s="121">
        <f>'Pg8 Rev Stmt AV'!G179</f>
        <v>3.8994570343371454E-3</v>
      </c>
      <c r="F31" s="94"/>
      <c r="G31" s="28" t="s">
        <v>713</v>
      </c>
      <c r="H31" s="28">
        <f t="shared" si="1"/>
        <v>21</v>
      </c>
      <c r="I31" s="106"/>
    </row>
    <row r="32" spans="1:9" x14ac:dyDescent="0.25">
      <c r="A32" s="28">
        <f t="shared" si="0"/>
        <v>22</v>
      </c>
      <c r="B32" s="32" t="s">
        <v>51</v>
      </c>
      <c r="C32" s="105"/>
      <c r="D32" s="105"/>
      <c r="E32" s="122">
        <f>E138-E121</f>
        <v>4578385.3293002723</v>
      </c>
      <c r="F32" s="42" t="s">
        <v>33</v>
      </c>
      <c r="G32" s="28" t="s">
        <v>216</v>
      </c>
      <c r="H32" s="28">
        <f t="shared" si="1"/>
        <v>22</v>
      </c>
    </row>
    <row r="33" spans="1:9" x14ac:dyDescent="0.25">
      <c r="A33" s="28">
        <f t="shared" si="0"/>
        <v>23</v>
      </c>
      <c r="B33" s="27" t="s">
        <v>58</v>
      </c>
      <c r="E33" s="144">
        <f>E32*E31</f>
        <v>17853.216878245934</v>
      </c>
      <c r="F33" s="42"/>
      <c r="G33" s="28" t="s">
        <v>59</v>
      </c>
      <c r="H33" s="28">
        <f t="shared" si="1"/>
        <v>23</v>
      </c>
    </row>
    <row r="34" spans="1:9" x14ac:dyDescent="0.25">
      <c r="A34" s="28">
        <f t="shared" si="0"/>
        <v>24</v>
      </c>
      <c r="E34" s="124"/>
      <c r="G34" s="28"/>
      <c r="H34" s="28">
        <f t="shared" si="1"/>
        <v>24</v>
      </c>
    </row>
    <row r="35" spans="1:9" x14ac:dyDescent="0.25">
      <c r="A35" s="28">
        <f t="shared" si="0"/>
        <v>25</v>
      </c>
      <c r="B35" s="27" t="s">
        <v>60</v>
      </c>
      <c r="E35" s="125">
        <v>1304.0991895338727</v>
      </c>
      <c r="G35" s="28" t="s">
        <v>217</v>
      </c>
      <c r="H35" s="28">
        <f t="shared" si="1"/>
        <v>25</v>
      </c>
      <c r="I35" s="106"/>
    </row>
    <row r="36" spans="1:9" x14ac:dyDescent="0.25">
      <c r="A36" s="28">
        <f t="shared" si="0"/>
        <v>26</v>
      </c>
      <c r="B36" s="27" t="s">
        <v>62</v>
      </c>
      <c r="E36" s="126">
        <v>-4408.3500000000004</v>
      </c>
      <c r="F36" s="42"/>
      <c r="G36" s="28" t="s">
        <v>218</v>
      </c>
      <c r="H36" s="28">
        <f t="shared" si="1"/>
        <v>26</v>
      </c>
      <c r="I36" s="106"/>
    </row>
    <row r="37" spans="1:9" x14ac:dyDescent="0.25">
      <c r="A37" s="28">
        <f t="shared" si="0"/>
        <v>27</v>
      </c>
      <c r="B37" s="27" t="s">
        <v>64</v>
      </c>
      <c r="E37" s="127">
        <v>0</v>
      </c>
      <c r="G37" s="28" t="s">
        <v>219</v>
      </c>
      <c r="H37" s="28">
        <f t="shared" si="1"/>
        <v>27</v>
      </c>
    </row>
    <row r="38" spans="1:9" x14ac:dyDescent="0.25">
      <c r="A38" s="28">
        <f t="shared" si="0"/>
        <v>28</v>
      </c>
      <c r="B38" s="37" t="s">
        <v>66</v>
      </c>
      <c r="E38" s="128">
        <v>0</v>
      </c>
      <c r="G38" s="28" t="s">
        <v>220</v>
      </c>
      <c r="H38" s="28">
        <f t="shared" si="1"/>
        <v>28</v>
      </c>
      <c r="I38" s="106"/>
    </row>
    <row r="39" spans="1:9" x14ac:dyDescent="0.25">
      <c r="A39" s="28">
        <f t="shared" si="0"/>
        <v>29</v>
      </c>
      <c r="E39" s="115" t="s">
        <v>21</v>
      </c>
      <c r="G39" s="28"/>
      <c r="H39" s="28">
        <f t="shared" si="1"/>
        <v>29</v>
      </c>
      <c r="I39" s="106"/>
    </row>
    <row r="40" spans="1:9" ht="19.5" thickBot="1" x14ac:dyDescent="0.3">
      <c r="A40" s="28">
        <f t="shared" si="0"/>
        <v>30</v>
      </c>
      <c r="B40" s="27" t="s">
        <v>68</v>
      </c>
      <c r="C40" s="105"/>
      <c r="D40" s="105"/>
      <c r="E40" s="63">
        <f>E29+E33+E25+SUM(E35:E38)</f>
        <v>920270.54312519648</v>
      </c>
      <c r="F40" s="299" t="s">
        <v>33</v>
      </c>
      <c r="G40" s="92" t="s">
        <v>69</v>
      </c>
      <c r="H40" s="28">
        <f t="shared" si="1"/>
        <v>30</v>
      </c>
      <c r="I40" s="106"/>
    </row>
    <row r="41" spans="1:9" ht="16.5" thickTop="1" x14ac:dyDescent="0.25">
      <c r="A41" s="103"/>
      <c r="C41" s="105"/>
      <c r="D41" s="105"/>
      <c r="E41" s="129"/>
      <c r="F41" s="94"/>
      <c r="G41" s="103"/>
      <c r="H41" s="103"/>
      <c r="I41" s="106"/>
    </row>
    <row r="42" spans="1:9" x14ac:dyDescent="0.25">
      <c r="A42" s="42" t="s">
        <v>33</v>
      </c>
      <c r="B42" s="12" t="str">
        <f>'Pg2 BK-1 Comparison'!B42</f>
        <v>Items in BOLD have changed due to A&amp;G adj. missed in prior cost adj. filing and CEMA/WMPMA exclusion corrections compared to the original TO5 Cycle 4 filing per ER22-527 and cost adj.</v>
      </c>
      <c r="C42" s="105"/>
      <c r="D42" s="105"/>
      <c r="E42" s="129"/>
      <c r="F42" s="94"/>
      <c r="G42" s="103"/>
      <c r="H42" s="103"/>
      <c r="I42" s="106"/>
    </row>
    <row r="43" spans="1:9" x14ac:dyDescent="0.25">
      <c r="A43" s="42"/>
      <c r="B43" s="12" t="str">
        <f>'Pg2 BK-1 Comparison'!B43</f>
        <v>incl. in TO5 Cycle 5 per ER23-542.</v>
      </c>
      <c r="C43" s="105"/>
      <c r="D43" s="105"/>
      <c r="E43" s="129"/>
      <c r="F43" s="94"/>
      <c r="G43" s="103"/>
      <c r="H43" s="103"/>
      <c r="I43" s="106"/>
    </row>
    <row r="44" spans="1:9" ht="18.75" x14ac:dyDescent="0.25">
      <c r="A44" s="43">
        <v>1</v>
      </c>
      <c r="B44" s="27" t="s">
        <v>70</v>
      </c>
      <c r="C44" s="105"/>
      <c r="D44" s="105"/>
      <c r="E44" s="129"/>
      <c r="F44" s="94"/>
      <c r="G44" s="103"/>
      <c r="H44" s="103"/>
      <c r="I44" s="106"/>
    </row>
    <row r="45" spans="1:9" ht="18.75" x14ac:dyDescent="0.25">
      <c r="A45" s="43"/>
      <c r="C45" s="105"/>
      <c r="D45" s="105"/>
      <c r="E45" s="129"/>
      <c r="F45" s="94"/>
      <c r="G45" s="103"/>
      <c r="H45" s="103"/>
      <c r="I45" s="106"/>
    </row>
    <row r="46" spans="1:9" x14ac:dyDescent="0.25">
      <c r="A46" s="103"/>
      <c r="C46" s="105"/>
      <c r="D46" s="105"/>
      <c r="E46" s="129"/>
      <c r="F46" s="94"/>
      <c r="G46" s="98"/>
      <c r="H46" s="103"/>
      <c r="I46" s="106"/>
    </row>
    <row r="47" spans="1:9" x14ac:dyDescent="0.25">
      <c r="A47" s="103"/>
      <c r="B47" s="572" t="s">
        <v>206</v>
      </c>
      <c r="C47" s="571"/>
      <c r="D47" s="571"/>
      <c r="E47" s="571"/>
      <c r="F47" s="571"/>
      <c r="G47" s="571"/>
      <c r="H47" s="103"/>
      <c r="I47" s="106"/>
    </row>
    <row r="48" spans="1:9" x14ac:dyDescent="0.25">
      <c r="A48" s="103"/>
      <c r="B48" s="572" t="s">
        <v>207</v>
      </c>
      <c r="C48" s="571"/>
      <c r="D48" s="571"/>
      <c r="E48" s="571"/>
      <c r="F48" s="571"/>
      <c r="G48" s="571"/>
      <c r="H48" s="103"/>
      <c r="I48" s="106"/>
    </row>
    <row r="49" spans="1:9" ht="17.25" x14ac:dyDescent="0.25">
      <c r="A49" s="103"/>
      <c r="B49" s="572" t="s">
        <v>208</v>
      </c>
      <c r="C49" s="573"/>
      <c r="D49" s="573"/>
      <c r="E49" s="573"/>
      <c r="F49" s="573"/>
      <c r="G49" s="573"/>
      <c r="H49" s="103"/>
      <c r="I49" s="106"/>
    </row>
    <row r="50" spans="1:9" x14ac:dyDescent="0.25">
      <c r="A50" s="103"/>
      <c r="B50" s="568" t="str">
        <f>B5</f>
        <v>For the Base Period &amp; True-Up Period Ending December 31, 2020</v>
      </c>
      <c r="C50" s="569"/>
      <c r="D50" s="569"/>
      <c r="E50" s="569"/>
      <c r="F50" s="569"/>
      <c r="G50" s="569"/>
      <c r="H50" s="103"/>
      <c r="I50" s="106"/>
    </row>
    <row r="51" spans="1:9" x14ac:dyDescent="0.25">
      <c r="A51" s="103"/>
      <c r="B51" s="570" t="s">
        <v>2</v>
      </c>
      <c r="C51" s="571"/>
      <c r="D51" s="571"/>
      <c r="E51" s="571"/>
      <c r="F51" s="571"/>
      <c r="G51" s="571"/>
      <c r="H51" s="103"/>
      <c r="I51" s="106"/>
    </row>
    <row r="52" spans="1:9" x14ac:dyDescent="0.25">
      <c r="A52" s="103"/>
      <c r="C52" s="105"/>
      <c r="D52" s="105"/>
      <c r="E52" s="129"/>
      <c r="F52" s="94"/>
      <c r="G52" s="103"/>
      <c r="H52" s="103"/>
      <c r="I52" s="106"/>
    </row>
    <row r="53" spans="1:9" x14ac:dyDescent="0.25">
      <c r="A53" s="28" t="s">
        <v>3</v>
      </c>
      <c r="E53" s="100"/>
      <c r="G53" s="28"/>
      <c r="H53" s="28" t="s">
        <v>3</v>
      </c>
      <c r="I53" s="106"/>
    </row>
    <row r="54" spans="1:9" x14ac:dyDescent="0.25">
      <c r="A54" s="28" t="s">
        <v>7</v>
      </c>
      <c r="B54" s="94" t="s">
        <v>21</v>
      </c>
      <c r="E54" s="101" t="s">
        <v>5</v>
      </c>
      <c r="G54" s="102" t="s">
        <v>6</v>
      </c>
      <c r="H54" s="28" t="s">
        <v>7</v>
      </c>
      <c r="I54" s="106"/>
    </row>
    <row r="55" spans="1:9" ht="18.75" x14ac:dyDescent="0.25">
      <c r="A55" s="103"/>
      <c r="B55" s="44" t="s">
        <v>72</v>
      </c>
      <c r="E55" s="28"/>
      <c r="G55" s="28"/>
      <c r="H55" s="103"/>
      <c r="I55" s="106"/>
    </row>
    <row r="56" spans="1:9" x14ac:dyDescent="0.25">
      <c r="A56" s="28">
        <v>1</v>
      </c>
      <c r="B56" s="32" t="s">
        <v>73</v>
      </c>
      <c r="C56" s="105"/>
      <c r="D56" s="105"/>
      <c r="E56" s="130">
        <v>0</v>
      </c>
      <c r="G56" s="28" t="s">
        <v>221</v>
      </c>
      <c r="H56" s="28">
        <f>A56</f>
        <v>1</v>
      </c>
      <c r="I56" s="106"/>
    </row>
    <row r="57" spans="1:9" x14ac:dyDescent="0.25">
      <c r="A57" s="28">
        <f t="shared" ref="A57:A94" si="2">A56+1</f>
        <v>2</v>
      </c>
      <c r="B57" s="32"/>
      <c r="C57" s="105"/>
      <c r="D57" s="105"/>
      <c r="E57" s="58"/>
      <c r="G57" s="28"/>
      <c r="H57" s="28">
        <f t="shared" ref="H57:H94" si="3">H56+1</f>
        <v>2</v>
      </c>
    </row>
    <row r="58" spans="1:9" ht="18.75" x14ac:dyDescent="0.25">
      <c r="A58" s="28">
        <f t="shared" si="2"/>
        <v>3</v>
      </c>
      <c r="B58" s="32" t="s">
        <v>75</v>
      </c>
      <c r="C58" s="105"/>
      <c r="D58" s="105"/>
      <c r="E58" s="121">
        <f>'Pg8 Rev Stmt AV'!G225</f>
        <v>1.7368511652018213E-2</v>
      </c>
      <c r="F58" s="131"/>
      <c r="G58" s="28" t="s">
        <v>714</v>
      </c>
      <c r="H58" s="28">
        <f t="shared" si="3"/>
        <v>3</v>
      </c>
    </row>
    <row r="59" spans="1:9" x14ac:dyDescent="0.25">
      <c r="A59" s="28">
        <f t="shared" si="2"/>
        <v>4</v>
      </c>
      <c r="B59" s="27" t="s">
        <v>77</v>
      </c>
      <c r="C59" s="105"/>
      <c r="D59" s="105"/>
      <c r="E59" s="132">
        <f>E143</f>
        <v>0</v>
      </c>
      <c r="G59" s="28" t="s">
        <v>223</v>
      </c>
      <c r="H59" s="28">
        <f t="shared" si="3"/>
        <v>4</v>
      </c>
    </row>
    <row r="60" spans="1:9" x14ac:dyDescent="0.25">
      <c r="A60" s="28">
        <f t="shared" si="2"/>
        <v>5</v>
      </c>
      <c r="B60" s="27" t="s">
        <v>79</v>
      </c>
      <c r="E60" s="48">
        <f>E59*E58</f>
        <v>0</v>
      </c>
      <c r="G60" s="28" t="s">
        <v>80</v>
      </c>
      <c r="H60" s="28">
        <f t="shared" si="3"/>
        <v>5</v>
      </c>
    </row>
    <row r="61" spans="1:9" x14ac:dyDescent="0.25">
      <c r="A61" s="28">
        <f t="shared" si="2"/>
        <v>6</v>
      </c>
      <c r="E61" s="49"/>
      <c r="G61" s="28"/>
      <c r="H61" s="28">
        <f t="shared" si="3"/>
        <v>6</v>
      </c>
    </row>
    <row r="62" spans="1:9" ht="18.75" x14ac:dyDescent="0.25">
      <c r="A62" s="28">
        <f t="shared" si="2"/>
        <v>7</v>
      </c>
      <c r="B62" s="32" t="s">
        <v>55</v>
      </c>
      <c r="E62" s="121">
        <f>'Pg8 Rev Stmt AV'!G258</f>
        <v>0</v>
      </c>
      <c r="G62" s="28" t="s">
        <v>715</v>
      </c>
      <c r="H62" s="28">
        <f t="shared" si="3"/>
        <v>7</v>
      </c>
    </row>
    <row r="63" spans="1:9" x14ac:dyDescent="0.25">
      <c r="A63" s="28">
        <f t="shared" si="2"/>
        <v>8</v>
      </c>
      <c r="B63" s="27" t="s">
        <v>77</v>
      </c>
      <c r="E63" s="132">
        <f>E143</f>
        <v>0</v>
      </c>
      <c r="G63" s="28" t="s">
        <v>223</v>
      </c>
      <c r="H63" s="28">
        <f t="shared" si="3"/>
        <v>8</v>
      </c>
    </row>
    <row r="64" spans="1:9" x14ac:dyDescent="0.25">
      <c r="A64" s="28">
        <f t="shared" si="2"/>
        <v>9</v>
      </c>
      <c r="B64" s="27" t="s">
        <v>58</v>
      </c>
      <c r="E64" s="48">
        <f>E63*E62</f>
        <v>0</v>
      </c>
      <c r="G64" s="28" t="s">
        <v>83</v>
      </c>
      <c r="H64" s="28">
        <f t="shared" si="3"/>
        <v>9</v>
      </c>
    </row>
    <row r="65" spans="1:9" x14ac:dyDescent="0.25">
      <c r="A65" s="28">
        <f t="shared" si="2"/>
        <v>10</v>
      </c>
      <c r="E65" s="49"/>
      <c r="G65" s="28"/>
      <c r="H65" s="28">
        <f t="shared" si="3"/>
        <v>10</v>
      </c>
    </row>
    <row r="66" spans="1:9" ht="16.5" thickBot="1" x14ac:dyDescent="0.3">
      <c r="A66" s="28">
        <f t="shared" si="2"/>
        <v>11</v>
      </c>
      <c r="B66" s="27" t="s">
        <v>84</v>
      </c>
      <c r="E66" s="50">
        <f>E56+E60+E64</f>
        <v>0</v>
      </c>
      <c r="G66" s="28" t="s">
        <v>85</v>
      </c>
      <c r="H66" s="28">
        <f t="shared" si="3"/>
        <v>11</v>
      </c>
    </row>
    <row r="67" spans="1:9" ht="16.5" thickTop="1" x14ac:dyDescent="0.25">
      <c r="A67" s="28">
        <f t="shared" si="2"/>
        <v>12</v>
      </c>
      <c r="E67" s="52"/>
      <c r="G67" s="28"/>
      <c r="H67" s="28">
        <f t="shared" si="3"/>
        <v>12</v>
      </c>
    </row>
    <row r="68" spans="1:9" ht="18.75" x14ac:dyDescent="0.25">
      <c r="A68" s="28">
        <f t="shared" si="2"/>
        <v>13</v>
      </c>
      <c r="B68" s="53" t="s">
        <v>86</v>
      </c>
      <c r="E68" s="52"/>
      <c r="G68" s="28"/>
      <c r="H68" s="28">
        <f t="shared" si="3"/>
        <v>13</v>
      </c>
    </row>
    <row r="69" spans="1:9" x14ac:dyDescent="0.25">
      <c r="A69" s="28">
        <f t="shared" si="2"/>
        <v>14</v>
      </c>
      <c r="B69" s="32" t="s">
        <v>87</v>
      </c>
      <c r="E69" s="133">
        <v>0</v>
      </c>
      <c r="G69" s="28" t="s">
        <v>225</v>
      </c>
      <c r="H69" s="28">
        <f t="shared" si="3"/>
        <v>14</v>
      </c>
    </row>
    <row r="70" spans="1:9" x14ac:dyDescent="0.25">
      <c r="A70" s="28">
        <f t="shared" si="2"/>
        <v>15</v>
      </c>
      <c r="B70" s="32"/>
      <c r="E70" s="54"/>
      <c r="G70" s="28"/>
      <c r="H70" s="28">
        <f t="shared" si="3"/>
        <v>15</v>
      </c>
    </row>
    <row r="71" spans="1:9" x14ac:dyDescent="0.25">
      <c r="A71" s="28">
        <f t="shared" si="2"/>
        <v>16</v>
      </c>
      <c r="B71" s="32" t="s">
        <v>89</v>
      </c>
      <c r="E71" s="133">
        <f>E148</f>
        <v>0</v>
      </c>
      <c r="G71" s="28" t="s">
        <v>226</v>
      </c>
      <c r="H71" s="28">
        <f t="shared" si="3"/>
        <v>16</v>
      </c>
    </row>
    <row r="72" spans="1:9" ht="18.75" x14ac:dyDescent="0.25">
      <c r="A72" s="28">
        <f t="shared" si="2"/>
        <v>17</v>
      </c>
      <c r="B72" s="32" t="s">
        <v>49</v>
      </c>
      <c r="C72" s="105"/>
      <c r="D72" s="108"/>
      <c r="E72" s="134">
        <f>'Pg8 Rev Stmt AV'!G146</f>
        <v>9.5816789408915859E-2</v>
      </c>
      <c r="F72" s="42"/>
      <c r="G72" s="28" t="s">
        <v>712</v>
      </c>
      <c r="H72" s="28">
        <f t="shared" si="3"/>
        <v>17</v>
      </c>
    </row>
    <row r="73" spans="1:9" x14ac:dyDescent="0.25">
      <c r="A73" s="28">
        <f t="shared" si="2"/>
        <v>18</v>
      </c>
      <c r="B73" s="27" t="s">
        <v>92</v>
      </c>
      <c r="E73" s="48">
        <f>E71*E72</f>
        <v>0</v>
      </c>
      <c r="G73" s="28" t="s">
        <v>93</v>
      </c>
      <c r="H73" s="28">
        <f t="shared" si="3"/>
        <v>18</v>
      </c>
    </row>
    <row r="74" spans="1:9" x14ac:dyDescent="0.25">
      <c r="A74" s="28">
        <f t="shared" si="2"/>
        <v>19</v>
      </c>
      <c r="E74" s="49"/>
      <c r="G74" s="28"/>
      <c r="H74" s="28">
        <f t="shared" si="3"/>
        <v>19</v>
      </c>
    </row>
    <row r="75" spans="1:9" x14ac:dyDescent="0.25">
      <c r="A75" s="28">
        <f t="shared" si="2"/>
        <v>20</v>
      </c>
      <c r="B75" s="32" t="s">
        <v>89</v>
      </c>
      <c r="E75" s="133">
        <f>E148</f>
        <v>0</v>
      </c>
      <c r="G75" s="28" t="s">
        <v>226</v>
      </c>
      <c r="H75" s="28">
        <f t="shared" si="3"/>
        <v>20</v>
      </c>
    </row>
    <row r="76" spans="1:9" ht="18.75" x14ac:dyDescent="0.25">
      <c r="A76" s="28">
        <f t="shared" si="2"/>
        <v>21</v>
      </c>
      <c r="B76" s="32" t="s">
        <v>55</v>
      </c>
      <c r="C76" s="135"/>
      <c r="D76" s="108"/>
      <c r="E76" s="136">
        <v>0</v>
      </c>
      <c r="F76" s="94"/>
      <c r="G76" s="28" t="s">
        <v>227</v>
      </c>
      <c r="H76" s="28">
        <f t="shared" si="3"/>
        <v>21</v>
      </c>
      <c r="I76" s="135"/>
    </row>
    <row r="77" spans="1:9" x14ac:dyDescent="0.25">
      <c r="A77" s="28">
        <f t="shared" si="2"/>
        <v>22</v>
      </c>
      <c r="B77" s="27" t="s">
        <v>96</v>
      </c>
      <c r="E77" s="48">
        <f>E75*E76</f>
        <v>0</v>
      </c>
      <c r="G77" s="28" t="s">
        <v>97</v>
      </c>
      <c r="H77" s="28">
        <f t="shared" si="3"/>
        <v>22</v>
      </c>
    </row>
    <row r="78" spans="1:9" x14ac:dyDescent="0.25">
      <c r="A78" s="28">
        <f t="shared" si="2"/>
        <v>23</v>
      </c>
      <c r="E78" s="52"/>
      <c r="G78" s="28"/>
      <c r="H78" s="28">
        <f t="shared" si="3"/>
        <v>23</v>
      </c>
    </row>
    <row r="79" spans="1:9" ht="16.5" thickBot="1" x14ac:dyDescent="0.3">
      <c r="A79" s="28">
        <f t="shared" si="2"/>
        <v>24</v>
      </c>
      <c r="B79" s="27" t="s">
        <v>98</v>
      </c>
      <c r="E79" s="50">
        <f>E69+E73+E77</f>
        <v>0</v>
      </c>
      <c r="G79" s="28" t="s">
        <v>99</v>
      </c>
      <c r="H79" s="28">
        <f t="shared" si="3"/>
        <v>24</v>
      </c>
    </row>
    <row r="80" spans="1:9" ht="16.5" thickTop="1" x14ac:dyDescent="0.25">
      <c r="A80" s="28">
        <f t="shared" si="2"/>
        <v>25</v>
      </c>
      <c r="E80" s="52"/>
      <c r="G80" s="28"/>
      <c r="H80" s="28">
        <f t="shared" si="3"/>
        <v>25</v>
      </c>
    </row>
    <row r="81" spans="1:8" ht="18.75" x14ac:dyDescent="0.25">
      <c r="A81" s="28">
        <f t="shared" si="2"/>
        <v>26</v>
      </c>
      <c r="B81" s="53" t="s">
        <v>100</v>
      </c>
      <c r="C81" s="105"/>
      <c r="D81" s="105"/>
      <c r="E81" s="58"/>
      <c r="G81" s="28"/>
      <c r="H81" s="28">
        <f t="shared" si="3"/>
        <v>26</v>
      </c>
    </row>
    <row r="82" spans="1:8" x14ac:dyDescent="0.25">
      <c r="A82" s="28">
        <f t="shared" si="2"/>
        <v>27</v>
      </c>
      <c r="B82" s="27" t="s">
        <v>101</v>
      </c>
      <c r="C82" s="105"/>
      <c r="D82" s="105"/>
      <c r="E82" s="130">
        <f>E150</f>
        <v>0</v>
      </c>
      <c r="G82" s="28" t="s">
        <v>228</v>
      </c>
      <c r="H82" s="28">
        <f t="shared" si="3"/>
        <v>27</v>
      </c>
    </row>
    <row r="83" spans="1:8" ht="18.75" x14ac:dyDescent="0.25">
      <c r="A83" s="28">
        <f t="shared" si="2"/>
        <v>28</v>
      </c>
      <c r="B83" s="32" t="s">
        <v>49</v>
      </c>
      <c r="C83" s="105"/>
      <c r="D83" s="105"/>
      <c r="E83" s="137">
        <f>'Pg8 Rev Stmt AV'!G146</f>
        <v>9.5816789408915859E-2</v>
      </c>
      <c r="F83" s="42"/>
      <c r="G83" s="28" t="s">
        <v>712</v>
      </c>
      <c r="H83" s="28">
        <f t="shared" si="3"/>
        <v>28</v>
      </c>
    </row>
    <row r="84" spans="1:8" x14ac:dyDescent="0.25">
      <c r="A84" s="28">
        <f t="shared" si="2"/>
        <v>29</v>
      </c>
      <c r="B84" s="27" t="s">
        <v>104</v>
      </c>
      <c r="C84" s="105"/>
      <c r="D84" s="105"/>
      <c r="E84" s="61">
        <f>E82*E83</f>
        <v>0</v>
      </c>
      <c r="G84" s="28" t="s">
        <v>105</v>
      </c>
      <c r="H84" s="28">
        <f t="shared" si="3"/>
        <v>29</v>
      </c>
    </row>
    <row r="85" spans="1:8" x14ac:dyDescent="0.25">
      <c r="A85" s="28">
        <f t="shared" si="2"/>
        <v>30</v>
      </c>
      <c r="C85" s="105"/>
      <c r="D85" s="105"/>
      <c r="E85" s="59"/>
      <c r="G85" s="28"/>
      <c r="H85" s="28">
        <f t="shared" si="3"/>
        <v>30</v>
      </c>
    </row>
    <row r="86" spans="1:8" x14ac:dyDescent="0.25">
      <c r="A86" s="28">
        <f t="shared" si="2"/>
        <v>31</v>
      </c>
      <c r="B86" s="27" t="s">
        <v>101</v>
      </c>
      <c r="C86" s="105"/>
      <c r="D86" s="105"/>
      <c r="E86" s="130">
        <f>E150</f>
        <v>0</v>
      </c>
      <c r="G86" s="28" t="s">
        <v>228</v>
      </c>
      <c r="H86" s="28">
        <f t="shared" si="3"/>
        <v>31</v>
      </c>
    </row>
    <row r="87" spans="1:8" ht="18.75" x14ac:dyDescent="0.25">
      <c r="A87" s="28">
        <f t="shared" si="2"/>
        <v>32</v>
      </c>
      <c r="B87" s="32" t="s">
        <v>55</v>
      </c>
      <c r="C87" s="105"/>
      <c r="D87" s="105"/>
      <c r="E87" s="137">
        <f>'Pg8 Rev Stmt AV'!G179</f>
        <v>3.8994570343371454E-3</v>
      </c>
      <c r="F87" s="94"/>
      <c r="G87" s="28" t="s">
        <v>713</v>
      </c>
      <c r="H87" s="28">
        <f t="shared" si="3"/>
        <v>32</v>
      </c>
    </row>
    <row r="88" spans="1:8" x14ac:dyDescent="0.25">
      <c r="A88" s="28">
        <f t="shared" si="2"/>
        <v>33</v>
      </c>
      <c r="B88" s="27" t="s">
        <v>108</v>
      </c>
      <c r="C88" s="105"/>
      <c r="D88" s="105"/>
      <c r="E88" s="61">
        <f>E86*E87</f>
        <v>0</v>
      </c>
      <c r="G88" s="28" t="s">
        <v>109</v>
      </c>
      <c r="H88" s="28">
        <f t="shared" si="3"/>
        <v>33</v>
      </c>
    </row>
    <row r="89" spans="1:8" x14ac:dyDescent="0.25">
      <c r="A89" s="28">
        <f t="shared" si="2"/>
        <v>34</v>
      </c>
      <c r="C89" s="105"/>
      <c r="D89" s="105"/>
      <c r="E89" s="59"/>
      <c r="G89" s="28"/>
      <c r="H89" s="28">
        <f t="shared" si="3"/>
        <v>34</v>
      </c>
    </row>
    <row r="90" spans="1:8" ht="16.5" thickBot="1" x14ac:dyDescent="0.3">
      <c r="A90" s="28">
        <f t="shared" si="2"/>
        <v>35</v>
      </c>
      <c r="B90" s="27" t="s">
        <v>110</v>
      </c>
      <c r="C90" s="105"/>
      <c r="D90" s="105"/>
      <c r="E90" s="50">
        <f>E84+E88</f>
        <v>0</v>
      </c>
      <c r="G90" s="28" t="s">
        <v>111</v>
      </c>
      <c r="H90" s="28">
        <f t="shared" si="3"/>
        <v>35</v>
      </c>
    </row>
    <row r="91" spans="1:8" ht="16.5" thickTop="1" x14ac:dyDescent="0.25">
      <c r="A91" s="28">
        <f t="shared" si="2"/>
        <v>36</v>
      </c>
      <c r="C91" s="105"/>
      <c r="D91" s="105"/>
      <c r="E91" s="58"/>
      <c r="G91" s="28"/>
      <c r="H91" s="28">
        <f t="shared" si="3"/>
        <v>36</v>
      </c>
    </row>
    <row r="92" spans="1:8" ht="19.5" thickBot="1" x14ac:dyDescent="0.3">
      <c r="A92" s="28">
        <f t="shared" si="2"/>
        <v>37</v>
      </c>
      <c r="B92" s="27" t="s">
        <v>112</v>
      </c>
      <c r="E92" s="62">
        <f>E66+E79+E90</f>
        <v>0</v>
      </c>
      <c r="G92" s="28" t="s">
        <v>113</v>
      </c>
      <c r="H92" s="28">
        <f t="shared" si="3"/>
        <v>37</v>
      </c>
    </row>
    <row r="93" spans="1:8" ht="16.5" thickTop="1" x14ac:dyDescent="0.25">
      <c r="A93" s="28">
        <f t="shared" si="2"/>
        <v>38</v>
      </c>
      <c r="C93" s="105"/>
      <c r="D93" s="105"/>
      <c r="E93" s="58"/>
      <c r="G93" s="28"/>
      <c r="H93" s="28">
        <f t="shared" si="3"/>
        <v>38</v>
      </c>
    </row>
    <row r="94" spans="1:8" ht="19.5" thickBot="1" x14ac:dyDescent="0.3">
      <c r="A94" s="28">
        <f t="shared" si="2"/>
        <v>39</v>
      </c>
      <c r="B94" s="53" t="s">
        <v>114</v>
      </c>
      <c r="C94" s="105"/>
      <c r="D94" s="105"/>
      <c r="E94" s="63">
        <f>+E40+E92</f>
        <v>920270.54312519648</v>
      </c>
      <c r="F94" s="42" t="s">
        <v>33</v>
      </c>
      <c r="G94" s="28" t="s">
        <v>115</v>
      </c>
      <c r="H94" s="28">
        <f t="shared" si="3"/>
        <v>39</v>
      </c>
    </row>
    <row r="95" spans="1:8" ht="16.5" thickTop="1" x14ac:dyDescent="0.25">
      <c r="A95" s="28"/>
      <c r="B95" s="53"/>
      <c r="C95" s="105"/>
      <c r="D95" s="105"/>
      <c r="E95" s="58"/>
      <c r="F95" s="94"/>
      <c r="G95" s="28"/>
    </row>
    <row r="96" spans="1:8" x14ac:dyDescent="0.25">
      <c r="A96" s="42" t="s">
        <v>33</v>
      </c>
      <c r="B96" s="12" t="str">
        <f>B42</f>
        <v>Items in BOLD have changed due to A&amp;G adj. missed in prior cost adj. filing and CEMA/WMPMA exclusion corrections compared to the original TO5 Cycle 4 filing per ER22-527 and cost adj.</v>
      </c>
      <c r="C96" s="105"/>
      <c r="D96" s="105"/>
      <c r="E96" s="58"/>
      <c r="F96" s="94"/>
      <c r="G96" s="28"/>
    </row>
    <row r="97" spans="1:8" x14ac:dyDescent="0.25">
      <c r="A97" s="42"/>
      <c r="B97" s="12" t="str">
        <f>B43</f>
        <v>incl. in TO5 Cycle 5 per ER23-542.</v>
      </c>
      <c r="C97" s="105"/>
      <c r="D97" s="105"/>
      <c r="E97" s="58"/>
      <c r="F97" s="94"/>
      <c r="G97" s="28"/>
    </row>
    <row r="98" spans="1:8" ht="18.75" x14ac:dyDescent="0.25">
      <c r="A98" s="43">
        <v>1</v>
      </c>
      <c r="B98" s="27" t="s">
        <v>70</v>
      </c>
      <c r="C98" s="105"/>
      <c r="D98" s="105"/>
      <c r="E98" s="58"/>
      <c r="G98" s="28"/>
    </row>
    <row r="99" spans="1:8" ht="18.75" x14ac:dyDescent="0.25">
      <c r="A99" s="43">
        <v>2</v>
      </c>
      <c r="B99" s="27" t="s">
        <v>116</v>
      </c>
      <c r="C99" s="105"/>
      <c r="D99" s="105"/>
      <c r="E99" s="138"/>
      <c r="F99" s="114"/>
      <c r="G99" s="28"/>
    </row>
    <row r="100" spans="1:8" ht="18.75" x14ac:dyDescent="0.25">
      <c r="A100" s="43">
        <v>3</v>
      </c>
      <c r="B100" s="27" t="s">
        <v>117</v>
      </c>
      <c r="C100" s="105"/>
      <c r="D100" s="105"/>
      <c r="E100" s="58"/>
      <c r="G100" s="28"/>
    </row>
    <row r="101" spans="1:8" x14ac:dyDescent="0.25">
      <c r="A101" s="28"/>
      <c r="B101" s="94"/>
      <c r="C101" s="105"/>
      <c r="D101" s="105"/>
      <c r="E101" s="58"/>
      <c r="G101" s="28"/>
    </row>
    <row r="102" spans="1:8" x14ac:dyDescent="0.25">
      <c r="A102" s="28"/>
      <c r="C102" s="105"/>
      <c r="D102" s="105"/>
      <c r="E102" s="58"/>
      <c r="G102" s="98"/>
    </row>
    <row r="103" spans="1:8" x14ac:dyDescent="0.25">
      <c r="A103" s="28"/>
      <c r="B103" s="572" t="s">
        <v>206</v>
      </c>
      <c r="C103" s="571"/>
      <c r="D103" s="571"/>
      <c r="E103" s="571"/>
      <c r="F103" s="571"/>
      <c r="G103" s="571"/>
    </row>
    <row r="104" spans="1:8" x14ac:dyDescent="0.25">
      <c r="A104" s="28"/>
      <c r="B104" s="572" t="s">
        <v>207</v>
      </c>
      <c r="C104" s="571"/>
      <c r="D104" s="571"/>
      <c r="E104" s="571"/>
      <c r="F104" s="571"/>
      <c r="G104" s="571"/>
    </row>
    <row r="105" spans="1:8" ht="17.25" x14ac:dyDescent="0.25">
      <c r="A105" s="28" t="s">
        <v>21</v>
      </c>
      <c r="B105" s="572" t="s">
        <v>208</v>
      </c>
      <c r="C105" s="573"/>
      <c r="D105" s="573"/>
      <c r="E105" s="573"/>
      <c r="F105" s="573"/>
      <c r="G105" s="573"/>
      <c r="H105" s="28" t="s">
        <v>21</v>
      </c>
    </row>
    <row r="106" spans="1:8" x14ac:dyDescent="0.25">
      <c r="A106" s="28"/>
      <c r="B106" s="568" t="str">
        <f>B5</f>
        <v>For the Base Period &amp; True-Up Period Ending December 31, 2020</v>
      </c>
      <c r="C106" s="569"/>
      <c r="D106" s="569"/>
      <c r="E106" s="569"/>
      <c r="F106" s="569"/>
      <c r="G106" s="569"/>
    </row>
    <row r="107" spans="1:8" x14ac:dyDescent="0.25">
      <c r="A107" s="28"/>
      <c r="B107" s="570" t="s">
        <v>2</v>
      </c>
      <c r="C107" s="571"/>
      <c r="D107" s="571"/>
      <c r="E107" s="571"/>
      <c r="F107" s="571"/>
      <c r="G107" s="571"/>
    </row>
    <row r="108" spans="1:8" x14ac:dyDescent="0.25">
      <c r="A108" s="28"/>
      <c r="B108" s="99"/>
      <c r="C108" s="94"/>
      <c r="D108" s="94"/>
      <c r="E108" s="94"/>
      <c r="F108" s="94"/>
      <c r="G108" s="94"/>
    </row>
    <row r="109" spans="1:8" x14ac:dyDescent="0.25">
      <c r="A109" s="28" t="s">
        <v>3</v>
      </c>
      <c r="E109" s="100"/>
      <c r="G109" s="28"/>
      <c r="H109" s="28" t="s">
        <v>3</v>
      </c>
    </row>
    <row r="110" spans="1:8" x14ac:dyDescent="0.25">
      <c r="A110" s="28" t="s">
        <v>7</v>
      </c>
      <c r="B110" s="94" t="s">
        <v>21</v>
      </c>
      <c r="E110" s="101" t="s">
        <v>5</v>
      </c>
      <c r="G110" s="102" t="s">
        <v>6</v>
      </c>
      <c r="H110" s="28" t="s">
        <v>7</v>
      </c>
    </row>
    <row r="111" spans="1:8" x14ac:dyDescent="0.25">
      <c r="A111" s="103"/>
      <c r="B111" s="44" t="s">
        <v>229</v>
      </c>
      <c r="C111" s="139"/>
      <c r="D111" s="139"/>
      <c r="E111" s="139"/>
      <c r="G111" s="28"/>
      <c r="H111" s="103"/>
    </row>
    <row r="112" spans="1:8" x14ac:dyDescent="0.25">
      <c r="A112" s="28">
        <v>1</v>
      </c>
      <c r="B112" s="140" t="s">
        <v>119</v>
      </c>
      <c r="C112" s="139"/>
      <c r="D112" s="139"/>
      <c r="E112" s="139"/>
      <c r="G112" s="28"/>
      <c r="H112" s="28">
        <f>A112</f>
        <v>1</v>
      </c>
    </row>
    <row r="113" spans="1:8" x14ac:dyDescent="0.25">
      <c r="A113" s="28">
        <f t="shared" ref="A113:A150" si="4">A112+1</f>
        <v>2</v>
      </c>
      <c r="B113" s="32" t="s">
        <v>120</v>
      </c>
      <c r="C113" s="139"/>
      <c r="D113" s="139"/>
      <c r="E113" s="141">
        <f>E181</f>
        <v>5246121.1315707676</v>
      </c>
      <c r="F113" s="42"/>
      <c r="G113" s="28" t="s">
        <v>230</v>
      </c>
      <c r="H113" s="28">
        <f t="shared" ref="H113:H150" si="5">H112+1</f>
        <v>2</v>
      </c>
    </row>
    <row r="114" spans="1:8" x14ac:dyDescent="0.25">
      <c r="A114" s="28">
        <f t="shared" si="4"/>
        <v>3</v>
      </c>
      <c r="B114" s="32" t="s">
        <v>122</v>
      </c>
      <c r="C114" s="139"/>
      <c r="D114" s="139"/>
      <c r="E114" s="142">
        <f>E182</f>
        <v>6185.413608726165</v>
      </c>
      <c r="F114" s="42"/>
      <c r="G114" s="28" t="s">
        <v>231</v>
      </c>
      <c r="H114" s="28">
        <f t="shared" si="5"/>
        <v>3</v>
      </c>
    </row>
    <row r="115" spans="1:8" x14ac:dyDescent="0.25">
      <c r="A115" s="28">
        <f t="shared" si="4"/>
        <v>4</v>
      </c>
      <c r="B115" s="32" t="s">
        <v>124</v>
      </c>
      <c r="C115" s="139"/>
      <c r="D115" s="139"/>
      <c r="E115" s="142">
        <f>E183</f>
        <v>51220.11925408426</v>
      </c>
      <c r="F115" s="42"/>
      <c r="G115" s="28" t="s">
        <v>232</v>
      </c>
      <c r="H115" s="28">
        <f t="shared" si="5"/>
        <v>4</v>
      </c>
    </row>
    <row r="116" spans="1:8" x14ac:dyDescent="0.25">
      <c r="A116" s="28">
        <f t="shared" si="4"/>
        <v>5</v>
      </c>
      <c r="B116" s="32" t="s">
        <v>126</v>
      </c>
      <c r="C116" s="139"/>
      <c r="D116" s="139"/>
      <c r="E116" s="143">
        <f>E184</f>
        <v>107749.97527197437</v>
      </c>
      <c r="F116" s="42"/>
      <c r="G116" s="28" t="s">
        <v>233</v>
      </c>
      <c r="H116" s="28">
        <f t="shared" si="5"/>
        <v>5</v>
      </c>
    </row>
    <row r="117" spans="1:8" x14ac:dyDescent="0.25">
      <c r="A117" s="28">
        <f t="shared" si="4"/>
        <v>6</v>
      </c>
      <c r="B117" s="32" t="s">
        <v>128</v>
      </c>
      <c r="C117" s="28"/>
      <c r="D117" s="28"/>
      <c r="E117" s="144">
        <f>SUM(E113:E116)</f>
        <v>5411276.6397055527</v>
      </c>
      <c r="F117" s="42"/>
      <c r="G117" s="28" t="s">
        <v>129</v>
      </c>
      <c r="H117" s="28">
        <f t="shared" si="5"/>
        <v>6</v>
      </c>
    </row>
    <row r="118" spans="1:8" x14ac:dyDescent="0.25">
      <c r="A118" s="28">
        <f t="shared" si="4"/>
        <v>7</v>
      </c>
      <c r="C118" s="28"/>
      <c r="D118" s="28"/>
      <c r="E118" s="115"/>
      <c r="G118" s="28"/>
      <c r="H118" s="28">
        <f t="shared" si="5"/>
        <v>7</v>
      </c>
    </row>
    <row r="119" spans="1:8" x14ac:dyDescent="0.25">
      <c r="A119" s="28">
        <f t="shared" si="4"/>
        <v>8</v>
      </c>
      <c r="B119" s="140" t="s">
        <v>130</v>
      </c>
      <c r="C119" s="28"/>
      <c r="D119" s="28"/>
      <c r="E119" s="115"/>
      <c r="G119" s="28"/>
      <c r="H119" s="28">
        <f t="shared" si="5"/>
        <v>8</v>
      </c>
    </row>
    <row r="120" spans="1:8" x14ac:dyDescent="0.25">
      <c r="A120" s="28">
        <f t="shared" si="4"/>
        <v>9</v>
      </c>
      <c r="B120" s="32" t="s">
        <v>234</v>
      </c>
      <c r="C120" s="28"/>
      <c r="D120" s="28"/>
      <c r="E120" s="145">
        <v>0</v>
      </c>
      <c r="F120" s="114"/>
      <c r="G120" s="28" t="s">
        <v>235</v>
      </c>
      <c r="H120" s="28">
        <f t="shared" si="5"/>
        <v>9</v>
      </c>
    </row>
    <row r="121" spans="1:8" x14ac:dyDescent="0.25">
      <c r="A121" s="28">
        <f t="shared" si="4"/>
        <v>10</v>
      </c>
      <c r="B121" s="32" t="s">
        <v>133</v>
      </c>
      <c r="C121" s="28"/>
      <c r="D121" s="28"/>
      <c r="E121" s="146">
        <v>0</v>
      </c>
      <c r="G121" s="28" t="s">
        <v>236</v>
      </c>
      <c r="H121" s="28">
        <f t="shared" si="5"/>
        <v>10</v>
      </c>
    </row>
    <row r="122" spans="1:8" x14ac:dyDescent="0.25">
      <c r="A122" s="28">
        <f t="shared" si="4"/>
        <v>11</v>
      </c>
      <c r="B122" s="32" t="s">
        <v>135</v>
      </c>
      <c r="C122" s="28"/>
      <c r="D122" s="28"/>
      <c r="E122" s="147">
        <f>SUM(E120:E121)</f>
        <v>0</v>
      </c>
      <c r="F122" s="114"/>
      <c r="G122" s="28" t="s">
        <v>136</v>
      </c>
      <c r="H122" s="28">
        <f t="shared" si="5"/>
        <v>11</v>
      </c>
    </row>
    <row r="123" spans="1:8" x14ac:dyDescent="0.25">
      <c r="A123" s="28">
        <f t="shared" si="4"/>
        <v>12</v>
      </c>
      <c r="B123" s="32"/>
      <c r="C123" s="28"/>
      <c r="D123" s="28"/>
      <c r="E123" s="58"/>
      <c r="G123" s="28"/>
      <c r="H123" s="28">
        <f t="shared" si="5"/>
        <v>12</v>
      </c>
    </row>
    <row r="124" spans="1:8" x14ac:dyDescent="0.25">
      <c r="A124" s="28">
        <f t="shared" si="4"/>
        <v>13</v>
      </c>
      <c r="B124" s="140" t="s">
        <v>137</v>
      </c>
      <c r="E124" s="115"/>
      <c r="G124" s="28"/>
      <c r="H124" s="28">
        <f t="shared" si="5"/>
        <v>13</v>
      </c>
    </row>
    <row r="125" spans="1:8" x14ac:dyDescent="0.25">
      <c r="A125" s="28">
        <f t="shared" si="4"/>
        <v>14</v>
      </c>
      <c r="B125" s="27" t="s">
        <v>138</v>
      </c>
      <c r="C125" s="28"/>
      <c r="D125" s="28"/>
      <c r="E125" s="148">
        <v>-934308.51593694778</v>
      </c>
      <c r="F125" s="42"/>
      <c r="G125" s="28" t="s">
        <v>237</v>
      </c>
      <c r="H125" s="28">
        <f t="shared" si="5"/>
        <v>14</v>
      </c>
    </row>
    <row r="126" spans="1:8" x14ac:dyDescent="0.25">
      <c r="A126" s="28">
        <f t="shared" si="4"/>
        <v>15</v>
      </c>
      <c r="B126" s="27" t="s">
        <v>140</v>
      </c>
      <c r="C126" s="28"/>
      <c r="D126" s="28"/>
      <c r="E126" s="127">
        <v>0</v>
      </c>
      <c r="G126" s="28" t="s">
        <v>238</v>
      </c>
      <c r="H126" s="28">
        <f t="shared" si="5"/>
        <v>15</v>
      </c>
    </row>
    <row r="127" spans="1:8" x14ac:dyDescent="0.25">
      <c r="A127" s="28">
        <f t="shared" si="4"/>
        <v>16</v>
      </c>
      <c r="B127" s="32" t="s">
        <v>142</v>
      </c>
      <c r="C127" s="28"/>
      <c r="D127" s="28"/>
      <c r="E127" s="144">
        <f>SUM(E125:E126)</f>
        <v>-934308.51593694778</v>
      </c>
      <c r="F127" s="42"/>
      <c r="G127" s="28" t="s">
        <v>143</v>
      </c>
      <c r="H127" s="28">
        <f t="shared" si="5"/>
        <v>16</v>
      </c>
    </row>
    <row r="128" spans="1:8" x14ac:dyDescent="0.25">
      <c r="A128" s="28">
        <f t="shared" si="4"/>
        <v>17</v>
      </c>
      <c r="C128" s="28"/>
      <c r="D128" s="28"/>
      <c r="E128" s="149"/>
      <c r="G128" s="28"/>
      <c r="H128" s="28">
        <f t="shared" si="5"/>
        <v>17</v>
      </c>
    </row>
    <row r="129" spans="1:8" x14ac:dyDescent="0.25">
      <c r="A129" s="28">
        <f t="shared" si="4"/>
        <v>18</v>
      </c>
      <c r="B129" s="140" t="s">
        <v>144</v>
      </c>
      <c r="C129" s="28"/>
      <c r="D129" s="28"/>
      <c r="E129" s="149"/>
      <c r="G129" s="28"/>
      <c r="H129" s="28">
        <f t="shared" si="5"/>
        <v>18</v>
      </c>
    </row>
    <row r="130" spans="1:8" x14ac:dyDescent="0.25">
      <c r="A130" s="28">
        <f t="shared" si="4"/>
        <v>19</v>
      </c>
      <c r="B130" s="32" t="s">
        <v>239</v>
      </c>
      <c r="C130" s="28"/>
      <c r="D130" s="28"/>
      <c r="E130" s="141">
        <v>51967.715833331946</v>
      </c>
      <c r="F130" s="42"/>
      <c r="G130" s="28" t="s">
        <v>266</v>
      </c>
      <c r="H130" s="28">
        <f t="shared" si="5"/>
        <v>19</v>
      </c>
    </row>
    <row r="131" spans="1:8" x14ac:dyDescent="0.25">
      <c r="A131" s="28">
        <f t="shared" si="4"/>
        <v>20</v>
      </c>
      <c r="B131" s="32" t="s">
        <v>147</v>
      </c>
      <c r="C131" s="28"/>
      <c r="D131" s="28"/>
      <c r="E131" s="142">
        <v>37816.931501811814</v>
      </c>
      <c r="F131" s="42"/>
      <c r="G131" s="28" t="s">
        <v>267</v>
      </c>
      <c r="H131" s="28">
        <f t="shared" si="5"/>
        <v>20</v>
      </c>
    </row>
    <row r="132" spans="1:8" x14ac:dyDescent="0.25">
      <c r="A132" s="28">
        <f t="shared" si="4"/>
        <v>21</v>
      </c>
      <c r="B132" s="32" t="s">
        <v>149</v>
      </c>
      <c r="C132" s="28"/>
      <c r="D132" s="28"/>
      <c r="E132" s="463">
        <f>'Pg7 Rev Stmt AL'!E29</f>
        <v>22499.942627419499</v>
      </c>
      <c r="F132" s="42" t="s">
        <v>33</v>
      </c>
      <c r="G132" s="28" t="s">
        <v>723</v>
      </c>
      <c r="H132" s="28">
        <f t="shared" si="5"/>
        <v>21</v>
      </c>
    </row>
    <row r="133" spans="1:8" x14ac:dyDescent="0.25">
      <c r="A133" s="28">
        <f t="shared" si="4"/>
        <v>22</v>
      </c>
      <c r="B133" s="32" t="s">
        <v>240</v>
      </c>
      <c r="E133" s="123">
        <f>SUM(E130:E132)</f>
        <v>112284.58996256326</v>
      </c>
      <c r="F133" s="42" t="s">
        <v>33</v>
      </c>
      <c r="G133" s="28" t="s">
        <v>152</v>
      </c>
      <c r="H133" s="28">
        <f t="shared" si="5"/>
        <v>22</v>
      </c>
    </row>
    <row r="134" spans="1:8" x14ac:dyDescent="0.25">
      <c r="A134" s="28">
        <f t="shared" si="4"/>
        <v>23</v>
      </c>
      <c r="B134" s="32"/>
      <c r="E134" s="150"/>
      <c r="G134" s="28"/>
      <c r="H134" s="28">
        <f t="shared" si="5"/>
        <v>23</v>
      </c>
    </row>
    <row r="135" spans="1:8" x14ac:dyDescent="0.25">
      <c r="A135" s="28">
        <f t="shared" si="4"/>
        <v>24</v>
      </c>
      <c r="B135" s="32" t="s">
        <v>153</v>
      </c>
      <c r="E135" s="151">
        <v>0</v>
      </c>
      <c r="G135" s="28" t="s">
        <v>241</v>
      </c>
      <c r="H135" s="28">
        <f t="shared" si="5"/>
        <v>24</v>
      </c>
    </row>
    <row r="136" spans="1:8" x14ac:dyDescent="0.25">
      <c r="A136" s="28">
        <f t="shared" si="4"/>
        <v>25</v>
      </c>
      <c r="B136" s="32" t="s">
        <v>155</v>
      </c>
      <c r="E136" s="132">
        <v>-10867.384430895108</v>
      </c>
      <c r="F136" s="42"/>
      <c r="G136" s="28" t="s">
        <v>242</v>
      </c>
      <c r="H136" s="28">
        <f t="shared" si="5"/>
        <v>25</v>
      </c>
    </row>
    <row r="137" spans="1:8" x14ac:dyDescent="0.25">
      <c r="A137" s="28">
        <f t="shared" si="4"/>
        <v>26</v>
      </c>
      <c r="B137" s="32"/>
      <c r="E137" s="150"/>
      <c r="G137" s="28"/>
      <c r="H137" s="28">
        <f t="shared" si="5"/>
        <v>26</v>
      </c>
    </row>
    <row r="138" spans="1:8" ht="16.5" thickBot="1" x14ac:dyDescent="0.3">
      <c r="A138" s="28">
        <f t="shared" si="4"/>
        <v>27</v>
      </c>
      <c r="B138" s="32" t="s">
        <v>157</v>
      </c>
      <c r="E138" s="152">
        <f>E135+E133+E127+E122+E117+E136</f>
        <v>4578385.3293002723</v>
      </c>
      <c r="F138" s="42" t="s">
        <v>33</v>
      </c>
      <c r="G138" s="28" t="s">
        <v>158</v>
      </c>
      <c r="H138" s="28">
        <f t="shared" si="5"/>
        <v>27</v>
      </c>
    </row>
    <row r="139" spans="1:8" ht="16.5" thickTop="1" x14ac:dyDescent="0.25">
      <c r="A139" s="28">
        <f t="shared" si="4"/>
        <v>28</v>
      </c>
      <c r="B139" s="32"/>
      <c r="E139" s="52"/>
      <c r="G139" s="28"/>
      <c r="H139" s="28">
        <f t="shared" si="5"/>
        <v>28</v>
      </c>
    </row>
    <row r="140" spans="1:8" ht="18.75" x14ac:dyDescent="0.25">
      <c r="A140" s="28">
        <f t="shared" si="4"/>
        <v>29</v>
      </c>
      <c r="B140" s="44" t="s">
        <v>159</v>
      </c>
      <c r="E140" s="52"/>
      <c r="G140" s="28"/>
      <c r="H140" s="28">
        <f t="shared" si="5"/>
        <v>29</v>
      </c>
    </row>
    <row r="141" spans="1:8" x14ac:dyDescent="0.25">
      <c r="A141" s="28">
        <f t="shared" si="4"/>
        <v>30</v>
      </c>
      <c r="B141" s="32" t="s">
        <v>160</v>
      </c>
      <c r="E141" s="133">
        <f>E190</f>
        <v>0</v>
      </c>
      <c r="G141" s="28" t="s">
        <v>243</v>
      </c>
      <c r="H141" s="28">
        <f t="shared" si="5"/>
        <v>30</v>
      </c>
    </row>
    <row r="142" spans="1:8" x14ac:dyDescent="0.25">
      <c r="A142" s="28">
        <f t="shared" si="4"/>
        <v>31</v>
      </c>
      <c r="B142" s="32" t="s">
        <v>162</v>
      </c>
      <c r="E142" s="127">
        <v>0</v>
      </c>
      <c r="G142" s="28" t="s">
        <v>244</v>
      </c>
      <c r="H142" s="28">
        <f t="shared" si="5"/>
        <v>31</v>
      </c>
    </row>
    <row r="143" spans="1:8" x14ac:dyDescent="0.25">
      <c r="A143" s="28">
        <f t="shared" si="4"/>
        <v>32</v>
      </c>
      <c r="B143" s="27" t="s">
        <v>164</v>
      </c>
      <c r="E143" s="48">
        <f>SUM(E141:E142)</f>
        <v>0</v>
      </c>
      <c r="G143" s="28" t="s">
        <v>165</v>
      </c>
      <c r="H143" s="28">
        <f t="shared" si="5"/>
        <v>32</v>
      </c>
    </row>
    <row r="144" spans="1:8" x14ac:dyDescent="0.25">
      <c r="A144" s="28">
        <f t="shared" si="4"/>
        <v>33</v>
      </c>
      <c r="B144" s="32"/>
      <c r="E144" s="52"/>
      <c r="G144" s="28"/>
      <c r="H144" s="28">
        <f t="shared" si="5"/>
        <v>33</v>
      </c>
    </row>
    <row r="145" spans="1:8" ht="18.75" x14ac:dyDescent="0.25">
      <c r="A145" s="28">
        <f t="shared" si="4"/>
        <v>34</v>
      </c>
      <c r="B145" s="44" t="s">
        <v>166</v>
      </c>
      <c r="E145" s="52"/>
      <c r="G145" s="28"/>
      <c r="H145" s="28">
        <f t="shared" si="5"/>
        <v>34</v>
      </c>
    </row>
    <row r="146" spans="1:8" x14ac:dyDescent="0.25">
      <c r="A146" s="28">
        <f t="shared" si="4"/>
        <v>35</v>
      </c>
      <c r="B146" s="32" t="s">
        <v>167</v>
      </c>
      <c r="E146" s="133">
        <v>0</v>
      </c>
      <c r="G146" s="28" t="s">
        <v>245</v>
      </c>
      <c r="H146" s="28">
        <f t="shared" si="5"/>
        <v>35</v>
      </c>
    </row>
    <row r="147" spans="1:8" x14ac:dyDescent="0.25">
      <c r="A147" s="28">
        <f t="shared" si="4"/>
        <v>36</v>
      </c>
      <c r="B147" s="27" t="s">
        <v>169</v>
      </c>
      <c r="E147" s="128">
        <v>0</v>
      </c>
      <c r="G147" s="28" t="s">
        <v>246</v>
      </c>
      <c r="H147" s="28">
        <f t="shared" si="5"/>
        <v>36</v>
      </c>
    </row>
    <row r="148" spans="1:8" x14ac:dyDescent="0.25">
      <c r="A148" s="28">
        <f t="shared" si="4"/>
        <v>37</v>
      </c>
      <c r="B148" s="27" t="s">
        <v>171</v>
      </c>
      <c r="E148" s="48">
        <f>SUM(E146:E147)</f>
        <v>0</v>
      </c>
      <c r="G148" s="28" t="s">
        <v>172</v>
      </c>
      <c r="H148" s="28">
        <f t="shared" si="5"/>
        <v>37</v>
      </c>
    </row>
    <row r="149" spans="1:8" x14ac:dyDescent="0.25">
      <c r="A149" s="28">
        <f t="shared" si="4"/>
        <v>38</v>
      </c>
      <c r="B149" s="32"/>
      <c r="E149" s="52"/>
      <c r="G149" s="28"/>
      <c r="H149" s="28">
        <f t="shared" si="5"/>
        <v>38</v>
      </c>
    </row>
    <row r="150" spans="1:8" ht="18.75" x14ac:dyDescent="0.25">
      <c r="A150" s="28">
        <f t="shared" si="4"/>
        <v>39</v>
      </c>
      <c r="B150" s="44" t="s">
        <v>173</v>
      </c>
      <c r="E150" s="133">
        <v>0</v>
      </c>
      <c r="G150" s="28" t="s">
        <v>247</v>
      </c>
      <c r="H150" s="28">
        <f t="shared" si="5"/>
        <v>39</v>
      </c>
    </row>
    <row r="151" spans="1:8" x14ac:dyDescent="0.25">
      <c r="A151" s="28"/>
      <c r="B151" s="32"/>
      <c r="E151" s="52"/>
      <c r="G151" s="28"/>
    </row>
    <row r="152" spans="1:8" x14ac:dyDescent="0.25">
      <c r="A152" s="42" t="s">
        <v>33</v>
      </c>
      <c r="B152" s="12" t="str">
        <f>B96</f>
        <v>Items in BOLD have changed due to A&amp;G adj. missed in prior cost adj. filing and CEMA/WMPMA exclusion corrections compared to the original TO5 Cycle 4 filing per ER22-527 and cost adj.</v>
      </c>
      <c r="E152" s="52"/>
      <c r="G152" s="28"/>
    </row>
    <row r="153" spans="1:8" x14ac:dyDescent="0.25">
      <c r="A153" s="42"/>
      <c r="B153" s="12" t="str">
        <f>B97</f>
        <v>incl. in TO5 Cycle 5 per ER23-542.</v>
      </c>
      <c r="E153" s="52"/>
      <c r="G153" s="28"/>
    </row>
    <row r="154" spans="1:8" ht="18.75" x14ac:dyDescent="0.25">
      <c r="A154" s="43">
        <v>1</v>
      </c>
      <c r="B154" s="27" t="s">
        <v>116</v>
      </c>
      <c r="E154" s="52"/>
      <c r="G154" s="28"/>
    </row>
    <row r="155" spans="1:8" x14ac:dyDescent="0.25">
      <c r="A155" s="28"/>
      <c r="B155" s="94"/>
      <c r="E155" s="52"/>
      <c r="G155" s="28"/>
    </row>
    <row r="156" spans="1:8" x14ac:dyDescent="0.25">
      <c r="A156" s="28"/>
      <c r="B156" s="94"/>
      <c r="E156" s="52"/>
      <c r="G156" s="28"/>
    </row>
    <row r="157" spans="1:8" x14ac:dyDescent="0.25">
      <c r="A157" s="28"/>
      <c r="B157" s="572" t="s">
        <v>206</v>
      </c>
      <c r="C157" s="571"/>
      <c r="D157" s="571"/>
      <c r="E157" s="571"/>
      <c r="F157" s="571"/>
      <c r="G157" s="571"/>
    </row>
    <row r="158" spans="1:8" x14ac:dyDescent="0.25">
      <c r="A158" s="28" t="s">
        <v>21</v>
      </c>
      <c r="B158" s="572" t="s">
        <v>207</v>
      </c>
      <c r="C158" s="571"/>
      <c r="D158" s="571"/>
      <c r="E158" s="571"/>
      <c r="F158" s="571"/>
      <c r="G158" s="571"/>
    </row>
    <row r="159" spans="1:8" ht="17.25" x14ac:dyDescent="0.25">
      <c r="A159" s="28"/>
      <c r="B159" s="572" t="s">
        <v>208</v>
      </c>
      <c r="C159" s="573"/>
      <c r="D159" s="573"/>
      <c r="E159" s="573"/>
      <c r="F159" s="573"/>
      <c r="G159" s="573"/>
    </row>
    <row r="160" spans="1:8" x14ac:dyDescent="0.25">
      <c r="A160" s="28"/>
      <c r="B160" s="568" t="str">
        <f>B5</f>
        <v>For the Base Period &amp; True-Up Period Ending December 31, 2020</v>
      </c>
      <c r="C160" s="569"/>
      <c r="D160" s="569"/>
      <c r="E160" s="569"/>
      <c r="F160" s="569"/>
      <c r="G160" s="569"/>
    </row>
    <row r="161" spans="1:10" x14ac:dyDescent="0.25">
      <c r="A161" s="28"/>
      <c r="B161" s="570" t="s">
        <v>2</v>
      </c>
      <c r="C161" s="571"/>
      <c r="D161" s="571"/>
      <c r="E161" s="571"/>
      <c r="F161" s="571"/>
      <c r="G161" s="571"/>
    </row>
    <row r="162" spans="1:10" x14ac:dyDescent="0.25">
      <c r="A162" s="28"/>
      <c r="B162" s="153"/>
    </row>
    <row r="163" spans="1:10" x14ac:dyDescent="0.25">
      <c r="A163" s="28" t="s">
        <v>3</v>
      </c>
      <c r="E163" s="100"/>
      <c r="G163" s="28"/>
      <c r="H163" s="28" t="s">
        <v>3</v>
      </c>
    </row>
    <row r="164" spans="1:10" x14ac:dyDescent="0.25">
      <c r="A164" s="28" t="s">
        <v>7</v>
      </c>
      <c r="B164" s="94" t="s">
        <v>21</v>
      </c>
      <c r="E164" s="101" t="s">
        <v>5</v>
      </c>
      <c r="G164" s="102" t="s">
        <v>6</v>
      </c>
      <c r="H164" s="28" t="s">
        <v>7</v>
      </c>
    </row>
    <row r="165" spans="1:10" x14ac:dyDescent="0.25">
      <c r="A165" s="103"/>
      <c r="B165" s="44" t="s">
        <v>248</v>
      </c>
      <c r="E165" s="100"/>
      <c r="G165" s="28"/>
      <c r="H165" s="103"/>
    </row>
    <row r="166" spans="1:10" x14ac:dyDescent="0.25">
      <c r="A166" s="28">
        <v>1</v>
      </c>
      <c r="B166" s="140" t="s">
        <v>176</v>
      </c>
      <c r="E166" s="100"/>
      <c r="G166" s="28"/>
      <c r="H166" s="28">
        <f>A166</f>
        <v>1</v>
      </c>
    </row>
    <row r="167" spans="1:10" x14ac:dyDescent="0.25">
      <c r="A167" s="28">
        <f t="shared" ref="A167:A190" si="6">A166+1</f>
        <v>2</v>
      </c>
      <c r="B167" s="32" t="s">
        <v>120</v>
      </c>
      <c r="E167" s="125">
        <v>6632410.4084030753</v>
      </c>
      <c r="F167" s="42"/>
      <c r="G167" s="28" t="s">
        <v>270</v>
      </c>
      <c r="H167" s="28">
        <f t="shared" ref="H167:H190" si="7">H166+1</f>
        <v>2</v>
      </c>
      <c r="I167" s="154"/>
    </row>
    <row r="168" spans="1:10" x14ac:dyDescent="0.25">
      <c r="A168" s="28">
        <f t="shared" si="6"/>
        <v>3</v>
      </c>
      <c r="B168" s="32" t="s">
        <v>249</v>
      </c>
      <c r="E168" s="155">
        <v>34627.403972329441</v>
      </c>
      <c r="F168" s="42"/>
      <c r="G168" s="28" t="s">
        <v>271</v>
      </c>
      <c r="H168" s="28">
        <f t="shared" si="7"/>
        <v>3</v>
      </c>
      <c r="I168" s="156"/>
    </row>
    <row r="169" spans="1:10" x14ac:dyDescent="0.25">
      <c r="A169" s="28">
        <f t="shared" si="6"/>
        <v>4</v>
      </c>
      <c r="B169" s="32" t="s">
        <v>124</v>
      </c>
      <c r="E169" s="155">
        <v>86594.311561361523</v>
      </c>
      <c r="F169" s="42"/>
      <c r="G169" s="28" t="s">
        <v>272</v>
      </c>
      <c r="H169" s="28">
        <f t="shared" si="7"/>
        <v>4</v>
      </c>
      <c r="J169" s="157"/>
    </row>
    <row r="170" spans="1:10" x14ac:dyDescent="0.25">
      <c r="A170" s="28">
        <f t="shared" si="6"/>
        <v>5</v>
      </c>
      <c r="B170" s="32" t="s">
        <v>126</v>
      </c>
      <c r="C170" s="28"/>
      <c r="D170" s="28"/>
      <c r="E170" s="119">
        <v>214262.5076566372</v>
      </c>
      <c r="F170" s="42"/>
      <c r="G170" s="28" t="s">
        <v>273</v>
      </c>
      <c r="H170" s="28">
        <f t="shared" si="7"/>
        <v>5</v>
      </c>
    </row>
    <row r="171" spans="1:10" x14ac:dyDescent="0.25">
      <c r="A171" s="28">
        <f t="shared" si="6"/>
        <v>6</v>
      </c>
      <c r="B171" s="32" t="s">
        <v>181</v>
      </c>
      <c r="E171" s="144">
        <f>SUM(E167:E170)</f>
        <v>6967894.6315934043</v>
      </c>
      <c r="F171" s="42"/>
      <c r="G171" s="28" t="s">
        <v>129</v>
      </c>
      <c r="H171" s="28">
        <f t="shared" si="7"/>
        <v>6</v>
      </c>
      <c r="I171" s="156"/>
    </row>
    <row r="172" spans="1:10" x14ac:dyDescent="0.25">
      <c r="A172" s="28">
        <f t="shared" si="6"/>
        <v>7</v>
      </c>
      <c r="C172" s="28"/>
      <c r="D172" s="28"/>
      <c r="E172" s="527"/>
      <c r="G172" s="28"/>
      <c r="H172" s="28">
        <f t="shared" si="7"/>
        <v>7</v>
      </c>
    </row>
    <row r="173" spans="1:10" x14ac:dyDescent="0.25">
      <c r="A173" s="28">
        <f t="shared" si="6"/>
        <v>8</v>
      </c>
      <c r="B173" s="93" t="s">
        <v>182</v>
      </c>
      <c r="E173" s="527"/>
      <c r="G173" s="28"/>
      <c r="H173" s="28">
        <f t="shared" si="7"/>
        <v>8</v>
      </c>
    </row>
    <row r="174" spans="1:10" x14ac:dyDescent="0.25">
      <c r="A174" s="28">
        <f t="shared" si="6"/>
        <v>9</v>
      </c>
      <c r="B174" s="27" t="s">
        <v>183</v>
      </c>
      <c r="E174" s="125">
        <v>1386289.2768323075</v>
      </c>
      <c r="F174" s="42"/>
      <c r="G174" s="28" t="s">
        <v>274</v>
      </c>
      <c r="H174" s="28">
        <f t="shared" si="7"/>
        <v>9</v>
      </c>
    </row>
    <row r="175" spans="1:10" x14ac:dyDescent="0.25">
      <c r="A175" s="28">
        <f t="shared" si="6"/>
        <v>10</v>
      </c>
      <c r="B175" s="27" t="s">
        <v>185</v>
      </c>
      <c r="E175" s="155">
        <v>28441.990363603276</v>
      </c>
      <c r="F175" s="42"/>
      <c r="G175" s="28" t="s">
        <v>275</v>
      </c>
      <c r="H175" s="28">
        <f t="shared" si="7"/>
        <v>10</v>
      </c>
    </row>
    <row r="176" spans="1:10" x14ac:dyDescent="0.25">
      <c r="A176" s="28">
        <f t="shared" si="6"/>
        <v>11</v>
      </c>
      <c r="B176" s="27" t="s">
        <v>187</v>
      </c>
      <c r="E176" s="155">
        <v>35374.192307277262</v>
      </c>
      <c r="F176" s="42"/>
      <c r="G176" s="28" t="s">
        <v>276</v>
      </c>
      <c r="H176" s="28">
        <f t="shared" si="7"/>
        <v>11</v>
      </c>
    </row>
    <row r="177" spans="1:8" x14ac:dyDescent="0.25">
      <c r="A177" s="28">
        <f t="shared" si="6"/>
        <v>12</v>
      </c>
      <c r="B177" s="27" t="s">
        <v>189</v>
      </c>
      <c r="E177" s="119">
        <v>106512.53238466283</v>
      </c>
      <c r="F177" s="42"/>
      <c r="G177" s="28" t="s">
        <v>277</v>
      </c>
      <c r="H177" s="28">
        <f t="shared" si="7"/>
        <v>12</v>
      </c>
    </row>
    <row r="178" spans="1:8" x14ac:dyDescent="0.25">
      <c r="A178" s="28">
        <f t="shared" si="6"/>
        <v>13</v>
      </c>
      <c r="B178" s="156" t="s">
        <v>191</v>
      </c>
      <c r="C178" s="156"/>
      <c r="D178" s="156"/>
      <c r="E178" s="158">
        <f>SUM(E174:E177)</f>
        <v>1556617.9918878509</v>
      </c>
      <c r="F178" s="42"/>
      <c r="G178" s="28" t="s">
        <v>192</v>
      </c>
      <c r="H178" s="28">
        <f t="shared" si="7"/>
        <v>13</v>
      </c>
    </row>
    <row r="179" spans="1:8" x14ac:dyDescent="0.25">
      <c r="A179" s="28">
        <f t="shared" si="6"/>
        <v>14</v>
      </c>
      <c r="B179" s="156"/>
      <c r="C179" s="156"/>
      <c r="D179" s="156"/>
      <c r="E179" s="149"/>
      <c r="G179" s="28"/>
      <c r="H179" s="28">
        <f t="shared" si="7"/>
        <v>14</v>
      </c>
    </row>
    <row r="180" spans="1:8" x14ac:dyDescent="0.25">
      <c r="A180" s="28">
        <f t="shared" si="6"/>
        <v>15</v>
      </c>
      <c r="B180" s="140" t="s">
        <v>119</v>
      </c>
      <c r="C180" s="156"/>
      <c r="D180" s="156"/>
      <c r="E180" s="149"/>
      <c r="G180" s="28"/>
      <c r="H180" s="28">
        <f t="shared" si="7"/>
        <v>15</v>
      </c>
    </row>
    <row r="181" spans="1:8" x14ac:dyDescent="0.25">
      <c r="A181" s="28">
        <f t="shared" si="6"/>
        <v>16</v>
      </c>
      <c r="B181" s="32" t="s">
        <v>120</v>
      </c>
      <c r="E181" s="52">
        <f>+E167-E174</f>
        <v>5246121.1315707676</v>
      </c>
      <c r="F181" s="42"/>
      <c r="G181" s="28" t="s">
        <v>250</v>
      </c>
      <c r="H181" s="28">
        <f t="shared" si="7"/>
        <v>16</v>
      </c>
    </row>
    <row r="182" spans="1:8" x14ac:dyDescent="0.25">
      <c r="A182" s="28">
        <f t="shared" si="6"/>
        <v>17</v>
      </c>
      <c r="B182" s="32" t="s">
        <v>122</v>
      </c>
      <c r="E182" s="118">
        <f>+E168-E175</f>
        <v>6185.413608726165</v>
      </c>
      <c r="F182" s="42"/>
      <c r="G182" s="28" t="s">
        <v>251</v>
      </c>
      <c r="H182" s="28">
        <f t="shared" si="7"/>
        <v>17</v>
      </c>
    </row>
    <row r="183" spans="1:8" x14ac:dyDescent="0.25">
      <c r="A183" s="28">
        <f t="shared" si="6"/>
        <v>18</v>
      </c>
      <c r="B183" s="32" t="s">
        <v>124</v>
      </c>
      <c r="E183" s="118">
        <f>+E169-E176</f>
        <v>51220.11925408426</v>
      </c>
      <c r="F183" s="42"/>
      <c r="G183" s="28" t="s">
        <v>252</v>
      </c>
      <c r="H183" s="28">
        <f t="shared" si="7"/>
        <v>18</v>
      </c>
    </row>
    <row r="184" spans="1:8" x14ac:dyDescent="0.25">
      <c r="A184" s="28">
        <f t="shared" si="6"/>
        <v>19</v>
      </c>
      <c r="B184" s="32" t="s">
        <v>126</v>
      </c>
      <c r="E184" s="159">
        <f>+E170-E177</f>
        <v>107749.97527197437</v>
      </c>
      <c r="F184" s="42"/>
      <c r="G184" s="28" t="s">
        <v>253</v>
      </c>
      <c r="H184" s="28">
        <f t="shared" si="7"/>
        <v>19</v>
      </c>
    </row>
    <row r="185" spans="1:8" ht="16.5" thickBot="1" x14ac:dyDescent="0.3">
      <c r="A185" s="28">
        <f t="shared" si="6"/>
        <v>20</v>
      </c>
      <c r="B185" s="27" t="s">
        <v>128</v>
      </c>
      <c r="E185" s="160">
        <f>SUM(E181:E184)</f>
        <v>5411276.6397055527</v>
      </c>
      <c r="F185" s="42"/>
      <c r="G185" s="28" t="s">
        <v>197</v>
      </c>
      <c r="H185" s="28">
        <f t="shared" si="7"/>
        <v>20</v>
      </c>
    </row>
    <row r="186" spans="1:8" ht="16.5" thickTop="1" x14ac:dyDescent="0.25">
      <c r="A186" s="28">
        <f t="shared" si="6"/>
        <v>21</v>
      </c>
      <c r="E186" s="52"/>
      <c r="G186" s="28"/>
      <c r="H186" s="28">
        <f t="shared" si="7"/>
        <v>21</v>
      </c>
    </row>
    <row r="187" spans="1:8" ht="18.75" x14ac:dyDescent="0.25">
      <c r="A187" s="28">
        <f t="shared" si="6"/>
        <v>22</v>
      </c>
      <c r="B187" s="44" t="s">
        <v>198</v>
      </c>
      <c r="E187" s="52"/>
      <c r="G187" s="28"/>
      <c r="H187" s="28">
        <f t="shared" si="7"/>
        <v>22</v>
      </c>
    </row>
    <row r="188" spans="1:8" x14ac:dyDescent="0.25">
      <c r="A188" s="28">
        <f t="shared" si="6"/>
        <v>23</v>
      </c>
      <c r="B188" s="32" t="s">
        <v>199</v>
      </c>
      <c r="E188" s="133">
        <v>0</v>
      </c>
      <c r="G188" s="28" t="s">
        <v>254</v>
      </c>
      <c r="H188" s="28">
        <f t="shared" si="7"/>
        <v>23</v>
      </c>
    </row>
    <row r="189" spans="1:8" x14ac:dyDescent="0.25">
      <c r="A189" s="28">
        <f t="shared" si="6"/>
        <v>24</v>
      </c>
      <c r="B189" s="27" t="s">
        <v>201</v>
      </c>
      <c r="E189" s="128">
        <v>0</v>
      </c>
      <c r="G189" s="28" t="s">
        <v>255</v>
      </c>
      <c r="H189" s="28">
        <f t="shared" si="7"/>
        <v>24</v>
      </c>
    </row>
    <row r="190" spans="1:8" ht="16.5" thickBot="1" x14ac:dyDescent="0.3">
      <c r="A190" s="28">
        <f t="shared" si="6"/>
        <v>25</v>
      </c>
      <c r="B190" s="32" t="s">
        <v>203</v>
      </c>
      <c r="E190" s="161">
        <f>E188-E189</f>
        <v>0</v>
      </c>
      <c r="G190" s="28" t="s">
        <v>204</v>
      </c>
      <c r="H190" s="28">
        <f t="shared" si="7"/>
        <v>25</v>
      </c>
    </row>
    <row r="191" spans="1:8" ht="16.5" thickTop="1" x14ac:dyDescent="0.25">
      <c r="A191" s="28"/>
      <c r="B191" s="32"/>
      <c r="E191" s="52"/>
      <c r="G191" s="28"/>
    </row>
    <row r="192" spans="1:8" x14ac:dyDescent="0.25">
      <c r="A192" s="42" t="s">
        <v>33</v>
      </c>
      <c r="B192" s="538" t="str">
        <f>'Pg2 BK-1 Comparison'!B42</f>
        <v>Items in BOLD have changed due to A&amp;G adj. missed in prior cost adj. filing and CEMA/WMPMA exclusion corrections compared to the original TO5 Cycle 4 filing per ER22-527 and cost adj.</v>
      </c>
      <c r="E192" s="52"/>
      <c r="G192" s="28"/>
    </row>
    <row r="193" spans="1:7" x14ac:dyDescent="0.25">
      <c r="A193" s="42"/>
      <c r="B193" s="538" t="str">
        <f>'Pg2 BK-1 Comparison'!B43</f>
        <v>incl. in TO5 Cycle 5 per ER23-542.</v>
      </c>
      <c r="E193" s="52"/>
      <c r="G193" s="28"/>
    </row>
    <row r="194" spans="1:7" ht="18.75" x14ac:dyDescent="0.25">
      <c r="A194" s="43">
        <v>1</v>
      </c>
      <c r="B194" s="27" t="s">
        <v>205</v>
      </c>
      <c r="E194" s="52"/>
      <c r="G194" s="28"/>
    </row>
    <row r="196" spans="1:7" x14ac:dyDescent="0.25">
      <c r="E196" s="162"/>
    </row>
  </sheetData>
  <mergeCells count="20">
    <mergeCell ref="B47:G47"/>
    <mergeCell ref="B2:G2"/>
    <mergeCell ref="B3:G3"/>
    <mergeCell ref="B4:G4"/>
    <mergeCell ref="B5:G5"/>
    <mergeCell ref="B6:G6"/>
    <mergeCell ref="B160:G160"/>
    <mergeCell ref="B161:G161"/>
    <mergeCell ref="B159:G159"/>
    <mergeCell ref="B48:G48"/>
    <mergeCell ref="B49:G49"/>
    <mergeCell ref="B50:G50"/>
    <mergeCell ref="B51:G51"/>
    <mergeCell ref="B103:G103"/>
    <mergeCell ref="B104:G104"/>
    <mergeCell ref="B105:G105"/>
    <mergeCell ref="B106:G106"/>
    <mergeCell ref="B107:G107"/>
    <mergeCell ref="B157:G157"/>
    <mergeCell ref="B158:G158"/>
  </mergeCells>
  <printOptions horizontalCentered="1"/>
  <pageMargins left="0" right="0" top="0.35" bottom="0.5" header="0.25" footer="0.25"/>
  <pageSetup scale="55" orientation="portrait" r:id="rId1"/>
  <headerFooter scaleWithDoc="0" alignWithMargins="0">
    <oddHeader>&amp;C&amp;"Times New Roman,Bold"&amp;7REVISED</oddHeader>
    <oddFooter>&amp;L&amp;A&amp;CPage 3.&amp;P&amp;R&amp;F</oddFooter>
  </headerFooter>
  <rowBreaks count="3" manualBreakCount="3">
    <brk id="45" max="16383" man="1"/>
    <brk id="101" max="16383" man="1"/>
    <brk id="15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15671-3D5A-406E-A225-EFC59740DC6F}">
  <dimension ref="A1:J195"/>
  <sheetViews>
    <sheetView zoomScale="80" zoomScaleNormal="80" workbookViewId="0"/>
  </sheetViews>
  <sheetFormatPr defaultColWidth="9.28515625" defaultRowHeight="15.75" x14ac:dyDescent="0.25"/>
  <cols>
    <col min="1" max="1" width="5.28515625" style="27" customWidth="1"/>
    <col min="2" max="2" width="92.28515625" style="27" customWidth="1"/>
    <col min="3" max="3" width="10.42578125" style="27" customWidth="1"/>
    <col min="4" max="4" width="1.5703125" style="27" customWidth="1"/>
    <col min="5" max="5" width="18.42578125" style="27" customWidth="1"/>
    <col min="6" max="6" width="1.5703125" style="27" customWidth="1"/>
    <col min="7" max="7" width="53" style="27" customWidth="1"/>
    <col min="8" max="8" width="5.28515625" style="28" customWidth="1"/>
    <col min="9" max="9" width="22.42578125" style="27" customWidth="1"/>
    <col min="10" max="10" width="20.28515625" style="27" bestFit="1" customWidth="1"/>
    <col min="11" max="16384" width="9.28515625" style="27"/>
  </cols>
  <sheetData>
    <row r="1" spans="1:10" x14ac:dyDescent="0.25">
      <c r="A1" s="486" t="s">
        <v>256</v>
      </c>
    </row>
    <row r="2" spans="1:10" x14ac:dyDescent="0.25">
      <c r="G2" s="98"/>
    </row>
    <row r="3" spans="1:10" x14ac:dyDescent="0.25">
      <c r="A3" s="28"/>
      <c r="B3" s="572" t="s">
        <v>206</v>
      </c>
      <c r="C3" s="571"/>
      <c r="D3" s="571"/>
      <c r="E3" s="571"/>
      <c r="F3" s="571"/>
      <c r="G3" s="571"/>
    </row>
    <row r="4" spans="1:10" x14ac:dyDescent="0.25">
      <c r="A4" s="28" t="s">
        <v>21</v>
      </c>
      <c r="B4" s="572" t="s">
        <v>207</v>
      </c>
      <c r="C4" s="571"/>
      <c r="D4" s="571"/>
      <c r="E4" s="571"/>
      <c r="F4" s="571"/>
      <c r="G4" s="571"/>
    </row>
    <row r="5" spans="1:10" ht="17.25" x14ac:dyDescent="0.25">
      <c r="A5" s="28"/>
      <c r="B5" s="572" t="s">
        <v>208</v>
      </c>
      <c r="C5" s="573"/>
      <c r="D5" s="573"/>
      <c r="E5" s="573"/>
      <c r="F5" s="573"/>
      <c r="G5" s="573"/>
    </row>
    <row r="6" spans="1:10" x14ac:dyDescent="0.25">
      <c r="A6" s="28"/>
      <c r="B6" s="574" t="s">
        <v>209</v>
      </c>
      <c r="C6" s="574"/>
      <c r="D6" s="574"/>
      <c r="E6" s="574"/>
      <c r="F6" s="574"/>
      <c r="G6" s="574"/>
    </row>
    <row r="7" spans="1:10" x14ac:dyDescent="0.25">
      <c r="A7" s="28"/>
      <c r="B7" s="570" t="s">
        <v>2</v>
      </c>
      <c r="C7" s="571"/>
      <c r="D7" s="571"/>
      <c r="E7" s="571"/>
      <c r="F7" s="571"/>
      <c r="G7" s="571"/>
    </row>
    <row r="8" spans="1:10" x14ac:dyDescent="0.25">
      <c r="A8" s="28"/>
      <c r="B8" s="99"/>
      <c r="C8" s="94"/>
      <c r="D8" s="94"/>
      <c r="E8" s="94"/>
      <c r="F8" s="94"/>
      <c r="G8" s="94"/>
    </row>
    <row r="9" spans="1:10" x14ac:dyDescent="0.25">
      <c r="A9" s="28" t="s">
        <v>3</v>
      </c>
      <c r="E9" s="100"/>
      <c r="G9" s="28"/>
      <c r="H9" s="28" t="s">
        <v>3</v>
      </c>
    </row>
    <row r="10" spans="1:10" ht="15.75" customHeight="1" x14ac:dyDescent="0.25">
      <c r="A10" s="102" t="s">
        <v>7</v>
      </c>
      <c r="B10" s="94" t="s">
        <v>21</v>
      </c>
      <c r="E10" s="101" t="s">
        <v>5</v>
      </c>
      <c r="G10" s="102" t="s">
        <v>6</v>
      </c>
      <c r="H10" s="102" t="s">
        <v>7</v>
      </c>
    </row>
    <row r="11" spans="1:10" x14ac:dyDescent="0.25">
      <c r="A11" s="103"/>
      <c r="B11" s="44" t="s">
        <v>29</v>
      </c>
      <c r="E11" s="104"/>
      <c r="G11" s="28"/>
      <c r="H11" s="103"/>
    </row>
    <row r="12" spans="1:10" x14ac:dyDescent="0.25">
      <c r="A12" s="28">
        <v>1</v>
      </c>
      <c r="B12" s="32" t="s">
        <v>30</v>
      </c>
      <c r="C12" s="105"/>
      <c r="D12" s="105"/>
      <c r="E12" s="298">
        <v>95535.541019356009</v>
      </c>
      <c r="F12" s="42"/>
      <c r="G12" s="28" t="s">
        <v>210</v>
      </c>
      <c r="H12" s="28">
        <f>A12</f>
        <v>1</v>
      </c>
      <c r="I12" s="106"/>
    </row>
    <row r="13" spans="1:10" x14ac:dyDescent="0.25">
      <c r="A13" s="28">
        <f t="shared" ref="A13:A41" si="0">A12+1</f>
        <v>2</v>
      </c>
      <c r="B13" s="32" t="s">
        <v>21</v>
      </c>
      <c r="C13" s="105"/>
      <c r="D13" s="105"/>
      <c r="E13" s="107" t="s">
        <v>21</v>
      </c>
      <c r="G13" s="28"/>
      <c r="H13" s="28">
        <f t="shared" ref="H13:H41" si="1">H12+1</f>
        <v>2</v>
      </c>
      <c r="I13" s="106"/>
    </row>
    <row r="14" spans="1:10" x14ac:dyDescent="0.25">
      <c r="A14" s="28">
        <f t="shared" si="0"/>
        <v>3</v>
      </c>
      <c r="B14" s="32" t="s">
        <v>32</v>
      </c>
      <c r="C14" s="105"/>
      <c r="D14" s="105"/>
      <c r="E14" s="423">
        <v>81351.457442747444</v>
      </c>
      <c r="F14" s="42" t="s">
        <v>33</v>
      </c>
      <c r="G14" s="28" t="s">
        <v>257</v>
      </c>
      <c r="H14" s="28">
        <f t="shared" si="1"/>
        <v>3</v>
      </c>
      <c r="I14" s="106"/>
    </row>
    <row r="15" spans="1:10" x14ac:dyDescent="0.25">
      <c r="A15" s="28">
        <f t="shared" si="0"/>
        <v>4</v>
      </c>
      <c r="B15" s="32"/>
      <c r="C15" s="105"/>
      <c r="D15" s="105"/>
      <c r="E15" s="108"/>
      <c r="F15" s="94"/>
      <c r="G15" s="28"/>
      <c r="H15" s="28">
        <f t="shared" si="1"/>
        <v>4</v>
      </c>
      <c r="J15" s="109"/>
    </row>
    <row r="16" spans="1:10" x14ac:dyDescent="0.25">
      <c r="A16" s="28">
        <f t="shared" si="0"/>
        <v>5</v>
      </c>
      <c r="B16" s="32" t="s">
        <v>35</v>
      </c>
      <c r="C16" s="105"/>
      <c r="D16" s="105"/>
      <c r="E16" s="110">
        <v>0</v>
      </c>
      <c r="G16" s="28" t="s">
        <v>211</v>
      </c>
      <c r="H16" s="28">
        <f t="shared" si="1"/>
        <v>5</v>
      </c>
      <c r="J16" s="109"/>
    </row>
    <row r="17" spans="1:10" x14ac:dyDescent="0.25">
      <c r="A17" s="28">
        <f t="shared" si="0"/>
        <v>6</v>
      </c>
      <c r="B17" s="32" t="s">
        <v>37</v>
      </c>
      <c r="C17" s="105"/>
      <c r="D17" s="105"/>
      <c r="E17" s="424">
        <f>E12+E14+E16</f>
        <v>176886.99846210345</v>
      </c>
      <c r="F17" s="42" t="s">
        <v>33</v>
      </c>
      <c r="G17" s="28" t="s">
        <v>38</v>
      </c>
      <c r="H17" s="28">
        <f t="shared" si="1"/>
        <v>6</v>
      </c>
      <c r="I17" s="111"/>
      <c r="J17" s="109"/>
    </row>
    <row r="18" spans="1:10" x14ac:dyDescent="0.25">
      <c r="A18" s="28">
        <f t="shared" si="0"/>
        <v>7</v>
      </c>
      <c r="E18" s="112"/>
      <c r="G18" s="28"/>
      <c r="H18" s="28">
        <f t="shared" si="1"/>
        <v>7</v>
      </c>
    </row>
    <row r="19" spans="1:10" x14ac:dyDescent="0.25">
      <c r="A19" s="28">
        <f t="shared" si="0"/>
        <v>8</v>
      </c>
      <c r="B19" s="27" t="s">
        <v>39</v>
      </c>
      <c r="C19" s="105"/>
      <c r="D19" s="105"/>
      <c r="E19" s="410">
        <v>225950.77038593692</v>
      </c>
      <c r="F19" s="114"/>
      <c r="G19" s="28" t="s">
        <v>258</v>
      </c>
      <c r="H19" s="28">
        <f t="shared" si="1"/>
        <v>8</v>
      </c>
    </row>
    <row r="20" spans="1:10" x14ac:dyDescent="0.25">
      <c r="A20" s="28">
        <f t="shared" si="0"/>
        <v>9</v>
      </c>
      <c r="E20" s="115" t="s">
        <v>21</v>
      </c>
      <c r="G20" s="28"/>
      <c r="H20" s="28">
        <f t="shared" si="1"/>
        <v>9</v>
      </c>
    </row>
    <row r="21" spans="1:10" ht="18.75" x14ac:dyDescent="0.25">
      <c r="A21" s="28">
        <f t="shared" si="0"/>
        <v>10</v>
      </c>
      <c r="B21" s="27" t="s">
        <v>41</v>
      </c>
      <c r="E21" s="116">
        <v>0</v>
      </c>
      <c r="G21" s="28" t="s">
        <v>212</v>
      </c>
      <c r="H21" s="28">
        <f t="shared" si="1"/>
        <v>10</v>
      </c>
      <c r="I21" s="106"/>
    </row>
    <row r="22" spans="1:10" x14ac:dyDescent="0.25">
      <c r="A22" s="28">
        <f t="shared" si="0"/>
        <v>11</v>
      </c>
      <c r="E22" s="115"/>
      <c r="G22" s="28"/>
      <c r="H22" s="28">
        <f t="shared" si="1"/>
        <v>11</v>
      </c>
    </row>
    <row r="23" spans="1:10" x14ac:dyDescent="0.25">
      <c r="A23" s="28">
        <f t="shared" si="0"/>
        <v>12</v>
      </c>
      <c r="B23" s="27" t="s">
        <v>43</v>
      </c>
      <c r="C23" s="105"/>
      <c r="D23" s="105"/>
      <c r="E23" s="117">
        <v>57780.481143755853</v>
      </c>
      <c r="F23" s="94"/>
      <c r="G23" s="28" t="s">
        <v>259</v>
      </c>
      <c r="H23" s="28">
        <f t="shared" si="1"/>
        <v>12</v>
      </c>
      <c r="I23" s="106"/>
    </row>
    <row r="24" spans="1:10" x14ac:dyDescent="0.25">
      <c r="A24" s="28">
        <f t="shared" si="0"/>
        <v>13</v>
      </c>
      <c r="B24" s="32"/>
      <c r="C24" s="105"/>
      <c r="D24" s="105"/>
      <c r="E24" s="118"/>
      <c r="G24" s="28"/>
      <c r="H24" s="28">
        <f t="shared" si="1"/>
        <v>13</v>
      </c>
    </row>
    <row r="25" spans="1:10" x14ac:dyDescent="0.25">
      <c r="A25" s="28">
        <f t="shared" si="0"/>
        <v>14</v>
      </c>
      <c r="B25" s="27" t="s">
        <v>45</v>
      </c>
      <c r="C25" s="105"/>
      <c r="D25" s="105"/>
      <c r="E25" s="119">
        <v>3104.6015779338113</v>
      </c>
      <c r="F25" s="94"/>
      <c r="G25" s="28" t="s">
        <v>213</v>
      </c>
      <c r="H25" s="28">
        <f t="shared" si="1"/>
        <v>14</v>
      </c>
      <c r="I25" s="106"/>
    </row>
    <row r="26" spans="1:10" x14ac:dyDescent="0.25">
      <c r="A26" s="28">
        <f t="shared" si="0"/>
        <v>15</v>
      </c>
      <c r="B26" s="32" t="s">
        <v>47</v>
      </c>
      <c r="C26" s="105"/>
      <c r="D26" s="105"/>
      <c r="E26" s="427">
        <f>SUM(E17+E19+E21+E23+E25)</f>
        <v>463722.85156973003</v>
      </c>
      <c r="F26" s="42" t="s">
        <v>33</v>
      </c>
      <c r="G26" s="28" t="s">
        <v>48</v>
      </c>
      <c r="H26" s="28">
        <f t="shared" si="1"/>
        <v>15</v>
      </c>
    </row>
    <row r="27" spans="1:10" x14ac:dyDescent="0.25">
      <c r="A27" s="28">
        <f t="shared" si="0"/>
        <v>16</v>
      </c>
      <c r="B27" s="32"/>
      <c r="C27" s="105"/>
      <c r="D27" s="105"/>
      <c r="E27" s="120"/>
      <c r="G27" s="28"/>
      <c r="H27" s="28">
        <f t="shared" si="1"/>
        <v>16</v>
      </c>
    </row>
    <row r="28" spans="1:10" ht="18.75" x14ac:dyDescent="0.25">
      <c r="A28" s="28">
        <f t="shared" si="0"/>
        <v>17</v>
      </c>
      <c r="B28" s="32" t="s">
        <v>49</v>
      </c>
      <c r="C28" s="105"/>
      <c r="D28" s="105"/>
      <c r="E28" s="494">
        <v>9.5816762149131596E-2</v>
      </c>
      <c r="F28" s="42" t="s">
        <v>33</v>
      </c>
      <c r="G28" s="28" t="s">
        <v>260</v>
      </c>
      <c r="H28" s="28">
        <f t="shared" si="1"/>
        <v>17</v>
      </c>
    </row>
    <row r="29" spans="1:10" x14ac:dyDescent="0.25">
      <c r="A29" s="28">
        <f t="shared" si="0"/>
        <v>18</v>
      </c>
      <c r="B29" s="32" t="s">
        <v>51</v>
      </c>
      <c r="C29" s="105"/>
      <c r="D29" s="105"/>
      <c r="E29" s="122">
        <f>E139</f>
        <v>4577996.2614806164</v>
      </c>
      <c r="F29" s="42" t="s">
        <v>33</v>
      </c>
      <c r="G29" s="28" t="s">
        <v>214</v>
      </c>
      <c r="H29" s="28">
        <f t="shared" si="1"/>
        <v>18</v>
      </c>
    </row>
    <row r="30" spans="1:10" x14ac:dyDescent="0.25">
      <c r="A30" s="28">
        <f t="shared" si="0"/>
        <v>19</v>
      </c>
      <c r="B30" s="27" t="s">
        <v>53</v>
      </c>
      <c r="C30" s="105"/>
      <c r="D30" s="105"/>
      <c r="E30" s="123">
        <f>E29*E28</f>
        <v>438648.77890590188</v>
      </c>
      <c r="F30" s="42" t="s">
        <v>33</v>
      </c>
      <c r="G30" s="28" t="s">
        <v>54</v>
      </c>
      <c r="H30" s="28">
        <f t="shared" si="1"/>
        <v>19</v>
      </c>
    </row>
    <row r="31" spans="1:10" x14ac:dyDescent="0.25">
      <c r="A31" s="28">
        <f t="shared" si="0"/>
        <v>20</v>
      </c>
      <c r="C31" s="105"/>
      <c r="D31" s="105"/>
      <c r="E31" s="120"/>
      <c r="G31" s="28"/>
      <c r="H31" s="28">
        <f t="shared" si="1"/>
        <v>20</v>
      </c>
    </row>
    <row r="32" spans="1:10" ht="18.75" x14ac:dyDescent="0.25">
      <c r="A32" s="28">
        <f t="shared" si="0"/>
        <v>21</v>
      </c>
      <c r="B32" s="32" t="s">
        <v>55</v>
      </c>
      <c r="C32" s="105"/>
      <c r="D32" s="108"/>
      <c r="E32" s="121">
        <v>3.8994570343371454E-3</v>
      </c>
      <c r="F32" s="94"/>
      <c r="G32" s="28" t="s">
        <v>215</v>
      </c>
      <c r="H32" s="28">
        <f t="shared" si="1"/>
        <v>21</v>
      </c>
      <c r="I32" s="106"/>
    </row>
    <row r="33" spans="1:9" x14ac:dyDescent="0.25">
      <c r="A33" s="28">
        <f t="shared" si="0"/>
        <v>22</v>
      </c>
      <c r="B33" s="32" t="s">
        <v>51</v>
      </c>
      <c r="C33" s="105"/>
      <c r="D33" s="105"/>
      <c r="E33" s="122">
        <f>E139-E122</f>
        <v>4577996.2614806164</v>
      </c>
      <c r="F33" s="42" t="s">
        <v>33</v>
      </c>
      <c r="G33" s="28" t="s">
        <v>216</v>
      </c>
      <c r="H33" s="28">
        <f t="shared" si="1"/>
        <v>22</v>
      </c>
    </row>
    <row r="34" spans="1:9" x14ac:dyDescent="0.25">
      <c r="A34" s="28">
        <f t="shared" si="0"/>
        <v>23</v>
      </c>
      <c r="B34" s="27" t="s">
        <v>58</v>
      </c>
      <c r="E34" s="123">
        <f>E33*E32</f>
        <v>17851.699724999744</v>
      </c>
      <c r="F34" s="42" t="s">
        <v>33</v>
      </c>
      <c r="G34" s="28" t="s">
        <v>59</v>
      </c>
      <c r="H34" s="28">
        <f t="shared" si="1"/>
        <v>23</v>
      </c>
    </row>
    <row r="35" spans="1:9" x14ac:dyDescent="0.25">
      <c r="A35" s="28">
        <f t="shared" si="0"/>
        <v>24</v>
      </c>
      <c r="E35" s="124"/>
      <c r="G35" s="28"/>
      <c r="H35" s="28">
        <f t="shared" si="1"/>
        <v>24</v>
      </c>
    </row>
    <row r="36" spans="1:9" x14ac:dyDescent="0.25">
      <c r="A36" s="28">
        <f t="shared" si="0"/>
        <v>25</v>
      </c>
      <c r="B36" s="27" t="s">
        <v>60</v>
      </c>
      <c r="E36" s="125">
        <v>1304.0991895338727</v>
      </c>
      <c r="G36" s="28" t="s">
        <v>217</v>
      </c>
      <c r="H36" s="28">
        <f t="shared" si="1"/>
        <v>25</v>
      </c>
      <c r="I36" s="106"/>
    </row>
    <row r="37" spans="1:9" x14ac:dyDescent="0.25">
      <c r="A37" s="28">
        <f t="shared" si="0"/>
        <v>26</v>
      </c>
      <c r="B37" s="27" t="s">
        <v>62</v>
      </c>
      <c r="E37" s="516">
        <v>-4408.3500000000004</v>
      </c>
      <c r="F37" s="42" t="s">
        <v>33</v>
      </c>
      <c r="G37" s="28" t="s">
        <v>261</v>
      </c>
      <c r="H37" s="28">
        <f t="shared" si="1"/>
        <v>26</v>
      </c>
      <c r="I37" s="106"/>
    </row>
    <row r="38" spans="1:9" x14ac:dyDescent="0.25">
      <c r="A38" s="28">
        <f t="shared" si="0"/>
        <v>27</v>
      </c>
      <c r="B38" s="27" t="s">
        <v>64</v>
      </c>
      <c r="E38" s="127">
        <v>0</v>
      </c>
      <c r="G38" s="28" t="s">
        <v>219</v>
      </c>
      <c r="H38" s="28">
        <f t="shared" si="1"/>
        <v>27</v>
      </c>
    </row>
    <row r="39" spans="1:9" x14ac:dyDescent="0.25">
      <c r="A39" s="28">
        <f t="shared" si="0"/>
        <v>28</v>
      </c>
      <c r="B39" s="37" t="s">
        <v>66</v>
      </c>
      <c r="E39" s="128">
        <v>0</v>
      </c>
      <c r="G39" s="28" t="s">
        <v>220</v>
      </c>
      <c r="H39" s="28">
        <f t="shared" si="1"/>
        <v>28</v>
      </c>
      <c r="I39" s="106"/>
    </row>
    <row r="40" spans="1:9" x14ac:dyDescent="0.25">
      <c r="A40" s="28">
        <f t="shared" si="0"/>
        <v>29</v>
      </c>
      <c r="E40" s="115" t="s">
        <v>21</v>
      </c>
      <c r="G40" s="28"/>
      <c r="H40" s="28">
        <f t="shared" si="1"/>
        <v>29</v>
      </c>
      <c r="I40" s="106"/>
    </row>
    <row r="41" spans="1:9" ht="19.5" thickBot="1" x14ac:dyDescent="0.3">
      <c r="A41" s="28">
        <f t="shared" si="0"/>
        <v>30</v>
      </c>
      <c r="B41" s="27" t="s">
        <v>68</v>
      </c>
      <c r="C41" s="105"/>
      <c r="D41" s="105"/>
      <c r="E41" s="63">
        <f>E30+E34+E26+SUM(E36:E39)</f>
        <v>917119.07939016551</v>
      </c>
      <c r="F41" s="299" t="s">
        <v>33</v>
      </c>
      <c r="G41" s="92" t="s">
        <v>69</v>
      </c>
      <c r="H41" s="28">
        <f t="shared" si="1"/>
        <v>30</v>
      </c>
      <c r="I41" s="106"/>
    </row>
    <row r="42" spans="1:9" ht="16.5" thickTop="1" x14ac:dyDescent="0.25">
      <c r="A42" s="103"/>
      <c r="C42" s="105"/>
      <c r="D42" s="105"/>
      <c r="E42" s="129"/>
      <c r="F42" s="94"/>
      <c r="G42" s="103"/>
      <c r="H42" s="103"/>
      <c r="I42" s="106"/>
    </row>
    <row r="43" spans="1:9" x14ac:dyDescent="0.25">
      <c r="A43" s="42" t="s">
        <v>33</v>
      </c>
      <c r="B43" s="513" t="s">
        <v>262</v>
      </c>
      <c r="C43" s="105"/>
      <c r="D43" s="105"/>
      <c r="E43" s="129"/>
      <c r="F43" s="94"/>
      <c r="G43" s="103"/>
      <c r="H43" s="103"/>
      <c r="I43" s="106"/>
    </row>
    <row r="44" spans="1:9" x14ac:dyDescent="0.25">
      <c r="A44" s="42"/>
      <c r="B44" s="513" t="s">
        <v>263</v>
      </c>
      <c r="C44" s="105"/>
      <c r="D44" s="105"/>
      <c r="E44" s="129"/>
      <c r="F44" s="94"/>
      <c r="G44" s="103"/>
      <c r="H44" s="103"/>
      <c r="I44" s="106"/>
    </row>
    <row r="45" spans="1:9" ht="18.75" x14ac:dyDescent="0.25">
      <c r="A45" s="43">
        <v>1</v>
      </c>
      <c r="B45" s="27" t="s">
        <v>70</v>
      </c>
      <c r="C45" s="105"/>
      <c r="D45" s="105"/>
      <c r="E45" s="129"/>
      <c r="F45" s="94"/>
      <c r="G45" s="103"/>
      <c r="H45" s="103"/>
      <c r="I45" s="106"/>
    </row>
    <row r="46" spans="1:9" ht="18.75" x14ac:dyDescent="0.25">
      <c r="A46" s="43"/>
      <c r="C46" s="105"/>
      <c r="D46" s="105"/>
      <c r="E46" s="129"/>
      <c r="F46" s="94"/>
      <c r="G46" s="103"/>
      <c r="H46" s="103"/>
      <c r="I46" s="106"/>
    </row>
    <row r="47" spans="1:9" x14ac:dyDescent="0.25">
      <c r="A47" s="103"/>
      <c r="C47" s="105"/>
      <c r="D47" s="105"/>
      <c r="E47" s="129"/>
      <c r="F47" s="94"/>
      <c r="G47" s="98"/>
      <c r="H47" s="103"/>
      <c r="I47" s="106"/>
    </row>
    <row r="48" spans="1:9" x14ac:dyDescent="0.25">
      <c r="A48" s="103"/>
      <c r="B48" s="572" t="s">
        <v>206</v>
      </c>
      <c r="C48" s="571"/>
      <c r="D48" s="571"/>
      <c r="E48" s="571"/>
      <c r="F48" s="571"/>
      <c r="G48" s="571"/>
      <c r="H48" s="103"/>
      <c r="I48" s="106"/>
    </row>
    <row r="49" spans="1:9" x14ac:dyDescent="0.25">
      <c r="A49" s="103"/>
      <c r="B49" s="572" t="s">
        <v>207</v>
      </c>
      <c r="C49" s="571"/>
      <c r="D49" s="571"/>
      <c r="E49" s="571"/>
      <c r="F49" s="571"/>
      <c r="G49" s="571"/>
      <c r="H49" s="103"/>
      <c r="I49" s="106"/>
    </row>
    <row r="50" spans="1:9" ht="17.25" x14ac:dyDescent="0.25">
      <c r="A50" s="103"/>
      <c r="B50" s="572" t="s">
        <v>208</v>
      </c>
      <c r="C50" s="573"/>
      <c r="D50" s="573"/>
      <c r="E50" s="573"/>
      <c r="F50" s="573"/>
      <c r="G50" s="573"/>
      <c r="H50" s="103"/>
      <c r="I50" s="106"/>
    </row>
    <row r="51" spans="1:9" x14ac:dyDescent="0.25">
      <c r="A51" s="103"/>
      <c r="B51" s="568" t="str">
        <f>B6</f>
        <v>For the Base Period &amp; True-Up Period Ending December 31, 2020</v>
      </c>
      <c r="C51" s="569"/>
      <c r="D51" s="569"/>
      <c r="E51" s="569"/>
      <c r="F51" s="569"/>
      <c r="G51" s="569"/>
      <c r="H51" s="103"/>
      <c r="I51" s="106"/>
    </row>
    <row r="52" spans="1:9" x14ac:dyDescent="0.25">
      <c r="A52" s="103"/>
      <c r="B52" s="570" t="s">
        <v>2</v>
      </c>
      <c r="C52" s="571"/>
      <c r="D52" s="571"/>
      <c r="E52" s="571"/>
      <c r="F52" s="571"/>
      <c r="G52" s="571"/>
      <c r="H52" s="103"/>
      <c r="I52" s="106"/>
    </row>
    <row r="53" spans="1:9" x14ac:dyDescent="0.25">
      <c r="A53" s="103"/>
      <c r="C53" s="105"/>
      <c r="D53" s="105"/>
      <c r="E53" s="129"/>
      <c r="F53" s="94"/>
      <c r="G53" s="103"/>
      <c r="H53" s="103"/>
      <c r="I53" s="106"/>
    </row>
    <row r="54" spans="1:9" x14ac:dyDescent="0.25">
      <c r="A54" s="28" t="s">
        <v>3</v>
      </c>
      <c r="E54" s="100"/>
      <c r="G54" s="28"/>
      <c r="H54" s="28" t="s">
        <v>3</v>
      </c>
      <c r="I54" s="106"/>
    </row>
    <row r="55" spans="1:9" x14ac:dyDescent="0.25">
      <c r="A55" s="28" t="s">
        <v>7</v>
      </c>
      <c r="B55" s="94" t="s">
        <v>21</v>
      </c>
      <c r="E55" s="101" t="s">
        <v>5</v>
      </c>
      <c r="G55" s="102" t="s">
        <v>6</v>
      </c>
      <c r="H55" s="28" t="s">
        <v>7</v>
      </c>
      <c r="I55" s="106"/>
    </row>
    <row r="56" spans="1:9" ht="18.75" x14ac:dyDescent="0.25">
      <c r="A56" s="103"/>
      <c r="B56" s="44" t="s">
        <v>72</v>
      </c>
      <c r="E56" s="28"/>
      <c r="G56" s="28"/>
      <c r="H56" s="103"/>
      <c r="I56" s="106"/>
    </row>
    <row r="57" spans="1:9" x14ac:dyDescent="0.25">
      <c r="A57" s="28">
        <v>1</v>
      </c>
      <c r="B57" s="32" t="s">
        <v>73</v>
      </c>
      <c r="C57" s="105"/>
      <c r="D57" s="105"/>
      <c r="E57" s="130">
        <v>0</v>
      </c>
      <c r="G57" s="28" t="s">
        <v>221</v>
      </c>
      <c r="H57" s="28">
        <f>A57</f>
        <v>1</v>
      </c>
      <c r="I57" s="106"/>
    </row>
    <row r="58" spans="1:9" x14ac:dyDescent="0.25">
      <c r="A58" s="28">
        <f t="shared" ref="A58:A95" si="2">A57+1</f>
        <v>2</v>
      </c>
      <c r="B58" s="32"/>
      <c r="C58" s="105"/>
      <c r="D58" s="105"/>
      <c r="E58" s="58"/>
      <c r="G58" s="28"/>
      <c r="H58" s="28">
        <f t="shared" ref="H58:H95" si="3">H57+1</f>
        <v>2</v>
      </c>
    </row>
    <row r="59" spans="1:9" ht="18.75" x14ac:dyDescent="0.25">
      <c r="A59" s="28">
        <f t="shared" si="2"/>
        <v>3</v>
      </c>
      <c r="B59" s="32" t="s">
        <v>75</v>
      </c>
      <c r="C59" s="105"/>
      <c r="D59" s="105"/>
      <c r="E59" s="121">
        <v>1.7368511652018213E-2</v>
      </c>
      <c r="F59" s="131"/>
      <c r="G59" s="28" t="s">
        <v>222</v>
      </c>
      <c r="H59" s="28">
        <f t="shared" si="3"/>
        <v>3</v>
      </c>
    </row>
    <row r="60" spans="1:9" x14ac:dyDescent="0.25">
      <c r="A60" s="28">
        <f t="shared" si="2"/>
        <v>4</v>
      </c>
      <c r="B60" s="27" t="s">
        <v>77</v>
      </c>
      <c r="C60" s="105"/>
      <c r="D60" s="105"/>
      <c r="E60" s="132">
        <f>E144</f>
        <v>0</v>
      </c>
      <c r="G60" s="28" t="s">
        <v>223</v>
      </c>
      <c r="H60" s="28">
        <f t="shared" si="3"/>
        <v>4</v>
      </c>
    </row>
    <row r="61" spans="1:9" x14ac:dyDescent="0.25">
      <c r="A61" s="28">
        <f t="shared" si="2"/>
        <v>5</v>
      </c>
      <c r="B61" s="27" t="s">
        <v>79</v>
      </c>
      <c r="E61" s="48">
        <f>E60*E59</f>
        <v>0</v>
      </c>
      <c r="G61" s="28" t="s">
        <v>80</v>
      </c>
      <c r="H61" s="28">
        <f t="shared" si="3"/>
        <v>5</v>
      </c>
    </row>
    <row r="62" spans="1:9" x14ac:dyDescent="0.25">
      <c r="A62" s="28">
        <f t="shared" si="2"/>
        <v>6</v>
      </c>
      <c r="E62" s="49"/>
      <c r="G62" s="28"/>
      <c r="H62" s="28">
        <f t="shared" si="3"/>
        <v>6</v>
      </c>
    </row>
    <row r="63" spans="1:9" ht="18.75" x14ac:dyDescent="0.25">
      <c r="A63" s="28">
        <f t="shared" si="2"/>
        <v>7</v>
      </c>
      <c r="B63" s="32" t="s">
        <v>55</v>
      </c>
      <c r="E63" s="121">
        <v>0</v>
      </c>
      <c r="G63" s="28" t="s">
        <v>224</v>
      </c>
      <c r="H63" s="28">
        <f t="shared" si="3"/>
        <v>7</v>
      </c>
    </row>
    <row r="64" spans="1:9" x14ac:dyDescent="0.25">
      <c r="A64" s="28">
        <f t="shared" si="2"/>
        <v>8</v>
      </c>
      <c r="B64" s="27" t="s">
        <v>77</v>
      </c>
      <c r="E64" s="132">
        <f>E144</f>
        <v>0</v>
      </c>
      <c r="G64" s="28" t="s">
        <v>223</v>
      </c>
      <c r="H64" s="28">
        <f t="shared" si="3"/>
        <v>8</v>
      </c>
    </row>
    <row r="65" spans="1:9" x14ac:dyDescent="0.25">
      <c r="A65" s="28">
        <f t="shared" si="2"/>
        <v>9</v>
      </c>
      <c r="B65" s="27" t="s">
        <v>58</v>
      </c>
      <c r="E65" s="48">
        <f>E64*E63</f>
        <v>0</v>
      </c>
      <c r="G65" s="28" t="s">
        <v>83</v>
      </c>
      <c r="H65" s="28">
        <f t="shared" si="3"/>
        <v>9</v>
      </c>
    </row>
    <row r="66" spans="1:9" x14ac:dyDescent="0.25">
      <c r="A66" s="28">
        <f t="shared" si="2"/>
        <v>10</v>
      </c>
      <c r="E66" s="49"/>
      <c r="G66" s="28"/>
      <c r="H66" s="28">
        <f t="shared" si="3"/>
        <v>10</v>
      </c>
    </row>
    <row r="67" spans="1:9" ht="16.5" thickBot="1" x14ac:dyDescent="0.3">
      <c r="A67" s="28">
        <f t="shared" si="2"/>
        <v>11</v>
      </c>
      <c r="B67" s="27" t="s">
        <v>84</v>
      </c>
      <c r="E67" s="50">
        <f>E57+E61+E65</f>
        <v>0</v>
      </c>
      <c r="G67" s="28" t="s">
        <v>85</v>
      </c>
      <c r="H67" s="28">
        <f t="shared" si="3"/>
        <v>11</v>
      </c>
    </row>
    <row r="68" spans="1:9" ht="16.5" thickTop="1" x14ac:dyDescent="0.25">
      <c r="A68" s="28">
        <f t="shared" si="2"/>
        <v>12</v>
      </c>
      <c r="E68" s="52"/>
      <c r="G68" s="28"/>
      <c r="H68" s="28">
        <f t="shared" si="3"/>
        <v>12</v>
      </c>
    </row>
    <row r="69" spans="1:9" ht="18.75" x14ac:dyDescent="0.25">
      <c r="A69" s="28">
        <f t="shared" si="2"/>
        <v>13</v>
      </c>
      <c r="B69" s="53" t="s">
        <v>86</v>
      </c>
      <c r="E69" s="52"/>
      <c r="G69" s="28"/>
      <c r="H69" s="28">
        <f t="shared" si="3"/>
        <v>13</v>
      </c>
    </row>
    <row r="70" spans="1:9" x14ac:dyDescent="0.25">
      <c r="A70" s="28">
        <f t="shared" si="2"/>
        <v>14</v>
      </c>
      <c r="B70" s="32" t="s">
        <v>87</v>
      </c>
      <c r="E70" s="133">
        <v>0</v>
      </c>
      <c r="G70" s="28" t="s">
        <v>225</v>
      </c>
      <c r="H70" s="28">
        <f t="shared" si="3"/>
        <v>14</v>
      </c>
    </row>
    <row r="71" spans="1:9" x14ac:dyDescent="0.25">
      <c r="A71" s="28">
        <f t="shared" si="2"/>
        <v>15</v>
      </c>
      <c r="B71" s="32"/>
      <c r="E71" s="54"/>
      <c r="G71" s="28"/>
      <c r="H71" s="28">
        <f t="shared" si="3"/>
        <v>15</v>
      </c>
    </row>
    <row r="72" spans="1:9" x14ac:dyDescent="0.25">
      <c r="A72" s="28">
        <f t="shared" si="2"/>
        <v>16</v>
      </c>
      <c r="B72" s="32" t="s">
        <v>89</v>
      </c>
      <c r="E72" s="133">
        <f>E149</f>
        <v>0</v>
      </c>
      <c r="G72" s="28" t="s">
        <v>226</v>
      </c>
      <c r="H72" s="28">
        <f t="shared" si="3"/>
        <v>16</v>
      </c>
    </row>
    <row r="73" spans="1:9" ht="18.75" x14ac:dyDescent="0.25">
      <c r="A73" s="28">
        <f t="shared" si="2"/>
        <v>17</v>
      </c>
      <c r="B73" s="32" t="s">
        <v>49</v>
      </c>
      <c r="C73" s="105"/>
      <c r="D73" s="108"/>
      <c r="E73" s="495">
        <v>9.5816762149131596E-2</v>
      </c>
      <c r="F73" s="42" t="s">
        <v>33</v>
      </c>
      <c r="G73" s="28" t="s">
        <v>264</v>
      </c>
      <c r="H73" s="28">
        <f t="shared" si="3"/>
        <v>17</v>
      </c>
    </row>
    <row r="74" spans="1:9" x14ac:dyDescent="0.25">
      <c r="A74" s="28">
        <f t="shared" si="2"/>
        <v>18</v>
      </c>
      <c r="B74" s="27" t="s">
        <v>92</v>
      </c>
      <c r="E74" s="48">
        <f>E72*E73</f>
        <v>0</v>
      </c>
      <c r="G74" s="28" t="s">
        <v>93</v>
      </c>
      <c r="H74" s="28">
        <f t="shared" si="3"/>
        <v>18</v>
      </c>
    </row>
    <row r="75" spans="1:9" x14ac:dyDescent="0.25">
      <c r="A75" s="28">
        <f t="shared" si="2"/>
        <v>19</v>
      </c>
      <c r="E75" s="49"/>
      <c r="G75" s="28"/>
      <c r="H75" s="28">
        <f t="shared" si="3"/>
        <v>19</v>
      </c>
    </row>
    <row r="76" spans="1:9" x14ac:dyDescent="0.25">
      <c r="A76" s="28">
        <f t="shared" si="2"/>
        <v>20</v>
      </c>
      <c r="B76" s="32" t="s">
        <v>89</v>
      </c>
      <c r="E76" s="133">
        <f>E149</f>
        <v>0</v>
      </c>
      <c r="G76" s="28" t="s">
        <v>226</v>
      </c>
      <c r="H76" s="28">
        <f t="shared" si="3"/>
        <v>20</v>
      </c>
    </row>
    <row r="77" spans="1:9" ht="18.75" x14ac:dyDescent="0.25">
      <c r="A77" s="28">
        <f t="shared" si="2"/>
        <v>21</v>
      </c>
      <c r="B77" s="32" t="s">
        <v>55</v>
      </c>
      <c r="C77" s="135"/>
      <c r="D77" s="108"/>
      <c r="E77" s="136">
        <v>0</v>
      </c>
      <c r="F77" s="94"/>
      <c r="G77" s="28" t="s">
        <v>227</v>
      </c>
      <c r="H77" s="28">
        <f t="shared" si="3"/>
        <v>21</v>
      </c>
      <c r="I77" s="135"/>
    </row>
    <row r="78" spans="1:9" x14ac:dyDescent="0.25">
      <c r="A78" s="28">
        <f t="shared" si="2"/>
        <v>22</v>
      </c>
      <c r="B78" s="27" t="s">
        <v>96</v>
      </c>
      <c r="E78" s="48">
        <f>E76*E77</f>
        <v>0</v>
      </c>
      <c r="G78" s="28" t="s">
        <v>97</v>
      </c>
      <c r="H78" s="28">
        <f t="shared" si="3"/>
        <v>22</v>
      </c>
    </row>
    <row r="79" spans="1:9" x14ac:dyDescent="0.25">
      <c r="A79" s="28">
        <f t="shared" si="2"/>
        <v>23</v>
      </c>
      <c r="E79" s="52"/>
      <c r="G79" s="28"/>
      <c r="H79" s="28">
        <f t="shared" si="3"/>
        <v>23</v>
      </c>
    </row>
    <row r="80" spans="1:9" ht="16.5" thickBot="1" x14ac:dyDescent="0.3">
      <c r="A80" s="28">
        <f t="shared" si="2"/>
        <v>24</v>
      </c>
      <c r="B80" s="27" t="s">
        <v>98</v>
      </c>
      <c r="E80" s="50">
        <f>E70+E74+E78</f>
        <v>0</v>
      </c>
      <c r="G80" s="28" t="s">
        <v>99</v>
      </c>
      <c r="H80" s="28">
        <f t="shared" si="3"/>
        <v>24</v>
      </c>
    </row>
    <row r="81" spans="1:8" ht="16.5" thickTop="1" x14ac:dyDescent="0.25">
      <c r="A81" s="28">
        <f t="shared" si="2"/>
        <v>25</v>
      </c>
      <c r="E81" s="52"/>
      <c r="G81" s="28"/>
      <c r="H81" s="28">
        <f t="shared" si="3"/>
        <v>25</v>
      </c>
    </row>
    <row r="82" spans="1:8" ht="18.75" x14ac:dyDescent="0.25">
      <c r="A82" s="28">
        <f t="shared" si="2"/>
        <v>26</v>
      </c>
      <c r="B82" s="53" t="s">
        <v>100</v>
      </c>
      <c r="C82" s="105"/>
      <c r="D82" s="105"/>
      <c r="E82" s="58"/>
      <c r="G82" s="28"/>
      <c r="H82" s="28">
        <f t="shared" si="3"/>
        <v>26</v>
      </c>
    </row>
    <row r="83" spans="1:8" x14ac:dyDescent="0.25">
      <c r="A83" s="28">
        <f t="shared" si="2"/>
        <v>27</v>
      </c>
      <c r="B83" s="27" t="s">
        <v>101</v>
      </c>
      <c r="C83" s="105"/>
      <c r="D83" s="105"/>
      <c r="E83" s="130">
        <f>E151</f>
        <v>0</v>
      </c>
      <c r="G83" s="28" t="s">
        <v>228</v>
      </c>
      <c r="H83" s="28">
        <f t="shared" si="3"/>
        <v>27</v>
      </c>
    </row>
    <row r="84" spans="1:8" ht="18.75" x14ac:dyDescent="0.25">
      <c r="A84" s="28">
        <f t="shared" si="2"/>
        <v>28</v>
      </c>
      <c r="B84" s="32" t="s">
        <v>49</v>
      </c>
      <c r="C84" s="105"/>
      <c r="D84" s="105"/>
      <c r="E84" s="496">
        <v>9.5816762149131596E-2</v>
      </c>
      <c r="F84" s="42" t="s">
        <v>33</v>
      </c>
      <c r="G84" s="28" t="s">
        <v>264</v>
      </c>
      <c r="H84" s="28">
        <f t="shared" si="3"/>
        <v>28</v>
      </c>
    </row>
    <row r="85" spans="1:8" x14ac:dyDescent="0.25">
      <c r="A85" s="28">
        <f t="shared" si="2"/>
        <v>29</v>
      </c>
      <c r="B85" s="27" t="s">
        <v>104</v>
      </c>
      <c r="C85" s="105"/>
      <c r="D85" s="105"/>
      <c r="E85" s="61">
        <f>E83*E84</f>
        <v>0</v>
      </c>
      <c r="G85" s="28" t="s">
        <v>105</v>
      </c>
      <c r="H85" s="28">
        <f t="shared" si="3"/>
        <v>29</v>
      </c>
    </row>
    <row r="86" spans="1:8" x14ac:dyDescent="0.25">
      <c r="A86" s="28">
        <f t="shared" si="2"/>
        <v>30</v>
      </c>
      <c r="C86" s="105"/>
      <c r="D86" s="105"/>
      <c r="E86" s="59"/>
      <c r="G86" s="28"/>
      <c r="H86" s="28">
        <f t="shared" si="3"/>
        <v>30</v>
      </c>
    </row>
    <row r="87" spans="1:8" x14ac:dyDescent="0.25">
      <c r="A87" s="28">
        <f t="shared" si="2"/>
        <v>31</v>
      </c>
      <c r="B87" s="27" t="s">
        <v>101</v>
      </c>
      <c r="C87" s="105"/>
      <c r="D87" s="105"/>
      <c r="E87" s="130">
        <f>E151</f>
        <v>0</v>
      </c>
      <c r="G87" s="28" t="s">
        <v>228</v>
      </c>
      <c r="H87" s="28">
        <f t="shared" si="3"/>
        <v>31</v>
      </c>
    </row>
    <row r="88" spans="1:8" ht="18.75" x14ac:dyDescent="0.25">
      <c r="A88" s="28">
        <f t="shared" si="2"/>
        <v>32</v>
      </c>
      <c r="B88" s="32" t="s">
        <v>55</v>
      </c>
      <c r="C88" s="105"/>
      <c r="D88" s="105"/>
      <c r="E88" s="137">
        <v>3.8994570343371454E-3</v>
      </c>
      <c r="F88" s="94"/>
      <c r="G88" s="28" t="s">
        <v>215</v>
      </c>
      <c r="H88" s="28">
        <f t="shared" si="3"/>
        <v>32</v>
      </c>
    </row>
    <row r="89" spans="1:8" x14ac:dyDescent="0.25">
      <c r="A89" s="28">
        <f t="shared" si="2"/>
        <v>33</v>
      </c>
      <c r="B89" s="27" t="s">
        <v>108</v>
      </c>
      <c r="C89" s="105"/>
      <c r="D89" s="105"/>
      <c r="E89" s="61">
        <f>E87*E88</f>
        <v>0</v>
      </c>
      <c r="G89" s="28" t="s">
        <v>109</v>
      </c>
      <c r="H89" s="28">
        <f t="shared" si="3"/>
        <v>33</v>
      </c>
    </row>
    <row r="90" spans="1:8" x14ac:dyDescent="0.25">
      <c r="A90" s="28">
        <f t="shared" si="2"/>
        <v>34</v>
      </c>
      <c r="C90" s="105"/>
      <c r="D90" s="105"/>
      <c r="E90" s="59"/>
      <c r="G90" s="28"/>
      <c r="H90" s="28">
        <f t="shared" si="3"/>
        <v>34</v>
      </c>
    </row>
    <row r="91" spans="1:8" ht="16.5" thickBot="1" x14ac:dyDescent="0.3">
      <c r="A91" s="28">
        <f t="shared" si="2"/>
        <v>35</v>
      </c>
      <c r="B91" s="27" t="s">
        <v>110</v>
      </c>
      <c r="C91" s="105"/>
      <c r="D91" s="105"/>
      <c r="E91" s="50">
        <f>E85+E89</f>
        <v>0</v>
      </c>
      <c r="G91" s="28" t="s">
        <v>111</v>
      </c>
      <c r="H91" s="28">
        <f t="shared" si="3"/>
        <v>35</v>
      </c>
    </row>
    <row r="92" spans="1:8" ht="16.5" thickTop="1" x14ac:dyDescent="0.25">
      <c r="A92" s="28">
        <f t="shared" si="2"/>
        <v>36</v>
      </c>
      <c r="C92" s="105"/>
      <c r="D92" s="105"/>
      <c r="E92" s="58"/>
      <c r="G92" s="28"/>
      <c r="H92" s="28">
        <f t="shared" si="3"/>
        <v>36</v>
      </c>
    </row>
    <row r="93" spans="1:8" ht="19.5" thickBot="1" x14ac:dyDescent="0.3">
      <c r="A93" s="28">
        <f t="shared" si="2"/>
        <v>37</v>
      </c>
      <c r="B93" s="27" t="s">
        <v>112</v>
      </c>
      <c r="E93" s="62">
        <f>E67+E80+E91</f>
        <v>0</v>
      </c>
      <c r="G93" s="28" t="s">
        <v>113</v>
      </c>
      <c r="H93" s="28">
        <f t="shared" si="3"/>
        <v>37</v>
      </c>
    </row>
    <row r="94" spans="1:8" ht="16.5" thickTop="1" x14ac:dyDescent="0.25">
      <c r="A94" s="28">
        <f t="shared" si="2"/>
        <v>38</v>
      </c>
      <c r="C94" s="105"/>
      <c r="D94" s="105"/>
      <c r="E94" s="58"/>
      <c r="G94" s="28"/>
      <c r="H94" s="28">
        <f t="shared" si="3"/>
        <v>38</v>
      </c>
    </row>
    <row r="95" spans="1:8" ht="19.5" thickBot="1" x14ac:dyDescent="0.3">
      <c r="A95" s="28">
        <f t="shared" si="2"/>
        <v>39</v>
      </c>
      <c r="B95" s="53" t="s">
        <v>114</v>
      </c>
      <c r="C95" s="105"/>
      <c r="D95" s="105"/>
      <c r="E95" s="63">
        <f>+E41+E93</f>
        <v>917119.07939016551</v>
      </c>
      <c r="F95" s="42" t="s">
        <v>33</v>
      </c>
      <c r="G95" s="28" t="s">
        <v>115</v>
      </c>
      <c r="H95" s="28">
        <f t="shared" si="3"/>
        <v>39</v>
      </c>
    </row>
    <row r="96" spans="1:8" ht="16.5" thickTop="1" x14ac:dyDescent="0.25">
      <c r="A96" s="28"/>
      <c r="B96" s="53"/>
      <c r="C96" s="105"/>
      <c r="D96" s="105"/>
      <c r="E96" s="58"/>
      <c r="F96" s="94"/>
      <c r="G96" s="28"/>
    </row>
    <row r="97" spans="1:8" x14ac:dyDescent="0.25">
      <c r="A97" s="42" t="s">
        <v>33</v>
      </c>
      <c r="B97" s="12" t="str">
        <f>B43</f>
        <v xml:space="preserve">Items in BOLD have changed due to unfunded reserves error, A&amp;G adjustments, transmission revenue credits error,  and removal of CIAC related ADIT per TO5 Cycle 4 Letter Order </v>
      </c>
      <c r="C97" s="105"/>
      <c r="D97" s="105"/>
      <c r="E97" s="58"/>
      <c r="F97" s="94"/>
      <c r="G97" s="28"/>
    </row>
    <row r="98" spans="1:8" x14ac:dyDescent="0.25">
      <c r="A98" s="42"/>
      <c r="B98" s="12" t="str">
        <f>B44</f>
        <v>determination in ER22-527 as compared to the original TO5 Cycle 4 filing.</v>
      </c>
      <c r="C98" s="105"/>
      <c r="D98" s="105"/>
      <c r="E98" s="58"/>
      <c r="F98" s="94"/>
      <c r="G98" s="28"/>
    </row>
    <row r="99" spans="1:8" ht="18.75" x14ac:dyDescent="0.25">
      <c r="A99" s="43">
        <v>1</v>
      </c>
      <c r="B99" s="27" t="s">
        <v>70</v>
      </c>
      <c r="C99" s="105"/>
      <c r="D99" s="105"/>
      <c r="E99" s="58"/>
      <c r="G99" s="28"/>
    </row>
    <row r="100" spans="1:8" ht="18.75" x14ac:dyDescent="0.25">
      <c r="A100" s="43">
        <v>2</v>
      </c>
      <c r="B100" s="27" t="s">
        <v>116</v>
      </c>
      <c r="C100" s="105"/>
      <c r="D100" s="105"/>
      <c r="E100" s="138"/>
      <c r="F100" s="114"/>
      <c r="G100" s="28"/>
    </row>
    <row r="101" spans="1:8" ht="18.75" x14ac:dyDescent="0.25">
      <c r="A101" s="43">
        <v>3</v>
      </c>
      <c r="B101" s="27" t="s">
        <v>117</v>
      </c>
      <c r="C101" s="105"/>
      <c r="D101" s="105"/>
      <c r="E101" s="58"/>
      <c r="G101" s="28"/>
    </row>
    <row r="102" spans="1:8" x14ac:dyDescent="0.25">
      <c r="A102" s="28"/>
      <c r="B102" s="94"/>
      <c r="C102" s="105"/>
      <c r="D102" s="105"/>
      <c r="E102" s="58"/>
      <c r="G102" s="28"/>
    </row>
    <row r="103" spans="1:8" x14ac:dyDescent="0.25">
      <c r="A103" s="28"/>
      <c r="C103" s="105"/>
      <c r="D103" s="105"/>
      <c r="E103" s="58"/>
      <c r="G103" s="98"/>
    </row>
    <row r="104" spans="1:8" x14ac:dyDescent="0.25">
      <c r="A104" s="28"/>
      <c r="B104" s="572" t="s">
        <v>206</v>
      </c>
      <c r="C104" s="571"/>
      <c r="D104" s="571"/>
      <c r="E104" s="571"/>
      <c r="F104" s="571"/>
      <c r="G104" s="571"/>
    </row>
    <row r="105" spans="1:8" x14ac:dyDescent="0.25">
      <c r="A105" s="28"/>
      <c r="B105" s="572" t="s">
        <v>207</v>
      </c>
      <c r="C105" s="571"/>
      <c r="D105" s="571"/>
      <c r="E105" s="571"/>
      <c r="F105" s="571"/>
      <c r="G105" s="571"/>
    </row>
    <row r="106" spans="1:8" ht="17.25" x14ac:dyDescent="0.25">
      <c r="A106" s="28" t="s">
        <v>21</v>
      </c>
      <c r="B106" s="572" t="s">
        <v>208</v>
      </c>
      <c r="C106" s="573"/>
      <c r="D106" s="573"/>
      <c r="E106" s="573"/>
      <c r="F106" s="573"/>
      <c r="G106" s="573"/>
      <c r="H106" s="28" t="s">
        <v>21</v>
      </c>
    </row>
    <row r="107" spans="1:8" x14ac:dyDescent="0.25">
      <c r="A107" s="28"/>
      <c r="B107" s="568" t="str">
        <f>B6</f>
        <v>For the Base Period &amp; True-Up Period Ending December 31, 2020</v>
      </c>
      <c r="C107" s="569"/>
      <c r="D107" s="569"/>
      <c r="E107" s="569"/>
      <c r="F107" s="569"/>
      <c r="G107" s="569"/>
    </row>
    <row r="108" spans="1:8" x14ac:dyDescent="0.25">
      <c r="A108" s="28"/>
      <c r="B108" s="570" t="s">
        <v>2</v>
      </c>
      <c r="C108" s="571"/>
      <c r="D108" s="571"/>
      <c r="E108" s="571"/>
      <c r="F108" s="571"/>
      <c r="G108" s="571"/>
    </row>
    <row r="109" spans="1:8" x14ac:dyDescent="0.25">
      <c r="A109" s="28"/>
      <c r="B109" s="99"/>
      <c r="C109" s="94"/>
      <c r="D109" s="94"/>
      <c r="E109" s="94"/>
      <c r="F109" s="94"/>
      <c r="G109" s="94"/>
    </row>
    <row r="110" spans="1:8" x14ac:dyDescent="0.25">
      <c r="A110" s="28" t="s">
        <v>3</v>
      </c>
      <c r="E110" s="100"/>
      <c r="G110" s="28"/>
      <c r="H110" s="28" t="s">
        <v>3</v>
      </c>
    </row>
    <row r="111" spans="1:8" x14ac:dyDescent="0.25">
      <c r="A111" s="28" t="s">
        <v>7</v>
      </c>
      <c r="B111" s="94" t="s">
        <v>21</v>
      </c>
      <c r="E111" s="101" t="s">
        <v>5</v>
      </c>
      <c r="G111" s="102" t="s">
        <v>6</v>
      </c>
      <c r="H111" s="28" t="s">
        <v>7</v>
      </c>
    </row>
    <row r="112" spans="1:8" x14ac:dyDescent="0.25">
      <c r="A112" s="103"/>
      <c r="B112" s="44" t="s">
        <v>229</v>
      </c>
      <c r="C112" s="139"/>
      <c r="D112" s="139"/>
      <c r="E112" s="139"/>
      <c r="G112" s="28"/>
      <c r="H112" s="103"/>
    </row>
    <row r="113" spans="1:8" x14ac:dyDescent="0.25">
      <c r="A113" s="28">
        <v>1</v>
      </c>
      <c r="B113" s="140" t="s">
        <v>119</v>
      </c>
      <c r="C113" s="139"/>
      <c r="D113" s="139"/>
      <c r="E113" s="139"/>
      <c r="G113" s="28"/>
      <c r="H113" s="28">
        <f>A113</f>
        <v>1</v>
      </c>
    </row>
    <row r="114" spans="1:8" x14ac:dyDescent="0.25">
      <c r="A114" s="28">
        <f t="shared" ref="A114:A151" si="4">A113+1</f>
        <v>2</v>
      </c>
      <c r="B114" s="32" t="s">
        <v>120</v>
      </c>
      <c r="C114" s="139"/>
      <c r="D114" s="139"/>
      <c r="E114" s="141">
        <f>E182</f>
        <v>5246121.1315707676</v>
      </c>
      <c r="F114" s="114"/>
      <c r="G114" s="28" t="s">
        <v>230</v>
      </c>
      <c r="H114" s="28">
        <f t="shared" ref="H114:H151" si="5">H113+1</f>
        <v>2</v>
      </c>
    </row>
    <row r="115" spans="1:8" x14ac:dyDescent="0.25">
      <c r="A115" s="28">
        <f t="shared" si="4"/>
        <v>3</v>
      </c>
      <c r="B115" s="32" t="s">
        <v>122</v>
      </c>
      <c r="C115" s="139"/>
      <c r="D115" s="139"/>
      <c r="E115" s="142">
        <f>E183</f>
        <v>6185.413608726165</v>
      </c>
      <c r="F115" s="114"/>
      <c r="G115" s="28" t="s">
        <v>231</v>
      </c>
      <c r="H115" s="28">
        <f t="shared" si="5"/>
        <v>3</v>
      </c>
    </row>
    <row r="116" spans="1:8" x14ac:dyDescent="0.25">
      <c r="A116" s="28">
        <f t="shared" si="4"/>
        <v>4</v>
      </c>
      <c r="B116" s="32" t="s">
        <v>124</v>
      </c>
      <c r="C116" s="139"/>
      <c r="D116" s="139"/>
      <c r="E116" s="142">
        <f>E184</f>
        <v>51220.11925408426</v>
      </c>
      <c r="G116" s="28" t="s">
        <v>232</v>
      </c>
      <c r="H116" s="28">
        <f t="shared" si="5"/>
        <v>4</v>
      </c>
    </row>
    <row r="117" spans="1:8" x14ac:dyDescent="0.25">
      <c r="A117" s="28">
        <f t="shared" si="4"/>
        <v>5</v>
      </c>
      <c r="B117" s="32" t="s">
        <v>126</v>
      </c>
      <c r="C117" s="139"/>
      <c r="D117" s="139"/>
      <c r="E117" s="143">
        <f>E185</f>
        <v>107749.97527197437</v>
      </c>
      <c r="G117" s="28" t="s">
        <v>233</v>
      </c>
      <c r="H117" s="28">
        <f t="shared" si="5"/>
        <v>5</v>
      </c>
    </row>
    <row r="118" spans="1:8" x14ac:dyDescent="0.25">
      <c r="A118" s="28">
        <f t="shared" si="4"/>
        <v>6</v>
      </c>
      <c r="B118" s="32" t="s">
        <v>128</v>
      </c>
      <c r="C118" s="28"/>
      <c r="D118" s="28"/>
      <c r="E118" s="144">
        <f>SUM(E114:E117)</f>
        <v>5411276.6397055527</v>
      </c>
      <c r="F118" s="114"/>
      <c r="G118" s="28" t="s">
        <v>129</v>
      </c>
      <c r="H118" s="28">
        <f t="shared" si="5"/>
        <v>6</v>
      </c>
    </row>
    <row r="119" spans="1:8" x14ac:dyDescent="0.25">
      <c r="A119" s="28">
        <f t="shared" si="4"/>
        <v>7</v>
      </c>
      <c r="C119" s="28"/>
      <c r="D119" s="28"/>
      <c r="E119" s="115"/>
      <c r="G119" s="28"/>
      <c r="H119" s="28">
        <f t="shared" si="5"/>
        <v>7</v>
      </c>
    </row>
    <row r="120" spans="1:8" x14ac:dyDescent="0.25">
      <c r="A120" s="28">
        <f t="shared" si="4"/>
        <v>8</v>
      </c>
      <c r="B120" s="140" t="s">
        <v>130</v>
      </c>
      <c r="C120" s="28"/>
      <c r="D120" s="28"/>
      <c r="E120" s="115"/>
      <c r="G120" s="28"/>
      <c r="H120" s="28">
        <f t="shared" si="5"/>
        <v>8</v>
      </c>
    </row>
    <row r="121" spans="1:8" x14ac:dyDescent="0.25">
      <c r="A121" s="28">
        <f t="shared" si="4"/>
        <v>9</v>
      </c>
      <c r="B121" s="32" t="s">
        <v>234</v>
      </c>
      <c r="C121" s="28"/>
      <c r="D121" s="28"/>
      <c r="E121" s="145">
        <v>0</v>
      </c>
      <c r="F121" s="114"/>
      <c r="G121" s="28" t="s">
        <v>235</v>
      </c>
      <c r="H121" s="28">
        <f t="shared" si="5"/>
        <v>9</v>
      </c>
    </row>
    <row r="122" spans="1:8" x14ac:dyDescent="0.25">
      <c r="A122" s="28">
        <f t="shared" si="4"/>
        <v>10</v>
      </c>
      <c r="B122" s="32" t="s">
        <v>133</v>
      </c>
      <c r="C122" s="28"/>
      <c r="D122" s="28"/>
      <c r="E122" s="146">
        <v>0</v>
      </c>
      <c r="G122" s="28" t="s">
        <v>236</v>
      </c>
      <c r="H122" s="28">
        <f t="shared" si="5"/>
        <v>10</v>
      </c>
    </row>
    <row r="123" spans="1:8" x14ac:dyDescent="0.25">
      <c r="A123" s="28">
        <f t="shared" si="4"/>
        <v>11</v>
      </c>
      <c r="B123" s="32" t="s">
        <v>135</v>
      </c>
      <c r="C123" s="28"/>
      <c r="D123" s="28"/>
      <c r="E123" s="147">
        <f>SUM(E121:E122)</f>
        <v>0</v>
      </c>
      <c r="F123" s="114"/>
      <c r="G123" s="28" t="s">
        <v>136</v>
      </c>
      <c r="H123" s="28">
        <f t="shared" si="5"/>
        <v>11</v>
      </c>
    </row>
    <row r="124" spans="1:8" x14ac:dyDescent="0.25">
      <c r="A124" s="28">
        <f t="shared" si="4"/>
        <v>12</v>
      </c>
      <c r="B124" s="32"/>
      <c r="C124" s="28"/>
      <c r="D124" s="28"/>
      <c r="E124" s="58"/>
      <c r="G124" s="28"/>
      <c r="H124" s="28">
        <f t="shared" si="5"/>
        <v>12</v>
      </c>
    </row>
    <row r="125" spans="1:8" x14ac:dyDescent="0.25">
      <c r="A125" s="28">
        <f t="shared" si="4"/>
        <v>13</v>
      </c>
      <c r="B125" s="140" t="s">
        <v>137</v>
      </c>
      <c r="E125" s="115"/>
      <c r="G125" s="28"/>
      <c r="H125" s="28">
        <f t="shared" si="5"/>
        <v>13</v>
      </c>
    </row>
    <row r="126" spans="1:8" x14ac:dyDescent="0.25">
      <c r="A126" s="28">
        <f t="shared" si="4"/>
        <v>14</v>
      </c>
      <c r="B126" s="27" t="s">
        <v>138</v>
      </c>
      <c r="C126" s="28"/>
      <c r="D126" s="28"/>
      <c r="E126" s="488">
        <v>-934308.51593694778</v>
      </c>
      <c r="F126" s="42" t="s">
        <v>33</v>
      </c>
      <c r="G126" s="28" t="s">
        <v>265</v>
      </c>
      <c r="H126" s="28">
        <f t="shared" si="5"/>
        <v>14</v>
      </c>
    </row>
    <row r="127" spans="1:8" x14ac:dyDescent="0.25">
      <c r="A127" s="28">
        <f t="shared" si="4"/>
        <v>15</v>
      </c>
      <c r="B127" s="27" t="s">
        <v>140</v>
      </c>
      <c r="C127" s="28"/>
      <c r="D127" s="28"/>
      <c r="E127" s="127">
        <v>0</v>
      </c>
      <c r="G127" s="28" t="s">
        <v>238</v>
      </c>
      <c r="H127" s="28">
        <f t="shared" si="5"/>
        <v>15</v>
      </c>
    </row>
    <row r="128" spans="1:8" x14ac:dyDescent="0.25">
      <c r="A128" s="28">
        <f t="shared" si="4"/>
        <v>16</v>
      </c>
      <c r="B128" s="32" t="s">
        <v>142</v>
      </c>
      <c r="C128" s="28"/>
      <c r="D128" s="28"/>
      <c r="E128" s="123">
        <f>SUM(E126:E127)</f>
        <v>-934308.51593694778</v>
      </c>
      <c r="F128" s="42" t="s">
        <v>33</v>
      </c>
      <c r="G128" s="28" t="s">
        <v>143</v>
      </c>
      <c r="H128" s="28">
        <f t="shared" si="5"/>
        <v>16</v>
      </c>
    </row>
    <row r="129" spans="1:8" x14ac:dyDescent="0.25">
      <c r="A129" s="28">
        <f t="shared" si="4"/>
        <v>17</v>
      </c>
      <c r="C129" s="28"/>
      <c r="D129" s="28"/>
      <c r="E129" s="149"/>
      <c r="G129" s="28"/>
      <c r="H129" s="28">
        <f t="shared" si="5"/>
        <v>17</v>
      </c>
    </row>
    <row r="130" spans="1:8" x14ac:dyDescent="0.25">
      <c r="A130" s="28">
        <f t="shared" si="4"/>
        <v>18</v>
      </c>
      <c r="B130" s="140" t="s">
        <v>144</v>
      </c>
      <c r="C130" s="28"/>
      <c r="D130" s="28"/>
      <c r="E130" s="149"/>
      <c r="G130" s="28"/>
      <c r="H130" s="28">
        <f t="shared" si="5"/>
        <v>18</v>
      </c>
    </row>
    <row r="131" spans="1:8" x14ac:dyDescent="0.25">
      <c r="A131" s="28">
        <f t="shared" si="4"/>
        <v>19</v>
      </c>
      <c r="B131" s="32" t="s">
        <v>239</v>
      </c>
      <c r="C131" s="28"/>
      <c r="D131" s="28"/>
      <c r="E131" s="141">
        <v>51967.715833331946</v>
      </c>
      <c r="F131" s="114"/>
      <c r="G131" s="28" t="s">
        <v>266</v>
      </c>
      <c r="H131" s="28">
        <f t="shared" si="5"/>
        <v>19</v>
      </c>
    </row>
    <row r="132" spans="1:8" x14ac:dyDescent="0.25">
      <c r="A132" s="28">
        <f t="shared" si="4"/>
        <v>20</v>
      </c>
      <c r="B132" s="32" t="s">
        <v>147</v>
      </c>
      <c r="C132" s="28"/>
      <c r="D132" s="28"/>
      <c r="E132" s="142">
        <v>37816.931501811814</v>
      </c>
      <c r="F132" s="114"/>
      <c r="G132" s="28" t="s">
        <v>267</v>
      </c>
      <c r="H132" s="28">
        <f t="shared" si="5"/>
        <v>20</v>
      </c>
    </row>
    <row r="133" spans="1:8" x14ac:dyDescent="0.25">
      <c r="A133" s="28">
        <f t="shared" si="4"/>
        <v>21</v>
      </c>
      <c r="B133" s="32" t="s">
        <v>149</v>
      </c>
      <c r="C133" s="28"/>
      <c r="D133" s="28"/>
      <c r="E133" s="463">
        <v>22110.874807762932</v>
      </c>
      <c r="F133" s="42" t="s">
        <v>33</v>
      </c>
      <c r="G133" s="28" t="s">
        <v>268</v>
      </c>
      <c r="H133" s="28">
        <f t="shared" si="5"/>
        <v>21</v>
      </c>
    </row>
    <row r="134" spans="1:8" x14ac:dyDescent="0.25">
      <c r="A134" s="28">
        <f t="shared" si="4"/>
        <v>22</v>
      </c>
      <c r="B134" s="32" t="s">
        <v>240</v>
      </c>
      <c r="E134" s="123">
        <f>SUM(E131:E133)</f>
        <v>111895.52214290669</v>
      </c>
      <c r="F134" s="42" t="s">
        <v>33</v>
      </c>
      <c r="G134" s="28" t="s">
        <v>152</v>
      </c>
      <c r="H134" s="28">
        <f t="shared" si="5"/>
        <v>22</v>
      </c>
    </row>
    <row r="135" spans="1:8" x14ac:dyDescent="0.25">
      <c r="A135" s="28">
        <f t="shared" si="4"/>
        <v>23</v>
      </c>
      <c r="B135" s="32"/>
      <c r="E135" s="150"/>
      <c r="G135" s="28"/>
      <c r="H135" s="28">
        <f t="shared" si="5"/>
        <v>23</v>
      </c>
    </row>
    <row r="136" spans="1:8" x14ac:dyDescent="0.25">
      <c r="A136" s="28">
        <f t="shared" si="4"/>
        <v>24</v>
      </c>
      <c r="B136" s="32" t="s">
        <v>153</v>
      </c>
      <c r="E136" s="151">
        <v>0</v>
      </c>
      <c r="G136" s="28" t="s">
        <v>241</v>
      </c>
      <c r="H136" s="28">
        <f t="shared" si="5"/>
        <v>24</v>
      </c>
    </row>
    <row r="137" spans="1:8" x14ac:dyDescent="0.25">
      <c r="A137" s="28">
        <f t="shared" si="4"/>
        <v>25</v>
      </c>
      <c r="B137" s="32" t="s">
        <v>155</v>
      </c>
      <c r="E137" s="122">
        <v>-10867.384430895108</v>
      </c>
      <c r="F137" s="42" t="s">
        <v>33</v>
      </c>
      <c r="G137" s="28" t="s">
        <v>269</v>
      </c>
      <c r="H137" s="28">
        <f t="shared" si="5"/>
        <v>25</v>
      </c>
    </row>
    <row r="138" spans="1:8" x14ac:dyDescent="0.25">
      <c r="A138" s="28">
        <f t="shared" si="4"/>
        <v>26</v>
      </c>
      <c r="B138" s="32"/>
      <c r="E138" s="150"/>
      <c r="G138" s="28"/>
      <c r="H138" s="28">
        <f t="shared" si="5"/>
        <v>26</v>
      </c>
    </row>
    <row r="139" spans="1:8" ht="16.5" thickBot="1" x14ac:dyDescent="0.3">
      <c r="A139" s="28">
        <f t="shared" si="4"/>
        <v>27</v>
      </c>
      <c r="B139" s="32" t="s">
        <v>157</v>
      </c>
      <c r="E139" s="152">
        <f>E136+E134+E128+E123+E118+E137</f>
        <v>4577996.2614806164</v>
      </c>
      <c r="F139" s="42" t="s">
        <v>33</v>
      </c>
      <c r="G139" s="28" t="s">
        <v>158</v>
      </c>
      <c r="H139" s="28">
        <f t="shared" si="5"/>
        <v>27</v>
      </c>
    </row>
    <row r="140" spans="1:8" ht="16.5" thickTop="1" x14ac:dyDescent="0.25">
      <c r="A140" s="28">
        <f t="shared" si="4"/>
        <v>28</v>
      </c>
      <c r="B140" s="32"/>
      <c r="E140" s="52"/>
      <c r="G140" s="28"/>
      <c r="H140" s="28">
        <f t="shared" si="5"/>
        <v>28</v>
      </c>
    </row>
    <row r="141" spans="1:8" ht="18.75" x14ac:dyDescent="0.25">
      <c r="A141" s="28">
        <f t="shared" si="4"/>
        <v>29</v>
      </c>
      <c r="B141" s="44" t="s">
        <v>159</v>
      </c>
      <c r="E141" s="52"/>
      <c r="G141" s="28"/>
      <c r="H141" s="28">
        <f t="shared" si="5"/>
        <v>29</v>
      </c>
    </row>
    <row r="142" spans="1:8" x14ac:dyDescent="0.25">
      <c r="A142" s="28">
        <f t="shared" si="4"/>
        <v>30</v>
      </c>
      <c r="B142" s="32" t="s">
        <v>160</v>
      </c>
      <c r="E142" s="133">
        <f>E191</f>
        <v>0</v>
      </c>
      <c r="G142" s="28" t="s">
        <v>243</v>
      </c>
      <c r="H142" s="28">
        <f t="shared" si="5"/>
        <v>30</v>
      </c>
    </row>
    <row r="143" spans="1:8" x14ac:dyDescent="0.25">
      <c r="A143" s="28">
        <f t="shared" si="4"/>
        <v>31</v>
      </c>
      <c r="B143" s="32" t="s">
        <v>162</v>
      </c>
      <c r="E143" s="127">
        <v>0</v>
      </c>
      <c r="G143" s="28" t="s">
        <v>244</v>
      </c>
      <c r="H143" s="28">
        <f t="shared" si="5"/>
        <v>31</v>
      </c>
    </row>
    <row r="144" spans="1:8" x14ac:dyDescent="0.25">
      <c r="A144" s="28">
        <f t="shared" si="4"/>
        <v>32</v>
      </c>
      <c r="B144" s="27" t="s">
        <v>164</v>
      </c>
      <c r="E144" s="48">
        <f>SUM(E142:E143)</f>
        <v>0</v>
      </c>
      <c r="G144" s="28" t="s">
        <v>165</v>
      </c>
      <c r="H144" s="28">
        <f t="shared" si="5"/>
        <v>32</v>
      </c>
    </row>
    <row r="145" spans="1:8" x14ac:dyDescent="0.25">
      <c r="A145" s="28">
        <f t="shared" si="4"/>
        <v>33</v>
      </c>
      <c r="B145" s="32"/>
      <c r="E145" s="52"/>
      <c r="G145" s="28"/>
      <c r="H145" s="28">
        <f t="shared" si="5"/>
        <v>33</v>
      </c>
    </row>
    <row r="146" spans="1:8" ht="18.75" x14ac:dyDescent="0.25">
      <c r="A146" s="28">
        <f t="shared" si="4"/>
        <v>34</v>
      </c>
      <c r="B146" s="44" t="s">
        <v>166</v>
      </c>
      <c r="E146" s="52"/>
      <c r="G146" s="28"/>
      <c r="H146" s="28">
        <f t="shared" si="5"/>
        <v>34</v>
      </c>
    </row>
    <row r="147" spans="1:8" x14ac:dyDescent="0.25">
      <c r="A147" s="28">
        <f t="shared" si="4"/>
        <v>35</v>
      </c>
      <c r="B147" s="32" t="s">
        <v>167</v>
      </c>
      <c r="E147" s="133">
        <v>0</v>
      </c>
      <c r="G147" s="28" t="s">
        <v>245</v>
      </c>
      <c r="H147" s="28">
        <f t="shared" si="5"/>
        <v>35</v>
      </c>
    </row>
    <row r="148" spans="1:8" x14ac:dyDescent="0.25">
      <c r="A148" s="28">
        <f t="shared" si="4"/>
        <v>36</v>
      </c>
      <c r="B148" s="27" t="s">
        <v>169</v>
      </c>
      <c r="E148" s="128">
        <v>0</v>
      </c>
      <c r="G148" s="28" t="s">
        <v>246</v>
      </c>
      <c r="H148" s="28">
        <f t="shared" si="5"/>
        <v>36</v>
      </c>
    </row>
    <row r="149" spans="1:8" x14ac:dyDescent="0.25">
      <c r="A149" s="28">
        <f t="shared" si="4"/>
        <v>37</v>
      </c>
      <c r="B149" s="27" t="s">
        <v>171</v>
      </c>
      <c r="E149" s="48">
        <f>SUM(E147:E148)</f>
        <v>0</v>
      </c>
      <c r="G149" s="28" t="s">
        <v>172</v>
      </c>
      <c r="H149" s="28">
        <f t="shared" si="5"/>
        <v>37</v>
      </c>
    </row>
    <row r="150" spans="1:8" x14ac:dyDescent="0.25">
      <c r="A150" s="28">
        <f t="shared" si="4"/>
        <v>38</v>
      </c>
      <c r="B150" s="32"/>
      <c r="E150" s="52"/>
      <c r="G150" s="28"/>
      <c r="H150" s="28">
        <f t="shared" si="5"/>
        <v>38</v>
      </c>
    </row>
    <row r="151" spans="1:8" ht="18.75" x14ac:dyDescent="0.25">
      <c r="A151" s="28">
        <f t="shared" si="4"/>
        <v>39</v>
      </c>
      <c r="B151" s="44" t="s">
        <v>173</v>
      </c>
      <c r="E151" s="133">
        <v>0</v>
      </c>
      <c r="G151" s="28" t="s">
        <v>247</v>
      </c>
      <c r="H151" s="28">
        <f t="shared" si="5"/>
        <v>39</v>
      </c>
    </row>
    <row r="152" spans="1:8" x14ac:dyDescent="0.25">
      <c r="A152" s="28"/>
      <c r="B152" s="32"/>
      <c r="E152" s="52"/>
      <c r="G152" s="28"/>
    </row>
    <row r="153" spans="1:8" x14ac:dyDescent="0.25">
      <c r="A153" s="42" t="s">
        <v>33</v>
      </c>
      <c r="B153" s="12" t="str">
        <f>B97</f>
        <v xml:space="preserve">Items in BOLD have changed due to unfunded reserves error, A&amp;G adjustments, transmission revenue credits error,  and removal of CIAC related ADIT per TO5 Cycle 4 Letter Order </v>
      </c>
      <c r="E153" s="52"/>
      <c r="G153" s="28"/>
    </row>
    <row r="154" spans="1:8" x14ac:dyDescent="0.25">
      <c r="A154" s="42"/>
      <c r="B154" s="12" t="str">
        <f>B98</f>
        <v>determination in ER22-527 as compared to the original TO5 Cycle 4 filing.</v>
      </c>
      <c r="E154" s="52"/>
      <c r="G154" s="28"/>
    </row>
    <row r="155" spans="1:8" ht="18.75" x14ac:dyDescent="0.25">
      <c r="A155" s="43">
        <v>1</v>
      </c>
      <c r="B155" s="27" t="s">
        <v>116</v>
      </c>
      <c r="E155" s="52"/>
      <c r="G155" s="28"/>
    </row>
    <row r="156" spans="1:8" x14ac:dyDescent="0.25">
      <c r="A156" s="28"/>
      <c r="B156" s="94"/>
      <c r="E156" s="52"/>
      <c r="G156" s="28"/>
    </row>
    <row r="157" spans="1:8" x14ac:dyDescent="0.25">
      <c r="A157" s="28"/>
      <c r="B157" s="94"/>
      <c r="E157" s="52"/>
      <c r="G157" s="28"/>
    </row>
    <row r="158" spans="1:8" x14ac:dyDescent="0.25">
      <c r="A158" s="28"/>
      <c r="B158" s="572" t="s">
        <v>206</v>
      </c>
      <c r="C158" s="571"/>
      <c r="D158" s="571"/>
      <c r="E158" s="571"/>
      <c r="F158" s="571"/>
      <c r="G158" s="571"/>
    </row>
    <row r="159" spans="1:8" x14ac:dyDescent="0.25">
      <c r="A159" s="28" t="s">
        <v>21</v>
      </c>
      <c r="B159" s="572" t="s">
        <v>207</v>
      </c>
      <c r="C159" s="571"/>
      <c r="D159" s="571"/>
      <c r="E159" s="571"/>
      <c r="F159" s="571"/>
      <c r="G159" s="571"/>
    </row>
    <row r="160" spans="1:8" ht="17.25" x14ac:dyDescent="0.25">
      <c r="A160" s="28"/>
      <c r="B160" s="572" t="s">
        <v>208</v>
      </c>
      <c r="C160" s="573"/>
      <c r="D160" s="573"/>
      <c r="E160" s="573"/>
      <c r="F160" s="573"/>
      <c r="G160" s="573"/>
    </row>
    <row r="161" spans="1:10" x14ac:dyDescent="0.25">
      <c r="A161" s="28"/>
      <c r="B161" s="568" t="str">
        <f>B6</f>
        <v>For the Base Period &amp; True-Up Period Ending December 31, 2020</v>
      </c>
      <c r="C161" s="569"/>
      <c r="D161" s="569"/>
      <c r="E161" s="569"/>
      <c r="F161" s="569"/>
      <c r="G161" s="569"/>
    </row>
    <row r="162" spans="1:10" x14ac:dyDescent="0.25">
      <c r="A162" s="28"/>
      <c r="B162" s="570" t="s">
        <v>2</v>
      </c>
      <c r="C162" s="571"/>
      <c r="D162" s="571"/>
      <c r="E162" s="571"/>
      <c r="F162" s="571"/>
      <c r="G162" s="571"/>
    </row>
    <row r="163" spans="1:10" x14ac:dyDescent="0.25">
      <c r="A163" s="28"/>
      <c r="B163" s="153"/>
    </row>
    <row r="164" spans="1:10" x14ac:dyDescent="0.25">
      <c r="A164" s="28" t="s">
        <v>3</v>
      </c>
      <c r="E164" s="100"/>
      <c r="G164" s="28"/>
      <c r="H164" s="28" t="s">
        <v>3</v>
      </c>
    </row>
    <row r="165" spans="1:10" x14ac:dyDescent="0.25">
      <c r="A165" s="28" t="s">
        <v>7</v>
      </c>
      <c r="B165" s="94" t="s">
        <v>21</v>
      </c>
      <c r="E165" s="101" t="s">
        <v>5</v>
      </c>
      <c r="G165" s="102" t="s">
        <v>6</v>
      </c>
      <c r="H165" s="28" t="s">
        <v>7</v>
      </c>
    </row>
    <row r="166" spans="1:10" x14ac:dyDescent="0.25">
      <c r="A166" s="103"/>
      <c r="B166" s="44" t="s">
        <v>248</v>
      </c>
      <c r="E166" s="100"/>
      <c r="G166" s="28"/>
      <c r="H166" s="103"/>
    </row>
    <row r="167" spans="1:10" x14ac:dyDescent="0.25">
      <c r="A167" s="28">
        <v>1</v>
      </c>
      <c r="B167" s="140" t="s">
        <v>176</v>
      </c>
      <c r="E167" s="100"/>
      <c r="G167" s="28"/>
      <c r="H167" s="28">
        <f>A167</f>
        <v>1</v>
      </c>
    </row>
    <row r="168" spans="1:10" x14ac:dyDescent="0.25">
      <c r="A168" s="28">
        <f t="shared" ref="A168:A191" si="6">A167+1</f>
        <v>2</v>
      </c>
      <c r="B168" s="32" t="s">
        <v>120</v>
      </c>
      <c r="E168" s="125">
        <v>6632410.4084030753</v>
      </c>
      <c r="F168" s="114"/>
      <c r="G168" s="28" t="s">
        <v>270</v>
      </c>
      <c r="H168" s="28">
        <f t="shared" ref="H168:H191" si="7">H167+1</f>
        <v>2</v>
      </c>
      <c r="I168" s="154"/>
    </row>
    <row r="169" spans="1:10" x14ac:dyDescent="0.25">
      <c r="A169" s="28">
        <f t="shared" si="6"/>
        <v>3</v>
      </c>
      <c r="B169" s="32" t="s">
        <v>249</v>
      </c>
      <c r="E169" s="155">
        <v>34627.403972329441</v>
      </c>
      <c r="F169" s="114"/>
      <c r="G169" s="28" t="s">
        <v>271</v>
      </c>
      <c r="H169" s="28">
        <f t="shared" si="7"/>
        <v>3</v>
      </c>
      <c r="I169" s="156"/>
    </row>
    <row r="170" spans="1:10" x14ac:dyDescent="0.25">
      <c r="A170" s="28">
        <f t="shared" si="6"/>
        <v>4</v>
      </c>
      <c r="B170" s="32" t="s">
        <v>124</v>
      </c>
      <c r="E170" s="155">
        <v>86594.311561361523</v>
      </c>
      <c r="F170" s="94"/>
      <c r="G170" s="28" t="s">
        <v>272</v>
      </c>
      <c r="H170" s="28">
        <f t="shared" si="7"/>
        <v>4</v>
      </c>
      <c r="J170" s="157"/>
    </row>
    <row r="171" spans="1:10" x14ac:dyDescent="0.25">
      <c r="A171" s="28">
        <f t="shared" si="6"/>
        <v>5</v>
      </c>
      <c r="B171" s="32" t="s">
        <v>126</v>
      </c>
      <c r="C171" s="28"/>
      <c r="D171" s="28"/>
      <c r="E171" s="119">
        <v>214262.5076566372</v>
      </c>
      <c r="F171" s="94"/>
      <c r="G171" s="28" t="s">
        <v>273</v>
      </c>
      <c r="H171" s="28">
        <f t="shared" si="7"/>
        <v>5</v>
      </c>
    </row>
    <row r="172" spans="1:10" x14ac:dyDescent="0.25">
      <c r="A172" s="28">
        <f t="shared" si="6"/>
        <v>6</v>
      </c>
      <c r="B172" s="32" t="s">
        <v>181</v>
      </c>
      <c r="E172" s="144">
        <f>SUM(E168:E171)</f>
        <v>6967894.6315934043</v>
      </c>
      <c r="F172" s="114"/>
      <c r="G172" s="28" t="s">
        <v>129</v>
      </c>
      <c r="H172" s="28">
        <f t="shared" si="7"/>
        <v>6</v>
      </c>
      <c r="I172" s="156"/>
    </row>
    <row r="173" spans="1:10" x14ac:dyDescent="0.25">
      <c r="A173" s="28">
        <f t="shared" si="6"/>
        <v>7</v>
      </c>
      <c r="C173" s="28"/>
      <c r="D173" s="28"/>
      <c r="E173" s="100"/>
      <c r="G173" s="28"/>
      <c r="H173" s="28">
        <f t="shared" si="7"/>
        <v>7</v>
      </c>
    </row>
    <row r="174" spans="1:10" x14ac:dyDescent="0.25">
      <c r="A174" s="28">
        <f t="shared" si="6"/>
        <v>8</v>
      </c>
      <c r="B174" s="93" t="s">
        <v>182</v>
      </c>
      <c r="E174" s="100"/>
      <c r="G174" s="28"/>
      <c r="H174" s="28">
        <f t="shared" si="7"/>
        <v>8</v>
      </c>
    </row>
    <row r="175" spans="1:10" x14ac:dyDescent="0.25">
      <c r="A175" s="28">
        <f t="shared" si="6"/>
        <v>9</v>
      </c>
      <c r="B175" s="27" t="s">
        <v>183</v>
      </c>
      <c r="E175" s="125">
        <v>1386289.2768323075</v>
      </c>
      <c r="F175" s="114"/>
      <c r="G175" s="28" t="s">
        <v>274</v>
      </c>
      <c r="H175" s="28">
        <f t="shared" si="7"/>
        <v>9</v>
      </c>
    </row>
    <row r="176" spans="1:10" x14ac:dyDescent="0.25">
      <c r="A176" s="28">
        <f t="shared" si="6"/>
        <v>10</v>
      </c>
      <c r="B176" s="27" t="s">
        <v>185</v>
      </c>
      <c r="E176" s="155">
        <v>28441.990363603276</v>
      </c>
      <c r="F176" s="114"/>
      <c r="G176" s="28" t="s">
        <v>275</v>
      </c>
      <c r="H176" s="28">
        <f t="shared" si="7"/>
        <v>10</v>
      </c>
    </row>
    <row r="177" spans="1:8" x14ac:dyDescent="0.25">
      <c r="A177" s="28">
        <f t="shared" si="6"/>
        <v>11</v>
      </c>
      <c r="B177" s="27" t="s">
        <v>187</v>
      </c>
      <c r="E177" s="155">
        <v>35374.192307277262</v>
      </c>
      <c r="F177" s="94"/>
      <c r="G177" s="28" t="s">
        <v>276</v>
      </c>
      <c r="H177" s="28">
        <f t="shared" si="7"/>
        <v>11</v>
      </c>
    </row>
    <row r="178" spans="1:8" x14ac:dyDescent="0.25">
      <c r="A178" s="28">
        <f t="shared" si="6"/>
        <v>12</v>
      </c>
      <c r="B178" s="27" t="s">
        <v>189</v>
      </c>
      <c r="E178" s="119">
        <v>106512.53238466283</v>
      </c>
      <c r="F178" s="94"/>
      <c r="G178" s="28" t="s">
        <v>277</v>
      </c>
      <c r="H178" s="28">
        <f t="shared" si="7"/>
        <v>12</v>
      </c>
    </row>
    <row r="179" spans="1:8" x14ac:dyDescent="0.25">
      <c r="A179" s="28">
        <f t="shared" si="6"/>
        <v>13</v>
      </c>
      <c r="B179" s="156" t="s">
        <v>191</v>
      </c>
      <c r="C179" s="156"/>
      <c r="D179" s="156"/>
      <c r="E179" s="158">
        <f>SUM(E175:E178)</f>
        <v>1556617.9918878509</v>
      </c>
      <c r="F179" s="114"/>
      <c r="G179" s="28" t="s">
        <v>192</v>
      </c>
      <c r="H179" s="28">
        <f t="shared" si="7"/>
        <v>13</v>
      </c>
    </row>
    <row r="180" spans="1:8" x14ac:dyDescent="0.25">
      <c r="A180" s="28">
        <f t="shared" si="6"/>
        <v>14</v>
      </c>
      <c r="B180" s="156"/>
      <c r="C180" s="156"/>
      <c r="D180" s="156"/>
      <c r="E180" s="149"/>
      <c r="G180" s="28"/>
      <c r="H180" s="28">
        <f t="shared" si="7"/>
        <v>14</v>
      </c>
    </row>
    <row r="181" spans="1:8" x14ac:dyDescent="0.25">
      <c r="A181" s="28">
        <f t="shared" si="6"/>
        <v>15</v>
      </c>
      <c r="B181" s="140" t="s">
        <v>119</v>
      </c>
      <c r="C181" s="156"/>
      <c r="D181" s="156"/>
      <c r="E181" s="149"/>
      <c r="G181" s="28"/>
      <c r="H181" s="28">
        <f t="shared" si="7"/>
        <v>15</v>
      </c>
    </row>
    <row r="182" spans="1:8" x14ac:dyDescent="0.25">
      <c r="A182" s="28">
        <f t="shared" si="6"/>
        <v>16</v>
      </c>
      <c r="B182" s="32" t="s">
        <v>120</v>
      </c>
      <c r="E182" s="52">
        <f>+E168-E175</f>
        <v>5246121.1315707676</v>
      </c>
      <c r="F182" s="114"/>
      <c r="G182" s="28" t="s">
        <v>250</v>
      </c>
      <c r="H182" s="28">
        <f t="shared" si="7"/>
        <v>16</v>
      </c>
    </row>
    <row r="183" spans="1:8" x14ac:dyDescent="0.25">
      <c r="A183" s="28">
        <f t="shared" si="6"/>
        <v>17</v>
      </c>
      <c r="B183" s="32" t="s">
        <v>122</v>
      </c>
      <c r="E183" s="118">
        <f>+E169-E176</f>
        <v>6185.413608726165</v>
      </c>
      <c r="F183" s="114"/>
      <c r="G183" s="28" t="s">
        <v>251</v>
      </c>
      <c r="H183" s="28">
        <f t="shared" si="7"/>
        <v>17</v>
      </c>
    </row>
    <row r="184" spans="1:8" x14ac:dyDescent="0.25">
      <c r="A184" s="28">
        <f t="shared" si="6"/>
        <v>18</v>
      </c>
      <c r="B184" s="32" t="s">
        <v>124</v>
      </c>
      <c r="E184" s="118">
        <f>+E170-E177</f>
        <v>51220.11925408426</v>
      </c>
      <c r="G184" s="28" t="s">
        <v>252</v>
      </c>
      <c r="H184" s="28">
        <f t="shared" si="7"/>
        <v>18</v>
      </c>
    </row>
    <row r="185" spans="1:8" x14ac:dyDescent="0.25">
      <c r="A185" s="28">
        <f t="shared" si="6"/>
        <v>19</v>
      </c>
      <c r="B185" s="32" t="s">
        <v>126</v>
      </c>
      <c r="E185" s="159">
        <f>+E171-E178</f>
        <v>107749.97527197437</v>
      </c>
      <c r="G185" s="28" t="s">
        <v>253</v>
      </c>
      <c r="H185" s="28">
        <f t="shared" si="7"/>
        <v>19</v>
      </c>
    </row>
    <row r="186" spans="1:8" ht="16.5" thickBot="1" x14ac:dyDescent="0.3">
      <c r="A186" s="28">
        <f t="shared" si="6"/>
        <v>20</v>
      </c>
      <c r="B186" s="27" t="s">
        <v>128</v>
      </c>
      <c r="E186" s="160">
        <f>SUM(E182:E185)</f>
        <v>5411276.6397055527</v>
      </c>
      <c r="F186" s="114"/>
      <c r="G186" s="28" t="s">
        <v>197</v>
      </c>
      <c r="H186" s="28">
        <f t="shared" si="7"/>
        <v>20</v>
      </c>
    </row>
    <row r="187" spans="1:8" ht="16.5" thickTop="1" x14ac:dyDescent="0.25">
      <c r="A187" s="28">
        <f t="shared" si="6"/>
        <v>21</v>
      </c>
      <c r="E187" s="52"/>
      <c r="G187" s="28"/>
      <c r="H187" s="28">
        <f t="shared" si="7"/>
        <v>21</v>
      </c>
    </row>
    <row r="188" spans="1:8" ht="18.75" x14ac:dyDescent="0.25">
      <c r="A188" s="28">
        <f t="shared" si="6"/>
        <v>22</v>
      </c>
      <c r="B188" s="44" t="s">
        <v>198</v>
      </c>
      <c r="E188" s="52"/>
      <c r="G188" s="28"/>
      <c r="H188" s="28">
        <f t="shared" si="7"/>
        <v>22</v>
      </c>
    </row>
    <row r="189" spans="1:8" x14ac:dyDescent="0.25">
      <c r="A189" s="28">
        <f t="shared" si="6"/>
        <v>23</v>
      </c>
      <c r="B189" s="32" t="s">
        <v>199</v>
      </c>
      <c r="E189" s="133">
        <v>0</v>
      </c>
      <c r="G189" s="28" t="s">
        <v>254</v>
      </c>
      <c r="H189" s="28">
        <f t="shared" si="7"/>
        <v>23</v>
      </c>
    </row>
    <row r="190" spans="1:8" x14ac:dyDescent="0.25">
      <c r="A190" s="28">
        <f t="shared" si="6"/>
        <v>24</v>
      </c>
      <c r="B190" s="27" t="s">
        <v>201</v>
      </c>
      <c r="E190" s="128">
        <v>0</v>
      </c>
      <c r="G190" s="28" t="s">
        <v>255</v>
      </c>
      <c r="H190" s="28">
        <f t="shared" si="7"/>
        <v>24</v>
      </c>
    </row>
    <row r="191" spans="1:8" ht="16.5" thickBot="1" x14ac:dyDescent="0.3">
      <c r="A191" s="28">
        <f t="shared" si="6"/>
        <v>25</v>
      </c>
      <c r="B191" s="32" t="s">
        <v>203</v>
      </c>
      <c r="E191" s="161">
        <f>E189-E190</f>
        <v>0</v>
      </c>
      <c r="G191" s="28" t="s">
        <v>204</v>
      </c>
      <c r="H191" s="28">
        <f t="shared" si="7"/>
        <v>25</v>
      </c>
    </row>
    <row r="192" spans="1:8" ht="16.5" thickTop="1" x14ac:dyDescent="0.25">
      <c r="A192" s="28"/>
      <c r="B192" s="32"/>
      <c r="E192" s="52"/>
      <c r="G192" s="28"/>
    </row>
    <row r="193" spans="1:7" ht="18.75" x14ac:dyDescent="0.25">
      <c r="A193" s="43">
        <v>1</v>
      </c>
      <c r="B193" s="27" t="s">
        <v>205</v>
      </c>
      <c r="E193" s="52"/>
      <c r="G193" s="28"/>
    </row>
    <row r="195" spans="1:7" x14ac:dyDescent="0.25">
      <c r="E195" s="162"/>
    </row>
  </sheetData>
  <mergeCells count="20">
    <mergeCell ref="B105:G105"/>
    <mergeCell ref="B3:G3"/>
    <mergeCell ref="B4:G4"/>
    <mergeCell ref="B5:G5"/>
    <mergeCell ref="B6:G6"/>
    <mergeCell ref="B7:G7"/>
    <mergeCell ref="B48:G48"/>
    <mergeCell ref="B49:G49"/>
    <mergeCell ref="B50:G50"/>
    <mergeCell ref="B51:G51"/>
    <mergeCell ref="B52:G52"/>
    <mergeCell ref="B104:G104"/>
    <mergeCell ref="B161:G161"/>
    <mergeCell ref="B162:G162"/>
    <mergeCell ref="B106:G106"/>
    <mergeCell ref="B107:G107"/>
    <mergeCell ref="B108:G108"/>
    <mergeCell ref="B158:G158"/>
    <mergeCell ref="B159:G159"/>
    <mergeCell ref="B160:G160"/>
  </mergeCells>
  <printOptions horizontalCentered="1"/>
  <pageMargins left="0.25" right="0.25" top="0.5" bottom="0.5" header="0.35" footer="0.25"/>
  <pageSetup scale="53" orientation="portrait" r:id="rId1"/>
  <headerFooter scaleWithDoc="0" alignWithMargins="0">
    <oddHeader>&amp;C&amp;"Times New Roman,Bold"&amp;7AS FILED TO4 C4 WITH COST ADJ. INCL. IN TO5 C5 (ER23-542)</oddHeader>
    <oddFooter>&amp;L&amp;A&amp;CPage 4.&amp;P&amp;R&amp;F</oddFooter>
  </headerFooter>
  <rowBreaks count="3" manualBreakCount="3">
    <brk id="46" max="7" man="1"/>
    <brk id="102" max="7" man="1"/>
    <brk id="156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ECFA8-EB9B-4430-A3D3-87FEFA6160D9}">
  <sheetPr codeName="Sheet5"/>
  <dimension ref="A1:J193"/>
  <sheetViews>
    <sheetView zoomScale="80" zoomScaleNormal="80" workbookViewId="0"/>
  </sheetViews>
  <sheetFormatPr defaultColWidth="9.28515625" defaultRowHeight="15.75" x14ac:dyDescent="0.25"/>
  <cols>
    <col min="1" max="1" width="5.28515625" style="27" customWidth="1"/>
    <col min="2" max="2" width="86.28515625" style="27" customWidth="1"/>
    <col min="3" max="3" width="10.42578125" style="27" customWidth="1"/>
    <col min="4" max="4" width="1.5703125" style="27" customWidth="1"/>
    <col min="5" max="5" width="16.7109375" style="27" customWidth="1"/>
    <col min="6" max="6" width="1.5703125" style="27" customWidth="1"/>
    <col min="7" max="7" width="51.42578125" style="27" customWidth="1"/>
    <col min="8" max="8" width="5.28515625" style="28" customWidth="1"/>
    <col min="9" max="9" width="22.42578125" style="27" customWidth="1"/>
    <col min="10" max="10" width="20.28515625" style="27" bestFit="1" customWidth="1"/>
    <col min="11" max="16384" width="9.28515625" style="27"/>
  </cols>
  <sheetData>
    <row r="1" spans="1:10" x14ac:dyDescent="0.25">
      <c r="A1" s="486" t="s">
        <v>278</v>
      </c>
    </row>
    <row r="3" spans="1:10" x14ac:dyDescent="0.25">
      <c r="A3" s="28"/>
      <c r="B3" s="572" t="s">
        <v>206</v>
      </c>
      <c r="C3" s="571"/>
      <c r="D3" s="571"/>
      <c r="E3" s="571"/>
      <c r="F3" s="571"/>
      <c r="G3" s="571"/>
    </row>
    <row r="4" spans="1:10" x14ac:dyDescent="0.25">
      <c r="A4" s="28" t="s">
        <v>21</v>
      </c>
      <c r="B4" s="572" t="s">
        <v>207</v>
      </c>
      <c r="C4" s="571"/>
      <c r="D4" s="571"/>
      <c r="E4" s="571"/>
      <c r="F4" s="571"/>
      <c r="G4" s="571"/>
    </row>
    <row r="5" spans="1:10" ht="17.25" x14ac:dyDescent="0.25">
      <c r="A5" s="28"/>
      <c r="B5" s="572" t="s">
        <v>208</v>
      </c>
      <c r="C5" s="573"/>
      <c r="D5" s="573"/>
      <c r="E5" s="573"/>
      <c r="F5" s="573"/>
      <c r="G5" s="573"/>
    </row>
    <row r="6" spans="1:10" x14ac:dyDescent="0.25">
      <c r="A6" s="28"/>
      <c r="B6" s="574" t="s">
        <v>209</v>
      </c>
      <c r="C6" s="574"/>
      <c r="D6" s="574"/>
      <c r="E6" s="574"/>
      <c r="F6" s="574"/>
      <c r="G6" s="574"/>
    </row>
    <row r="7" spans="1:10" x14ac:dyDescent="0.25">
      <c r="A7" s="28"/>
      <c r="B7" s="570" t="s">
        <v>2</v>
      </c>
      <c r="C7" s="571"/>
      <c r="D7" s="571"/>
      <c r="E7" s="571"/>
      <c r="F7" s="571"/>
      <c r="G7" s="571"/>
    </row>
    <row r="8" spans="1:10" x14ac:dyDescent="0.25">
      <c r="A8" s="28"/>
      <c r="B8" s="99"/>
      <c r="C8" s="94"/>
      <c r="D8" s="94"/>
      <c r="E8" s="94"/>
      <c r="F8" s="94"/>
      <c r="G8" s="94"/>
    </row>
    <row r="9" spans="1:10" x14ac:dyDescent="0.25">
      <c r="A9" s="28" t="s">
        <v>3</v>
      </c>
      <c r="E9" s="100"/>
      <c r="G9" s="28"/>
      <c r="H9" s="28" t="s">
        <v>3</v>
      </c>
    </row>
    <row r="10" spans="1:10" ht="15.75" customHeight="1" x14ac:dyDescent="0.25">
      <c r="A10" s="102" t="s">
        <v>7</v>
      </c>
      <c r="B10" s="94" t="s">
        <v>21</v>
      </c>
      <c r="E10" s="101" t="s">
        <v>5</v>
      </c>
      <c r="G10" s="102" t="s">
        <v>6</v>
      </c>
      <c r="H10" s="102" t="s">
        <v>7</v>
      </c>
    </row>
    <row r="11" spans="1:10" x14ac:dyDescent="0.25">
      <c r="A11" s="103"/>
      <c r="B11" s="44" t="s">
        <v>29</v>
      </c>
      <c r="E11" s="104"/>
      <c r="G11" s="28"/>
      <c r="H11" s="103"/>
    </row>
    <row r="12" spans="1:10" x14ac:dyDescent="0.25">
      <c r="A12" s="28">
        <v>1</v>
      </c>
      <c r="B12" s="32" t="s">
        <v>30</v>
      </c>
      <c r="C12" s="105"/>
      <c r="D12" s="105"/>
      <c r="E12" s="164">
        <v>95535.541019356009</v>
      </c>
      <c r="G12" s="28" t="s">
        <v>279</v>
      </c>
      <c r="H12" s="28">
        <f>A12</f>
        <v>1</v>
      </c>
      <c r="I12" s="106"/>
    </row>
    <row r="13" spans="1:10" x14ac:dyDescent="0.25">
      <c r="A13" s="28">
        <f t="shared" ref="A13:A41" si="0">A12+1</f>
        <v>2</v>
      </c>
      <c r="B13" s="32" t="s">
        <v>21</v>
      </c>
      <c r="C13" s="105"/>
      <c r="D13" s="105"/>
      <c r="E13" s="108" t="s">
        <v>21</v>
      </c>
      <c r="G13" s="28"/>
      <c r="H13" s="28">
        <f t="shared" ref="H13:H41" si="1">H12+1</f>
        <v>2</v>
      </c>
      <c r="I13" s="106"/>
    </row>
    <row r="14" spans="1:10" x14ac:dyDescent="0.25">
      <c r="A14" s="28">
        <f t="shared" si="0"/>
        <v>3</v>
      </c>
      <c r="B14" s="32" t="s">
        <v>32</v>
      </c>
      <c r="C14" s="105"/>
      <c r="D14" s="105"/>
      <c r="E14" s="117">
        <v>81368.446559515098</v>
      </c>
      <c r="F14" s="94"/>
      <c r="G14" s="28" t="s">
        <v>280</v>
      </c>
      <c r="H14" s="28">
        <f t="shared" si="1"/>
        <v>3</v>
      </c>
      <c r="I14" s="106"/>
    </row>
    <row r="15" spans="1:10" x14ac:dyDescent="0.25">
      <c r="A15" s="28">
        <f t="shared" si="0"/>
        <v>4</v>
      </c>
      <c r="B15" s="32"/>
      <c r="C15" s="105"/>
      <c r="D15" s="105"/>
      <c r="E15" s="108"/>
      <c r="F15" s="94"/>
      <c r="G15" s="28"/>
      <c r="H15" s="28">
        <f t="shared" si="1"/>
        <v>4</v>
      </c>
      <c r="J15" s="109"/>
    </row>
    <row r="16" spans="1:10" x14ac:dyDescent="0.25">
      <c r="A16" s="28">
        <f t="shared" si="0"/>
        <v>5</v>
      </c>
      <c r="B16" s="32" t="s">
        <v>35</v>
      </c>
      <c r="C16" s="105"/>
      <c r="D16" s="105"/>
      <c r="E16" s="110">
        <v>0</v>
      </c>
      <c r="G16" s="28" t="s">
        <v>281</v>
      </c>
      <c r="H16" s="28">
        <f t="shared" si="1"/>
        <v>5</v>
      </c>
      <c r="J16" s="109"/>
    </row>
    <row r="17" spans="1:10" x14ac:dyDescent="0.25">
      <c r="A17" s="28">
        <f t="shared" si="0"/>
        <v>6</v>
      </c>
      <c r="B17" s="32" t="s">
        <v>37</v>
      </c>
      <c r="C17" s="105"/>
      <c r="D17" s="105"/>
      <c r="E17" s="124">
        <f>E12+E14+E16</f>
        <v>176903.98757887111</v>
      </c>
      <c r="F17" s="94"/>
      <c r="G17" s="28" t="s">
        <v>38</v>
      </c>
      <c r="H17" s="28">
        <f t="shared" si="1"/>
        <v>6</v>
      </c>
      <c r="I17" s="111"/>
      <c r="J17" s="109"/>
    </row>
    <row r="18" spans="1:10" x14ac:dyDescent="0.25">
      <c r="A18" s="28">
        <f t="shared" si="0"/>
        <v>7</v>
      </c>
      <c r="E18" s="112"/>
      <c r="G18" s="28"/>
      <c r="H18" s="28">
        <f t="shared" si="1"/>
        <v>7</v>
      </c>
    </row>
    <row r="19" spans="1:10" x14ac:dyDescent="0.25">
      <c r="A19" s="28">
        <f t="shared" si="0"/>
        <v>8</v>
      </c>
      <c r="B19" s="27" t="s">
        <v>39</v>
      </c>
      <c r="C19" s="105"/>
      <c r="D19" s="105"/>
      <c r="E19" s="410">
        <v>225950.77038593692</v>
      </c>
      <c r="F19" s="114"/>
      <c r="G19" s="28" t="s">
        <v>258</v>
      </c>
      <c r="H19" s="28">
        <f t="shared" si="1"/>
        <v>8</v>
      </c>
    </row>
    <row r="20" spans="1:10" x14ac:dyDescent="0.25">
      <c r="A20" s="28">
        <f t="shared" si="0"/>
        <v>9</v>
      </c>
      <c r="E20" s="115" t="s">
        <v>21</v>
      </c>
      <c r="G20" s="28"/>
      <c r="H20" s="28">
        <f t="shared" si="1"/>
        <v>9</v>
      </c>
    </row>
    <row r="21" spans="1:10" ht="18.75" x14ac:dyDescent="0.25">
      <c r="A21" s="28">
        <f t="shared" si="0"/>
        <v>10</v>
      </c>
      <c r="B21" s="27" t="s">
        <v>41</v>
      </c>
      <c r="E21" s="116">
        <v>0</v>
      </c>
      <c r="G21" s="28" t="s">
        <v>212</v>
      </c>
      <c r="H21" s="28">
        <f t="shared" si="1"/>
        <v>10</v>
      </c>
      <c r="I21" s="106"/>
    </row>
    <row r="22" spans="1:10" x14ac:dyDescent="0.25">
      <c r="A22" s="28">
        <f t="shared" si="0"/>
        <v>11</v>
      </c>
      <c r="E22" s="115"/>
      <c r="G22" s="28"/>
      <c r="H22" s="28">
        <f t="shared" si="1"/>
        <v>11</v>
      </c>
    </row>
    <row r="23" spans="1:10" x14ac:dyDescent="0.25">
      <c r="A23" s="28">
        <f t="shared" si="0"/>
        <v>12</v>
      </c>
      <c r="B23" s="27" t="s">
        <v>43</v>
      </c>
      <c r="C23" s="105"/>
      <c r="D23" s="105"/>
      <c r="E23" s="117">
        <v>57780.481143755853</v>
      </c>
      <c r="F23" s="94"/>
      <c r="G23" s="28" t="s">
        <v>259</v>
      </c>
      <c r="H23" s="28">
        <f t="shared" si="1"/>
        <v>12</v>
      </c>
      <c r="I23" s="106"/>
    </row>
    <row r="24" spans="1:10" x14ac:dyDescent="0.25">
      <c r="A24" s="28">
        <f t="shared" si="0"/>
        <v>13</v>
      </c>
      <c r="B24" s="32"/>
      <c r="C24" s="105"/>
      <c r="D24" s="105"/>
      <c r="E24" s="118"/>
      <c r="G24" s="28"/>
      <c r="H24" s="28">
        <f t="shared" si="1"/>
        <v>13</v>
      </c>
    </row>
    <row r="25" spans="1:10" x14ac:dyDescent="0.25">
      <c r="A25" s="28">
        <f t="shared" si="0"/>
        <v>14</v>
      </c>
      <c r="B25" s="27" t="s">
        <v>45</v>
      </c>
      <c r="C25" s="105"/>
      <c r="D25" s="105"/>
      <c r="E25" s="119">
        <v>3104.6015779338113</v>
      </c>
      <c r="F25" s="94"/>
      <c r="G25" s="28" t="s">
        <v>213</v>
      </c>
      <c r="H25" s="28">
        <f t="shared" si="1"/>
        <v>14</v>
      </c>
      <c r="I25" s="106"/>
    </row>
    <row r="26" spans="1:10" x14ac:dyDescent="0.25">
      <c r="A26" s="28">
        <f t="shared" si="0"/>
        <v>15</v>
      </c>
      <c r="B26" s="32" t="s">
        <v>47</v>
      </c>
      <c r="C26" s="105"/>
      <c r="D26" s="105"/>
      <c r="E26" s="52">
        <f>SUM(E17+E19+E21+E23+E25)</f>
        <v>463739.84068649769</v>
      </c>
      <c r="F26" s="94"/>
      <c r="G26" s="28" t="s">
        <v>48</v>
      </c>
      <c r="H26" s="28">
        <f t="shared" si="1"/>
        <v>15</v>
      </c>
    </row>
    <row r="27" spans="1:10" x14ac:dyDescent="0.25">
      <c r="A27" s="28">
        <f t="shared" si="0"/>
        <v>16</v>
      </c>
      <c r="B27" s="32"/>
      <c r="C27" s="105"/>
      <c r="D27" s="105"/>
      <c r="E27" s="120"/>
      <c r="G27" s="28"/>
      <c r="H27" s="28">
        <f t="shared" si="1"/>
        <v>16</v>
      </c>
    </row>
    <row r="28" spans="1:10" ht="18.75" x14ac:dyDescent="0.25">
      <c r="A28" s="28">
        <f t="shared" si="0"/>
        <v>17</v>
      </c>
      <c r="B28" s="32" t="s">
        <v>49</v>
      </c>
      <c r="C28" s="105"/>
      <c r="D28" s="105"/>
      <c r="E28" s="121">
        <v>9.6007908353307039E-2</v>
      </c>
      <c r="G28" s="28" t="s">
        <v>282</v>
      </c>
      <c r="H28" s="28">
        <f t="shared" si="1"/>
        <v>17</v>
      </c>
    </row>
    <row r="29" spans="1:10" x14ac:dyDescent="0.25">
      <c r="A29" s="28">
        <f t="shared" si="0"/>
        <v>18</v>
      </c>
      <c r="B29" s="32" t="s">
        <v>51</v>
      </c>
      <c r="C29" s="105"/>
      <c r="D29" s="105"/>
      <c r="E29" s="132">
        <f>E135</f>
        <v>4601951.905053095</v>
      </c>
      <c r="G29" s="28" t="s">
        <v>214</v>
      </c>
      <c r="H29" s="28">
        <f t="shared" si="1"/>
        <v>18</v>
      </c>
    </row>
    <row r="30" spans="1:10" x14ac:dyDescent="0.25">
      <c r="A30" s="28">
        <f t="shared" si="0"/>
        <v>19</v>
      </c>
      <c r="B30" s="27" t="s">
        <v>53</v>
      </c>
      <c r="C30" s="105"/>
      <c r="D30" s="105"/>
      <c r="E30" s="144">
        <f>E29*E28</f>
        <v>441823.77674666425</v>
      </c>
      <c r="G30" s="28" t="s">
        <v>54</v>
      </c>
      <c r="H30" s="28">
        <f t="shared" si="1"/>
        <v>19</v>
      </c>
    </row>
    <row r="31" spans="1:10" x14ac:dyDescent="0.25">
      <c r="A31" s="28">
        <f t="shared" si="0"/>
        <v>20</v>
      </c>
      <c r="C31" s="105"/>
      <c r="D31" s="105"/>
      <c r="E31" s="120"/>
      <c r="G31" s="28"/>
      <c r="H31" s="28">
        <f t="shared" si="1"/>
        <v>20</v>
      </c>
    </row>
    <row r="32" spans="1:10" ht="18.75" x14ac:dyDescent="0.25">
      <c r="A32" s="28">
        <f t="shared" si="0"/>
        <v>21</v>
      </c>
      <c r="B32" s="32" t="s">
        <v>55</v>
      </c>
      <c r="C32" s="105"/>
      <c r="D32" s="108"/>
      <c r="E32" s="121">
        <v>3.8994570343371454E-3</v>
      </c>
      <c r="F32" s="94"/>
      <c r="G32" s="28" t="s">
        <v>215</v>
      </c>
      <c r="H32" s="28">
        <f t="shared" si="1"/>
        <v>21</v>
      </c>
      <c r="I32" s="106"/>
    </row>
    <row r="33" spans="1:9" x14ac:dyDescent="0.25">
      <c r="A33" s="28">
        <f t="shared" si="0"/>
        <v>22</v>
      </c>
      <c r="B33" s="32" t="s">
        <v>51</v>
      </c>
      <c r="C33" s="105"/>
      <c r="D33" s="105"/>
      <c r="E33" s="132">
        <f>E135-E118</f>
        <v>4601951.905053095</v>
      </c>
      <c r="F33" s="94"/>
      <c r="G33" s="28" t="s">
        <v>216</v>
      </c>
      <c r="H33" s="28">
        <f t="shared" si="1"/>
        <v>22</v>
      </c>
    </row>
    <row r="34" spans="1:9" x14ac:dyDescent="0.25">
      <c r="A34" s="28">
        <f t="shared" si="0"/>
        <v>23</v>
      </c>
      <c r="B34" s="27" t="s">
        <v>58</v>
      </c>
      <c r="E34" s="144">
        <f>E33*E32</f>
        <v>17945.113727840519</v>
      </c>
      <c r="F34" s="94"/>
      <c r="G34" s="28" t="s">
        <v>59</v>
      </c>
      <c r="H34" s="28">
        <f t="shared" si="1"/>
        <v>23</v>
      </c>
    </row>
    <row r="35" spans="1:9" x14ac:dyDescent="0.25">
      <c r="A35" s="28">
        <f t="shared" si="0"/>
        <v>24</v>
      </c>
      <c r="E35" s="124"/>
      <c r="G35" s="28"/>
      <c r="H35" s="28">
        <f t="shared" si="1"/>
        <v>24</v>
      </c>
    </row>
    <row r="36" spans="1:9" x14ac:dyDescent="0.25">
      <c r="A36" s="28">
        <f t="shared" si="0"/>
        <v>25</v>
      </c>
      <c r="B36" s="27" t="s">
        <v>60</v>
      </c>
      <c r="E36" s="125">
        <v>1304.0991895338727</v>
      </c>
      <c r="G36" s="28" t="s">
        <v>217</v>
      </c>
      <c r="H36" s="28">
        <f t="shared" si="1"/>
        <v>25</v>
      </c>
      <c r="I36" s="106"/>
    </row>
    <row r="37" spans="1:9" x14ac:dyDescent="0.25">
      <c r="A37" s="28">
        <f t="shared" si="0"/>
        <v>26</v>
      </c>
      <c r="B37" s="27" t="s">
        <v>62</v>
      </c>
      <c r="E37" s="126">
        <v>-4344.3500000000004</v>
      </c>
      <c r="F37" s="94"/>
      <c r="G37" s="28" t="s">
        <v>218</v>
      </c>
      <c r="H37" s="28">
        <f t="shared" si="1"/>
        <v>26</v>
      </c>
      <c r="I37" s="106"/>
    </row>
    <row r="38" spans="1:9" x14ac:dyDescent="0.25">
      <c r="A38" s="28">
        <f t="shared" si="0"/>
        <v>27</v>
      </c>
      <c r="B38" s="27" t="s">
        <v>64</v>
      </c>
      <c r="E38" s="127">
        <v>0</v>
      </c>
      <c r="G38" s="28" t="s">
        <v>219</v>
      </c>
      <c r="H38" s="28">
        <f t="shared" si="1"/>
        <v>27</v>
      </c>
    </row>
    <row r="39" spans="1:9" x14ac:dyDescent="0.25">
      <c r="A39" s="28">
        <f t="shared" si="0"/>
        <v>28</v>
      </c>
      <c r="B39" s="37" t="s">
        <v>66</v>
      </c>
      <c r="E39" s="128">
        <v>0</v>
      </c>
      <c r="G39" s="28" t="s">
        <v>220</v>
      </c>
      <c r="H39" s="28">
        <f t="shared" si="1"/>
        <v>28</v>
      </c>
      <c r="I39" s="106"/>
    </row>
    <row r="40" spans="1:9" x14ac:dyDescent="0.25">
      <c r="A40" s="28">
        <f t="shared" si="0"/>
        <v>29</v>
      </c>
      <c r="E40" s="115" t="s">
        <v>21</v>
      </c>
      <c r="G40" s="28"/>
      <c r="H40" s="28">
        <f t="shared" si="1"/>
        <v>29</v>
      </c>
      <c r="I40" s="106"/>
    </row>
    <row r="41" spans="1:9" ht="19.5" thickBot="1" x14ac:dyDescent="0.3">
      <c r="A41" s="28">
        <f t="shared" si="0"/>
        <v>30</v>
      </c>
      <c r="B41" s="27" t="s">
        <v>68</v>
      </c>
      <c r="C41" s="105"/>
      <c r="D41" s="105"/>
      <c r="E41" s="62">
        <f>E30+E34+E26+SUM(E36:E39)</f>
        <v>920468.48035053641</v>
      </c>
      <c r="F41" s="94"/>
      <c r="G41" s="28" t="s">
        <v>69</v>
      </c>
      <c r="H41" s="28">
        <f t="shared" si="1"/>
        <v>30</v>
      </c>
      <c r="I41" s="106"/>
    </row>
    <row r="42" spans="1:9" ht="16.5" thickTop="1" x14ac:dyDescent="0.25">
      <c r="A42" s="103"/>
      <c r="C42" s="105"/>
      <c r="D42" s="105"/>
      <c r="E42" s="129"/>
      <c r="F42" s="94"/>
      <c r="G42" s="103"/>
      <c r="H42" s="103"/>
      <c r="I42" s="106"/>
    </row>
    <row r="43" spans="1:9" ht="18.75" x14ac:dyDescent="0.25">
      <c r="A43" s="43">
        <v>1</v>
      </c>
      <c r="B43" s="27" t="s">
        <v>70</v>
      </c>
      <c r="C43" s="105"/>
      <c r="D43" s="105"/>
      <c r="E43" s="129"/>
      <c r="F43" s="94"/>
      <c r="G43" s="103"/>
      <c r="H43" s="103"/>
      <c r="I43" s="106"/>
    </row>
    <row r="44" spans="1:9" ht="18.75" x14ac:dyDescent="0.25">
      <c r="A44" s="43"/>
      <c r="C44" s="105"/>
      <c r="D44" s="105"/>
      <c r="E44" s="129"/>
      <c r="F44" s="94"/>
      <c r="G44" s="103"/>
      <c r="H44" s="103"/>
      <c r="I44" s="106"/>
    </row>
    <row r="45" spans="1:9" x14ac:dyDescent="0.25">
      <c r="A45" s="103"/>
      <c r="C45" s="105"/>
      <c r="D45" s="105"/>
      <c r="E45" s="129"/>
      <c r="F45" s="94"/>
      <c r="G45" s="103"/>
      <c r="H45" s="103"/>
      <c r="I45" s="106"/>
    </row>
    <row r="46" spans="1:9" x14ac:dyDescent="0.25">
      <c r="A46" s="103"/>
      <c r="B46" s="572" t="s">
        <v>206</v>
      </c>
      <c r="C46" s="571"/>
      <c r="D46" s="571"/>
      <c r="E46" s="571"/>
      <c r="F46" s="571"/>
      <c r="G46" s="571"/>
      <c r="H46" s="103"/>
      <c r="I46" s="106"/>
    </row>
    <row r="47" spans="1:9" x14ac:dyDescent="0.25">
      <c r="A47" s="103"/>
      <c r="B47" s="572" t="s">
        <v>207</v>
      </c>
      <c r="C47" s="571"/>
      <c r="D47" s="571"/>
      <c r="E47" s="571"/>
      <c r="F47" s="571"/>
      <c r="G47" s="571"/>
      <c r="H47" s="103"/>
      <c r="I47" s="106"/>
    </row>
    <row r="48" spans="1:9" ht="17.25" x14ac:dyDescent="0.25">
      <c r="A48" s="103"/>
      <c r="B48" s="572" t="s">
        <v>208</v>
      </c>
      <c r="C48" s="573"/>
      <c r="D48" s="573"/>
      <c r="E48" s="573"/>
      <c r="F48" s="573"/>
      <c r="G48" s="573"/>
      <c r="H48" s="103"/>
      <c r="I48" s="106"/>
    </row>
    <row r="49" spans="1:9" x14ac:dyDescent="0.25">
      <c r="A49" s="103"/>
      <c r="B49" s="568" t="str">
        <f>B6</f>
        <v>For the Base Period &amp; True-Up Period Ending December 31, 2020</v>
      </c>
      <c r="C49" s="569"/>
      <c r="D49" s="569"/>
      <c r="E49" s="569"/>
      <c r="F49" s="569"/>
      <c r="G49" s="569"/>
      <c r="H49" s="103"/>
      <c r="I49" s="106"/>
    </row>
    <row r="50" spans="1:9" x14ac:dyDescent="0.25">
      <c r="A50" s="103"/>
      <c r="B50" s="570" t="s">
        <v>2</v>
      </c>
      <c r="C50" s="571"/>
      <c r="D50" s="571"/>
      <c r="E50" s="571"/>
      <c r="F50" s="571"/>
      <c r="G50" s="571"/>
      <c r="H50" s="103"/>
      <c r="I50" s="106"/>
    </row>
    <row r="51" spans="1:9" x14ac:dyDescent="0.25">
      <c r="A51" s="103"/>
      <c r="C51" s="105"/>
      <c r="D51" s="105"/>
      <c r="E51" s="129"/>
      <c r="F51" s="94"/>
      <c r="G51" s="103"/>
      <c r="H51" s="103"/>
      <c r="I51" s="106"/>
    </row>
    <row r="52" spans="1:9" x14ac:dyDescent="0.25">
      <c r="A52" s="28" t="s">
        <v>3</v>
      </c>
      <c r="E52" s="100"/>
      <c r="G52" s="28"/>
      <c r="H52" s="28" t="s">
        <v>3</v>
      </c>
      <c r="I52" s="106"/>
    </row>
    <row r="53" spans="1:9" x14ac:dyDescent="0.25">
      <c r="A53" s="28" t="s">
        <v>7</v>
      </c>
      <c r="B53" s="94" t="s">
        <v>21</v>
      </c>
      <c r="E53" s="101" t="s">
        <v>5</v>
      </c>
      <c r="G53" s="102" t="s">
        <v>6</v>
      </c>
      <c r="H53" s="28" t="s">
        <v>7</v>
      </c>
      <c r="I53" s="106"/>
    </row>
    <row r="54" spans="1:9" ht="18.75" x14ac:dyDescent="0.25">
      <c r="A54" s="103"/>
      <c r="B54" s="44" t="s">
        <v>72</v>
      </c>
      <c r="E54" s="28"/>
      <c r="G54" s="28"/>
      <c r="H54" s="103"/>
      <c r="I54" s="106"/>
    </row>
    <row r="55" spans="1:9" x14ac:dyDescent="0.25">
      <c r="A55" s="28">
        <v>1</v>
      </c>
      <c r="B55" s="32" t="s">
        <v>73</v>
      </c>
      <c r="C55" s="105"/>
      <c r="D55" s="105"/>
      <c r="E55" s="130">
        <v>0</v>
      </c>
      <c r="G55" s="28" t="s">
        <v>221</v>
      </c>
      <c r="H55" s="28">
        <f>A55</f>
        <v>1</v>
      </c>
      <c r="I55" s="106"/>
    </row>
    <row r="56" spans="1:9" x14ac:dyDescent="0.25">
      <c r="A56" s="28">
        <f t="shared" ref="A56:A93" si="2">A55+1</f>
        <v>2</v>
      </c>
      <c r="B56" s="32"/>
      <c r="C56" s="105"/>
      <c r="D56" s="105"/>
      <c r="E56" s="58"/>
      <c r="G56" s="28"/>
      <c r="H56" s="28">
        <f t="shared" ref="H56:H93" si="3">H55+1</f>
        <v>2</v>
      </c>
    </row>
    <row r="57" spans="1:9" ht="18.75" x14ac:dyDescent="0.25">
      <c r="A57" s="28">
        <f t="shared" si="2"/>
        <v>3</v>
      </c>
      <c r="B57" s="32" t="s">
        <v>75</v>
      </c>
      <c r="C57" s="105"/>
      <c r="D57" s="105"/>
      <c r="E57" s="121">
        <v>1.7368511652018213E-2</v>
      </c>
      <c r="F57" s="131"/>
      <c r="G57" s="28" t="s">
        <v>222</v>
      </c>
      <c r="H57" s="28">
        <f t="shared" si="3"/>
        <v>3</v>
      </c>
    </row>
    <row r="58" spans="1:9" x14ac:dyDescent="0.25">
      <c r="A58" s="28">
        <f t="shared" si="2"/>
        <v>4</v>
      </c>
      <c r="B58" s="27" t="s">
        <v>77</v>
      </c>
      <c r="C58" s="105"/>
      <c r="D58" s="105"/>
      <c r="E58" s="132">
        <f>E140</f>
        <v>0</v>
      </c>
      <c r="G58" s="28" t="s">
        <v>223</v>
      </c>
      <c r="H58" s="28">
        <f t="shared" si="3"/>
        <v>4</v>
      </c>
    </row>
    <row r="59" spans="1:9" x14ac:dyDescent="0.25">
      <c r="A59" s="28">
        <f t="shared" si="2"/>
        <v>5</v>
      </c>
      <c r="B59" s="27" t="s">
        <v>79</v>
      </c>
      <c r="E59" s="48">
        <f>E58*E57</f>
        <v>0</v>
      </c>
      <c r="G59" s="28" t="s">
        <v>80</v>
      </c>
      <c r="H59" s="28">
        <f t="shared" si="3"/>
        <v>5</v>
      </c>
    </row>
    <row r="60" spans="1:9" x14ac:dyDescent="0.25">
      <c r="A60" s="28">
        <f t="shared" si="2"/>
        <v>6</v>
      </c>
      <c r="E60" s="49"/>
      <c r="G60" s="28"/>
      <c r="H60" s="28">
        <f t="shared" si="3"/>
        <v>6</v>
      </c>
    </row>
    <row r="61" spans="1:9" ht="18.75" x14ac:dyDescent="0.25">
      <c r="A61" s="28">
        <f t="shared" si="2"/>
        <v>7</v>
      </c>
      <c r="B61" s="32" t="s">
        <v>55</v>
      </c>
      <c r="E61" s="121">
        <v>0</v>
      </c>
      <c r="G61" s="28" t="s">
        <v>224</v>
      </c>
      <c r="H61" s="28">
        <f t="shared" si="3"/>
        <v>7</v>
      </c>
    </row>
    <row r="62" spans="1:9" x14ac:dyDescent="0.25">
      <c r="A62" s="28">
        <f t="shared" si="2"/>
        <v>8</v>
      </c>
      <c r="B62" s="27" t="s">
        <v>77</v>
      </c>
      <c r="E62" s="132">
        <f>E140</f>
        <v>0</v>
      </c>
      <c r="G62" s="28" t="s">
        <v>223</v>
      </c>
      <c r="H62" s="28">
        <f t="shared" si="3"/>
        <v>8</v>
      </c>
    </row>
    <row r="63" spans="1:9" x14ac:dyDescent="0.25">
      <c r="A63" s="28">
        <f t="shared" si="2"/>
        <v>9</v>
      </c>
      <c r="B63" s="27" t="s">
        <v>58</v>
      </c>
      <c r="E63" s="48">
        <f>E62*E61</f>
        <v>0</v>
      </c>
      <c r="G63" s="28" t="s">
        <v>83</v>
      </c>
      <c r="H63" s="28">
        <f t="shared" si="3"/>
        <v>9</v>
      </c>
    </row>
    <row r="64" spans="1:9" x14ac:dyDescent="0.25">
      <c r="A64" s="28">
        <f t="shared" si="2"/>
        <v>10</v>
      </c>
      <c r="E64" s="49"/>
      <c r="G64" s="28"/>
      <c r="H64" s="28">
        <f t="shared" si="3"/>
        <v>10</v>
      </c>
    </row>
    <row r="65" spans="1:9" ht="16.5" thickBot="1" x14ac:dyDescent="0.3">
      <c r="A65" s="28">
        <f t="shared" si="2"/>
        <v>11</v>
      </c>
      <c r="B65" s="27" t="s">
        <v>84</v>
      </c>
      <c r="E65" s="50">
        <f>E55+E59+E63</f>
        <v>0</v>
      </c>
      <c r="G65" s="28" t="s">
        <v>85</v>
      </c>
      <c r="H65" s="28">
        <f t="shared" si="3"/>
        <v>11</v>
      </c>
    </row>
    <row r="66" spans="1:9" ht="16.5" thickTop="1" x14ac:dyDescent="0.25">
      <c r="A66" s="28">
        <f t="shared" si="2"/>
        <v>12</v>
      </c>
      <c r="E66" s="52"/>
      <c r="G66" s="28"/>
      <c r="H66" s="28">
        <f t="shared" si="3"/>
        <v>12</v>
      </c>
    </row>
    <row r="67" spans="1:9" ht="18.75" x14ac:dyDescent="0.25">
      <c r="A67" s="28">
        <f t="shared" si="2"/>
        <v>13</v>
      </c>
      <c r="B67" s="53" t="s">
        <v>86</v>
      </c>
      <c r="E67" s="52"/>
      <c r="G67" s="28"/>
      <c r="H67" s="28">
        <f t="shared" si="3"/>
        <v>13</v>
      </c>
    </row>
    <row r="68" spans="1:9" x14ac:dyDescent="0.25">
      <c r="A68" s="28">
        <f t="shared" si="2"/>
        <v>14</v>
      </c>
      <c r="B68" s="32" t="s">
        <v>87</v>
      </c>
      <c r="E68" s="133">
        <v>0</v>
      </c>
      <c r="G68" s="28" t="s">
        <v>225</v>
      </c>
      <c r="H68" s="28">
        <f t="shared" si="3"/>
        <v>14</v>
      </c>
    </row>
    <row r="69" spans="1:9" x14ac:dyDescent="0.25">
      <c r="A69" s="28">
        <f t="shared" si="2"/>
        <v>15</v>
      </c>
      <c r="B69" s="32"/>
      <c r="E69" s="54"/>
      <c r="G69" s="28"/>
      <c r="H69" s="28">
        <f t="shared" si="3"/>
        <v>15</v>
      </c>
    </row>
    <row r="70" spans="1:9" x14ac:dyDescent="0.25">
      <c r="A70" s="28">
        <f t="shared" si="2"/>
        <v>16</v>
      </c>
      <c r="B70" s="32" t="s">
        <v>89</v>
      </c>
      <c r="E70" s="133">
        <f>E145</f>
        <v>0</v>
      </c>
      <c r="G70" s="28" t="s">
        <v>226</v>
      </c>
      <c r="H70" s="28">
        <f t="shared" si="3"/>
        <v>16</v>
      </c>
    </row>
    <row r="71" spans="1:9" ht="18.75" x14ac:dyDescent="0.25">
      <c r="A71" s="28">
        <f t="shared" si="2"/>
        <v>17</v>
      </c>
      <c r="B71" s="32" t="s">
        <v>49</v>
      </c>
      <c r="C71" s="105"/>
      <c r="D71" s="108"/>
      <c r="E71" s="134">
        <v>9.6007908353307039E-2</v>
      </c>
      <c r="F71" s="94"/>
      <c r="G71" s="28" t="s">
        <v>282</v>
      </c>
      <c r="H71" s="28">
        <f t="shared" si="3"/>
        <v>17</v>
      </c>
    </row>
    <row r="72" spans="1:9" x14ac:dyDescent="0.25">
      <c r="A72" s="28">
        <f t="shared" si="2"/>
        <v>18</v>
      </c>
      <c r="B72" s="27" t="s">
        <v>92</v>
      </c>
      <c r="E72" s="48">
        <f>E70*E71</f>
        <v>0</v>
      </c>
      <c r="G72" s="28" t="s">
        <v>93</v>
      </c>
      <c r="H72" s="28">
        <f t="shared" si="3"/>
        <v>18</v>
      </c>
    </row>
    <row r="73" spans="1:9" x14ac:dyDescent="0.25">
      <c r="A73" s="28">
        <f t="shared" si="2"/>
        <v>19</v>
      </c>
      <c r="E73" s="49"/>
      <c r="G73" s="28"/>
      <c r="H73" s="28">
        <f t="shared" si="3"/>
        <v>19</v>
      </c>
    </row>
    <row r="74" spans="1:9" x14ac:dyDescent="0.25">
      <c r="A74" s="28">
        <f t="shared" si="2"/>
        <v>20</v>
      </c>
      <c r="B74" s="32" t="s">
        <v>89</v>
      </c>
      <c r="E74" s="133">
        <f>E145</f>
        <v>0</v>
      </c>
      <c r="G74" s="28" t="s">
        <v>226</v>
      </c>
      <c r="H74" s="28">
        <f t="shared" si="3"/>
        <v>20</v>
      </c>
    </row>
    <row r="75" spans="1:9" ht="18.75" x14ac:dyDescent="0.25">
      <c r="A75" s="28">
        <f t="shared" si="2"/>
        <v>21</v>
      </c>
      <c r="B75" s="32" t="s">
        <v>55</v>
      </c>
      <c r="C75" s="135"/>
      <c r="D75" s="108"/>
      <c r="E75" s="136">
        <v>0</v>
      </c>
      <c r="F75" s="94"/>
      <c r="G75" s="28" t="s">
        <v>227</v>
      </c>
      <c r="H75" s="28">
        <f t="shared" si="3"/>
        <v>21</v>
      </c>
      <c r="I75" s="135"/>
    </row>
    <row r="76" spans="1:9" x14ac:dyDescent="0.25">
      <c r="A76" s="28">
        <f t="shared" si="2"/>
        <v>22</v>
      </c>
      <c r="B76" s="27" t="s">
        <v>96</v>
      </c>
      <c r="E76" s="48">
        <f>E74*E75</f>
        <v>0</v>
      </c>
      <c r="G76" s="28" t="s">
        <v>97</v>
      </c>
      <c r="H76" s="28">
        <f t="shared" si="3"/>
        <v>22</v>
      </c>
    </row>
    <row r="77" spans="1:9" x14ac:dyDescent="0.25">
      <c r="A77" s="28">
        <f t="shared" si="2"/>
        <v>23</v>
      </c>
      <c r="E77" s="52"/>
      <c r="G77" s="28"/>
      <c r="H77" s="28">
        <f t="shared" si="3"/>
        <v>23</v>
      </c>
    </row>
    <row r="78" spans="1:9" ht="16.5" thickBot="1" x14ac:dyDescent="0.3">
      <c r="A78" s="28">
        <f t="shared" si="2"/>
        <v>24</v>
      </c>
      <c r="B78" s="27" t="s">
        <v>98</v>
      </c>
      <c r="E78" s="50">
        <f>E68+E72+E76</f>
        <v>0</v>
      </c>
      <c r="G78" s="28" t="s">
        <v>99</v>
      </c>
      <c r="H78" s="28">
        <f t="shared" si="3"/>
        <v>24</v>
      </c>
    </row>
    <row r="79" spans="1:9" ht="16.5" thickTop="1" x14ac:dyDescent="0.25">
      <c r="A79" s="28">
        <f t="shared" si="2"/>
        <v>25</v>
      </c>
      <c r="E79" s="52"/>
      <c r="G79" s="28"/>
      <c r="H79" s="28">
        <f t="shared" si="3"/>
        <v>25</v>
      </c>
    </row>
    <row r="80" spans="1:9" ht="18.75" x14ac:dyDescent="0.25">
      <c r="A80" s="28">
        <f t="shared" si="2"/>
        <v>26</v>
      </c>
      <c r="B80" s="53" t="s">
        <v>100</v>
      </c>
      <c r="C80" s="105"/>
      <c r="D80" s="105"/>
      <c r="E80" s="58"/>
      <c r="G80" s="28"/>
      <c r="H80" s="28">
        <f t="shared" si="3"/>
        <v>26</v>
      </c>
    </row>
    <row r="81" spans="1:8" x14ac:dyDescent="0.25">
      <c r="A81" s="28">
        <f t="shared" si="2"/>
        <v>27</v>
      </c>
      <c r="B81" s="27" t="s">
        <v>101</v>
      </c>
      <c r="C81" s="105"/>
      <c r="D81" s="105"/>
      <c r="E81" s="130">
        <f>E147</f>
        <v>0</v>
      </c>
      <c r="G81" s="28" t="s">
        <v>228</v>
      </c>
      <c r="H81" s="28">
        <f t="shared" si="3"/>
        <v>27</v>
      </c>
    </row>
    <row r="82" spans="1:8" ht="18.75" x14ac:dyDescent="0.25">
      <c r="A82" s="28">
        <f t="shared" si="2"/>
        <v>28</v>
      </c>
      <c r="B82" s="32" t="s">
        <v>49</v>
      </c>
      <c r="C82" s="105"/>
      <c r="D82" s="105"/>
      <c r="E82" s="137">
        <v>9.6007908353307039E-2</v>
      </c>
      <c r="F82" s="94"/>
      <c r="G82" s="28" t="s">
        <v>282</v>
      </c>
      <c r="H82" s="28">
        <f t="shared" si="3"/>
        <v>28</v>
      </c>
    </row>
    <row r="83" spans="1:8" x14ac:dyDescent="0.25">
      <c r="A83" s="28">
        <f t="shared" si="2"/>
        <v>29</v>
      </c>
      <c r="B83" s="27" t="s">
        <v>104</v>
      </c>
      <c r="C83" s="105"/>
      <c r="D83" s="105"/>
      <c r="E83" s="61">
        <f>E81*E82</f>
        <v>0</v>
      </c>
      <c r="G83" s="28" t="s">
        <v>105</v>
      </c>
      <c r="H83" s="28">
        <f t="shared" si="3"/>
        <v>29</v>
      </c>
    </row>
    <row r="84" spans="1:8" x14ac:dyDescent="0.25">
      <c r="A84" s="28">
        <f t="shared" si="2"/>
        <v>30</v>
      </c>
      <c r="C84" s="105"/>
      <c r="D84" s="105"/>
      <c r="E84" s="59"/>
      <c r="G84" s="28"/>
      <c r="H84" s="28">
        <f t="shared" si="3"/>
        <v>30</v>
      </c>
    </row>
    <row r="85" spans="1:8" x14ac:dyDescent="0.25">
      <c r="A85" s="28">
        <f t="shared" si="2"/>
        <v>31</v>
      </c>
      <c r="B85" s="27" t="s">
        <v>101</v>
      </c>
      <c r="C85" s="105"/>
      <c r="D85" s="105"/>
      <c r="E85" s="130">
        <f>E147</f>
        <v>0</v>
      </c>
      <c r="G85" s="28" t="s">
        <v>228</v>
      </c>
      <c r="H85" s="28">
        <f t="shared" si="3"/>
        <v>31</v>
      </c>
    </row>
    <row r="86" spans="1:8" ht="18.75" x14ac:dyDescent="0.25">
      <c r="A86" s="28">
        <f t="shared" si="2"/>
        <v>32</v>
      </c>
      <c r="B86" s="32" t="s">
        <v>55</v>
      </c>
      <c r="C86" s="105"/>
      <c r="D86" s="105"/>
      <c r="E86" s="137">
        <v>3.8994570343371454E-3</v>
      </c>
      <c r="F86" s="94"/>
      <c r="G86" s="28" t="s">
        <v>215</v>
      </c>
      <c r="H86" s="28">
        <f t="shared" si="3"/>
        <v>32</v>
      </c>
    </row>
    <row r="87" spans="1:8" x14ac:dyDescent="0.25">
      <c r="A87" s="28">
        <f t="shared" si="2"/>
        <v>33</v>
      </c>
      <c r="B87" s="27" t="s">
        <v>108</v>
      </c>
      <c r="C87" s="105"/>
      <c r="D87" s="105"/>
      <c r="E87" s="61">
        <f>E85*E86</f>
        <v>0</v>
      </c>
      <c r="G87" s="28" t="s">
        <v>109</v>
      </c>
      <c r="H87" s="28">
        <f t="shared" si="3"/>
        <v>33</v>
      </c>
    </row>
    <row r="88" spans="1:8" x14ac:dyDescent="0.25">
      <c r="A88" s="28">
        <f t="shared" si="2"/>
        <v>34</v>
      </c>
      <c r="C88" s="105"/>
      <c r="D88" s="105"/>
      <c r="E88" s="59"/>
      <c r="G88" s="28"/>
      <c r="H88" s="28">
        <f t="shared" si="3"/>
        <v>34</v>
      </c>
    </row>
    <row r="89" spans="1:8" ht="16.5" thickBot="1" x14ac:dyDescent="0.3">
      <c r="A89" s="28">
        <f t="shared" si="2"/>
        <v>35</v>
      </c>
      <c r="B89" s="27" t="s">
        <v>110</v>
      </c>
      <c r="C89" s="105"/>
      <c r="D89" s="105"/>
      <c r="E89" s="50">
        <f>E83+E87</f>
        <v>0</v>
      </c>
      <c r="G89" s="28" t="s">
        <v>111</v>
      </c>
      <c r="H89" s="28">
        <f t="shared" si="3"/>
        <v>35</v>
      </c>
    </row>
    <row r="90" spans="1:8" ht="16.5" thickTop="1" x14ac:dyDescent="0.25">
      <c r="A90" s="28">
        <f t="shared" si="2"/>
        <v>36</v>
      </c>
      <c r="C90" s="105"/>
      <c r="D90" s="105"/>
      <c r="E90" s="58"/>
      <c r="G90" s="28"/>
      <c r="H90" s="28">
        <f t="shared" si="3"/>
        <v>36</v>
      </c>
    </row>
    <row r="91" spans="1:8" ht="19.5" thickBot="1" x14ac:dyDescent="0.3">
      <c r="A91" s="28">
        <f t="shared" si="2"/>
        <v>37</v>
      </c>
      <c r="B91" s="27" t="s">
        <v>112</v>
      </c>
      <c r="E91" s="62">
        <f>E65+E78+E89</f>
        <v>0</v>
      </c>
      <c r="G91" s="28" t="s">
        <v>113</v>
      </c>
      <c r="H91" s="28">
        <f t="shared" si="3"/>
        <v>37</v>
      </c>
    </row>
    <row r="92" spans="1:8" ht="16.5" thickTop="1" x14ac:dyDescent="0.25">
      <c r="A92" s="28">
        <f t="shared" si="2"/>
        <v>38</v>
      </c>
      <c r="C92" s="105"/>
      <c r="D92" s="105"/>
      <c r="E92" s="58"/>
      <c r="G92" s="28"/>
      <c r="H92" s="28">
        <f t="shared" si="3"/>
        <v>38</v>
      </c>
    </row>
    <row r="93" spans="1:8" ht="19.5" thickBot="1" x14ac:dyDescent="0.3">
      <c r="A93" s="28">
        <f t="shared" si="2"/>
        <v>39</v>
      </c>
      <c r="B93" s="53" t="s">
        <v>114</v>
      </c>
      <c r="C93" s="105"/>
      <c r="D93" s="105"/>
      <c r="E93" s="62">
        <f>+E41+E91</f>
        <v>920468.48035053641</v>
      </c>
      <c r="F93" s="94"/>
      <c r="G93" s="28" t="s">
        <v>115</v>
      </c>
      <c r="H93" s="28">
        <f t="shared" si="3"/>
        <v>39</v>
      </c>
    </row>
    <row r="94" spans="1:8" ht="16.5" thickTop="1" x14ac:dyDescent="0.25">
      <c r="A94" s="28"/>
      <c r="B94" s="53"/>
      <c r="C94" s="105"/>
      <c r="D94" s="105"/>
      <c r="E94" s="58"/>
      <c r="F94" s="94"/>
      <c r="G94" s="28"/>
    </row>
    <row r="95" spans="1:8" ht="18.75" x14ac:dyDescent="0.25">
      <c r="A95" s="43">
        <v>1</v>
      </c>
      <c r="B95" s="27" t="s">
        <v>70</v>
      </c>
      <c r="C95" s="105"/>
      <c r="D95" s="105"/>
      <c r="E95" s="58"/>
      <c r="G95" s="28"/>
    </row>
    <row r="96" spans="1:8" ht="18.75" x14ac:dyDescent="0.25">
      <c r="A96" s="43">
        <v>2</v>
      </c>
      <c r="B96" s="27" t="s">
        <v>116</v>
      </c>
      <c r="C96" s="105"/>
      <c r="D96" s="105"/>
      <c r="E96" s="138"/>
      <c r="F96" s="114"/>
      <c r="G96" s="28"/>
    </row>
    <row r="97" spans="1:8" ht="18.75" x14ac:dyDescent="0.25">
      <c r="A97" s="43">
        <v>3</v>
      </c>
      <c r="B97" s="27" t="s">
        <v>117</v>
      </c>
      <c r="C97" s="105"/>
      <c r="D97" s="105"/>
      <c r="E97" s="58"/>
      <c r="G97" s="28"/>
    </row>
    <row r="98" spans="1:8" x14ac:dyDescent="0.25">
      <c r="A98" s="28"/>
      <c r="B98" s="94"/>
      <c r="C98" s="105"/>
      <c r="D98" s="105"/>
      <c r="E98" s="58"/>
      <c r="G98" s="28"/>
    </row>
    <row r="99" spans="1:8" x14ac:dyDescent="0.25">
      <c r="A99" s="28"/>
      <c r="C99" s="105"/>
      <c r="D99" s="105"/>
      <c r="E99" s="58"/>
      <c r="G99" s="28"/>
    </row>
    <row r="100" spans="1:8" x14ac:dyDescent="0.25">
      <c r="A100" s="28"/>
      <c r="B100" s="572" t="s">
        <v>206</v>
      </c>
      <c r="C100" s="571"/>
      <c r="D100" s="571"/>
      <c r="E100" s="571"/>
      <c r="F100" s="571"/>
      <c r="G100" s="571"/>
    </row>
    <row r="101" spans="1:8" x14ac:dyDescent="0.25">
      <c r="A101" s="28"/>
      <c r="B101" s="572" t="s">
        <v>207</v>
      </c>
      <c r="C101" s="571"/>
      <c r="D101" s="571"/>
      <c r="E101" s="571"/>
      <c r="F101" s="571"/>
      <c r="G101" s="571"/>
    </row>
    <row r="102" spans="1:8" ht="17.25" x14ac:dyDescent="0.25">
      <c r="A102" s="28" t="s">
        <v>21</v>
      </c>
      <c r="B102" s="572" t="s">
        <v>208</v>
      </c>
      <c r="C102" s="573"/>
      <c r="D102" s="573"/>
      <c r="E102" s="573"/>
      <c r="F102" s="573"/>
      <c r="G102" s="573"/>
      <c r="H102" s="28" t="s">
        <v>21</v>
      </c>
    </row>
    <row r="103" spans="1:8" x14ac:dyDescent="0.25">
      <c r="A103" s="28"/>
      <c r="B103" s="568" t="str">
        <f>B6</f>
        <v>For the Base Period &amp; True-Up Period Ending December 31, 2020</v>
      </c>
      <c r="C103" s="569"/>
      <c r="D103" s="569"/>
      <c r="E103" s="569"/>
      <c r="F103" s="569"/>
      <c r="G103" s="569"/>
    </row>
    <row r="104" spans="1:8" x14ac:dyDescent="0.25">
      <c r="A104" s="28"/>
      <c r="B104" s="570" t="s">
        <v>2</v>
      </c>
      <c r="C104" s="571"/>
      <c r="D104" s="571"/>
      <c r="E104" s="571"/>
      <c r="F104" s="571"/>
      <c r="G104" s="571"/>
    </row>
    <row r="105" spans="1:8" x14ac:dyDescent="0.25">
      <c r="A105" s="28"/>
      <c r="B105" s="99"/>
      <c r="C105" s="94"/>
      <c r="D105" s="94"/>
      <c r="E105" s="94"/>
      <c r="F105" s="94"/>
      <c r="G105" s="94"/>
    </row>
    <row r="106" spans="1:8" x14ac:dyDescent="0.25">
      <c r="A106" s="28" t="s">
        <v>3</v>
      </c>
      <c r="E106" s="100"/>
      <c r="G106" s="28"/>
      <c r="H106" s="28" t="s">
        <v>3</v>
      </c>
    </row>
    <row r="107" spans="1:8" x14ac:dyDescent="0.25">
      <c r="A107" s="28" t="s">
        <v>7</v>
      </c>
      <c r="B107" s="94" t="s">
        <v>21</v>
      </c>
      <c r="E107" s="101" t="s">
        <v>5</v>
      </c>
      <c r="G107" s="102" t="s">
        <v>6</v>
      </c>
      <c r="H107" s="28" t="s">
        <v>7</v>
      </c>
    </row>
    <row r="108" spans="1:8" x14ac:dyDescent="0.25">
      <c r="A108" s="103"/>
      <c r="B108" s="44" t="s">
        <v>229</v>
      </c>
      <c r="C108" s="139"/>
      <c r="D108" s="139"/>
      <c r="E108" s="139"/>
      <c r="G108" s="28"/>
      <c r="H108" s="103"/>
    </row>
    <row r="109" spans="1:8" x14ac:dyDescent="0.25">
      <c r="A109" s="28">
        <v>1</v>
      </c>
      <c r="B109" s="140" t="s">
        <v>119</v>
      </c>
      <c r="C109" s="139"/>
      <c r="D109" s="139"/>
      <c r="E109" s="139"/>
      <c r="G109" s="28"/>
      <c r="H109" s="28">
        <f>A109</f>
        <v>1</v>
      </c>
    </row>
    <row r="110" spans="1:8" x14ac:dyDescent="0.25">
      <c r="A110" s="28">
        <f t="shared" ref="A110:A147" si="4">A109+1</f>
        <v>2</v>
      </c>
      <c r="B110" s="32" t="s">
        <v>120</v>
      </c>
      <c r="C110" s="139"/>
      <c r="D110" s="139"/>
      <c r="E110" s="141">
        <f>E176</f>
        <v>5246121.1315707676</v>
      </c>
      <c r="F110" s="114"/>
      <c r="G110" s="28" t="s">
        <v>230</v>
      </c>
      <c r="H110" s="28">
        <f t="shared" ref="H110:H147" si="5">H109+1</f>
        <v>2</v>
      </c>
    </row>
    <row r="111" spans="1:8" x14ac:dyDescent="0.25">
      <c r="A111" s="28">
        <f t="shared" si="4"/>
        <v>3</v>
      </c>
      <c r="B111" s="32" t="s">
        <v>122</v>
      </c>
      <c r="C111" s="139"/>
      <c r="D111" s="139"/>
      <c r="E111" s="142">
        <f>E177</f>
        <v>6185.413608726165</v>
      </c>
      <c r="F111" s="114"/>
      <c r="G111" s="28" t="s">
        <v>231</v>
      </c>
      <c r="H111" s="28">
        <f t="shared" si="5"/>
        <v>3</v>
      </c>
    </row>
    <row r="112" spans="1:8" x14ac:dyDescent="0.25">
      <c r="A112" s="28">
        <f t="shared" si="4"/>
        <v>4</v>
      </c>
      <c r="B112" s="32" t="s">
        <v>124</v>
      </c>
      <c r="C112" s="139"/>
      <c r="D112" s="139"/>
      <c r="E112" s="142">
        <f>E178</f>
        <v>51220.11925408426</v>
      </c>
      <c r="G112" s="28" t="s">
        <v>232</v>
      </c>
      <c r="H112" s="28">
        <f t="shared" si="5"/>
        <v>4</v>
      </c>
    </row>
    <row r="113" spans="1:8" x14ac:dyDescent="0.25">
      <c r="A113" s="28">
        <f t="shared" si="4"/>
        <v>5</v>
      </c>
      <c r="B113" s="32" t="s">
        <v>126</v>
      </c>
      <c r="C113" s="139"/>
      <c r="D113" s="139"/>
      <c r="E113" s="143">
        <f>E179</f>
        <v>107749.97527197437</v>
      </c>
      <c r="G113" s="28" t="s">
        <v>233</v>
      </c>
      <c r="H113" s="28">
        <f t="shared" si="5"/>
        <v>5</v>
      </c>
    </row>
    <row r="114" spans="1:8" x14ac:dyDescent="0.25">
      <c r="A114" s="28">
        <f t="shared" si="4"/>
        <v>6</v>
      </c>
      <c r="B114" s="32" t="s">
        <v>128</v>
      </c>
      <c r="C114" s="28"/>
      <c r="D114" s="28"/>
      <c r="E114" s="144">
        <f>SUM(E110:E113)</f>
        <v>5411276.6397055527</v>
      </c>
      <c r="F114" s="114"/>
      <c r="G114" s="28" t="s">
        <v>129</v>
      </c>
      <c r="H114" s="28">
        <f t="shared" si="5"/>
        <v>6</v>
      </c>
    </row>
    <row r="115" spans="1:8" x14ac:dyDescent="0.25">
      <c r="A115" s="28">
        <f t="shared" si="4"/>
        <v>7</v>
      </c>
      <c r="C115" s="28"/>
      <c r="D115" s="28"/>
      <c r="E115" s="115"/>
      <c r="G115" s="28"/>
      <c r="H115" s="28">
        <f t="shared" si="5"/>
        <v>7</v>
      </c>
    </row>
    <row r="116" spans="1:8" x14ac:dyDescent="0.25">
      <c r="A116" s="28">
        <f t="shared" si="4"/>
        <v>8</v>
      </c>
      <c r="B116" s="140" t="s">
        <v>130</v>
      </c>
      <c r="C116" s="28"/>
      <c r="D116" s="28"/>
      <c r="E116" s="115"/>
      <c r="G116" s="28"/>
      <c r="H116" s="28">
        <f t="shared" si="5"/>
        <v>8</v>
      </c>
    </row>
    <row r="117" spans="1:8" x14ac:dyDescent="0.25">
      <c r="A117" s="28">
        <f t="shared" si="4"/>
        <v>9</v>
      </c>
      <c r="B117" s="32" t="s">
        <v>234</v>
      </c>
      <c r="C117" s="28"/>
      <c r="D117" s="28"/>
      <c r="E117" s="145">
        <v>0</v>
      </c>
      <c r="F117" s="114"/>
      <c r="G117" s="28" t="s">
        <v>235</v>
      </c>
      <c r="H117" s="28">
        <f t="shared" si="5"/>
        <v>9</v>
      </c>
    </row>
    <row r="118" spans="1:8" x14ac:dyDescent="0.25">
      <c r="A118" s="28">
        <f t="shared" si="4"/>
        <v>10</v>
      </c>
      <c r="B118" s="32" t="s">
        <v>133</v>
      </c>
      <c r="C118" s="28"/>
      <c r="D118" s="28"/>
      <c r="E118" s="146">
        <v>0</v>
      </c>
      <c r="G118" s="28" t="s">
        <v>236</v>
      </c>
      <c r="H118" s="28">
        <f t="shared" si="5"/>
        <v>10</v>
      </c>
    </row>
    <row r="119" spans="1:8" x14ac:dyDescent="0.25">
      <c r="A119" s="28">
        <f t="shared" si="4"/>
        <v>11</v>
      </c>
      <c r="B119" s="32" t="s">
        <v>135</v>
      </c>
      <c r="C119" s="28"/>
      <c r="D119" s="28"/>
      <c r="E119" s="147">
        <f>SUM(E117:E118)</f>
        <v>0</v>
      </c>
      <c r="F119" s="114"/>
      <c r="G119" s="28" t="s">
        <v>136</v>
      </c>
      <c r="H119" s="28">
        <f t="shared" si="5"/>
        <v>11</v>
      </c>
    </row>
    <row r="120" spans="1:8" x14ac:dyDescent="0.25">
      <c r="A120" s="28">
        <f t="shared" si="4"/>
        <v>12</v>
      </c>
      <c r="B120" s="32"/>
      <c r="C120" s="28"/>
      <c r="D120" s="28"/>
      <c r="E120" s="58"/>
      <c r="G120" s="28"/>
      <c r="H120" s="28">
        <f t="shared" si="5"/>
        <v>12</v>
      </c>
    </row>
    <row r="121" spans="1:8" x14ac:dyDescent="0.25">
      <c r="A121" s="28">
        <f t="shared" si="4"/>
        <v>13</v>
      </c>
      <c r="B121" s="140" t="s">
        <v>137</v>
      </c>
      <c r="E121" s="115"/>
      <c r="G121" s="28"/>
      <c r="H121" s="28">
        <f t="shared" si="5"/>
        <v>13</v>
      </c>
    </row>
    <row r="122" spans="1:8" x14ac:dyDescent="0.25">
      <c r="A122" s="28">
        <f t="shared" si="4"/>
        <v>14</v>
      </c>
      <c r="B122" s="27" t="s">
        <v>138</v>
      </c>
      <c r="C122" s="28"/>
      <c r="D122" s="28"/>
      <c r="E122" s="148">
        <v>-914206.71933328768</v>
      </c>
      <c r="G122" s="28" t="s">
        <v>283</v>
      </c>
      <c r="H122" s="28">
        <f t="shared" si="5"/>
        <v>14</v>
      </c>
    </row>
    <row r="123" spans="1:8" x14ac:dyDescent="0.25">
      <c r="A123" s="28">
        <f t="shared" si="4"/>
        <v>15</v>
      </c>
      <c r="B123" s="27" t="s">
        <v>140</v>
      </c>
      <c r="C123" s="28"/>
      <c r="D123" s="28"/>
      <c r="E123" s="127">
        <v>0</v>
      </c>
      <c r="G123" s="28" t="s">
        <v>238</v>
      </c>
      <c r="H123" s="28">
        <f t="shared" si="5"/>
        <v>15</v>
      </c>
    </row>
    <row r="124" spans="1:8" x14ac:dyDescent="0.25">
      <c r="A124" s="28">
        <f t="shared" si="4"/>
        <v>16</v>
      </c>
      <c r="B124" s="32" t="s">
        <v>142</v>
      </c>
      <c r="C124" s="28"/>
      <c r="D124" s="28"/>
      <c r="E124" s="144">
        <f>SUM(E122:E123)</f>
        <v>-914206.71933328768</v>
      </c>
      <c r="G124" s="28" t="s">
        <v>143</v>
      </c>
      <c r="H124" s="28">
        <f t="shared" si="5"/>
        <v>16</v>
      </c>
    </row>
    <row r="125" spans="1:8" x14ac:dyDescent="0.25">
      <c r="A125" s="28">
        <f t="shared" si="4"/>
        <v>17</v>
      </c>
      <c r="C125" s="28"/>
      <c r="D125" s="28"/>
      <c r="E125" s="149"/>
      <c r="G125" s="28"/>
      <c r="H125" s="28">
        <f t="shared" si="5"/>
        <v>17</v>
      </c>
    </row>
    <row r="126" spans="1:8" x14ac:dyDescent="0.25">
      <c r="A126" s="28">
        <f t="shared" si="4"/>
        <v>18</v>
      </c>
      <c r="B126" s="140" t="s">
        <v>144</v>
      </c>
      <c r="C126" s="28"/>
      <c r="D126" s="28"/>
      <c r="E126" s="149"/>
      <c r="G126" s="28"/>
      <c r="H126" s="28">
        <f t="shared" si="5"/>
        <v>18</v>
      </c>
    </row>
    <row r="127" spans="1:8" x14ac:dyDescent="0.25">
      <c r="A127" s="28">
        <f t="shared" si="4"/>
        <v>19</v>
      </c>
      <c r="B127" s="32" t="s">
        <v>239</v>
      </c>
      <c r="C127" s="28"/>
      <c r="D127" s="28"/>
      <c r="E127" s="141">
        <v>51967.715833331946</v>
      </c>
      <c r="F127" s="114"/>
      <c r="G127" s="28" t="s">
        <v>266</v>
      </c>
      <c r="H127" s="28">
        <f t="shared" si="5"/>
        <v>19</v>
      </c>
    </row>
    <row r="128" spans="1:8" x14ac:dyDescent="0.25">
      <c r="A128" s="28">
        <f t="shared" si="4"/>
        <v>20</v>
      </c>
      <c r="B128" s="32" t="s">
        <v>147</v>
      </c>
      <c r="C128" s="28"/>
      <c r="D128" s="28"/>
      <c r="E128" s="142">
        <v>37816.931501811814</v>
      </c>
      <c r="F128" s="114"/>
      <c r="G128" s="28" t="s">
        <v>267</v>
      </c>
      <c r="H128" s="28">
        <f t="shared" si="5"/>
        <v>20</v>
      </c>
    </row>
    <row r="129" spans="1:8" x14ac:dyDescent="0.25">
      <c r="A129" s="28">
        <f t="shared" si="4"/>
        <v>21</v>
      </c>
      <c r="B129" s="32" t="s">
        <v>149</v>
      </c>
      <c r="C129" s="28"/>
      <c r="D129" s="28"/>
      <c r="E129" s="143">
        <v>22112.998447358888</v>
      </c>
      <c r="F129" s="94"/>
      <c r="G129" s="28" t="s">
        <v>284</v>
      </c>
      <c r="H129" s="28">
        <f t="shared" si="5"/>
        <v>21</v>
      </c>
    </row>
    <row r="130" spans="1:8" x14ac:dyDescent="0.25">
      <c r="A130" s="28">
        <f t="shared" si="4"/>
        <v>22</v>
      </c>
      <c r="B130" s="32" t="s">
        <v>240</v>
      </c>
      <c r="E130" s="144">
        <f>SUM(E127:E129)</f>
        <v>111897.64578250264</v>
      </c>
      <c r="F130" s="94"/>
      <c r="G130" s="28" t="s">
        <v>152</v>
      </c>
      <c r="H130" s="28">
        <f t="shared" si="5"/>
        <v>22</v>
      </c>
    </row>
    <row r="131" spans="1:8" x14ac:dyDescent="0.25">
      <c r="A131" s="28">
        <f t="shared" si="4"/>
        <v>23</v>
      </c>
      <c r="B131" s="32"/>
      <c r="E131" s="150"/>
      <c r="G131" s="28"/>
      <c r="H131" s="28">
        <f t="shared" si="5"/>
        <v>23</v>
      </c>
    </row>
    <row r="132" spans="1:8" x14ac:dyDescent="0.25">
      <c r="A132" s="28">
        <f t="shared" si="4"/>
        <v>24</v>
      </c>
      <c r="B132" s="32" t="s">
        <v>153</v>
      </c>
      <c r="E132" s="151">
        <v>0</v>
      </c>
      <c r="G132" s="28" t="s">
        <v>241</v>
      </c>
      <c r="H132" s="28">
        <f t="shared" si="5"/>
        <v>24</v>
      </c>
    </row>
    <row r="133" spans="1:8" x14ac:dyDescent="0.25">
      <c r="A133" s="28">
        <f t="shared" si="4"/>
        <v>25</v>
      </c>
      <c r="B133" s="32" t="s">
        <v>155</v>
      </c>
      <c r="E133" s="132">
        <v>-7015.6611016726329</v>
      </c>
      <c r="G133" s="28" t="s">
        <v>242</v>
      </c>
      <c r="H133" s="28">
        <f t="shared" si="5"/>
        <v>25</v>
      </c>
    </row>
    <row r="134" spans="1:8" x14ac:dyDescent="0.25">
      <c r="A134" s="28">
        <f t="shared" si="4"/>
        <v>26</v>
      </c>
      <c r="B134" s="32"/>
      <c r="E134" s="150"/>
      <c r="G134" s="28"/>
      <c r="H134" s="28">
        <f t="shared" si="5"/>
        <v>26</v>
      </c>
    </row>
    <row r="135" spans="1:8" ht="16.5" thickBot="1" x14ac:dyDescent="0.3">
      <c r="A135" s="28">
        <f t="shared" si="4"/>
        <v>27</v>
      </c>
      <c r="B135" s="32" t="s">
        <v>157</v>
      </c>
      <c r="E135" s="163">
        <f>E132+E130+E124+E119+E114+E133</f>
        <v>4601951.905053095</v>
      </c>
      <c r="F135" s="94"/>
      <c r="G135" s="28" t="s">
        <v>158</v>
      </c>
      <c r="H135" s="28">
        <f t="shared" si="5"/>
        <v>27</v>
      </c>
    </row>
    <row r="136" spans="1:8" ht="16.5" thickTop="1" x14ac:dyDescent="0.25">
      <c r="A136" s="28">
        <f t="shared" si="4"/>
        <v>28</v>
      </c>
      <c r="B136" s="32"/>
      <c r="E136" s="52"/>
      <c r="G136" s="28"/>
      <c r="H136" s="28">
        <f t="shared" si="5"/>
        <v>28</v>
      </c>
    </row>
    <row r="137" spans="1:8" ht="18.75" x14ac:dyDescent="0.25">
      <c r="A137" s="28">
        <f t="shared" si="4"/>
        <v>29</v>
      </c>
      <c r="B137" s="44" t="s">
        <v>159</v>
      </c>
      <c r="E137" s="52"/>
      <c r="G137" s="28"/>
      <c r="H137" s="28">
        <f t="shared" si="5"/>
        <v>29</v>
      </c>
    </row>
    <row r="138" spans="1:8" x14ac:dyDescent="0.25">
      <c r="A138" s="28">
        <f t="shared" si="4"/>
        <v>30</v>
      </c>
      <c r="B138" s="32" t="s">
        <v>160</v>
      </c>
      <c r="E138" s="133">
        <f>E185</f>
        <v>0</v>
      </c>
      <c r="G138" s="28" t="s">
        <v>243</v>
      </c>
      <c r="H138" s="28">
        <f t="shared" si="5"/>
        <v>30</v>
      </c>
    </row>
    <row r="139" spans="1:8" x14ac:dyDescent="0.25">
      <c r="A139" s="28">
        <f t="shared" si="4"/>
        <v>31</v>
      </c>
      <c r="B139" s="32" t="s">
        <v>162</v>
      </c>
      <c r="E139" s="127">
        <v>0</v>
      </c>
      <c r="G139" s="28" t="s">
        <v>244</v>
      </c>
      <c r="H139" s="28">
        <f t="shared" si="5"/>
        <v>31</v>
      </c>
    </row>
    <row r="140" spans="1:8" x14ac:dyDescent="0.25">
      <c r="A140" s="28">
        <f t="shared" si="4"/>
        <v>32</v>
      </c>
      <c r="B140" s="27" t="s">
        <v>164</v>
      </c>
      <c r="E140" s="48">
        <f>SUM(E138:E139)</f>
        <v>0</v>
      </c>
      <c r="G140" s="28" t="s">
        <v>165</v>
      </c>
      <c r="H140" s="28">
        <f t="shared" si="5"/>
        <v>32</v>
      </c>
    </row>
    <row r="141" spans="1:8" x14ac:dyDescent="0.25">
      <c r="A141" s="28">
        <f t="shared" si="4"/>
        <v>33</v>
      </c>
      <c r="B141" s="32"/>
      <c r="E141" s="52"/>
      <c r="G141" s="28"/>
      <c r="H141" s="28">
        <f t="shared" si="5"/>
        <v>33</v>
      </c>
    </row>
    <row r="142" spans="1:8" ht="18.75" x14ac:dyDescent="0.25">
      <c r="A142" s="28">
        <f t="shared" si="4"/>
        <v>34</v>
      </c>
      <c r="B142" s="44" t="s">
        <v>166</v>
      </c>
      <c r="E142" s="52"/>
      <c r="G142" s="28"/>
      <c r="H142" s="28">
        <f t="shared" si="5"/>
        <v>34</v>
      </c>
    </row>
    <row r="143" spans="1:8" x14ac:dyDescent="0.25">
      <c r="A143" s="28">
        <f t="shared" si="4"/>
        <v>35</v>
      </c>
      <c r="B143" s="32" t="s">
        <v>167</v>
      </c>
      <c r="E143" s="133">
        <v>0</v>
      </c>
      <c r="G143" s="28" t="s">
        <v>245</v>
      </c>
      <c r="H143" s="28">
        <f t="shared" si="5"/>
        <v>35</v>
      </c>
    </row>
    <row r="144" spans="1:8" x14ac:dyDescent="0.25">
      <c r="A144" s="28">
        <f t="shared" si="4"/>
        <v>36</v>
      </c>
      <c r="B144" s="27" t="s">
        <v>169</v>
      </c>
      <c r="E144" s="128">
        <v>0</v>
      </c>
      <c r="G144" s="28" t="s">
        <v>246</v>
      </c>
      <c r="H144" s="28">
        <f t="shared" si="5"/>
        <v>36</v>
      </c>
    </row>
    <row r="145" spans="1:8" x14ac:dyDescent="0.25">
      <c r="A145" s="28">
        <f t="shared" si="4"/>
        <v>37</v>
      </c>
      <c r="B145" s="27" t="s">
        <v>171</v>
      </c>
      <c r="E145" s="48">
        <f>SUM(E143:E144)</f>
        <v>0</v>
      </c>
      <c r="G145" s="28" t="s">
        <v>172</v>
      </c>
      <c r="H145" s="28">
        <f t="shared" si="5"/>
        <v>37</v>
      </c>
    </row>
    <row r="146" spans="1:8" x14ac:dyDescent="0.25">
      <c r="A146" s="28">
        <f t="shared" si="4"/>
        <v>38</v>
      </c>
      <c r="B146" s="32"/>
      <c r="E146" s="52"/>
      <c r="G146" s="28"/>
      <c r="H146" s="28">
        <f t="shared" si="5"/>
        <v>38</v>
      </c>
    </row>
    <row r="147" spans="1:8" ht="18.75" x14ac:dyDescent="0.25">
      <c r="A147" s="28">
        <f t="shared" si="4"/>
        <v>39</v>
      </c>
      <c r="B147" s="44" t="s">
        <v>173</v>
      </c>
      <c r="E147" s="133">
        <v>0</v>
      </c>
      <c r="G147" s="28" t="s">
        <v>247</v>
      </c>
      <c r="H147" s="28">
        <f t="shared" si="5"/>
        <v>39</v>
      </c>
    </row>
    <row r="148" spans="1:8" x14ac:dyDescent="0.25">
      <c r="A148" s="28"/>
      <c r="B148" s="32"/>
      <c r="E148" s="52"/>
      <c r="G148" s="28"/>
    </row>
    <row r="149" spans="1:8" ht="18.75" x14ac:dyDescent="0.25">
      <c r="A149" s="43">
        <v>1</v>
      </c>
      <c r="B149" s="27" t="s">
        <v>116</v>
      </c>
      <c r="E149" s="52"/>
      <c r="G149" s="28"/>
    </row>
    <row r="150" spans="1:8" x14ac:dyDescent="0.25">
      <c r="A150" s="28"/>
      <c r="B150" s="94"/>
      <c r="E150" s="52"/>
      <c r="G150" s="28"/>
    </row>
    <row r="151" spans="1:8" x14ac:dyDescent="0.25">
      <c r="A151" s="28"/>
      <c r="B151" s="94"/>
      <c r="E151" s="52"/>
      <c r="G151" s="28"/>
    </row>
    <row r="152" spans="1:8" x14ac:dyDescent="0.25">
      <c r="A152" s="28"/>
      <c r="B152" s="572" t="s">
        <v>206</v>
      </c>
      <c r="C152" s="571"/>
      <c r="D152" s="571"/>
      <c r="E152" s="571"/>
      <c r="F152" s="571"/>
      <c r="G152" s="571"/>
    </row>
    <row r="153" spans="1:8" x14ac:dyDescent="0.25">
      <c r="A153" s="28" t="s">
        <v>21</v>
      </c>
      <c r="B153" s="572" t="s">
        <v>207</v>
      </c>
      <c r="C153" s="571"/>
      <c r="D153" s="571"/>
      <c r="E153" s="571"/>
      <c r="F153" s="571"/>
      <c r="G153" s="571"/>
    </row>
    <row r="154" spans="1:8" ht="17.25" x14ac:dyDescent="0.25">
      <c r="A154" s="28"/>
      <c r="B154" s="572" t="s">
        <v>208</v>
      </c>
      <c r="C154" s="573"/>
      <c r="D154" s="573"/>
      <c r="E154" s="573"/>
      <c r="F154" s="573"/>
      <c r="G154" s="573"/>
    </row>
    <row r="155" spans="1:8" x14ac:dyDescent="0.25">
      <c r="A155" s="28"/>
      <c r="B155" s="568" t="str">
        <f>B6</f>
        <v>For the Base Period &amp; True-Up Period Ending December 31, 2020</v>
      </c>
      <c r="C155" s="569"/>
      <c r="D155" s="569"/>
      <c r="E155" s="569"/>
      <c r="F155" s="569"/>
      <c r="G155" s="569"/>
    </row>
    <row r="156" spans="1:8" x14ac:dyDescent="0.25">
      <c r="A156" s="28"/>
      <c r="B156" s="570" t="s">
        <v>2</v>
      </c>
      <c r="C156" s="571"/>
      <c r="D156" s="571"/>
      <c r="E156" s="571"/>
      <c r="F156" s="571"/>
      <c r="G156" s="571"/>
    </row>
    <row r="157" spans="1:8" x14ac:dyDescent="0.25">
      <c r="A157" s="28"/>
      <c r="B157" s="153"/>
    </row>
    <row r="158" spans="1:8" x14ac:dyDescent="0.25">
      <c r="A158" s="28" t="s">
        <v>3</v>
      </c>
      <c r="E158" s="100"/>
      <c r="G158" s="28"/>
      <c r="H158" s="28" t="s">
        <v>3</v>
      </c>
    </row>
    <row r="159" spans="1:8" x14ac:dyDescent="0.25">
      <c r="A159" s="28" t="s">
        <v>7</v>
      </c>
      <c r="B159" s="94" t="s">
        <v>21</v>
      </c>
      <c r="E159" s="101" t="s">
        <v>5</v>
      </c>
      <c r="G159" s="102" t="s">
        <v>6</v>
      </c>
      <c r="H159" s="28" t="s">
        <v>7</v>
      </c>
    </row>
    <row r="160" spans="1:8" x14ac:dyDescent="0.25">
      <c r="A160" s="103"/>
      <c r="B160" s="44" t="s">
        <v>248</v>
      </c>
      <c r="E160" s="100"/>
      <c r="G160" s="28"/>
      <c r="H160" s="103"/>
    </row>
    <row r="161" spans="1:10" x14ac:dyDescent="0.25">
      <c r="A161" s="28">
        <v>1</v>
      </c>
      <c r="B161" s="140" t="s">
        <v>176</v>
      </c>
      <c r="E161" s="100"/>
      <c r="G161" s="28"/>
      <c r="H161" s="28">
        <f>A161</f>
        <v>1</v>
      </c>
    </row>
    <row r="162" spans="1:10" x14ac:dyDescent="0.25">
      <c r="A162" s="28">
        <f t="shared" ref="A162:A185" si="6">A161+1</f>
        <v>2</v>
      </c>
      <c r="B162" s="32" t="s">
        <v>120</v>
      </c>
      <c r="E162" s="125">
        <v>6632410.4084030753</v>
      </c>
      <c r="F162" s="114"/>
      <c r="G162" s="28" t="s">
        <v>270</v>
      </c>
      <c r="H162" s="28">
        <f t="shared" ref="H162:H185" si="7">H161+1</f>
        <v>2</v>
      </c>
      <c r="I162" s="154"/>
    </row>
    <row r="163" spans="1:10" x14ac:dyDescent="0.25">
      <c r="A163" s="28">
        <f t="shared" si="6"/>
        <v>3</v>
      </c>
      <c r="B163" s="32" t="s">
        <v>249</v>
      </c>
      <c r="E163" s="155">
        <v>34627.403972329441</v>
      </c>
      <c r="F163" s="114"/>
      <c r="G163" s="28" t="s">
        <v>271</v>
      </c>
      <c r="H163" s="28">
        <f t="shared" si="7"/>
        <v>3</v>
      </c>
      <c r="I163" s="156"/>
    </row>
    <row r="164" spans="1:10" x14ac:dyDescent="0.25">
      <c r="A164" s="28">
        <f t="shared" si="6"/>
        <v>4</v>
      </c>
      <c r="B164" s="32" t="s">
        <v>124</v>
      </c>
      <c r="E164" s="155">
        <v>86594.311561361523</v>
      </c>
      <c r="F164" s="94"/>
      <c r="G164" s="28" t="s">
        <v>272</v>
      </c>
      <c r="H164" s="28">
        <f t="shared" si="7"/>
        <v>4</v>
      </c>
      <c r="J164" s="157"/>
    </row>
    <row r="165" spans="1:10" x14ac:dyDescent="0.25">
      <c r="A165" s="28">
        <f t="shared" si="6"/>
        <v>5</v>
      </c>
      <c r="B165" s="32" t="s">
        <v>126</v>
      </c>
      <c r="C165" s="28"/>
      <c r="D165" s="28"/>
      <c r="E165" s="119">
        <v>214262.5076566372</v>
      </c>
      <c r="F165" s="94"/>
      <c r="G165" s="28" t="s">
        <v>273</v>
      </c>
      <c r="H165" s="28">
        <f t="shared" si="7"/>
        <v>5</v>
      </c>
    </row>
    <row r="166" spans="1:10" x14ac:dyDescent="0.25">
      <c r="A166" s="28">
        <f t="shared" si="6"/>
        <v>6</v>
      </c>
      <c r="B166" s="32" t="s">
        <v>181</v>
      </c>
      <c r="E166" s="144">
        <f>SUM(E162:E165)</f>
        <v>6967894.6315934043</v>
      </c>
      <c r="F166" s="114"/>
      <c r="G166" s="28" t="s">
        <v>129</v>
      </c>
      <c r="H166" s="28">
        <f t="shared" si="7"/>
        <v>6</v>
      </c>
      <c r="I166" s="156"/>
    </row>
    <row r="167" spans="1:10" x14ac:dyDescent="0.25">
      <c r="A167" s="28">
        <f t="shared" si="6"/>
        <v>7</v>
      </c>
      <c r="C167" s="28"/>
      <c r="D167" s="28"/>
      <c r="E167" s="100"/>
      <c r="G167" s="28"/>
      <c r="H167" s="28">
        <f t="shared" si="7"/>
        <v>7</v>
      </c>
    </row>
    <row r="168" spans="1:10" x14ac:dyDescent="0.25">
      <c r="A168" s="28">
        <f t="shared" si="6"/>
        <v>8</v>
      </c>
      <c r="B168" s="93" t="s">
        <v>182</v>
      </c>
      <c r="E168" s="100"/>
      <c r="G168" s="28"/>
      <c r="H168" s="28">
        <f t="shared" si="7"/>
        <v>8</v>
      </c>
    </row>
    <row r="169" spans="1:10" x14ac:dyDescent="0.25">
      <c r="A169" s="28">
        <f t="shared" si="6"/>
        <v>9</v>
      </c>
      <c r="B169" s="27" t="s">
        <v>183</v>
      </c>
      <c r="E169" s="125">
        <v>1386289.2768323075</v>
      </c>
      <c r="F169" s="114"/>
      <c r="G169" s="28" t="s">
        <v>274</v>
      </c>
      <c r="H169" s="28">
        <f t="shared" si="7"/>
        <v>9</v>
      </c>
    </row>
    <row r="170" spans="1:10" x14ac:dyDescent="0.25">
      <c r="A170" s="28">
        <f t="shared" si="6"/>
        <v>10</v>
      </c>
      <c r="B170" s="27" t="s">
        <v>185</v>
      </c>
      <c r="E170" s="155">
        <v>28441.990363603276</v>
      </c>
      <c r="F170" s="114"/>
      <c r="G170" s="28" t="s">
        <v>275</v>
      </c>
      <c r="H170" s="28">
        <f t="shared" si="7"/>
        <v>10</v>
      </c>
    </row>
    <row r="171" spans="1:10" x14ac:dyDescent="0.25">
      <c r="A171" s="28">
        <f t="shared" si="6"/>
        <v>11</v>
      </c>
      <c r="B171" s="27" t="s">
        <v>187</v>
      </c>
      <c r="E171" s="155">
        <v>35374.192307277262</v>
      </c>
      <c r="F171" s="94"/>
      <c r="G171" s="28" t="s">
        <v>276</v>
      </c>
      <c r="H171" s="28">
        <f t="shared" si="7"/>
        <v>11</v>
      </c>
    </row>
    <row r="172" spans="1:10" x14ac:dyDescent="0.25">
      <c r="A172" s="28">
        <f t="shared" si="6"/>
        <v>12</v>
      </c>
      <c r="B172" s="27" t="s">
        <v>189</v>
      </c>
      <c r="E172" s="119">
        <v>106512.53238466283</v>
      </c>
      <c r="F172" s="94"/>
      <c r="G172" s="28" t="s">
        <v>277</v>
      </c>
      <c r="H172" s="28">
        <f t="shared" si="7"/>
        <v>12</v>
      </c>
    </row>
    <row r="173" spans="1:10" x14ac:dyDescent="0.25">
      <c r="A173" s="28">
        <f t="shared" si="6"/>
        <v>13</v>
      </c>
      <c r="B173" s="156" t="s">
        <v>191</v>
      </c>
      <c r="C173" s="156"/>
      <c r="D173" s="156"/>
      <c r="E173" s="158">
        <f>SUM(E169:E172)</f>
        <v>1556617.9918878509</v>
      </c>
      <c r="F173" s="114"/>
      <c r="G173" s="28" t="s">
        <v>192</v>
      </c>
      <c r="H173" s="28">
        <f t="shared" si="7"/>
        <v>13</v>
      </c>
    </row>
    <row r="174" spans="1:10" x14ac:dyDescent="0.25">
      <c r="A174" s="28">
        <f t="shared" si="6"/>
        <v>14</v>
      </c>
      <c r="B174" s="156"/>
      <c r="C174" s="156"/>
      <c r="D174" s="156"/>
      <c r="E174" s="149"/>
      <c r="G174" s="28"/>
      <c r="H174" s="28">
        <f t="shared" si="7"/>
        <v>14</v>
      </c>
    </row>
    <row r="175" spans="1:10" x14ac:dyDescent="0.25">
      <c r="A175" s="28">
        <f t="shared" si="6"/>
        <v>15</v>
      </c>
      <c r="B175" s="140" t="s">
        <v>119</v>
      </c>
      <c r="C175" s="156"/>
      <c r="D175" s="156"/>
      <c r="E175" s="149"/>
      <c r="G175" s="28"/>
      <c r="H175" s="28">
        <f t="shared" si="7"/>
        <v>15</v>
      </c>
    </row>
    <row r="176" spans="1:10" x14ac:dyDescent="0.25">
      <c r="A176" s="28">
        <f t="shared" si="6"/>
        <v>16</v>
      </c>
      <c r="B176" s="32" t="s">
        <v>120</v>
      </c>
      <c r="E176" s="52">
        <f>+E162-E169</f>
        <v>5246121.1315707676</v>
      </c>
      <c r="F176" s="114"/>
      <c r="G176" s="28" t="s">
        <v>250</v>
      </c>
      <c r="H176" s="28">
        <f t="shared" si="7"/>
        <v>16</v>
      </c>
    </row>
    <row r="177" spans="1:8" x14ac:dyDescent="0.25">
      <c r="A177" s="28">
        <f t="shared" si="6"/>
        <v>17</v>
      </c>
      <c r="B177" s="32" t="s">
        <v>122</v>
      </c>
      <c r="E177" s="118">
        <f>+E163-E170</f>
        <v>6185.413608726165</v>
      </c>
      <c r="F177" s="114"/>
      <c r="G177" s="28" t="s">
        <v>251</v>
      </c>
      <c r="H177" s="28">
        <f t="shared" si="7"/>
        <v>17</v>
      </c>
    </row>
    <row r="178" spans="1:8" x14ac:dyDescent="0.25">
      <c r="A178" s="28">
        <f t="shared" si="6"/>
        <v>18</v>
      </c>
      <c r="B178" s="32" t="s">
        <v>124</v>
      </c>
      <c r="E178" s="118">
        <f>+E164-E171</f>
        <v>51220.11925408426</v>
      </c>
      <c r="G178" s="28" t="s">
        <v>252</v>
      </c>
      <c r="H178" s="28">
        <f t="shared" si="7"/>
        <v>18</v>
      </c>
    </row>
    <row r="179" spans="1:8" x14ac:dyDescent="0.25">
      <c r="A179" s="28">
        <f t="shared" si="6"/>
        <v>19</v>
      </c>
      <c r="B179" s="32" t="s">
        <v>126</v>
      </c>
      <c r="E179" s="159">
        <f>+E165-E172</f>
        <v>107749.97527197437</v>
      </c>
      <c r="G179" s="28" t="s">
        <v>253</v>
      </c>
      <c r="H179" s="28">
        <f t="shared" si="7"/>
        <v>19</v>
      </c>
    </row>
    <row r="180" spans="1:8" ht="16.5" thickBot="1" x14ac:dyDescent="0.3">
      <c r="A180" s="28">
        <f t="shared" si="6"/>
        <v>20</v>
      </c>
      <c r="B180" s="27" t="s">
        <v>128</v>
      </c>
      <c r="E180" s="160">
        <f>SUM(E176:E179)</f>
        <v>5411276.6397055527</v>
      </c>
      <c r="F180" s="114"/>
      <c r="G180" s="28" t="s">
        <v>197</v>
      </c>
      <c r="H180" s="28">
        <f t="shared" si="7"/>
        <v>20</v>
      </c>
    </row>
    <row r="181" spans="1:8" ht="16.5" thickTop="1" x14ac:dyDescent="0.25">
      <c r="A181" s="28">
        <f t="shared" si="6"/>
        <v>21</v>
      </c>
      <c r="E181" s="52"/>
      <c r="G181" s="28"/>
      <c r="H181" s="28">
        <f t="shared" si="7"/>
        <v>21</v>
      </c>
    </row>
    <row r="182" spans="1:8" ht="18.75" x14ac:dyDescent="0.25">
      <c r="A182" s="28">
        <f t="shared" si="6"/>
        <v>22</v>
      </c>
      <c r="B182" s="44" t="s">
        <v>198</v>
      </c>
      <c r="E182" s="52"/>
      <c r="G182" s="28"/>
      <c r="H182" s="28">
        <f t="shared" si="7"/>
        <v>22</v>
      </c>
    </row>
    <row r="183" spans="1:8" x14ac:dyDescent="0.25">
      <c r="A183" s="28">
        <f t="shared" si="6"/>
        <v>23</v>
      </c>
      <c r="B183" s="32" t="s">
        <v>199</v>
      </c>
      <c r="E183" s="133">
        <v>0</v>
      </c>
      <c r="G183" s="28" t="s">
        <v>254</v>
      </c>
      <c r="H183" s="28">
        <f t="shared" si="7"/>
        <v>23</v>
      </c>
    </row>
    <row r="184" spans="1:8" x14ac:dyDescent="0.25">
      <c r="A184" s="28">
        <f t="shared" si="6"/>
        <v>24</v>
      </c>
      <c r="B184" s="27" t="s">
        <v>201</v>
      </c>
      <c r="E184" s="128">
        <v>0</v>
      </c>
      <c r="G184" s="28" t="s">
        <v>255</v>
      </c>
      <c r="H184" s="28">
        <f t="shared" si="7"/>
        <v>24</v>
      </c>
    </row>
    <row r="185" spans="1:8" ht="16.5" thickBot="1" x14ac:dyDescent="0.3">
      <c r="A185" s="28">
        <f t="shared" si="6"/>
        <v>25</v>
      </c>
      <c r="B185" s="32" t="s">
        <v>203</v>
      </c>
      <c r="E185" s="161">
        <f>E183-E184</f>
        <v>0</v>
      </c>
      <c r="G185" s="28" t="s">
        <v>204</v>
      </c>
      <c r="H185" s="28">
        <f t="shared" si="7"/>
        <v>25</v>
      </c>
    </row>
    <row r="186" spans="1:8" ht="16.5" thickTop="1" x14ac:dyDescent="0.25">
      <c r="A186" s="28"/>
      <c r="B186" s="32"/>
      <c r="E186" s="52"/>
      <c r="G186" s="28"/>
    </row>
    <row r="187" spans="1:8" ht="18.75" x14ac:dyDescent="0.25">
      <c r="A187" s="43">
        <v>1</v>
      </c>
      <c r="B187" s="27" t="s">
        <v>205</v>
      </c>
      <c r="E187" s="52"/>
      <c r="G187" s="28"/>
    </row>
    <row r="193" spans="5:5" x14ac:dyDescent="0.25">
      <c r="E193" s="162"/>
    </row>
  </sheetData>
  <mergeCells count="20">
    <mergeCell ref="B46:G46"/>
    <mergeCell ref="B3:G3"/>
    <mergeCell ref="B4:G4"/>
    <mergeCell ref="B5:G5"/>
    <mergeCell ref="B6:G6"/>
    <mergeCell ref="B7:G7"/>
    <mergeCell ref="B155:G155"/>
    <mergeCell ref="B156:G156"/>
    <mergeCell ref="B154:G154"/>
    <mergeCell ref="B47:G47"/>
    <mergeCell ref="B48:G48"/>
    <mergeCell ref="B49:G49"/>
    <mergeCell ref="B50:G50"/>
    <mergeCell ref="B100:G100"/>
    <mergeCell ref="B101:G101"/>
    <mergeCell ref="B102:G102"/>
    <mergeCell ref="B103:G103"/>
    <mergeCell ref="B104:G104"/>
    <mergeCell ref="B152:G152"/>
    <mergeCell ref="B153:G153"/>
  </mergeCells>
  <printOptions horizontalCentered="1"/>
  <pageMargins left="0.25" right="0.25" top="0.5" bottom="0.5" header="0.35" footer="0.25"/>
  <pageSetup scale="55" orientation="portrait" r:id="rId1"/>
  <headerFooter scaleWithDoc="0" alignWithMargins="0">
    <oddHeader>&amp;C&amp;"Times New Roman,Bold"&amp;7ORIG. FILING TO5 C4 (ER22-527)</oddHeader>
    <oddFooter>&amp;L&amp;A&amp;CPage 5.&amp;P&amp;R&amp;F</oddFooter>
  </headerFooter>
  <rowBreaks count="3" manualBreakCount="3">
    <brk id="44" max="16383" man="1"/>
    <brk id="98" max="16383" man="1"/>
    <brk id="15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10EAC-3BE1-4804-A718-C855C601C99F}">
  <sheetPr>
    <pageSetUpPr fitToPage="1"/>
  </sheetPr>
  <dimension ref="A1:J68"/>
  <sheetViews>
    <sheetView zoomScale="80" zoomScaleNormal="80" workbookViewId="0"/>
  </sheetViews>
  <sheetFormatPr defaultColWidth="8.7109375" defaultRowHeight="15.75" x14ac:dyDescent="0.25"/>
  <cols>
    <col min="1" max="1" width="5.28515625" style="165" bestFit="1" customWidth="1"/>
    <col min="2" max="2" width="78.42578125" style="304" customWidth="1"/>
    <col min="3" max="3" width="21.28515625" style="304" customWidth="1"/>
    <col min="4" max="4" width="1.5703125" style="304" customWidth="1"/>
    <col min="5" max="5" width="16.7109375" style="304" customWidth="1"/>
    <col min="6" max="6" width="1.5703125" style="304" customWidth="1"/>
    <col min="7" max="7" width="59.42578125" style="304" customWidth="1"/>
    <col min="8" max="8" width="5.28515625" style="304" customWidth="1"/>
    <col min="9" max="9" width="8.7109375" style="304"/>
    <col min="10" max="10" width="20.42578125" style="304" bestFit="1" customWidth="1"/>
    <col min="11" max="16384" width="8.7109375" style="304"/>
  </cols>
  <sheetData>
    <row r="1" spans="1:8" x14ac:dyDescent="0.25">
      <c r="G1" s="165"/>
      <c r="H1" s="165"/>
    </row>
    <row r="2" spans="1:8" x14ac:dyDescent="0.25">
      <c r="B2" s="575" t="s">
        <v>206</v>
      </c>
      <c r="C2" s="575"/>
      <c r="D2" s="575"/>
      <c r="E2" s="575"/>
      <c r="F2" s="575"/>
      <c r="G2" s="575"/>
      <c r="H2" s="165"/>
    </row>
    <row r="3" spans="1:8" x14ac:dyDescent="0.25">
      <c r="B3" s="575" t="s">
        <v>297</v>
      </c>
      <c r="C3" s="575"/>
      <c r="D3" s="575"/>
      <c r="E3" s="575"/>
      <c r="F3" s="575"/>
      <c r="G3" s="575"/>
      <c r="H3" s="165"/>
    </row>
    <row r="4" spans="1:8" x14ac:dyDescent="0.25">
      <c r="B4" s="575" t="s">
        <v>298</v>
      </c>
      <c r="C4" s="575"/>
      <c r="D4" s="575"/>
      <c r="E4" s="575"/>
      <c r="F4" s="575"/>
      <c r="G4" s="575"/>
      <c r="H4" s="165"/>
    </row>
    <row r="5" spans="1:8" x14ac:dyDescent="0.25">
      <c r="B5" s="576" t="s">
        <v>285</v>
      </c>
      <c r="C5" s="576"/>
      <c r="D5" s="576"/>
      <c r="E5" s="576"/>
      <c r="F5" s="576"/>
      <c r="G5" s="576"/>
      <c r="H5" s="165"/>
    </row>
    <row r="6" spans="1:8" x14ac:dyDescent="0.25">
      <c r="B6" s="577" t="s">
        <v>2</v>
      </c>
      <c r="C6" s="578"/>
      <c r="D6" s="578"/>
      <c r="E6" s="578"/>
      <c r="F6" s="578"/>
      <c r="G6" s="578"/>
      <c r="H6" s="165"/>
    </row>
    <row r="7" spans="1:8" x14ac:dyDescent="0.25">
      <c r="B7" s="165"/>
      <c r="C7" s="165"/>
      <c r="D7" s="165"/>
      <c r="E7" s="166"/>
      <c r="F7" s="166"/>
      <c r="G7" s="165"/>
      <c r="H7" s="165"/>
    </row>
    <row r="8" spans="1:8" x14ac:dyDescent="0.25">
      <c r="A8" s="165" t="s">
        <v>3</v>
      </c>
      <c r="B8" s="266"/>
      <c r="C8" s="165" t="s">
        <v>286</v>
      </c>
      <c r="D8" s="266"/>
      <c r="E8" s="398"/>
      <c r="F8" s="398"/>
      <c r="G8" s="165"/>
      <c r="H8" s="165" t="s">
        <v>3</v>
      </c>
    </row>
    <row r="9" spans="1:8" x14ac:dyDescent="0.25">
      <c r="A9" s="165" t="s">
        <v>7</v>
      </c>
      <c r="C9" s="167" t="s">
        <v>289</v>
      </c>
      <c r="D9" s="266"/>
      <c r="E9" s="168" t="s">
        <v>5</v>
      </c>
      <c r="F9" s="398"/>
      <c r="G9" s="167" t="s">
        <v>6</v>
      </c>
      <c r="H9" s="165" t="s">
        <v>7</v>
      </c>
    </row>
    <row r="10" spans="1:8" x14ac:dyDescent="0.25">
      <c r="C10" s="266"/>
      <c r="D10" s="266"/>
      <c r="E10" s="398"/>
      <c r="F10" s="398"/>
      <c r="G10" s="165"/>
      <c r="H10" s="165"/>
    </row>
    <row r="11" spans="1:8" x14ac:dyDescent="0.25">
      <c r="A11" s="165">
        <v>1</v>
      </c>
      <c r="B11" s="169" t="s">
        <v>299</v>
      </c>
      <c r="G11" s="165"/>
      <c r="H11" s="165">
        <f>A11</f>
        <v>1</v>
      </c>
    </row>
    <row r="12" spans="1:8" x14ac:dyDescent="0.25">
      <c r="A12" s="165">
        <f>+A11+1</f>
        <v>2</v>
      </c>
      <c r="B12" s="304" t="s">
        <v>300</v>
      </c>
      <c r="C12" s="165" t="s">
        <v>301</v>
      </c>
      <c r="E12" s="399">
        <v>99751.976999999999</v>
      </c>
      <c r="G12" s="165" t="s">
        <v>302</v>
      </c>
      <c r="H12" s="165">
        <f t="shared" ref="H12:H49" si="0">+H11+1</f>
        <v>2</v>
      </c>
    </row>
    <row r="13" spans="1:8" x14ac:dyDescent="0.25">
      <c r="A13" s="165">
        <f t="shared" ref="A13:A62" si="1">+A12+1</f>
        <v>3</v>
      </c>
      <c r="B13" s="170" t="s">
        <v>303</v>
      </c>
      <c r="E13" s="400"/>
      <c r="G13" s="165"/>
      <c r="H13" s="165">
        <f t="shared" si="0"/>
        <v>3</v>
      </c>
    </row>
    <row r="14" spans="1:8" x14ac:dyDescent="0.25">
      <c r="A14" s="165">
        <f t="shared" si="1"/>
        <v>4</v>
      </c>
      <c r="B14" s="304" t="s">
        <v>304</v>
      </c>
      <c r="C14" s="171"/>
      <c r="E14" s="172">
        <v>-5200.3239999999996</v>
      </c>
      <c r="G14" s="165" t="s">
        <v>305</v>
      </c>
      <c r="H14" s="165">
        <f t="shared" si="0"/>
        <v>4</v>
      </c>
    </row>
    <row r="15" spans="1:8" x14ac:dyDescent="0.25">
      <c r="A15" s="165">
        <f t="shared" si="1"/>
        <v>5</v>
      </c>
      <c r="B15" s="304" t="s">
        <v>306</v>
      </c>
      <c r="E15" s="172">
        <v>-2469.29151</v>
      </c>
      <c r="G15" s="165" t="s">
        <v>307</v>
      </c>
      <c r="H15" s="165">
        <f t="shared" si="0"/>
        <v>5</v>
      </c>
    </row>
    <row r="16" spans="1:8" x14ac:dyDescent="0.25">
      <c r="A16" s="165">
        <f t="shared" si="1"/>
        <v>6</v>
      </c>
      <c r="B16" s="304" t="s">
        <v>308</v>
      </c>
      <c r="E16" s="172">
        <v>0</v>
      </c>
      <c r="G16" s="165" t="s">
        <v>309</v>
      </c>
      <c r="H16" s="165">
        <f t="shared" si="0"/>
        <v>6</v>
      </c>
    </row>
    <row r="17" spans="1:10" x14ac:dyDescent="0.25">
      <c r="A17" s="165">
        <f t="shared" si="1"/>
        <v>7</v>
      </c>
      <c r="B17" s="304" t="s">
        <v>310</v>
      </c>
      <c r="E17" s="172">
        <v>-325.87329000000057</v>
      </c>
      <c r="G17" s="165" t="s">
        <v>311</v>
      </c>
      <c r="H17" s="165">
        <f t="shared" si="0"/>
        <v>7</v>
      </c>
    </row>
    <row r="18" spans="1:10" x14ac:dyDescent="0.25">
      <c r="A18" s="165">
        <f t="shared" si="1"/>
        <v>8</v>
      </c>
      <c r="B18" s="304" t="s">
        <v>312</v>
      </c>
      <c r="E18" s="401">
        <v>3779.0528193559999</v>
      </c>
      <c r="G18" s="175" t="s">
        <v>313</v>
      </c>
      <c r="H18" s="165">
        <f t="shared" si="0"/>
        <v>8</v>
      </c>
    </row>
    <row r="19" spans="1:10" x14ac:dyDescent="0.25">
      <c r="A19" s="165">
        <f t="shared" si="1"/>
        <v>9</v>
      </c>
      <c r="B19" s="304" t="s">
        <v>314</v>
      </c>
      <c r="E19" s="193">
        <f>SUM(E12:E18)</f>
        <v>95535.541019356009</v>
      </c>
      <c r="G19" s="111" t="s">
        <v>315</v>
      </c>
      <c r="H19" s="165">
        <f t="shared" si="0"/>
        <v>9</v>
      </c>
    </row>
    <row r="20" spans="1:10" x14ac:dyDescent="0.25">
      <c r="A20" s="165">
        <f t="shared" si="1"/>
        <v>10</v>
      </c>
      <c r="E20" s="174"/>
      <c r="H20" s="165">
        <f t="shared" si="0"/>
        <v>10</v>
      </c>
    </row>
    <row r="21" spans="1:10" x14ac:dyDescent="0.25">
      <c r="A21" s="165">
        <f t="shared" si="1"/>
        <v>11</v>
      </c>
      <c r="B21" s="402" t="s">
        <v>316</v>
      </c>
      <c r="E21" s="403"/>
      <c r="G21" s="165"/>
      <c r="H21" s="165">
        <f t="shared" si="0"/>
        <v>11</v>
      </c>
    </row>
    <row r="22" spans="1:10" x14ac:dyDescent="0.25">
      <c r="A22" s="165">
        <f t="shared" si="1"/>
        <v>12</v>
      </c>
      <c r="B22" s="170" t="s">
        <v>317</v>
      </c>
      <c r="C22" s="165" t="s">
        <v>318</v>
      </c>
      <c r="E22" s="399">
        <f>'Pg6.2 Rev AH-2'!D29</f>
        <v>594949.38299999991</v>
      </c>
      <c r="G22" s="165" t="s">
        <v>319</v>
      </c>
      <c r="H22" s="165">
        <f t="shared" si="0"/>
        <v>12</v>
      </c>
    </row>
    <row r="23" spans="1:10" x14ac:dyDescent="0.25">
      <c r="A23" s="165">
        <f t="shared" si="1"/>
        <v>13</v>
      </c>
      <c r="B23" s="170" t="s">
        <v>320</v>
      </c>
      <c r="E23" s="403" t="s">
        <v>21</v>
      </c>
      <c r="G23" s="165"/>
      <c r="H23" s="165">
        <f t="shared" si="0"/>
        <v>13</v>
      </c>
    </row>
    <row r="24" spans="1:10" x14ac:dyDescent="0.25">
      <c r="A24" s="165">
        <f t="shared" si="1"/>
        <v>14</v>
      </c>
      <c r="B24" s="170" t="s">
        <v>321</v>
      </c>
      <c r="E24" s="172">
        <f>-'Pg6.2 Rev AH-2'!D68</f>
        <v>-2360.71747</v>
      </c>
      <c r="G24" s="165" t="s">
        <v>322</v>
      </c>
      <c r="H24" s="165">
        <f t="shared" si="0"/>
        <v>14</v>
      </c>
    </row>
    <row r="25" spans="1:10" x14ac:dyDescent="0.25">
      <c r="A25" s="165">
        <f t="shared" si="1"/>
        <v>15</v>
      </c>
      <c r="B25" s="170" t="s">
        <v>323</v>
      </c>
      <c r="E25" s="172">
        <f>-('Pg6.2 Rev AH-2'!D33+'Pg6.2 Rev AH-2'!D37+'Pg6.2 Rev AH-2'!D44+'Pg6.2 Rev AH-2'!D52+'Pg6.2 Rev AH-2'!D56+'Pg6.2 Rev AH-2'!D62+'Pg6.2 Rev AH-2'!D72)</f>
        <v>555.40800073999958</v>
      </c>
      <c r="G25" s="175" t="s">
        <v>324</v>
      </c>
      <c r="H25" s="165">
        <f t="shared" si="0"/>
        <v>15</v>
      </c>
      <c r="I25" s="404"/>
      <c r="J25" s="176"/>
    </row>
    <row r="26" spans="1:10" ht="18.75" x14ac:dyDescent="0.25">
      <c r="A26" s="165">
        <f t="shared" si="1"/>
        <v>16</v>
      </c>
      <c r="B26" s="170" t="s">
        <v>325</v>
      </c>
      <c r="E26" s="172">
        <f>-'Pg6.2 Rev AH-2'!D64</f>
        <v>0</v>
      </c>
      <c r="G26" s="165" t="s">
        <v>326</v>
      </c>
      <c r="H26" s="165">
        <f t="shared" si="0"/>
        <v>16</v>
      </c>
      <c r="I26" s="404"/>
      <c r="J26" s="177"/>
    </row>
    <row r="27" spans="1:10" x14ac:dyDescent="0.25">
      <c r="A27" s="165">
        <f t="shared" si="1"/>
        <v>17</v>
      </c>
      <c r="B27" s="170" t="s">
        <v>327</v>
      </c>
      <c r="E27" s="172">
        <f>-'Pg6.2 Rev AH-2'!D65</f>
        <v>-2085.1866</v>
      </c>
      <c r="G27" s="165" t="s">
        <v>328</v>
      </c>
      <c r="H27" s="165">
        <f t="shared" si="0"/>
        <v>17</v>
      </c>
    </row>
    <row r="28" spans="1:10" x14ac:dyDescent="0.25">
      <c r="A28" s="165">
        <f t="shared" si="1"/>
        <v>18</v>
      </c>
      <c r="B28" s="170" t="s">
        <v>329</v>
      </c>
      <c r="E28" s="172">
        <f>-'Pg6.2 Rev AH-2'!D61</f>
        <v>-13015.817289999999</v>
      </c>
      <c r="G28" s="165" t="s">
        <v>330</v>
      </c>
      <c r="H28" s="165">
        <f t="shared" si="0"/>
        <v>18</v>
      </c>
      <c r="J28" s="176"/>
    </row>
    <row r="29" spans="1:10" x14ac:dyDescent="0.25">
      <c r="A29" s="165">
        <f t="shared" si="1"/>
        <v>19</v>
      </c>
      <c r="B29" s="170" t="s">
        <v>331</v>
      </c>
      <c r="E29" s="172">
        <v>0</v>
      </c>
      <c r="G29" s="297" t="s">
        <v>332</v>
      </c>
      <c r="H29" s="165">
        <f t="shared" si="0"/>
        <v>19</v>
      </c>
      <c r="I29" s="404"/>
      <c r="J29" s="176"/>
    </row>
    <row r="30" spans="1:10" x14ac:dyDescent="0.25">
      <c r="A30" s="165">
        <f t="shared" si="1"/>
        <v>20</v>
      </c>
      <c r="B30" s="170" t="s">
        <v>333</v>
      </c>
      <c r="E30" s="172">
        <f>-'Pg6.2 Rev AH-2'!E67</f>
        <v>204.155</v>
      </c>
      <c r="G30" s="175" t="s">
        <v>334</v>
      </c>
      <c r="H30" s="165">
        <f t="shared" si="0"/>
        <v>20</v>
      </c>
      <c r="I30" s="404"/>
    </row>
    <row r="31" spans="1:10" x14ac:dyDescent="0.25">
      <c r="A31" s="165">
        <f t="shared" si="1"/>
        <v>21</v>
      </c>
      <c r="B31" s="170" t="s">
        <v>335</v>
      </c>
      <c r="E31" s="172">
        <f>-'Pg6.2 Rev AH-2'!E60</f>
        <v>-130506.76528000001</v>
      </c>
      <c r="G31" s="165" t="s">
        <v>336</v>
      </c>
      <c r="H31" s="165">
        <f t="shared" si="0"/>
        <v>21</v>
      </c>
    </row>
    <row r="32" spans="1:10" x14ac:dyDescent="0.25">
      <c r="A32" s="165">
        <f t="shared" si="1"/>
        <v>22</v>
      </c>
      <c r="B32" s="170" t="s">
        <v>337</v>
      </c>
      <c r="E32" s="172">
        <f>-'Pg6.2 Rev AH-2'!D73</f>
        <v>-12.147468914000001</v>
      </c>
      <c r="G32" s="175" t="s">
        <v>338</v>
      </c>
      <c r="H32" s="165">
        <f t="shared" si="0"/>
        <v>22</v>
      </c>
    </row>
    <row r="33" spans="1:10" x14ac:dyDescent="0.25">
      <c r="A33" s="165">
        <f t="shared" si="1"/>
        <v>23</v>
      </c>
      <c r="B33" s="170" t="s">
        <v>339</v>
      </c>
      <c r="E33" s="172">
        <f>-'Pg6.2 Rev AH-2'!D63</f>
        <v>-40.544630000000005</v>
      </c>
      <c r="G33" s="175" t="s">
        <v>340</v>
      </c>
      <c r="H33" s="165">
        <f t="shared" si="0"/>
        <v>23</v>
      </c>
      <c r="J33" s="176"/>
    </row>
    <row r="34" spans="1:10" ht="47.25" x14ac:dyDescent="0.25">
      <c r="A34" s="165">
        <f t="shared" si="1"/>
        <v>24</v>
      </c>
      <c r="B34" s="170" t="s">
        <v>341</v>
      </c>
      <c r="E34" s="172">
        <f>-('Pg6.2 Rev AH-2'!D34+'Pg6.2 Rev AH-2'!D35+'Pg6.2 Rev AH-2'!D38+'Pg6.2 Rev AH-2'!D39+'Pg6.2 Rev AH-2'!D45+'Pg6.2 Rev AH-2'!D46+'Pg6.2 Rev AH-2'!D47+'Pg6.2 Rev AH-2'!D48+'Pg6.2 Rev AH-2'!D49+'Pg6.2 Rev AH-2'!D53+'Pg6.2 Rev AH-2'!D54+'Pg6.2 Rev AH-2'!D57+'Pg6.2 Rev AH-2'!D58+'Pg6.2 Rev AH-2'!D66+'Pg6.2 Rev AH-2'!D70+'Pg6.2 Rev AH-2'!D71+'Pg6.2 Rev AH-2'!E42)</f>
        <v>-24673.96433250203</v>
      </c>
      <c r="G34" s="175" t="s">
        <v>342</v>
      </c>
      <c r="H34" s="165">
        <f t="shared" si="0"/>
        <v>24</v>
      </c>
    </row>
    <row r="35" spans="1:10" x14ac:dyDescent="0.25">
      <c r="A35" s="165">
        <f t="shared" si="1"/>
        <v>25</v>
      </c>
      <c r="B35" s="304" t="s">
        <v>724</v>
      </c>
      <c r="E35" s="172">
        <f>'Pg6.2 Rev AH-2'!H29</f>
        <v>-90.331999999999994</v>
      </c>
      <c r="F35" s="42"/>
      <c r="G35" s="165" t="s">
        <v>344</v>
      </c>
      <c r="H35" s="165">
        <f t="shared" si="0"/>
        <v>25</v>
      </c>
    </row>
    <row r="36" spans="1:10" x14ac:dyDescent="0.25">
      <c r="A36" s="165">
        <f t="shared" si="1"/>
        <v>26</v>
      </c>
      <c r="B36" s="513" t="s">
        <v>343</v>
      </c>
      <c r="E36" s="419">
        <f>'Pg6.2 Rev AH-2'!L29</f>
        <v>16552.13812</v>
      </c>
      <c r="F36" s="42" t="s">
        <v>33</v>
      </c>
      <c r="G36" s="165" t="s">
        <v>736</v>
      </c>
      <c r="H36" s="165">
        <f t="shared" si="0"/>
        <v>26</v>
      </c>
    </row>
    <row r="37" spans="1:10" x14ac:dyDescent="0.25">
      <c r="A37" s="165">
        <f t="shared" si="1"/>
        <v>27</v>
      </c>
      <c r="B37" s="170" t="s">
        <v>345</v>
      </c>
      <c r="E37" s="420">
        <f>SUM(E22:E36)</f>
        <v>439475.60904932383</v>
      </c>
      <c r="F37" s="42" t="s">
        <v>33</v>
      </c>
      <c r="G37" s="165" t="s">
        <v>346</v>
      </c>
      <c r="H37" s="165">
        <f t="shared" si="0"/>
        <v>27</v>
      </c>
      <c r="J37" s="177"/>
    </row>
    <row r="38" spans="1:10" x14ac:dyDescent="0.25">
      <c r="A38" s="165">
        <f t="shared" si="1"/>
        <v>28</v>
      </c>
      <c r="B38" s="170" t="s">
        <v>347</v>
      </c>
      <c r="E38" s="178">
        <f>-'Pg6.2 Rev AH-2'!F17</f>
        <v>-8310.402</v>
      </c>
      <c r="G38" s="165" t="s">
        <v>348</v>
      </c>
      <c r="H38" s="165">
        <f t="shared" si="0"/>
        <v>28</v>
      </c>
    </row>
    <row r="39" spans="1:10" x14ac:dyDescent="0.25">
      <c r="A39" s="165">
        <f t="shared" si="1"/>
        <v>29</v>
      </c>
      <c r="B39" s="170" t="s">
        <v>349</v>
      </c>
      <c r="E39" s="420">
        <f>SUM(E37:E38)</f>
        <v>431165.20704932383</v>
      </c>
      <c r="F39" s="42" t="s">
        <v>33</v>
      </c>
      <c r="G39" s="165" t="s">
        <v>350</v>
      </c>
      <c r="H39" s="165">
        <f t="shared" si="0"/>
        <v>29</v>
      </c>
    </row>
    <row r="40" spans="1:10" x14ac:dyDescent="0.25">
      <c r="A40" s="165">
        <f t="shared" si="1"/>
        <v>30</v>
      </c>
      <c r="B40" s="304" t="s">
        <v>291</v>
      </c>
      <c r="E40" s="405">
        <v>0.1880741793345351</v>
      </c>
      <c r="G40" s="111" t="s">
        <v>292</v>
      </c>
      <c r="H40" s="165">
        <f t="shared" si="0"/>
        <v>30</v>
      </c>
    </row>
    <row r="41" spans="1:10" x14ac:dyDescent="0.25">
      <c r="A41" s="165">
        <f t="shared" si="1"/>
        <v>31</v>
      </c>
      <c r="B41" s="170" t="s">
        <v>351</v>
      </c>
      <c r="E41" s="421">
        <f>ROUND(E39*E40,0)</f>
        <v>81091</v>
      </c>
      <c r="F41" s="42" t="s">
        <v>33</v>
      </c>
      <c r="G41" s="165" t="s">
        <v>352</v>
      </c>
      <c r="H41" s="165">
        <f t="shared" si="0"/>
        <v>31</v>
      </c>
    </row>
    <row r="42" spans="1:10" x14ac:dyDescent="0.25">
      <c r="A42" s="165">
        <f t="shared" si="1"/>
        <v>32</v>
      </c>
      <c r="B42" s="304" t="s">
        <v>353</v>
      </c>
      <c r="E42" s="406">
        <f>ROUND(E62*(-E38),0)</f>
        <v>3373</v>
      </c>
      <c r="G42" s="165" t="s">
        <v>354</v>
      </c>
      <c r="H42" s="165">
        <f t="shared" si="0"/>
        <v>32</v>
      </c>
    </row>
    <row r="43" spans="1:10" ht="16.5" thickBot="1" x14ac:dyDescent="0.3">
      <c r="A43" s="165">
        <f t="shared" si="1"/>
        <v>33</v>
      </c>
      <c r="B43" s="170" t="s">
        <v>355</v>
      </c>
      <c r="E43" s="422">
        <f>E42+E41</f>
        <v>84464</v>
      </c>
      <c r="F43" s="42" t="s">
        <v>33</v>
      </c>
      <c r="G43" s="165" t="s">
        <v>356</v>
      </c>
      <c r="H43" s="165">
        <f t="shared" si="0"/>
        <v>33</v>
      </c>
      <c r="I43" s="170"/>
      <c r="J43" s="177"/>
    </row>
    <row r="44" spans="1:10" ht="16.5" thickTop="1" x14ac:dyDescent="0.25">
      <c r="A44" s="165">
        <f t="shared" si="1"/>
        <v>34</v>
      </c>
      <c r="B44" s="179"/>
      <c r="E44" s="407"/>
      <c r="G44" s="165"/>
      <c r="H44" s="165">
        <f t="shared" si="0"/>
        <v>34</v>
      </c>
    </row>
    <row r="45" spans="1:10" x14ac:dyDescent="0.25">
      <c r="A45" s="165">
        <f t="shared" si="1"/>
        <v>35</v>
      </c>
      <c r="B45" s="402" t="s">
        <v>357</v>
      </c>
      <c r="E45" s="408"/>
      <c r="G45" s="165"/>
      <c r="H45" s="165">
        <f t="shared" si="0"/>
        <v>35</v>
      </c>
    </row>
    <row r="46" spans="1:10" x14ac:dyDescent="0.25">
      <c r="A46" s="165">
        <f t="shared" si="1"/>
        <v>36</v>
      </c>
      <c r="B46" s="170" t="s">
        <v>358</v>
      </c>
      <c r="E46" s="113">
        <v>6632410.4084030753</v>
      </c>
      <c r="F46" s="42"/>
      <c r="G46" s="165" t="s">
        <v>380</v>
      </c>
      <c r="H46" s="165">
        <f t="shared" si="0"/>
        <v>36</v>
      </c>
    </row>
    <row r="47" spans="1:10" x14ac:dyDescent="0.25">
      <c r="A47" s="165">
        <f t="shared" si="1"/>
        <v>37</v>
      </c>
      <c r="B47" s="170" t="s">
        <v>122</v>
      </c>
      <c r="E47" s="409">
        <v>0</v>
      </c>
      <c r="G47" s="165" t="s">
        <v>227</v>
      </c>
      <c r="H47" s="165">
        <f t="shared" si="0"/>
        <v>37</v>
      </c>
    </row>
    <row r="48" spans="1:10" x14ac:dyDescent="0.25">
      <c r="A48" s="165">
        <f t="shared" si="1"/>
        <v>38</v>
      </c>
      <c r="B48" s="170" t="s">
        <v>124</v>
      </c>
      <c r="E48" s="410">
        <v>86594.311561361523</v>
      </c>
      <c r="F48" s="42"/>
      <c r="G48" s="165" t="s">
        <v>272</v>
      </c>
      <c r="H48" s="165">
        <f t="shared" si="0"/>
        <v>38</v>
      </c>
    </row>
    <row r="49" spans="1:9" x14ac:dyDescent="0.25">
      <c r="A49" s="165">
        <f t="shared" si="1"/>
        <v>39</v>
      </c>
      <c r="B49" s="170" t="s">
        <v>294</v>
      </c>
      <c r="E49" s="128">
        <v>214262.5076566372</v>
      </c>
      <c r="F49" s="42"/>
      <c r="G49" s="165" t="s">
        <v>273</v>
      </c>
      <c r="H49" s="165">
        <f t="shared" si="0"/>
        <v>39</v>
      </c>
    </row>
    <row r="50" spans="1:9" ht="16.5" thickBot="1" x14ac:dyDescent="0.3">
      <c r="A50" s="165">
        <f t="shared" si="1"/>
        <v>40</v>
      </c>
      <c r="B50" s="170" t="s">
        <v>359</v>
      </c>
      <c r="E50" s="412">
        <f>SUM(E46:E49)</f>
        <v>6933267.2276210748</v>
      </c>
      <c r="F50" s="42"/>
      <c r="G50" s="165" t="s">
        <v>360</v>
      </c>
      <c r="H50" s="165">
        <f>+H49+1</f>
        <v>40</v>
      </c>
      <c r="I50" s="413"/>
    </row>
    <row r="51" spans="1:9" ht="16.5" thickTop="1" x14ac:dyDescent="0.25">
      <c r="A51" s="165">
        <f t="shared" si="1"/>
        <v>41</v>
      </c>
      <c r="B51" s="179"/>
      <c r="E51" s="526"/>
      <c r="G51" s="165"/>
      <c r="H51" s="165">
        <f>+H50+1</f>
        <v>41</v>
      </c>
    </row>
    <row r="52" spans="1:9" x14ac:dyDescent="0.25">
      <c r="A52" s="165">
        <f t="shared" si="1"/>
        <v>42</v>
      </c>
      <c r="B52" s="170" t="s">
        <v>293</v>
      </c>
      <c r="E52" s="180">
        <f>E46</f>
        <v>6632410.4084030753</v>
      </c>
      <c r="F52" s="42"/>
      <c r="G52" s="414" t="s">
        <v>361</v>
      </c>
      <c r="H52" s="165">
        <f>+H51+1</f>
        <v>42</v>
      </c>
    </row>
    <row r="53" spans="1:9" x14ac:dyDescent="0.25">
      <c r="A53" s="165">
        <f t="shared" si="1"/>
        <v>43</v>
      </c>
      <c r="B53" s="170" t="s">
        <v>362</v>
      </c>
      <c r="E53" s="116">
        <v>557045.05025384598</v>
      </c>
      <c r="F53" s="42"/>
      <c r="G53" s="165" t="s">
        <v>383</v>
      </c>
      <c r="H53" s="165">
        <f t="shared" ref="H53:H60" si="2">+H52+1</f>
        <v>43</v>
      </c>
    </row>
    <row r="54" spans="1:9" x14ac:dyDescent="0.25">
      <c r="A54" s="165">
        <f t="shared" si="1"/>
        <v>44</v>
      </c>
      <c r="B54" s="170" t="s">
        <v>363</v>
      </c>
      <c r="E54" s="409">
        <v>0</v>
      </c>
      <c r="G54" s="165" t="s">
        <v>227</v>
      </c>
      <c r="H54" s="165">
        <f t="shared" si="2"/>
        <v>44</v>
      </c>
    </row>
    <row r="55" spans="1:9" x14ac:dyDescent="0.25">
      <c r="A55" s="165">
        <f t="shared" si="1"/>
        <v>45</v>
      </c>
      <c r="B55" s="170" t="s">
        <v>364</v>
      </c>
      <c r="E55" s="116">
        <v>529465.61728230771</v>
      </c>
      <c r="F55" s="42"/>
      <c r="G55" s="165" t="s">
        <v>384</v>
      </c>
      <c r="H55" s="165">
        <f t="shared" si="2"/>
        <v>45</v>
      </c>
    </row>
    <row r="56" spans="1:9" x14ac:dyDescent="0.25">
      <c r="A56" s="165">
        <f t="shared" si="1"/>
        <v>46</v>
      </c>
      <c r="B56" s="170" t="s">
        <v>365</v>
      </c>
      <c r="E56" s="116">
        <v>7761348.9741599998</v>
      </c>
      <c r="F56" s="42"/>
      <c r="G56" s="165" t="s">
        <v>385</v>
      </c>
      <c r="H56" s="165">
        <f t="shared" si="2"/>
        <v>46</v>
      </c>
    </row>
    <row r="57" spans="1:9" x14ac:dyDescent="0.25">
      <c r="A57" s="165">
        <f t="shared" si="1"/>
        <v>47</v>
      </c>
      <c r="B57" s="170" t="s">
        <v>122</v>
      </c>
      <c r="E57" s="409">
        <v>0</v>
      </c>
      <c r="G57" s="165" t="s">
        <v>227</v>
      </c>
      <c r="H57" s="165">
        <f t="shared" si="2"/>
        <v>47</v>
      </c>
    </row>
    <row r="58" spans="1:9" x14ac:dyDescent="0.25">
      <c r="A58" s="165">
        <f t="shared" si="1"/>
        <v>48</v>
      </c>
      <c r="B58" s="170" t="s">
        <v>366</v>
      </c>
      <c r="E58" s="116">
        <v>460426.36935999995</v>
      </c>
      <c r="F58" s="42"/>
      <c r="G58" s="165" t="s">
        <v>386</v>
      </c>
      <c r="H58" s="165">
        <f t="shared" si="2"/>
        <v>48</v>
      </c>
    </row>
    <row r="59" spans="1:9" x14ac:dyDescent="0.25">
      <c r="A59" s="165">
        <f t="shared" si="1"/>
        <v>49</v>
      </c>
      <c r="B59" s="170" t="s">
        <v>367</v>
      </c>
      <c r="E59" s="415">
        <v>1139244.6768331758</v>
      </c>
      <c r="F59" s="42"/>
      <c r="G59" s="165" t="s">
        <v>387</v>
      </c>
      <c r="H59" s="165">
        <f t="shared" si="2"/>
        <v>49</v>
      </c>
    </row>
    <row r="60" spans="1:9" ht="16.5" thickBot="1" x14ac:dyDescent="0.3">
      <c r="A60" s="165">
        <f t="shared" si="1"/>
        <v>50</v>
      </c>
      <c r="B60" s="170" t="s">
        <v>368</v>
      </c>
      <c r="E60" s="416">
        <f>SUM(E52:E59)</f>
        <v>17079941.096292403</v>
      </c>
      <c r="F60" s="42"/>
      <c r="G60" s="165" t="s">
        <v>369</v>
      </c>
      <c r="H60" s="165">
        <f t="shared" si="2"/>
        <v>50</v>
      </c>
      <c r="I60" s="413"/>
    </row>
    <row r="61" spans="1:9" ht="16.5" thickTop="1" x14ac:dyDescent="0.25">
      <c r="A61" s="165">
        <f t="shared" si="1"/>
        <v>51</v>
      </c>
      <c r="E61" s="181"/>
      <c r="G61" s="165"/>
      <c r="H61" s="165">
        <f>+H60+1</f>
        <v>51</v>
      </c>
    </row>
    <row r="62" spans="1:9" ht="16.5" thickBot="1" x14ac:dyDescent="0.3">
      <c r="A62" s="165">
        <f t="shared" si="1"/>
        <v>52</v>
      </c>
      <c r="B62" s="170" t="s">
        <v>370</v>
      </c>
      <c r="E62" s="417">
        <f>E50/E60</f>
        <v>0.40593039452144841</v>
      </c>
      <c r="F62" s="42"/>
      <c r="G62" s="165" t="s">
        <v>371</v>
      </c>
      <c r="H62" s="165">
        <f>+H61+1</f>
        <v>52</v>
      </c>
      <c r="I62" s="413"/>
    </row>
    <row r="63" spans="1:9" ht="16.5" thickTop="1" x14ac:dyDescent="0.25">
      <c r="B63" s="170" t="s">
        <v>21</v>
      </c>
      <c r="E63" s="418"/>
      <c r="G63" s="165"/>
      <c r="H63" s="165"/>
    </row>
    <row r="64" spans="1:9" x14ac:dyDescent="0.25">
      <c r="B64" s="170"/>
      <c r="E64" s="418"/>
      <c r="G64" s="165"/>
      <c r="H64" s="165"/>
    </row>
    <row r="65" spans="1:8" x14ac:dyDescent="0.25">
      <c r="A65" s="42" t="s">
        <v>33</v>
      </c>
      <c r="B65" s="12" t="s">
        <v>742</v>
      </c>
      <c r="E65" s="418"/>
      <c r="F65" s="418"/>
      <c r="G65" s="165"/>
      <c r="H65" s="165"/>
    </row>
    <row r="66" spans="1:8" x14ac:dyDescent="0.25">
      <c r="A66" s="42"/>
      <c r="B66" s="12" t="s">
        <v>739</v>
      </c>
      <c r="E66" s="418"/>
      <c r="F66" s="418"/>
      <c r="G66" s="165"/>
      <c r="H66" s="165"/>
    </row>
    <row r="67" spans="1:8" ht="18.75" x14ac:dyDescent="0.25">
      <c r="A67" s="182">
        <v>1</v>
      </c>
      <c r="B67" s="170" t="s">
        <v>372</v>
      </c>
      <c r="H67" s="165"/>
    </row>
    <row r="68" spans="1:8" x14ac:dyDescent="0.25">
      <c r="B68" s="170" t="s">
        <v>373</v>
      </c>
      <c r="E68" s="181"/>
      <c r="F68" s="181"/>
      <c r="G68" s="165"/>
      <c r="H68" s="165"/>
    </row>
  </sheetData>
  <mergeCells count="5">
    <mergeCell ref="B2:G2"/>
    <mergeCell ref="B3:G3"/>
    <mergeCell ref="B4:G4"/>
    <mergeCell ref="B5:G5"/>
    <mergeCell ref="B6:G6"/>
  </mergeCells>
  <printOptions horizontalCentered="1"/>
  <pageMargins left="0.25" right="0.25" top="0.5" bottom="0.25" header="0.35" footer="0.25"/>
  <pageSetup scale="53" orientation="portrait" horizontalDpi="200" verticalDpi="200" r:id="rId1"/>
  <headerFooter scaleWithDoc="0" alignWithMargins="0">
    <oddHeader>&amp;C&amp;"Times New Roman,Bold"&amp;8REVISED</oddHeader>
    <oddFooter>&amp;L&amp;A&amp;CPage 6&amp;R&amp;F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962F8-F763-498B-9DE5-CA0B5CCDDDDB}">
  <sheetPr>
    <pageSetUpPr fitToPage="1"/>
  </sheetPr>
  <dimension ref="A1:J67"/>
  <sheetViews>
    <sheetView zoomScale="80" zoomScaleNormal="80" workbookViewId="0"/>
  </sheetViews>
  <sheetFormatPr defaultColWidth="8.7109375" defaultRowHeight="15.75" x14ac:dyDescent="0.25"/>
  <cols>
    <col min="1" max="1" width="5.28515625" style="165" bestFit="1" customWidth="1"/>
    <col min="2" max="2" width="78.42578125" style="304" customWidth="1"/>
    <col min="3" max="3" width="21.28515625" style="304" customWidth="1"/>
    <col min="4" max="4" width="1.5703125" style="304" customWidth="1"/>
    <col min="5" max="5" width="16.7109375" style="304" customWidth="1"/>
    <col min="6" max="6" width="1.5703125" style="304" customWidth="1"/>
    <col min="7" max="7" width="42.7109375" style="304" customWidth="1"/>
    <col min="8" max="8" width="5.28515625" style="304" customWidth="1"/>
    <col min="9" max="9" width="8.7109375" style="304"/>
    <col min="10" max="10" width="20.42578125" style="304" bestFit="1" customWidth="1"/>
    <col min="11" max="16384" width="8.7109375" style="304"/>
  </cols>
  <sheetData>
    <row r="1" spans="1:8" x14ac:dyDescent="0.25">
      <c r="A1" s="486" t="s">
        <v>374</v>
      </c>
    </row>
    <row r="2" spans="1:8" x14ac:dyDescent="0.25">
      <c r="G2" s="165"/>
      <c r="H2" s="165"/>
    </row>
    <row r="3" spans="1:8" x14ac:dyDescent="0.25">
      <c r="B3" s="575" t="s">
        <v>206</v>
      </c>
      <c r="C3" s="575"/>
      <c r="D3" s="575"/>
      <c r="E3" s="575"/>
      <c r="F3" s="575"/>
      <c r="G3" s="575"/>
      <c r="H3" s="165"/>
    </row>
    <row r="4" spans="1:8" x14ac:dyDescent="0.25">
      <c r="B4" s="575" t="s">
        <v>297</v>
      </c>
      <c r="C4" s="575"/>
      <c r="D4" s="575"/>
      <c r="E4" s="575"/>
      <c r="F4" s="575"/>
      <c r="G4" s="575"/>
      <c r="H4" s="165"/>
    </row>
    <row r="5" spans="1:8" x14ac:dyDescent="0.25">
      <c r="B5" s="575" t="s">
        <v>298</v>
      </c>
      <c r="C5" s="575"/>
      <c r="D5" s="575"/>
      <c r="E5" s="575"/>
      <c r="F5" s="575"/>
      <c r="G5" s="575"/>
      <c r="H5" s="165"/>
    </row>
    <row r="6" spans="1:8" x14ac:dyDescent="0.25">
      <c r="B6" s="576" t="s">
        <v>285</v>
      </c>
      <c r="C6" s="576"/>
      <c r="D6" s="576"/>
      <c r="E6" s="576"/>
      <c r="F6" s="576"/>
      <c r="G6" s="576"/>
      <c r="H6" s="165"/>
    </row>
    <row r="7" spans="1:8" x14ac:dyDescent="0.25">
      <c r="B7" s="577" t="s">
        <v>2</v>
      </c>
      <c r="C7" s="578"/>
      <c r="D7" s="578"/>
      <c r="E7" s="578"/>
      <c r="F7" s="578"/>
      <c r="G7" s="578"/>
      <c r="H7" s="165"/>
    </row>
    <row r="8" spans="1:8" x14ac:dyDescent="0.25">
      <c r="B8" s="165"/>
      <c r="C8" s="165"/>
      <c r="D8" s="165"/>
      <c r="E8" s="166"/>
      <c r="F8" s="166"/>
      <c r="G8" s="165"/>
      <c r="H8" s="165"/>
    </row>
    <row r="9" spans="1:8" x14ac:dyDescent="0.25">
      <c r="A9" s="165" t="s">
        <v>3</v>
      </c>
      <c r="B9" s="266"/>
      <c r="C9" s="165" t="s">
        <v>286</v>
      </c>
      <c r="D9" s="266"/>
      <c r="E9" s="398"/>
      <c r="F9" s="398"/>
      <c r="G9" s="165"/>
      <c r="H9" s="165" t="s">
        <v>3</v>
      </c>
    </row>
    <row r="10" spans="1:8" x14ac:dyDescent="0.25">
      <c r="A10" s="165" t="s">
        <v>7</v>
      </c>
      <c r="C10" s="167" t="s">
        <v>289</v>
      </c>
      <c r="D10" s="266"/>
      <c r="E10" s="168" t="s">
        <v>5</v>
      </c>
      <c r="F10" s="398"/>
      <c r="G10" s="167" t="s">
        <v>6</v>
      </c>
      <c r="H10" s="165" t="s">
        <v>7</v>
      </c>
    </row>
    <row r="11" spans="1:8" x14ac:dyDescent="0.25">
      <c r="C11" s="266"/>
      <c r="D11" s="266"/>
      <c r="E11" s="398"/>
      <c r="F11" s="398"/>
      <c r="G11" s="165"/>
      <c r="H11" s="165"/>
    </row>
    <row r="12" spans="1:8" x14ac:dyDescent="0.25">
      <c r="A12" s="165">
        <v>1</v>
      </c>
      <c r="B12" s="169" t="s">
        <v>299</v>
      </c>
      <c r="G12" s="165"/>
      <c r="H12" s="165">
        <f>A12</f>
        <v>1</v>
      </c>
    </row>
    <row r="13" spans="1:8" x14ac:dyDescent="0.25">
      <c r="A13" s="165">
        <f>+A12+1</f>
        <v>2</v>
      </c>
      <c r="B13" s="304" t="s">
        <v>300</v>
      </c>
      <c r="C13" s="165" t="s">
        <v>301</v>
      </c>
      <c r="E13" s="399">
        <v>99751.976999999999</v>
      </c>
      <c r="G13" s="165" t="s">
        <v>302</v>
      </c>
      <c r="H13" s="165">
        <f t="shared" ref="H13:H49" si="0">+H12+1</f>
        <v>2</v>
      </c>
    </row>
    <row r="14" spans="1:8" x14ac:dyDescent="0.25">
      <c r="A14" s="165">
        <f t="shared" ref="A14:A62" si="1">+A13+1</f>
        <v>3</v>
      </c>
      <c r="B14" s="170" t="s">
        <v>303</v>
      </c>
      <c r="E14" s="400"/>
      <c r="G14" s="165"/>
      <c r="H14" s="165">
        <f t="shared" si="0"/>
        <v>3</v>
      </c>
    </row>
    <row r="15" spans="1:8" x14ac:dyDescent="0.25">
      <c r="A15" s="165">
        <f t="shared" si="1"/>
        <v>4</v>
      </c>
      <c r="B15" s="304" t="s">
        <v>304</v>
      </c>
      <c r="C15" s="171"/>
      <c r="E15" s="172">
        <v>-5200.3239999999996</v>
      </c>
      <c r="G15" s="165" t="s">
        <v>305</v>
      </c>
      <c r="H15" s="165">
        <f t="shared" si="0"/>
        <v>4</v>
      </c>
    </row>
    <row r="16" spans="1:8" x14ac:dyDescent="0.25">
      <c r="A16" s="165">
        <f t="shared" si="1"/>
        <v>5</v>
      </c>
      <c r="B16" s="304" t="s">
        <v>306</v>
      </c>
      <c r="E16" s="172">
        <v>-2469.29151</v>
      </c>
      <c r="G16" s="165" t="s">
        <v>307</v>
      </c>
      <c r="H16" s="165">
        <f t="shared" si="0"/>
        <v>5</v>
      </c>
    </row>
    <row r="17" spans="1:10" x14ac:dyDescent="0.25">
      <c r="A17" s="165">
        <f t="shared" si="1"/>
        <v>6</v>
      </c>
      <c r="B17" s="304" t="s">
        <v>308</v>
      </c>
      <c r="E17" s="172">
        <v>0</v>
      </c>
      <c r="G17" s="165" t="s">
        <v>309</v>
      </c>
      <c r="H17" s="165">
        <f t="shared" si="0"/>
        <v>6</v>
      </c>
    </row>
    <row r="18" spans="1:10" x14ac:dyDescent="0.25">
      <c r="A18" s="165">
        <f t="shared" si="1"/>
        <v>7</v>
      </c>
      <c r="B18" s="304" t="s">
        <v>310</v>
      </c>
      <c r="E18" s="172">
        <v>-325.87329000000057</v>
      </c>
      <c r="G18" s="165" t="s">
        <v>311</v>
      </c>
      <c r="H18" s="165">
        <f t="shared" si="0"/>
        <v>7</v>
      </c>
    </row>
    <row r="19" spans="1:10" ht="31.5" x14ac:dyDescent="0.25">
      <c r="A19" s="165">
        <f t="shared" si="1"/>
        <v>8</v>
      </c>
      <c r="B19" s="304" t="s">
        <v>312</v>
      </c>
      <c r="E19" s="401">
        <v>3779.0528193559999</v>
      </c>
      <c r="G19" s="175" t="s">
        <v>313</v>
      </c>
      <c r="H19" s="165">
        <f t="shared" si="0"/>
        <v>8</v>
      </c>
    </row>
    <row r="20" spans="1:10" x14ac:dyDescent="0.25">
      <c r="A20" s="165">
        <f t="shared" si="1"/>
        <v>9</v>
      </c>
      <c r="B20" s="304" t="s">
        <v>314</v>
      </c>
      <c r="E20" s="193">
        <f>SUM(E13:E19)</f>
        <v>95535.541019356009</v>
      </c>
      <c r="G20" s="111" t="s">
        <v>315</v>
      </c>
      <c r="H20" s="165">
        <f t="shared" si="0"/>
        <v>9</v>
      </c>
    </row>
    <row r="21" spans="1:10" x14ac:dyDescent="0.25">
      <c r="A21" s="165">
        <f t="shared" si="1"/>
        <v>10</v>
      </c>
      <c r="E21" s="174"/>
      <c r="H21" s="165">
        <f t="shared" si="0"/>
        <v>10</v>
      </c>
    </row>
    <row r="22" spans="1:10" x14ac:dyDescent="0.25">
      <c r="A22" s="165">
        <f t="shared" si="1"/>
        <v>11</v>
      </c>
      <c r="B22" s="402" t="s">
        <v>316</v>
      </c>
      <c r="E22" s="403"/>
      <c r="G22" s="165"/>
      <c r="H22" s="165">
        <f t="shared" si="0"/>
        <v>11</v>
      </c>
    </row>
    <row r="23" spans="1:10" x14ac:dyDescent="0.25">
      <c r="A23" s="165">
        <f t="shared" si="1"/>
        <v>12</v>
      </c>
      <c r="B23" s="170" t="s">
        <v>317</v>
      </c>
      <c r="C23" s="165" t="s">
        <v>318</v>
      </c>
      <c r="E23" s="399">
        <f>'Pg6.2 Rev AH-2'!D29</f>
        <v>594949.38299999991</v>
      </c>
      <c r="G23" s="165" t="s">
        <v>319</v>
      </c>
      <c r="H23" s="165">
        <f t="shared" si="0"/>
        <v>12</v>
      </c>
    </row>
    <row r="24" spans="1:10" x14ac:dyDescent="0.25">
      <c r="A24" s="165">
        <f t="shared" si="1"/>
        <v>13</v>
      </c>
      <c r="B24" s="170" t="s">
        <v>320</v>
      </c>
      <c r="E24" s="403" t="s">
        <v>21</v>
      </c>
      <c r="G24" s="165"/>
      <c r="H24" s="165">
        <f t="shared" si="0"/>
        <v>13</v>
      </c>
    </row>
    <row r="25" spans="1:10" x14ac:dyDescent="0.25">
      <c r="A25" s="165">
        <f t="shared" si="1"/>
        <v>14</v>
      </c>
      <c r="B25" s="170" t="s">
        <v>321</v>
      </c>
      <c r="E25" s="172">
        <f>-'Pg6.2 Rev AH-2'!D68</f>
        <v>-2360.71747</v>
      </c>
      <c r="G25" s="165" t="s">
        <v>322</v>
      </c>
      <c r="H25" s="165">
        <f t="shared" si="0"/>
        <v>14</v>
      </c>
    </row>
    <row r="26" spans="1:10" ht="31.5" x14ac:dyDescent="0.25">
      <c r="A26" s="165">
        <f t="shared" si="1"/>
        <v>15</v>
      </c>
      <c r="B26" s="170" t="s">
        <v>323</v>
      </c>
      <c r="E26" s="172">
        <f>-('Pg6.2 Rev AH-2'!D33+'Pg6.2 Rev AH-2'!D37+'Pg6.2 Rev AH-2'!D44+'Pg6.2 Rev AH-2'!D52+'Pg6.2 Rev AH-2'!D56+'Pg6.2 Rev AH-2'!D62+'Pg6.2 Rev AH-2'!D72)</f>
        <v>555.40800073999958</v>
      </c>
      <c r="G26" s="175" t="s">
        <v>324</v>
      </c>
      <c r="H26" s="165">
        <f t="shared" si="0"/>
        <v>15</v>
      </c>
      <c r="I26" s="404"/>
      <c r="J26" s="176"/>
    </row>
    <row r="27" spans="1:10" ht="18.75" x14ac:dyDescent="0.25">
      <c r="A27" s="165">
        <f t="shared" si="1"/>
        <v>16</v>
      </c>
      <c r="B27" s="170" t="s">
        <v>325</v>
      </c>
      <c r="E27" s="172">
        <f>-'Pg6.2 Rev AH-2'!D64</f>
        <v>0</v>
      </c>
      <c r="G27" s="165" t="s">
        <v>326</v>
      </c>
      <c r="H27" s="165">
        <f t="shared" si="0"/>
        <v>16</v>
      </c>
      <c r="I27" s="404"/>
      <c r="J27" s="177"/>
    </row>
    <row r="28" spans="1:10" x14ac:dyDescent="0.25">
      <c r="A28" s="165">
        <f t="shared" si="1"/>
        <v>17</v>
      </c>
      <c r="B28" s="170" t="s">
        <v>327</v>
      </c>
      <c r="E28" s="172">
        <f>-'Pg6.2 Rev AH-2'!D65</f>
        <v>-2085.1866</v>
      </c>
      <c r="G28" s="165" t="s">
        <v>328</v>
      </c>
      <c r="H28" s="165">
        <f t="shared" si="0"/>
        <v>17</v>
      </c>
    </row>
    <row r="29" spans="1:10" x14ac:dyDescent="0.25">
      <c r="A29" s="165">
        <f t="shared" si="1"/>
        <v>18</v>
      </c>
      <c r="B29" s="170" t="s">
        <v>329</v>
      </c>
      <c r="E29" s="172">
        <f>-'Pg6.2 Rev AH-2'!D61</f>
        <v>-13015.817289999999</v>
      </c>
      <c r="G29" s="165" t="s">
        <v>330</v>
      </c>
      <c r="H29" s="165">
        <f t="shared" si="0"/>
        <v>18</v>
      </c>
      <c r="J29" s="176"/>
    </row>
    <row r="30" spans="1:10" x14ac:dyDescent="0.25">
      <c r="A30" s="165">
        <f t="shared" si="1"/>
        <v>19</v>
      </c>
      <c r="B30" s="170" t="s">
        <v>331</v>
      </c>
      <c r="E30" s="172">
        <v>0</v>
      </c>
      <c r="G30" s="297" t="s">
        <v>332</v>
      </c>
      <c r="H30" s="165">
        <f t="shared" si="0"/>
        <v>19</v>
      </c>
      <c r="I30" s="404"/>
      <c r="J30" s="176"/>
    </row>
    <row r="31" spans="1:10" x14ac:dyDescent="0.25">
      <c r="A31" s="165">
        <f t="shared" si="1"/>
        <v>20</v>
      </c>
      <c r="B31" s="170" t="s">
        <v>333</v>
      </c>
      <c r="E31" s="172">
        <f>-'Pg6.2 Rev AH-2'!E67</f>
        <v>204.155</v>
      </c>
      <c r="G31" s="175" t="s">
        <v>334</v>
      </c>
      <c r="H31" s="165">
        <f t="shared" si="0"/>
        <v>20</v>
      </c>
      <c r="I31" s="404"/>
    </row>
    <row r="32" spans="1:10" x14ac:dyDescent="0.25">
      <c r="A32" s="165">
        <f t="shared" si="1"/>
        <v>21</v>
      </c>
      <c r="B32" s="170" t="s">
        <v>335</v>
      </c>
      <c r="E32" s="172">
        <f>-'Pg6.2 Rev AH-2'!E60</f>
        <v>-130506.76528000001</v>
      </c>
      <c r="G32" s="165" t="s">
        <v>336</v>
      </c>
      <c r="H32" s="165">
        <f t="shared" si="0"/>
        <v>21</v>
      </c>
    </row>
    <row r="33" spans="1:10" x14ac:dyDescent="0.25">
      <c r="A33" s="165">
        <f t="shared" si="1"/>
        <v>22</v>
      </c>
      <c r="B33" s="170" t="s">
        <v>337</v>
      </c>
      <c r="E33" s="172">
        <f>-'Pg6.2 Rev AH-2'!D73</f>
        <v>-12.147468914000001</v>
      </c>
      <c r="G33" s="175" t="s">
        <v>338</v>
      </c>
      <c r="H33" s="165">
        <f t="shared" si="0"/>
        <v>22</v>
      </c>
    </row>
    <row r="34" spans="1:10" x14ac:dyDescent="0.25">
      <c r="A34" s="165">
        <f t="shared" si="1"/>
        <v>23</v>
      </c>
      <c r="B34" s="170" t="s">
        <v>339</v>
      </c>
      <c r="E34" s="172">
        <f>-'Pg6.2 Rev AH-2'!D63</f>
        <v>-40.544630000000005</v>
      </c>
      <c r="G34" s="175" t="s">
        <v>340</v>
      </c>
      <c r="H34" s="165">
        <f t="shared" si="0"/>
        <v>23</v>
      </c>
      <c r="J34" s="176"/>
    </row>
    <row r="35" spans="1:10" ht="47.25" x14ac:dyDescent="0.25">
      <c r="A35" s="165">
        <f t="shared" si="1"/>
        <v>24</v>
      </c>
      <c r="B35" s="170" t="s">
        <v>341</v>
      </c>
      <c r="E35" s="172">
        <f>-('Pg6.2 Rev AH-2'!D34+'Pg6.2 Rev AH-2'!D35+'Pg6.2 Rev AH-2'!D38+'Pg6.2 Rev AH-2'!D39+'Pg6.2 Rev AH-2'!D45+'Pg6.2 Rev AH-2'!D46+'Pg6.2 Rev AH-2'!D47+'Pg6.2 Rev AH-2'!D48+'Pg6.2 Rev AH-2'!D49+'Pg6.2 Rev AH-2'!D53+'Pg6.2 Rev AH-2'!D54+'Pg6.2 Rev AH-2'!D57+'Pg6.2 Rev AH-2'!D58+'Pg6.2 Rev AH-2'!D66+'Pg6.2 Rev AH-2'!D70+'Pg6.2 Rev AH-2'!D71+'Pg6.2 Rev AH-2'!E42)</f>
        <v>-24673.96433250203</v>
      </c>
      <c r="G35" s="175" t="s">
        <v>342</v>
      </c>
      <c r="H35" s="165">
        <f t="shared" si="0"/>
        <v>24</v>
      </c>
    </row>
    <row r="36" spans="1:10" x14ac:dyDescent="0.25">
      <c r="A36" s="165">
        <f t="shared" si="1"/>
        <v>25</v>
      </c>
      <c r="B36" s="304" t="s">
        <v>343</v>
      </c>
      <c r="E36" s="419">
        <f>'Pg6.2 Rev AH-2'!H29</f>
        <v>-90.331999999999994</v>
      </c>
      <c r="F36" s="42" t="s">
        <v>33</v>
      </c>
      <c r="G36" s="165" t="s">
        <v>375</v>
      </c>
      <c r="H36" s="165">
        <f t="shared" si="0"/>
        <v>25</v>
      </c>
    </row>
    <row r="37" spans="1:10" x14ac:dyDescent="0.25">
      <c r="A37" s="165">
        <f t="shared" si="1"/>
        <v>26</v>
      </c>
      <c r="B37" s="170" t="s">
        <v>345</v>
      </c>
      <c r="E37" s="420">
        <f>SUM(E23:E36)</f>
        <v>422923.47092932381</v>
      </c>
      <c r="F37" s="42" t="s">
        <v>33</v>
      </c>
      <c r="G37" s="165" t="s">
        <v>376</v>
      </c>
      <c r="H37" s="165">
        <f t="shared" si="0"/>
        <v>26</v>
      </c>
      <c r="J37" s="177"/>
    </row>
    <row r="38" spans="1:10" x14ac:dyDescent="0.25">
      <c r="A38" s="165">
        <f t="shared" si="1"/>
        <v>27</v>
      </c>
      <c r="B38" s="170" t="s">
        <v>347</v>
      </c>
      <c r="E38" s="178">
        <f>-'Pg6.2 Rev AH-2'!F17</f>
        <v>-8310.402</v>
      </c>
      <c r="G38" s="165" t="s">
        <v>348</v>
      </c>
      <c r="H38" s="165">
        <f t="shared" si="0"/>
        <v>27</v>
      </c>
    </row>
    <row r="39" spans="1:10" x14ac:dyDescent="0.25">
      <c r="A39" s="165">
        <f t="shared" si="1"/>
        <v>28</v>
      </c>
      <c r="B39" s="170" t="s">
        <v>349</v>
      </c>
      <c r="E39" s="420">
        <f>SUM(E37:E38)</f>
        <v>414613.06892932381</v>
      </c>
      <c r="F39" s="42" t="s">
        <v>33</v>
      </c>
      <c r="G39" s="165" t="s">
        <v>377</v>
      </c>
      <c r="H39" s="165">
        <f t="shared" si="0"/>
        <v>28</v>
      </c>
    </row>
    <row r="40" spans="1:10" x14ac:dyDescent="0.25">
      <c r="A40" s="165">
        <f t="shared" si="1"/>
        <v>29</v>
      </c>
      <c r="B40" s="304" t="s">
        <v>291</v>
      </c>
      <c r="E40" s="405">
        <v>0.1880741793345351</v>
      </c>
      <c r="G40" s="111" t="s">
        <v>292</v>
      </c>
      <c r="H40" s="165">
        <f t="shared" si="0"/>
        <v>29</v>
      </c>
    </row>
    <row r="41" spans="1:10" x14ac:dyDescent="0.25">
      <c r="A41" s="165">
        <f t="shared" si="1"/>
        <v>30</v>
      </c>
      <c r="B41" s="170" t="s">
        <v>351</v>
      </c>
      <c r="E41" s="421">
        <f>E39*E40</f>
        <v>77978.012680255604</v>
      </c>
      <c r="F41" s="42" t="s">
        <v>33</v>
      </c>
      <c r="G41" s="165" t="s">
        <v>378</v>
      </c>
      <c r="H41" s="165">
        <f t="shared" si="0"/>
        <v>30</v>
      </c>
    </row>
    <row r="42" spans="1:10" x14ac:dyDescent="0.25">
      <c r="A42" s="165">
        <f t="shared" si="1"/>
        <v>31</v>
      </c>
      <c r="B42" s="304" t="s">
        <v>353</v>
      </c>
      <c r="E42" s="406">
        <f>E62*(-E38)</f>
        <v>3373.4447624918339</v>
      </c>
      <c r="G42" s="165" t="s">
        <v>379</v>
      </c>
      <c r="H42" s="165">
        <f t="shared" si="0"/>
        <v>31</v>
      </c>
    </row>
    <row r="43" spans="1:10" ht="16.5" thickBot="1" x14ac:dyDescent="0.3">
      <c r="A43" s="165">
        <f t="shared" si="1"/>
        <v>32</v>
      </c>
      <c r="B43" s="170" t="s">
        <v>355</v>
      </c>
      <c r="E43" s="422">
        <f>E42+E41</f>
        <v>81351.457442747444</v>
      </c>
      <c r="F43" s="42" t="s">
        <v>33</v>
      </c>
      <c r="G43" s="165" t="s">
        <v>165</v>
      </c>
      <c r="H43" s="165">
        <f t="shared" si="0"/>
        <v>32</v>
      </c>
      <c r="I43" s="170"/>
    </row>
    <row r="44" spans="1:10" ht="16.5" thickTop="1" x14ac:dyDescent="0.25">
      <c r="A44" s="165">
        <f t="shared" si="1"/>
        <v>33</v>
      </c>
      <c r="B44" s="179"/>
      <c r="E44" s="407"/>
      <c r="G44" s="165"/>
      <c r="H44" s="165">
        <f t="shared" si="0"/>
        <v>33</v>
      </c>
    </row>
    <row r="45" spans="1:10" x14ac:dyDescent="0.25">
      <c r="A45" s="165">
        <f t="shared" si="1"/>
        <v>34</v>
      </c>
      <c r="B45" s="402" t="s">
        <v>357</v>
      </c>
      <c r="E45" s="408"/>
      <c r="G45" s="165"/>
      <c r="H45" s="165">
        <f t="shared" si="0"/>
        <v>34</v>
      </c>
    </row>
    <row r="46" spans="1:10" x14ac:dyDescent="0.25">
      <c r="A46" s="165">
        <f t="shared" si="1"/>
        <v>35</v>
      </c>
      <c r="B46" s="170" t="s">
        <v>358</v>
      </c>
      <c r="E46" s="113">
        <v>6632410.4084030753</v>
      </c>
      <c r="G46" s="165" t="s">
        <v>380</v>
      </c>
      <c r="H46" s="165">
        <f t="shared" si="0"/>
        <v>35</v>
      </c>
    </row>
    <row r="47" spans="1:10" x14ac:dyDescent="0.25">
      <c r="A47" s="165">
        <f t="shared" si="1"/>
        <v>36</v>
      </c>
      <c r="B47" s="170" t="s">
        <v>122</v>
      </c>
      <c r="E47" s="409">
        <v>0</v>
      </c>
      <c r="G47" s="165" t="s">
        <v>227</v>
      </c>
      <c r="H47" s="165">
        <f t="shared" si="0"/>
        <v>36</v>
      </c>
    </row>
    <row r="48" spans="1:10" x14ac:dyDescent="0.25">
      <c r="A48" s="165">
        <f t="shared" si="1"/>
        <v>37</v>
      </c>
      <c r="B48" s="170" t="s">
        <v>124</v>
      </c>
      <c r="E48" s="410">
        <v>86594.311561361523</v>
      </c>
      <c r="G48" s="411" t="s">
        <v>272</v>
      </c>
      <c r="H48" s="165">
        <f t="shared" si="0"/>
        <v>37</v>
      </c>
    </row>
    <row r="49" spans="1:9" x14ac:dyDescent="0.25">
      <c r="A49" s="165">
        <f t="shared" si="1"/>
        <v>38</v>
      </c>
      <c r="B49" s="170" t="s">
        <v>294</v>
      </c>
      <c r="E49" s="128">
        <v>214262.5076566372</v>
      </c>
      <c r="G49" s="411" t="s">
        <v>273</v>
      </c>
      <c r="H49" s="165">
        <f t="shared" si="0"/>
        <v>38</v>
      </c>
    </row>
    <row r="50" spans="1:9" ht="16.5" thickBot="1" x14ac:dyDescent="0.3">
      <c r="A50" s="165">
        <f t="shared" si="1"/>
        <v>39</v>
      </c>
      <c r="B50" s="170" t="s">
        <v>359</v>
      </c>
      <c r="E50" s="412">
        <f>SUM(E46:E49)</f>
        <v>6933267.2276210748</v>
      </c>
      <c r="G50" s="165" t="s">
        <v>381</v>
      </c>
      <c r="H50" s="165">
        <f>+H49+1</f>
        <v>39</v>
      </c>
      <c r="I50" s="413"/>
    </row>
    <row r="51" spans="1:9" ht="16.5" thickTop="1" x14ac:dyDescent="0.25">
      <c r="A51" s="165">
        <f t="shared" si="1"/>
        <v>40</v>
      </c>
      <c r="B51" s="179"/>
      <c r="E51" s="174"/>
      <c r="G51" s="165"/>
      <c r="H51" s="165">
        <f>+H50+1</f>
        <v>40</v>
      </c>
    </row>
    <row r="52" spans="1:9" x14ac:dyDescent="0.25">
      <c r="A52" s="165">
        <f t="shared" si="1"/>
        <v>41</v>
      </c>
      <c r="B52" s="170" t="s">
        <v>293</v>
      </c>
      <c r="E52" s="180">
        <f>E46</f>
        <v>6632410.4084030753</v>
      </c>
      <c r="G52" s="414" t="s">
        <v>382</v>
      </c>
      <c r="H52" s="165">
        <f>+H51+1</f>
        <v>41</v>
      </c>
    </row>
    <row r="53" spans="1:9" x14ac:dyDescent="0.25">
      <c r="A53" s="165">
        <f t="shared" si="1"/>
        <v>42</v>
      </c>
      <c r="B53" s="170" t="s">
        <v>362</v>
      </c>
      <c r="E53" s="116">
        <v>557045.05025384598</v>
      </c>
      <c r="G53" s="411" t="s">
        <v>383</v>
      </c>
      <c r="H53" s="165">
        <f t="shared" ref="H53:H60" si="2">+H52+1</f>
        <v>42</v>
      </c>
    </row>
    <row r="54" spans="1:9" x14ac:dyDescent="0.25">
      <c r="A54" s="165">
        <f t="shared" si="1"/>
        <v>43</v>
      </c>
      <c r="B54" s="170" t="s">
        <v>363</v>
      </c>
      <c r="E54" s="409">
        <v>0</v>
      </c>
      <c r="G54" s="165" t="s">
        <v>227</v>
      </c>
      <c r="H54" s="165">
        <f t="shared" si="2"/>
        <v>43</v>
      </c>
    </row>
    <row r="55" spans="1:9" x14ac:dyDescent="0.25">
      <c r="A55" s="165">
        <f t="shared" si="1"/>
        <v>44</v>
      </c>
      <c r="B55" s="170" t="s">
        <v>364</v>
      </c>
      <c r="E55" s="116">
        <v>529465.61728230771</v>
      </c>
      <c r="G55" s="411" t="s">
        <v>384</v>
      </c>
      <c r="H55" s="165">
        <f t="shared" si="2"/>
        <v>44</v>
      </c>
    </row>
    <row r="56" spans="1:9" x14ac:dyDescent="0.25">
      <c r="A56" s="165">
        <f t="shared" si="1"/>
        <v>45</v>
      </c>
      <c r="B56" s="170" t="s">
        <v>365</v>
      </c>
      <c r="E56" s="116">
        <v>7761348.9741599998</v>
      </c>
      <c r="G56" s="411" t="s">
        <v>385</v>
      </c>
      <c r="H56" s="165">
        <f t="shared" si="2"/>
        <v>45</v>
      </c>
    </row>
    <row r="57" spans="1:9" x14ac:dyDescent="0.25">
      <c r="A57" s="165">
        <f t="shared" si="1"/>
        <v>46</v>
      </c>
      <c r="B57" s="170" t="s">
        <v>122</v>
      </c>
      <c r="E57" s="409">
        <v>0</v>
      </c>
      <c r="G57" s="165" t="s">
        <v>227</v>
      </c>
      <c r="H57" s="165">
        <f t="shared" si="2"/>
        <v>46</v>
      </c>
    </row>
    <row r="58" spans="1:9" x14ac:dyDescent="0.25">
      <c r="A58" s="165">
        <f t="shared" si="1"/>
        <v>47</v>
      </c>
      <c r="B58" s="170" t="s">
        <v>366</v>
      </c>
      <c r="E58" s="116">
        <v>460426.36935999995</v>
      </c>
      <c r="G58" s="411" t="s">
        <v>386</v>
      </c>
      <c r="H58" s="165">
        <f t="shared" si="2"/>
        <v>47</v>
      </c>
    </row>
    <row r="59" spans="1:9" x14ac:dyDescent="0.25">
      <c r="A59" s="165">
        <f t="shared" si="1"/>
        <v>48</v>
      </c>
      <c r="B59" s="170" t="s">
        <v>367</v>
      </c>
      <c r="E59" s="415">
        <v>1139244.6768331758</v>
      </c>
      <c r="G59" s="411" t="s">
        <v>387</v>
      </c>
      <c r="H59" s="165">
        <f t="shared" si="2"/>
        <v>48</v>
      </c>
    </row>
    <row r="60" spans="1:9" ht="16.5" thickBot="1" x14ac:dyDescent="0.3">
      <c r="A60" s="165">
        <f t="shared" si="1"/>
        <v>49</v>
      </c>
      <c r="B60" s="170" t="s">
        <v>368</v>
      </c>
      <c r="E60" s="416">
        <f>SUM(E52:E59)</f>
        <v>17079941.096292403</v>
      </c>
      <c r="G60" s="165" t="s">
        <v>388</v>
      </c>
      <c r="H60" s="165">
        <f t="shared" si="2"/>
        <v>49</v>
      </c>
      <c r="I60" s="413"/>
    </row>
    <row r="61" spans="1:9" ht="16.5" thickTop="1" x14ac:dyDescent="0.25">
      <c r="A61" s="165">
        <f t="shared" si="1"/>
        <v>50</v>
      </c>
      <c r="E61" s="181"/>
      <c r="G61" s="165"/>
      <c r="H61" s="165">
        <f>+H60+1</f>
        <v>50</v>
      </c>
    </row>
    <row r="62" spans="1:9" ht="16.5" thickBot="1" x14ac:dyDescent="0.3">
      <c r="A62" s="165">
        <f t="shared" si="1"/>
        <v>51</v>
      </c>
      <c r="B62" s="170" t="s">
        <v>370</v>
      </c>
      <c r="E62" s="417">
        <f>E50/E60</f>
        <v>0.40593039452144841</v>
      </c>
      <c r="G62" s="165" t="s">
        <v>389</v>
      </c>
      <c r="H62" s="165">
        <f>+H61+1</f>
        <v>51</v>
      </c>
      <c r="I62" s="413"/>
    </row>
    <row r="63" spans="1:9" ht="16.5" thickTop="1" x14ac:dyDescent="0.25">
      <c r="B63" s="170" t="s">
        <v>21</v>
      </c>
      <c r="E63" s="418"/>
      <c r="G63" s="165"/>
      <c r="H63" s="165"/>
    </row>
    <row r="64" spans="1:9" x14ac:dyDescent="0.25">
      <c r="B64" s="170"/>
      <c r="E64" s="418"/>
      <c r="G64" s="165"/>
      <c r="H64" s="165"/>
    </row>
    <row r="65" spans="1:8" x14ac:dyDescent="0.25">
      <c r="A65" s="42" t="s">
        <v>33</v>
      </c>
      <c r="B65" s="12" t="s">
        <v>390</v>
      </c>
      <c r="E65" s="418"/>
      <c r="F65" s="418"/>
      <c r="G65" s="165"/>
      <c r="H65" s="165"/>
    </row>
    <row r="66" spans="1:8" ht="18.75" x14ac:dyDescent="0.25">
      <c r="A66" s="182">
        <v>1</v>
      </c>
      <c r="B66" s="170" t="s">
        <v>372</v>
      </c>
      <c r="H66" s="165"/>
    </row>
    <row r="67" spans="1:8" x14ac:dyDescent="0.25">
      <c r="B67" s="170" t="s">
        <v>373</v>
      </c>
      <c r="E67" s="181"/>
      <c r="F67" s="181"/>
      <c r="G67" s="165"/>
      <c r="H67" s="165"/>
    </row>
  </sheetData>
  <mergeCells count="5">
    <mergeCell ref="B3:G3"/>
    <mergeCell ref="B4:G4"/>
    <mergeCell ref="B5:G5"/>
    <mergeCell ref="B6:G6"/>
    <mergeCell ref="B7:G7"/>
  </mergeCells>
  <printOptions horizontalCentered="1"/>
  <pageMargins left="0.25" right="0.25" top="0.5" bottom="0.5" header="0.35" footer="0.25"/>
  <pageSetup scale="58" orientation="portrait" r:id="rId1"/>
  <headerFooter scaleWithDoc="0" alignWithMargins="0">
    <oddHeader>&amp;C&amp;"Times New Roman,Bold"&amp;7AS FILED STMT AH WITH COST ADJ. INCL. IN TO5 C5 (ER23-542)</oddHeader>
    <oddFooter>&amp;L&amp;A&amp;CPage 6.1&amp;R&amp;F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1EC32-E017-404A-A0C9-CF5231442E99}">
  <sheetPr>
    <pageSetUpPr fitToPage="1"/>
  </sheetPr>
  <dimension ref="A2:S111"/>
  <sheetViews>
    <sheetView zoomScale="80" zoomScaleNormal="80" workbookViewId="0"/>
  </sheetViews>
  <sheetFormatPr defaultColWidth="9.28515625" defaultRowHeight="15.75" x14ac:dyDescent="0.25"/>
  <cols>
    <col min="1" max="1" width="5.28515625" style="305" customWidth="1"/>
    <col min="2" max="2" width="8.5703125" style="307" customWidth="1"/>
    <col min="3" max="3" width="65" style="307" customWidth="1"/>
    <col min="4" max="5" width="16.7109375" style="307" customWidth="1"/>
    <col min="6" max="6" width="15.28515625" style="307" customWidth="1"/>
    <col min="7" max="7" width="2.28515625" style="307" bestFit="1" customWidth="1"/>
    <col min="8" max="8" width="15.42578125" style="307" bestFit="1" customWidth="1"/>
    <col min="9" max="9" width="2.7109375" style="307" bestFit="1" customWidth="1"/>
    <col min="10" max="10" width="14.7109375" style="307" customWidth="1"/>
    <col min="11" max="11" width="2.7109375" style="307" customWidth="1"/>
    <col min="12" max="12" width="11.85546875" style="307" bestFit="1" customWidth="1"/>
    <col min="13" max="13" width="2.85546875" style="307" bestFit="1" customWidth="1"/>
    <col min="14" max="14" width="21.42578125" style="307" bestFit="1" customWidth="1"/>
    <col min="15" max="15" width="30.5703125" style="307" customWidth="1"/>
    <col min="16" max="16" width="4.7109375" style="305" bestFit="1" customWidth="1"/>
    <col min="17" max="17" width="4" style="307" customWidth="1"/>
    <col min="18" max="18" width="13.28515625" style="307" bestFit="1" customWidth="1"/>
    <col min="19" max="19" width="9.28515625" style="307"/>
    <col min="20" max="20" width="9.7109375" style="307" customWidth="1"/>
    <col min="21" max="21" width="10" style="307" customWidth="1"/>
    <col min="22" max="16384" width="9.28515625" style="307"/>
  </cols>
  <sheetData>
    <row r="2" spans="1:19" x14ac:dyDescent="0.25">
      <c r="B2" s="579" t="s">
        <v>206</v>
      </c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  <c r="O2" s="579"/>
      <c r="P2" s="306"/>
    </row>
    <row r="3" spans="1:19" x14ac:dyDescent="0.25">
      <c r="B3" s="579" t="s">
        <v>391</v>
      </c>
      <c r="C3" s="579"/>
      <c r="D3" s="579"/>
      <c r="E3" s="579"/>
      <c r="F3" s="579"/>
      <c r="G3" s="579"/>
      <c r="H3" s="579"/>
      <c r="I3" s="579"/>
      <c r="J3" s="579"/>
      <c r="K3" s="579"/>
      <c r="L3" s="579"/>
      <c r="M3" s="579"/>
      <c r="N3" s="579"/>
      <c r="O3" s="579"/>
      <c r="P3" s="306"/>
    </row>
    <row r="4" spans="1:19" x14ac:dyDescent="0.25">
      <c r="B4" s="579" t="s">
        <v>392</v>
      </c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  <c r="P4" s="306"/>
    </row>
    <row r="5" spans="1:19" x14ac:dyDescent="0.25">
      <c r="B5" s="580" t="s">
        <v>2</v>
      </c>
      <c r="C5" s="580"/>
      <c r="D5" s="580"/>
      <c r="E5" s="580"/>
      <c r="F5" s="580"/>
      <c r="G5" s="580"/>
      <c r="H5" s="580"/>
      <c r="I5" s="580"/>
      <c r="J5" s="580"/>
      <c r="K5" s="580"/>
      <c r="L5" s="580"/>
      <c r="M5" s="580"/>
      <c r="N5" s="580"/>
      <c r="O5" s="580"/>
      <c r="P5" s="306"/>
    </row>
    <row r="6" spans="1:19" ht="16.5" thickBot="1" x14ac:dyDescent="0.3">
      <c r="D6" s="308"/>
      <c r="E6" s="308"/>
      <c r="F6" s="308"/>
      <c r="G6" s="308"/>
      <c r="H6" s="308"/>
      <c r="I6" s="308"/>
      <c r="J6" s="308"/>
      <c r="K6" s="308"/>
      <c r="L6" s="308"/>
      <c r="M6" s="308"/>
      <c r="N6" s="308"/>
      <c r="O6" s="308"/>
      <c r="R6" s="304"/>
    </row>
    <row r="7" spans="1:19" ht="18.75" x14ac:dyDescent="0.25">
      <c r="A7" s="306"/>
      <c r="B7" s="309"/>
      <c r="C7" s="310"/>
      <c r="D7" s="311" t="s">
        <v>287</v>
      </c>
      <c r="E7" s="312" t="s">
        <v>288</v>
      </c>
      <c r="F7" s="313" t="s">
        <v>393</v>
      </c>
      <c r="G7" s="498"/>
      <c r="H7" s="8" t="s">
        <v>394</v>
      </c>
      <c r="I7" s="383"/>
      <c r="J7" s="383" t="s">
        <v>395</v>
      </c>
      <c r="K7" s="520"/>
      <c r="L7" s="8" t="s">
        <v>396</v>
      </c>
      <c r="M7" s="383"/>
      <c r="N7" s="383" t="s">
        <v>397</v>
      </c>
      <c r="O7" s="314"/>
      <c r="P7" s="306"/>
    </row>
    <row r="8" spans="1:19" x14ac:dyDescent="0.25">
      <c r="A8" s="305" t="s">
        <v>3</v>
      </c>
      <c r="B8" s="315" t="s">
        <v>398</v>
      </c>
      <c r="C8" s="316"/>
      <c r="D8" s="317" t="s">
        <v>295</v>
      </c>
      <c r="E8" s="306" t="s">
        <v>399</v>
      </c>
      <c r="F8" s="317" t="s">
        <v>295</v>
      </c>
      <c r="G8" s="499"/>
      <c r="H8" s="266" t="s">
        <v>400</v>
      </c>
      <c r="I8" s="384"/>
      <c r="J8" s="385" t="s">
        <v>401</v>
      </c>
      <c r="K8" s="521"/>
      <c r="L8" s="521" t="s">
        <v>718</v>
      </c>
      <c r="M8" s="385"/>
      <c r="N8" s="385" t="s">
        <v>402</v>
      </c>
      <c r="O8" s="318"/>
      <c r="P8" s="305" t="s">
        <v>3</v>
      </c>
    </row>
    <row r="9" spans="1:19" ht="16.5" thickBot="1" x14ac:dyDescent="0.3">
      <c r="A9" s="305" t="s">
        <v>7</v>
      </c>
      <c r="B9" s="319" t="s">
        <v>403</v>
      </c>
      <c r="C9" s="320" t="s">
        <v>4</v>
      </c>
      <c r="D9" s="321" t="s">
        <v>404</v>
      </c>
      <c r="E9" s="320" t="s">
        <v>405</v>
      </c>
      <c r="F9" s="321" t="s">
        <v>406</v>
      </c>
      <c r="G9" s="500"/>
      <c r="H9" s="382" t="s">
        <v>407</v>
      </c>
      <c r="I9" s="386"/>
      <c r="J9" s="387" t="s">
        <v>408</v>
      </c>
      <c r="K9" s="522"/>
      <c r="L9" s="382" t="s">
        <v>719</v>
      </c>
      <c r="M9" s="387"/>
      <c r="N9" s="387" t="s">
        <v>720</v>
      </c>
      <c r="O9" s="322" t="s">
        <v>6</v>
      </c>
      <c r="P9" s="305" t="s">
        <v>7</v>
      </c>
      <c r="Q9" s="305"/>
    </row>
    <row r="10" spans="1:19" x14ac:dyDescent="0.25">
      <c r="B10" s="323"/>
      <c r="C10" s="324" t="s">
        <v>409</v>
      </c>
      <c r="D10" s="325"/>
      <c r="E10" s="326"/>
      <c r="F10" s="327"/>
      <c r="G10" s="380"/>
      <c r="H10" s="380"/>
      <c r="I10" s="389"/>
      <c r="J10" s="392"/>
      <c r="K10" s="380"/>
      <c r="L10" s="380"/>
      <c r="M10" s="523"/>
      <c r="N10" s="392"/>
      <c r="O10" s="328"/>
    </row>
    <row r="11" spans="1:19" ht="19.5" x14ac:dyDescent="0.25">
      <c r="A11" s="305">
        <v>1</v>
      </c>
      <c r="B11" s="323">
        <v>920</v>
      </c>
      <c r="C11" s="329" t="s">
        <v>410</v>
      </c>
      <c r="D11" s="330">
        <v>46411.108999999997</v>
      </c>
      <c r="E11" s="330">
        <f>E35</f>
        <v>968.08356942399996</v>
      </c>
      <c r="F11" s="330">
        <f>D11-E11</f>
        <v>45443.025430575995</v>
      </c>
      <c r="G11" s="381"/>
      <c r="H11" s="381"/>
      <c r="I11" s="397"/>
      <c r="J11" s="330">
        <f>F11+H11</f>
        <v>45443.025430575995</v>
      </c>
      <c r="K11" s="561" t="s">
        <v>33</v>
      </c>
      <c r="L11" s="562">
        <f>L36</f>
        <v>930.25238000000002</v>
      </c>
      <c r="M11" s="558">
        <v>9</v>
      </c>
      <c r="N11" s="560">
        <f>J11+L11</f>
        <v>46373.277810575993</v>
      </c>
      <c r="O11" s="331" t="s">
        <v>411</v>
      </c>
      <c r="P11" s="305">
        <f t="shared" ref="P11:P67" si="0">A11</f>
        <v>1</v>
      </c>
      <c r="Q11" s="307" t="s">
        <v>21</v>
      </c>
      <c r="R11" s="332"/>
    </row>
    <row r="12" spans="1:19" ht="19.5" x14ac:dyDescent="0.25">
      <c r="A12" s="305">
        <f t="shared" ref="A12:A91" si="1">A11+1</f>
        <v>2</v>
      </c>
      <c r="B12" s="315">
        <v>921</v>
      </c>
      <c r="C12" s="329" t="s">
        <v>412</v>
      </c>
      <c r="D12" s="333">
        <v>28861</v>
      </c>
      <c r="E12" s="333">
        <f>E39</f>
        <v>9375.0137418520007</v>
      </c>
      <c r="F12" s="333">
        <f>D12-E12</f>
        <v>19485.986258147997</v>
      </c>
      <c r="G12" s="368"/>
      <c r="H12" s="368"/>
      <c r="I12" s="397"/>
      <c r="J12" s="333">
        <f>F12+H12</f>
        <v>19485.986258147997</v>
      </c>
      <c r="K12" s="42" t="s">
        <v>33</v>
      </c>
      <c r="L12" s="497">
        <v>1717.9580000000001</v>
      </c>
      <c r="M12" s="545">
        <v>7</v>
      </c>
      <c r="N12" s="514">
        <f>J12+L12+L13</f>
        <v>30579.054108147997</v>
      </c>
      <c r="O12" s="331" t="s">
        <v>413</v>
      </c>
      <c r="P12" s="305">
        <f t="shared" si="0"/>
        <v>2</v>
      </c>
      <c r="R12" s="332"/>
      <c r="S12" s="334"/>
    </row>
    <row r="13" spans="1:19" ht="19.5" x14ac:dyDescent="0.25">
      <c r="A13" s="305">
        <f t="shared" si="1"/>
        <v>3</v>
      </c>
      <c r="B13" s="315">
        <v>921</v>
      </c>
      <c r="C13" s="329" t="s">
        <v>412</v>
      </c>
      <c r="D13" s="333"/>
      <c r="E13" s="333"/>
      <c r="F13" s="333"/>
      <c r="G13" s="368"/>
      <c r="H13" s="368"/>
      <c r="I13" s="397"/>
      <c r="J13" s="333"/>
      <c r="K13" s="42" t="s">
        <v>33</v>
      </c>
      <c r="L13" s="497">
        <f>L41</f>
        <v>9375.1098499999989</v>
      </c>
      <c r="M13" s="545">
        <v>9</v>
      </c>
      <c r="N13" s="514"/>
      <c r="O13" s="331" t="s">
        <v>413</v>
      </c>
      <c r="P13" s="305">
        <f t="shared" si="0"/>
        <v>3</v>
      </c>
      <c r="R13" s="332"/>
      <c r="S13" s="334"/>
    </row>
    <row r="14" spans="1:19" ht="16.5" x14ac:dyDescent="0.25">
      <c r="A14" s="305">
        <f t="shared" si="1"/>
        <v>4</v>
      </c>
      <c r="B14" s="315">
        <v>922</v>
      </c>
      <c r="C14" s="329" t="s">
        <v>414</v>
      </c>
      <c r="D14" s="333">
        <v>-18872.382000000001</v>
      </c>
      <c r="E14" s="333">
        <f>E42</f>
        <v>-125.07091</v>
      </c>
      <c r="F14" s="333">
        <f t="shared" ref="F14:F26" si="2">D14-E14</f>
        <v>-18747.311090000003</v>
      </c>
      <c r="G14" s="368"/>
      <c r="H14" s="368"/>
      <c r="I14" s="390"/>
      <c r="J14" s="333">
        <f t="shared" ref="J14:J26" si="3">F14+H14</f>
        <v>-18747.311090000003</v>
      </c>
      <c r="K14" s="42" t="s">
        <v>33</v>
      </c>
      <c r="L14" s="497">
        <f>L43</f>
        <v>-125.12939</v>
      </c>
      <c r="M14" s="545">
        <v>9</v>
      </c>
      <c r="N14" s="514">
        <f>J14+L14</f>
        <v>-18872.440480000001</v>
      </c>
      <c r="O14" s="331" t="s">
        <v>415</v>
      </c>
      <c r="P14" s="305">
        <f t="shared" si="0"/>
        <v>4</v>
      </c>
      <c r="R14" s="332"/>
    </row>
    <row r="15" spans="1:19" ht="19.5" x14ac:dyDescent="0.25">
      <c r="A15" s="305">
        <f t="shared" si="1"/>
        <v>5</v>
      </c>
      <c r="B15" s="315">
        <v>923</v>
      </c>
      <c r="C15" s="329" t="s">
        <v>416</v>
      </c>
      <c r="D15" s="333">
        <v>108535.25900000001</v>
      </c>
      <c r="E15" s="333">
        <f>E49</f>
        <v>12845.547155421998</v>
      </c>
      <c r="F15" s="333">
        <f t="shared" si="2"/>
        <v>95689.711844578007</v>
      </c>
      <c r="G15" s="368"/>
      <c r="H15" s="368"/>
      <c r="I15" s="397"/>
      <c r="J15" s="333">
        <f t="shared" si="3"/>
        <v>95689.711844578007</v>
      </c>
      <c r="K15" s="42" t="s">
        <v>33</v>
      </c>
      <c r="L15" s="497">
        <v>83.521000000000001</v>
      </c>
      <c r="M15" s="545">
        <v>7</v>
      </c>
      <c r="N15" s="514">
        <f>J15+L15+L16</f>
        <v>97939.248374578005</v>
      </c>
      <c r="O15" s="331" t="s">
        <v>417</v>
      </c>
      <c r="P15" s="305">
        <f t="shared" si="0"/>
        <v>5</v>
      </c>
      <c r="R15" s="332"/>
    </row>
    <row r="16" spans="1:19" ht="19.5" x14ac:dyDescent="0.25">
      <c r="A16" s="305">
        <f>A15+1</f>
        <v>6</v>
      </c>
      <c r="B16" s="315">
        <v>923</v>
      </c>
      <c r="C16" s="329" t="s">
        <v>416</v>
      </c>
      <c r="D16" s="333"/>
      <c r="E16" s="333"/>
      <c r="F16" s="333"/>
      <c r="G16" s="368"/>
      <c r="H16" s="368"/>
      <c r="I16" s="397"/>
      <c r="J16" s="333"/>
      <c r="K16" s="42" t="s">
        <v>33</v>
      </c>
      <c r="L16" s="497">
        <f>L51</f>
        <v>2166.0155300000001</v>
      </c>
      <c r="M16" s="545">
        <v>9</v>
      </c>
      <c r="N16" s="514"/>
      <c r="O16" s="331" t="s">
        <v>417</v>
      </c>
      <c r="P16" s="305">
        <f>A16</f>
        <v>6</v>
      </c>
      <c r="R16" s="332"/>
    </row>
    <row r="17" spans="1:18" x14ac:dyDescent="0.25">
      <c r="A17" s="305">
        <f>A16+1</f>
        <v>7</v>
      </c>
      <c r="B17" s="323">
        <v>924</v>
      </c>
      <c r="C17" s="329" t="s">
        <v>418</v>
      </c>
      <c r="D17" s="333">
        <v>8310.402</v>
      </c>
      <c r="E17" s="333">
        <v>0</v>
      </c>
      <c r="F17" s="333">
        <f t="shared" si="2"/>
        <v>8310.402</v>
      </c>
      <c r="G17" s="368"/>
      <c r="H17" s="368"/>
      <c r="I17" s="390"/>
      <c r="J17" s="333">
        <f t="shared" si="3"/>
        <v>8310.402</v>
      </c>
      <c r="K17" s="368"/>
      <c r="L17" s="368"/>
      <c r="M17" s="390"/>
      <c r="N17" s="333">
        <f t="shared" ref="N17:N27" si="4">J17+L17</f>
        <v>8310.402</v>
      </c>
      <c r="O17" s="331" t="s">
        <v>419</v>
      </c>
      <c r="P17" s="305">
        <f>A17</f>
        <v>7</v>
      </c>
      <c r="R17" s="332"/>
    </row>
    <row r="18" spans="1:18" ht="16.5" x14ac:dyDescent="0.25">
      <c r="A18" s="305">
        <f>A17+1</f>
        <v>8</v>
      </c>
      <c r="B18" s="315">
        <v>925</v>
      </c>
      <c r="C18" s="329" t="s">
        <v>420</v>
      </c>
      <c r="D18" s="333">
        <v>181130.33900000001</v>
      </c>
      <c r="E18" s="333">
        <f>E54</f>
        <v>1105.1051231060101</v>
      </c>
      <c r="F18" s="333">
        <f t="shared" si="2"/>
        <v>180025.233876894</v>
      </c>
      <c r="G18" s="42"/>
      <c r="H18" s="368">
        <v>-130.33199999999999</v>
      </c>
      <c r="I18" s="545">
        <v>5</v>
      </c>
      <c r="J18" s="333">
        <f>F18+H18</f>
        <v>179894.901876894</v>
      </c>
      <c r="K18" s="561" t="s">
        <v>33</v>
      </c>
      <c r="L18" s="497">
        <f>L55</f>
        <v>746.95546999999988</v>
      </c>
      <c r="M18" s="545">
        <v>9</v>
      </c>
      <c r="N18" s="514">
        <f t="shared" si="4"/>
        <v>180641.85734689399</v>
      </c>
      <c r="O18" s="331" t="s">
        <v>421</v>
      </c>
      <c r="P18" s="305">
        <f t="shared" si="0"/>
        <v>8</v>
      </c>
      <c r="R18" s="209"/>
    </row>
    <row r="19" spans="1:18" ht="18.75" x14ac:dyDescent="0.25">
      <c r="A19" s="305">
        <f t="shared" si="1"/>
        <v>9</v>
      </c>
      <c r="B19" s="315">
        <v>926</v>
      </c>
      <c r="C19" s="329" t="s">
        <v>735</v>
      </c>
      <c r="D19" s="333">
        <v>62304.38</v>
      </c>
      <c r="E19" s="333">
        <f>+E58</f>
        <v>2589.589301958019</v>
      </c>
      <c r="F19" s="333">
        <f t="shared" si="2"/>
        <v>59714.790698041979</v>
      </c>
      <c r="G19" s="368"/>
      <c r="H19" s="368"/>
      <c r="I19" s="545"/>
      <c r="J19" s="333">
        <f t="shared" si="3"/>
        <v>59714.790698041979</v>
      </c>
      <c r="K19" s="561" t="s">
        <v>33</v>
      </c>
      <c r="L19" s="497">
        <f>L59</f>
        <v>1752.65128</v>
      </c>
      <c r="M19" s="558">
        <v>9</v>
      </c>
      <c r="N19" s="514">
        <f t="shared" si="4"/>
        <v>61467.441978041978</v>
      </c>
      <c r="O19" s="331" t="s">
        <v>423</v>
      </c>
      <c r="P19" s="305">
        <f t="shared" si="0"/>
        <v>9</v>
      </c>
      <c r="R19" s="335"/>
    </row>
    <row r="20" spans="1:18" x14ac:dyDescent="0.25">
      <c r="A20" s="305">
        <f t="shared" si="1"/>
        <v>10</v>
      </c>
      <c r="B20" s="323">
        <v>927</v>
      </c>
      <c r="C20" s="329" t="s">
        <v>424</v>
      </c>
      <c r="D20" s="336">
        <v>130506.765</v>
      </c>
      <c r="E20" s="333">
        <f>E60</f>
        <v>130506.76528000001</v>
      </c>
      <c r="F20" s="333">
        <f t="shared" si="2"/>
        <v>-2.8000000747852027E-4</v>
      </c>
      <c r="G20" s="368"/>
      <c r="H20" s="368"/>
      <c r="I20" s="547"/>
      <c r="J20" s="333">
        <f t="shared" si="3"/>
        <v>-2.8000000747852027E-4</v>
      </c>
      <c r="K20" s="368"/>
      <c r="L20" s="368"/>
      <c r="M20" s="390"/>
      <c r="N20" s="333">
        <f t="shared" si="4"/>
        <v>-2.8000000747852027E-4</v>
      </c>
      <c r="O20" s="331" t="s">
        <v>425</v>
      </c>
      <c r="P20" s="305">
        <f t="shared" si="0"/>
        <v>10</v>
      </c>
      <c r="R20" s="335"/>
    </row>
    <row r="21" spans="1:18" ht="18.75" x14ac:dyDescent="0.25">
      <c r="A21" s="305">
        <f t="shared" si="1"/>
        <v>11</v>
      </c>
      <c r="B21" s="323">
        <v>928</v>
      </c>
      <c r="C21" s="329" t="s">
        <v>426</v>
      </c>
      <c r="D21" s="333">
        <v>27995.793000000001</v>
      </c>
      <c r="E21" s="333">
        <f>E66</f>
        <v>16572.369299999998</v>
      </c>
      <c r="F21" s="333">
        <f t="shared" si="2"/>
        <v>11423.423700000003</v>
      </c>
      <c r="G21" s="368"/>
      <c r="H21" s="368"/>
      <c r="I21" s="547"/>
      <c r="J21" s="333">
        <f t="shared" si="3"/>
        <v>11423.423700000003</v>
      </c>
      <c r="K21" s="368"/>
      <c r="L21" s="368"/>
      <c r="M21" s="390"/>
      <c r="N21" s="333">
        <f t="shared" si="4"/>
        <v>11423.423700000003</v>
      </c>
      <c r="O21" s="331" t="s">
        <v>427</v>
      </c>
      <c r="P21" s="305">
        <f t="shared" si="0"/>
        <v>11</v>
      </c>
      <c r="R21" s="335"/>
    </row>
    <row r="22" spans="1:18" x14ac:dyDescent="0.25">
      <c r="A22" s="305">
        <f t="shared" si="1"/>
        <v>12</v>
      </c>
      <c r="B22" s="323">
        <v>929</v>
      </c>
      <c r="C22" s="329" t="s">
        <v>428</v>
      </c>
      <c r="D22" s="333">
        <v>-2772.7849999999999</v>
      </c>
      <c r="E22" s="333">
        <v>0</v>
      </c>
      <c r="F22" s="333">
        <f t="shared" si="2"/>
        <v>-2772.7849999999999</v>
      </c>
      <c r="G22" s="368"/>
      <c r="H22" s="368"/>
      <c r="I22" s="547"/>
      <c r="J22" s="333">
        <f t="shared" si="3"/>
        <v>-2772.7849999999999</v>
      </c>
      <c r="K22" s="368"/>
      <c r="L22" s="368"/>
      <c r="M22" s="390"/>
      <c r="N22" s="333">
        <f t="shared" si="4"/>
        <v>-2772.7849999999999</v>
      </c>
      <c r="O22" s="331" t="s">
        <v>429</v>
      </c>
      <c r="P22" s="305">
        <f t="shared" si="0"/>
        <v>12</v>
      </c>
      <c r="R22" s="332"/>
    </row>
    <row r="23" spans="1:18" ht="16.5" x14ac:dyDescent="0.25">
      <c r="A23" s="305">
        <f t="shared" si="1"/>
        <v>13</v>
      </c>
      <c r="B23" s="465">
        <v>930.1</v>
      </c>
      <c r="C23" s="329" t="s">
        <v>430</v>
      </c>
      <c r="D23" s="333">
        <v>-204.155</v>
      </c>
      <c r="E23" s="333">
        <f>E67</f>
        <v>-204.155</v>
      </c>
      <c r="F23" s="333">
        <f t="shared" si="2"/>
        <v>0</v>
      </c>
      <c r="G23" s="368"/>
      <c r="H23" s="368"/>
      <c r="I23" s="545"/>
      <c r="J23" s="333">
        <f t="shared" si="3"/>
        <v>0</v>
      </c>
      <c r="K23" s="368"/>
      <c r="L23" s="368"/>
      <c r="M23" s="390"/>
      <c r="N23" s="333">
        <f t="shared" si="4"/>
        <v>0</v>
      </c>
      <c r="O23" s="331" t="s">
        <v>431</v>
      </c>
      <c r="P23" s="305">
        <f t="shared" si="0"/>
        <v>13</v>
      </c>
      <c r="R23" s="332"/>
    </row>
    <row r="24" spans="1:18" ht="16.5" x14ac:dyDescent="0.25">
      <c r="A24" s="305">
        <f t="shared" si="1"/>
        <v>14</v>
      </c>
      <c r="B24" s="485">
        <v>930.2</v>
      </c>
      <c r="C24" s="329" t="s">
        <v>432</v>
      </c>
      <c r="D24" s="333">
        <v>2511.0549999999998</v>
      </c>
      <c r="E24" s="333">
        <f>E71</f>
        <v>217.57746999999995</v>
      </c>
      <c r="F24" s="333">
        <f t="shared" si="2"/>
        <v>2293.4775300000001</v>
      </c>
      <c r="G24" s="42"/>
      <c r="H24" s="368">
        <v>40</v>
      </c>
      <c r="I24" s="545">
        <v>6</v>
      </c>
      <c r="J24" s="333">
        <f t="shared" si="3"/>
        <v>2333.4775300000001</v>
      </c>
      <c r="K24" s="42" t="s">
        <v>33</v>
      </c>
      <c r="L24" s="497">
        <v>595.57100000000003</v>
      </c>
      <c r="M24" s="545">
        <v>7</v>
      </c>
      <c r="N24" s="514">
        <f>J24+L24+L25</f>
        <v>2238.2815300000002</v>
      </c>
      <c r="O24" s="331" t="s">
        <v>433</v>
      </c>
      <c r="P24" s="305">
        <f t="shared" si="0"/>
        <v>14</v>
      </c>
      <c r="R24" s="337"/>
    </row>
    <row r="25" spans="1:18" ht="16.5" x14ac:dyDescent="0.25">
      <c r="A25" s="305">
        <f t="shared" si="1"/>
        <v>15</v>
      </c>
      <c r="B25" s="485">
        <v>930.2</v>
      </c>
      <c r="C25" s="329" t="s">
        <v>432</v>
      </c>
      <c r="D25" s="333"/>
      <c r="E25" s="333"/>
      <c r="F25" s="333"/>
      <c r="G25" s="42"/>
      <c r="H25" s="368"/>
      <c r="I25" s="545"/>
      <c r="J25" s="333"/>
      <c r="K25" s="42" t="s">
        <v>33</v>
      </c>
      <c r="L25" s="316">
        <f>L70</f>
        <v>-690.76700000000005</v>
      </c>
      <c r="M25" s="545">
        <v>8</v>
      </c>
      <c r="N25" s="339"/>
      <c r="O25" s="331" t="s">
        <v>433</v>
      </c>
      <c r="P25" s="305">
        <f t="shared" si="0"/>
        <v>15</v>
      </c>
      <c r="R25" s="337"/>
    </row>
    <row r="26" spans="1:18" x14ac:dyDescent="0.25">
      <c r="A26" s="305">
        <f t="shared" si="1"/>
        <v>16</v>
      </c>
      <c r="B26" s="323">
        <v>931</v>
      </c>
      <c r="C26" s="329" t="s">
        <v>434</v>
      </c>
      <c r="D26" s="333">
        <v>10939.305</v>
      </c>
      <c r="E26" s="333">
        <v>0</v>
      </c>
      <c r="F26" s="333">
        <f t="shared" si="2"/>
        <v>10939.305</v>
      </c>
      <c r="G26" s="368"/>
      <c r="H26" s="368"/>
      <c r="I26" s="390"/>
      <c r="J26" s="333">
        <f t="shared" si="3"/>
        <v>10939.305</v>
      </c>
      <c r="K26" s="368"/>
      <c r="L26" s="368"/>
      <c r="M26" s="390"/>
      <c r="N26" s="333">
        <f t="shared" si="4"/>
        <v>10939.305</v>
      </c>
      <c r="O26" s="331" t="s">
        <v>435</v>
      </c>
      <c r="P26" s="305">
        <f t="shared" si="0"/>
        <v>16</v>
      </c>
      <c r="R26" s="332"/>
    </row>
    <row r="27" spans="1:18" x14ac:dyDescent="0.25">
      <c r="A27" s="305">
        <f t="shared" si="1"/>
        <v>17</v>
      </c>
      <c r="B27" s="323">
        <v>935</v>
      </c>
      <c r="C27" s="329" t="s">
        <v>436</v>
      </c>
      <c r="D27" s="338">
        <v>9293.2980000000007</v>
      </c>
      <c r="E27" s="338">
        <f>E73</f>
        <v>-1915.2449610859994</v>
      </c>
      <c r="F27" s="338">
        <f>D27-E27</f>
        <v>11208.542961086001</v>
      </c>
      <c r="G27" s="388"/>
      <c r="H27" s="501"/>
      <c r="I27" s="394"/>
      <c r="J27" s="338">
        <f>F27+H27</f>
        <v>11208.542961086001</v>
      </c>
      <c r="K27" s="388"/>
      <c r="L27" s="501"/>
      <c r="M27" s="394"/>
      <c r="N27" s="338">
        <f t="shared" si="4"/>
        <v>11208.542961086001</v>
      </c>
      <c r="O27" s="331" t="s">
        <v>437</v>
      </c>
      <c r="P27" s="305">
        <f t="shared" si="0"/>
        <v>17</v>
      </c>
      <c r="Q27" s="307" t="s">
        <v>21</v>
      </c>
      <c r="R27" s="332"/>
    </row>
    <row r="28" spans="1:18" x14ac:dyDescent="0.25">
      <c r="A28" s="305">
        <f t="shared" si="1"/>
        <v>18</v>
      </c>
      <c r="B28" s="323"/>
      <c r="D28" s="339"/>
      <c r="E28" s="339"/>
      <c r="F28" s="339"/>
      <c r="I28" s="391"/>
      <c r="J28" s="339"/>
      <c r="M28" s="391"/>
      <c r="N28" s="339"/>
      <c r="O28" s="340"/>
      <c r="P28" s="305">
        <f t="shared" si="0"/>
        <v>18</v>
      </c>
    </row>
    <row r="29" spans="1:18" ht="16.5" thickBot="1" x14ac:dyDescent="0.3">
      <c r="A29" s="305">
        <f t="shared" si="1"/>
        <v>19</v>
      </c>
      <c r="B29" s="323"/>
      <c r="C29" s="316" t="s">
        <v>438</v>
      </c>
      <c r="D29" s="341">
        <f>SUM(D11:D27)</f>
        <v>594949.38299999991</v>
      </c>
      <c r="E29" s="342">
        <f>SUM(E11:E27)</f>
        <v>171935.58007067602</v>
      </c>
      <c r="F29" s="395">
        <f>SUM(F11:F27)</f>
        <v>423013.80292932398</v>
      </c>
      <c r="G29" s="549"/>
      <c r="H29" s="370">
        <f>SUM(H11:H27)</f>
        <v>-90.331999999999994</v>
      </c>
      <c r="I29" s="396"/>
      <c r="J29" s="342">
        <f>SUM(J11:J27)</f>
        <v>422923.47092932393</v>
      </c>
      <c r="K29" s="549" t="s">
        <v>33</v>
      </c>
      <c r="L29" s="370">
        <f>SUM(L11:L27)</f>
        <v>16552.13812</v>
      </c>
      <c r="M29" s="396"/>
      <c r="N29" s="342">
        <f>SUM(N11:N27)</f>
        <v>439475.60904932395</v>
      </c>
      <c r="O29" s="343" t="str">
        <f>"Sum Lines "&amp;A11&amp;" thru "&amp;A27</f>
        <v>Sum Lines 1 thru 17</v>
      </c>
      <c r="P29" s="305">
        <f t="shared" si="0"/>
        <v>19</v>
      </c>
    </row>
    <row r="30" spans="1:18" ht="17.25" thickTop="1" thickBot="1" x14ac:dyDescent="0.3">
      <c r="A30" s="305">
        <f t="shared" si="1"/>
        <v>20</v>
      </c>
      <c r="B30" s="344"/>
      <c r="C30" s="308"/>
      <c r="D30" s="345"/>
      <c r="E30" s="346"/>
      <c r="F30" s="346"/>
      <c r="G30" s="382"/>
      <c r="H30" s="382"/>
      <c r="I30" s="386"/>
      <c r="J30" s="393"/>
      <c r="K30" s="382"/>
      <c r="L30" s="525"/>
      <c r="M30" s="386"/>
      <c r="N30" s="393"/>
      <c r="O30" s="347"/>
      <c r="P30" s="305">
        <f t="shared" si="0"/>
        <v>20</v>
      </c>
    </row>
    <row r="31" spans="1:18" x14ac:dyDescent="0.25">
      <c r="A31" s="305">
        <f t="shared" si="1"/>
        <v>21</v>
      </c>
      <c r="B31" s="348"/>
      <c r="C31" s="349"/>
      <c r="D31" s="350"/>
      <c r="E31" s="351"/>
      <c r="F31" s="350"/>
      <c r="G31" s="350"/>
      <c r="H31" s="350"/>
      <c r="I31" s="350"/>
      <c r="J31" s="350"/>
      <c r="K31" s="350"/>
      <c r="L31" s="524"/>
      <c r="M31" s="350"/>
      <c r="N31" s="350"/>
      <c r="O31" s="352"/>
      <c r="P31" s="305">
        <f t="shared" si="0"/>
        <v>21</v>
      </c>
    </row>
    <row r="32" spans="1:18" x14ac:dyDescent="0.25">
      <c r="A32" s="305">
        <f t="shared" si="1"/>
        <v>22</v>
      </c>
      <c r="B32" s="353" t="s">
        <v>439</v>
      </c>
      <c r="C32" s="305"/>
      <c r="D32" s="305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40"/>
      <c r="P32" s="305">
        <f t="shared" si="0"/>
        <v>22</v>
      </c>
    </row>
    <row r="33" spans="1:16" x14ac:dyDescent="0.25">
      <c r="A33" s="305">
        <f t="shared" si="1"/>
        <v>23</v>
      </c>
      <c r="B33" s="354">
        <v>920</v>
      </c>
      <c r="C33" s="502" t="s">
        <v>440</v>
      </c>
      <c r="D33" s="355">
        <v>37.830849999999998</v>
      </c>
      <c r="F33" s="305"/>
      <c r="G33" s="305"/>
      <c r="H33" s="305"/>
      <c r="I33" s="305"/>
      <c r="J33" s="305"/>
      <c r="K33" s="305"/>
      <c r="L33" s="305"/>
      <c r="M33" s="305"/>
      <c r="N33" s="305"/>
      <c r="O33" s="340"/>
      <c r="P33" s="305">
        <f t="shared" si="0"/>
        <v>23</v>
      </c>
    </row>
    <row r="34" spans="1:16" x14ac:dyDescent="0.25">
      <c r="A34" s="305">
        <f t="shared" si="1"/>
        <v>24</v>
      </c>
      <c r="B34" s="354"/>
      <c r="C34" s="502" t="s">
        <v>441</v>
      </c>
      <c r="D34" s="503">
        <v>873.61009352399992</v>
      </c>
      <c r="E34" s="355"/>
      <c r="F34" s="305"/>
      <c r="G34" s="305"/>
      <c r="H34" s="305"/>
      <c r="I34" s="305"/>
      <c r="J34" s="305"/>
      <c r="K34" s="305"/>
      <c r="L34" s="305"/>
      <c r="M34" s="305"/>
      <c r="N34" s="305"/>
      <c r="O34" s="340"/>
      <c r="P34" s="305">
        <f t="shared" si="0"/>
        <v>24</v>
      </c>
    </row>
    <row r="35" spans="1:16" x14ac:dyDescent="0.25">
      <c r="A35" s="305">
        <f t="shared" si="1"/>
        <v>25</v>
      </c>
      <c r="B35" s="354"/>
      <c r="C35" s="502" t="s">
        <v>442</v>
      </c>
      <c r="D35" s="356">
        <v>56.642625899999999</v>
      </c>
      <c r="E35" s="355">
        <f>SUM(D33:D35)</f>
        <v>968.08356942399996</v>
      </c>
      <c r="F35" s="305"/>
      <c r="G35" s="305"/>
      <c r="H35" s="305"/>
      <c r="I35" s="305"/>
      <c r="J35" s="305"/>
      <c r="K35" s="305"/>
      <c r="L35" s="305"/>
      <c r="M35" s="305"/>
      <c r="N35" s="305"/>
      <c r="O35" s="340"/>
      <c r="P35" s="305">
        <f t="shared" si="0"/>
        <v>25</v>
      </c>
    </row>
    <row r="36" spans="1:16" ht="18.75" x14ac:dyDescent="0.25">
      <c r="A36" s="305">
        <f t="shared" ref="A36:A58" si="5">A35+1</f>
        <v>26</v>
      </c>
      <c r="B36" s="354"/>
      <c r="C36" s="555" t="s">
        <v>732</v>
      </c>
      <c r="D36" s="503"/>
      <c r="E36" s="355"/>
      <c r="F36" s="305"/>
      <c r="G36" s="305"/>
      <c r="I36" s="305"/>
      <c r="J36" s="305"/>
      <c r="K36" s="305"/>
      <c r="L36" s="505">
        <f>1015.03238-84.78</f>
        <v>930.25238000000002</v>
      </c>
      <c r="M36" s="554">
        <v>9</v>
      </c>
      <c r="N36" s="305"/>
      <c r="O36" s="340"/>
      <c r="P36" s="305">
        <f t="shared" ref="P36:P63" si="6">A36</f>
        <v>26</v>
      </c>
    </row>
    <row r="37" spans="1:16" x14ac:dyDescent="0.25">
      <c r="A37" s="305">
        <f t="shared" si="5"/>
        <v>27</v>
      </c>
      <c r="B37" s="354">
        <v>921</v>
      </c>
      <c r="C37" s="502" t="s">
        <v>440</v>
      </c>
      <c r="D37" s="307">
        <v>-9.620999999999999E-2</v>
      </c>
      <c r="O37" s="340"/>
      <c r="P37" s="305">
        <f t="shared" si="6"/>
        <v>27</v>
      </c>
    </row>
    <row r="38" spans="1:16" x14ac:dyDescent="0.25">
      <c r="A38" s="305">
        <f t="shared" si="5"/>
        <v>28</v>
      </c>
      <c r="B38" s="354"/>
      <c r="C38" s="502" t="s">
        <v>441</v>
      </c>
      <c r="D38" s="503">
        <v>8254.9592088600002</v>
      </c>
      <c r="O38" s="340"/>
      <c r="P38" s="305">
        <f t="shared" si="6"/>
        <v>28</v>
      </c>
    </row>
    <row r="39" spans="1:16" x14ac:dyDescent="0.25">
      <c r="A39" s="305">
        <f t="shared" si="5"/>
        <v>29</v>
      </c>
      <c r="B39" s="354"/>
      <c r="C39" s="502" t="s">
        <v>442</v>
      </c>
      <c r="D39" s="356">
        <v>1120.1507429919998</v>
      </c>
      <c r="E39" s="307">
        <f>SUM(D37:D39)</f>
        <v>9375.0137418520007</v>
      </c>
      <c r="O39" s="340"/>
      <c r="P39" s="305">
        <f t="shared" si="6"/>
        <v>29</v>
      </c>
    </row>
    <row r="40" spans="1:16" ht="18.75" x14ac:dyDescent="0.25">
      <c r="A40" s="305">
        <f t="shared" si="5"/>
        <v>30</v>
      </c>
      <c r="B40" s="354"/>
      <c r="C40" s="550" t="s">
        <v>452</v>
      </c>
      <c r="D40" s="503"/>
      <c r="L40" s="497">
        <v>1717.9580000000001</v>
      </c>
      <c r="M40" s="554">
        <v>7</v>
      </c>
      <c r="O40" s="340"/>
      <c r="P40" s="305">
        <f t="shared" si="6"/>
        <v>30</v>
      </c>
    </row>
    <row r="41" spans="1:16" ht="18.75" x14ac:dyDescent="0.25">
      <c r="A41" s="305">
        <f t="shared" si="5"/>
        <v>31</v>
      </c>
      <c r="B41" s="354"/>
      <c r="C41" s="555" t="s">
        <v>732</v>
      </c>
      <c r="D41" s="503"/>
      <c r="L41" s="316">
        <f>9503.23885-128.129</f>
        <v>9375.1098499999989</v>
      </c>
      <c r="M41" s="554">
        <v>9</v>
      </c>
      <c r="O41" s="340"/>
      <c r="P41" s="305">
        <f t="shared" si="6"/>
        <v>31</v>
      </c>
    </row>
    <row r="42" spans="1:16" x14ac:dyDescent="0.25">
      <c r="A42" s="305">
        <f t="shared" si="5"/>
        <v>32</v>
      </c>
      <c r="B42" s="354">
        <v>922</v>
      </c>
      <c r="C42" s="502" t="s">
        <v>442</v>
      </c>
      <c r="D42" s="503"/>
      <c r="E42" s="307">
        <v>-125.07091</v>
      </c>
      <c r="O42" s="340"/>
      <c r="P42" s="305">
        <f t="shared" si="6"/>
        <v>32</v>
      </c>
    </row>
    <row r="43" spans="1:16" ht="18.75" x14ac:dyDescent="0.25">
      <c r="A43" s="305">
        <f t="shared" si="5"/>
        <v>33</v>
      </c>
      <c r="B43" s="354"/>
      <c r="C43" s="555" t="s">
        <v>732</v>
      </c>
      <c r="D43" s="503"/>
      <c r="L43" s="316">
        <v>-125.12939</v>
      </c>
      <c r="M43" s="554">
        <v>9</v>
      </c>
      <c r="O43" s="340"/>
      <c r="P43" s="305">
        <f t="shared" si="6"/>
        <v>33</v>
      </c>
    </row>
    <row r="44" spans="1:16" x14ac:dyDescent="0.25">
      <c r="A44" s="305">
        <f t="shared" si="5"/>
        <v>34</v>
      </c>
      <c r="B44" s="354">
        <v>923</v>
      </c>
      <c r="C44" s="502" t="s">
        <v>440</v>
      </c>
      <c r="D44" s="357">
        <v>-17.988400000000002</v>
      </c>
      <c r="E44" s="357"/>
      <c r="O44" s="340"/>
      <c r="P44" s="305">
        <f t="shared" si="6"/>
        <v>34</v>
      </c>
    </row>
    <row r="45" spans="1:16" x14ac:dyDescent="0.25">
      <c r="A45" s="305">
        <f t="shared" si="5"/>
        <v>35</v>
      </c>
      <c r="B45" s="354"/>
      <c r="C45" s="502" t="s">
        <v>441</v>
      </c>
      <c r="D45" s="357">
        <v>2086.0140693979997</v>
      </c>
      <c r="E45" s="357"/>
      <c r="O45" s="340"/>
      <c r="P45" s="305">
        <f t="shared" si="6"/>
        <v>35</v>
      </c>
    </row>
    <row r="46" spans="1:16" x14ac:dyDescent="0.25">
      <c r="A46" s="305">
        <f t="shared" si="5"/>
        <v>36</v>
      </c>
      <c r="B46" s="354"/>
      <c r="C46" s="502" t="s">
        <v>442</v>
      </c>
      <c r="D46" s="357">
        <v>80.426986024000001</v>
      </c>
      <c r="O46" s="340"/>
      <c r="P46" s="305">
        <f t="shared" si="6"/>
        <v>36</v>
      </c>
    </row>
    <row r="47" spans="1:16" ht="18.75" x14ac:dyDescent="0.25">
      <c r="A47" s="305">
        <f t="shared" si="5"/>
        <v>37</v>
      </c>
      <c r="B47" s="354"/>
      <c r="C47" s="502" t="s">
        <v>443</v>
      </c>
      <c r="D47" s="357">
        <v>3185.4904999999999</v>
      </c>
      <c r="E47" s="357"/>
      <c r="O47" s="340"/>
      <c r="P47" s="305">
        <f t="shared" si="6"/>
        <v>37</v>
      </c>
    </row>
    <row r="48" spans="1:16" ht="18.75" x14ac:dyDescent="0.25">
      <c r="A48" s="305">
        <f t="shared" si="5"/>
        <v>38</v>
      </c>
      <c r="B48" s="354"/>
      <c r="C48" s="502" t="s">
        <v>721</v>
      </c>
      <c r="D48" s="357">
        <v>6031</v>
      </c>
      <c r="E48" s="357"/>
      <c r="O48" s="340"/>
      <c r="P48" s="305">
        <f t="shared" si="6"/>
        <v>38</v>
      </c>
    </row>
    <row r="49" spans="1:16" ht="18.75" x14ac:dyDescent="0.25">
      <c r="A49" s="305">
        <f t="shared" si="5"/>
        <v>39</v>
      </c>
      <c r="B49" s="354"/>
      <c r="C49" s="502" t="s">
        <v>445</v>
      </c>
      <c r="D49" s="358">
        <v>1480.604</v>
      </c>
      <c r="E49" s="357">
        <f>SUM(D44:D49)</f>
        <v>12845.547155421998</v>
      </c>
      <c r="O49" s="340"/>
      <c r="P49" s="305">
        <f t="shared" si="6"/>
        <v>39</v>
      </c>
    </row>
    <row r="50" spans="1:16" ht="18.75" x14ac:dyDescent="0.25">
      <c r="A50" s="305">
        <f t="shared" si="5"/>
        <v>40</v>
      </c>
      <c r="B50" s="354"/>
      <c r="C50" s="550" t="s">
        <v>452</v>
      </c>
      <c r="D50" s="357"/>
      <c r="E50" s="357"/>
      <c r="L50" s="497">
        <v>83.521000000000001</v>
      </c>
      <c r="M50" s="554">
        <v>7</v>
      </c>
      <c r="O50" s="340"/>
      <c r="P50" s="305">
        <f t="shared" si="6"/>
        <v>40</v>
      </c>
    </row>
    <row r="51" spans="1:16" ht="18.75" x14ac:dyDescent="0.25">
      <c r="A51" s="305">
        <f t="shared" si="5"/>
        <v>41</v>
      </c>
      <c r="B51" s="354"/>
      <c r="C51" s="555" t="s">
        <v>732</v>
      </c>
      <c r="D51" s="357"/>
      <c r="E51" s="357"/>
      <c r="L51" s="316">
        <f>2732.18753-566.172</f>
        <v>2166.0155300000001</v>
      </c>
      <c r="M51" s="554">
        <v>9</v>
      </c>
      <c r="O51" s="340"/>
      <c r="P51" s="305">
        <f t="shared" si="6"/>
        <v>41</v>
      </c>
    </row>
    <row r="52" spans="1:16" x14ac:dyDescent="0.25">
      <c r="A52" s="305">
        <f t="shared" si="5"/>
        <v>42</v>
      </c>
      <c r="B52" s="354">
        <v>925</v>
      </c>
      <c r="C52" s="502" t="s">
        <v>440</v>
      </c>
      <c r="D52" s="357">
        <v>277.64044235400002</v>
      </c>
      <c r="O52" s="340"/>
      <c r="P52" s="305">
        <f t="shared" si="6"/>
        <v>42</v>
      </c>
    </row>
    <row r="53" spans="1:16" x14ac:dyDescent="0.25">
      <c r="A53" s="305">
        <f t="shared" si="5"/>
        <v>43</v>
      </c>
      <c r="B53" s="354"/>
      <c r="C53" s="502" t="s">
        <v>442</v>
      </c>
      <c r="D53" s="357">
        <v>746.9557907520101</v>
      </c>
      <c r="O53" s="340"/>
      <c r="P53" s="305">
        <f t="shared" si="6"/>
        <v>43</v>
      </c>
    </row>
    <row r="54" spans="1:16" x14ac:dyDescent="0.25">
      <c r="A54" s="305">
        <f t="shared" si="5"/>
        <v>44</v>
      </c>
      <c r="B54" s="354"/>
      <c r="C54" s="504" t="s">
        <v>446</v>
      </c>
      <c r="D54" s="358">
        <v>80.508890000000008</v>
      </c>
      <c r="E54" s="307">
        <f>SUM(D52:D54)</f>
        <v>1105.1051231060101</v>
      </c>
      <c r="O54" s="340"/>
      <c r="P54" s="305">
        <f t="shared" si="6"/>
        <v>44</v>
      </c>
    </row>
    <row r="55" spans="1:16" ht="18.75" x14ac:dyDescent="0.25">
      <c r="A55" s="305">
        <f t="shared" si="5"/>
        <v>45</v>
      </c>
      <c r="B55" s="354"/>
      <c r="C55" s="555" t="s">
        <v>732</v>
      </c>
      <c r="D55" s="357"/>
      <c r="L55" s="316">
        <f>1051.78847-304.833</f>
        <v>746.95546999999988</v>
      </c>
      <c r="M55" s="554">
        <v>9</v>
      </c>
      <c r="O55" s="340"/>
      <c r="P55" s="305">
        <f t="shared" si="6"/>
        <v>45</v>
      </c>
    </row>
    <row r="56" spans="1:16" x14ac:dyDescent="0.25">
      <c r="A56" s="305">
        <f t="shared" si="5"/>
        <v>46</v>
      </c>
      <c r="B56" s="354">
        <v>926</v>
      </c>
      <c r="C56" s="504" t="s">
        <v>440</v>
      </c>
      <c r="D56" s="357">
        <v>646.29282690599985</v>
      </c>
      <c r="O56" s="340"/>
      <c r="P56" s="305">
        <f t="shared" si="6"/>
        <v>46</v>
      </c>
    </row>
    <row r="57" spans="1:16" x14ac:dyDescent="0.25">
      <c r="A57" s="305">
        <f t="shared" si="5"/>
        <v>47</v>
      </c>
      <c r="B57" s="354"/>
      <c r="C57" s="504" t="s">
        <v>446</v>
      </c>
      <c r="D57" s="357">
        <v>190.64548000000002</v>
      </c>
      <c r="E57" s="357"/>
      <c r="O57" s="340"/>
      <c r="P57" s="305">
        <f t="shared" si="6"/>
        <v>47</v>
      </c>
    </row>
    <row r="58" spans="1:16" x14ac:dyDescent="0.25">
      <c r="A58" s="305">
        <f t="shared" si="5"/>
        <v>48</v>
      </c>
      <c r="B58" s="354"/>
      <c r="C58" s="502" t="s">
        <v>442</v>
      </c>
      <c r="D58" s="358">
        <v>1752.650995052019</v>
      </c>
      <c r="E58" s="307">
        <f>SUM(D56:D58)</f>
        <v>2589.589301958019</v>
      </c>
      <c r="O58" s="340"/>
      <c r="P58" s="305">
        <f t="shared" si="6"/>
        <v>48</v>
      </c>
    </row>
    <row r="59" spans="1:16" ht="18.75" x14ac:dyDescent="0.25">
      <c r="A59" s="305">
        <f t="shared" ref="A59:A64" si="7">A58+1</f>
        <v>49</v>
      </c>
      <c r="B59" s="354"/>
      <c r="C59" s="555" t="s">
        <v>732</v>
      </c>
      <c r="D59" s="357"/>
      <c r="L59" s="316">
        <f>2584.69528-832.044</f>
        <v>1752.65128</v>
      </c>
      <c r="M59" s="554">
        <v>9</v>
      </c>
      <c r="O59" s="340"/>
      <c r="P59" s="305">
        <f t="shared" si="6"/>
        <v>49</v>
      </c>
    </row>
    <row r="60" spans="1:16" x14ac:dyDescent="0.25">
      <c r="A60" s="305">
        <f t="shared" si="7"/>
        <v>50</v>
      </c>
      <c r="B60" s="354">
        <v>927</v>
      </c>
      <c r="C60" s="504" t="s">
        <v>424</v>
      </c>
      <c r="D60" s="502"/>
      <c r="E60" s="357">
        <v>130506.76528000001</v>
      </c>
      <c r="O60" s="340"/>
      <c r="P60" s="305">
        <f t="shared" si="6"/>
        <v>50</v>
      </c>
    </row>
    <row r="61" spans="1:16" x14ac:dyDescent="0.25">
      <c r="A61" s="305">
        <f t="shared" si="7"/>
        <v>51</v>
      </c>
      <c r="B61" s="354">
        <v>928</v>
      </c>
      <c r="C61" s="502" t="s">
        <v>447</v>
      </c>
      <c r="D61" s="357">
        <v>13015.817289999999</v>
      </c>
      <c r="E61" s="357"/>
      <c r="O61" s="340"/>
      <c r="P61" s="305">
        <f t="shared" si="6"/>
        <v>51</v>
      </c>
    </row>
    <row r="62" spans="1:16" x14ac:dyDescent="0.25">
      <c r="A62" s="305">
        <f t="shared" si="7"/>
        <v>52</v>
      </c>
      <c r="B62" s="354"/>
      <c r="C62" s="504" t="s">
        <v>440</v>
      </c>
      <c r="D62" s="357">
        <v>428.3049200000001</v>
      </c>
      <c r="E62" s="357"/>
      <c r="F62" s="505"/>
      <c r="G62" s="505"/>
      <c r="H62" s="505"/>
      <c r="I62" s="505"/>
      <c r="J62" s="505"/>
      <c r="K62" s="505"/>
      <c r="L62" s="505"/>
      <c r="M62" s="505"/>
      <c r="N62" s="505"/>
      <c r="O62" s="359"/>
      <c r="P62" s="305">
        <f t="shared" si="6"/>
        <v>52</v>
      </c>
    </row>
    <row r="63" spans="1:16" x14ac:dyDescent="0.25">
      <c r="A63" s="305">
        <f t="shared" si="7"/>
        <v>53</v>
      </c>
      <c r="B63" s="354"/>
      <c r="C63" s="504" t="s">
        <v>448</v>
      </c>
      <c r="D63" s="360">
        <v>40.544630000000005</v>
      </c>
      <c r="E63" s="357"/>
      <c r="F63" s="505"/>
      <c r="G63" s="505"/>
      <c r="H63" s="505"/>
      <c r="I63" s="505"/>
      <c r="J63" s="505"/>
      <c r="K63" s="505"/>
      <c r="L63" s="505"/>
      <c r="M63" s="505"/>
      <c r="N63" s="505"/>
      <c r="O63" s="359"/>
      <c r="P63" s="305">
        <f t="shared" si="6"/>
        <v>53</v>
      </c>
    </row>
    <row r="64" spans="1:16" x14ac:dyDescent="0.25">
      <c r="A64" s="305">
        <f t="shared" si="7"/>
        <v>54</v>
      </c>
      <c r="B64" s="354"/>
      <c r="C64" s="502" t="s">
        <v>35</v>
      </c>
      <c r="D64" s="357">
        <v>0</v>
      </c>
      <c r="E64" s="357"/>
      <c r="O64" s="340"/>
      <c r="P64" s="305">
        <f t="shared" si="0"/>
        <v>54</v>
      </c>
    </row>
    <row r="65" spans="1:16" x14ac:dyDescent="0.25">
      <c r="A65" s="305">
        <f t="shared" si="1"/>
        <v>55</v>
      </c>
      <c r="B65" s="354"/>
      <c r="C65" s="502" t="s">
        <v>449</v>
      </c>
      <c r="D65" s="357">
        <v>2085.1866</v>
      </c>
      <c r="O65" s="340"/>
      <c r="P65" s="305">
        <f t="shared" si="0"/>
        <v>55</v>
      </c>
    </row>
    <row r="66" spans="1:16" ht="18.75" x14ac:dyDescent="0.25">
      <c r="A66" s="305">
        <f t="shared" si="1"/>
        <v>56</v>
      </c>
      <c r="B66" s="354"/>
      <c r="C66" s="502" t="s">
        <v>450</v>
      </c>
      <c r="D66" s="358">
        <v>1002.51586</v>
      </c>
      <c r="E66" s="357">
        <f>SUM(D61:D66)</f>
        <v>16572.369299999998</v>
      </c>
      <c r="O66" s="340"/>
      <c r="P66" s="305">
        <f t="shared" si="0"/>
        <v>56</v>
      </c>
    </row>
    <row r="67" spans="1:16" x14ac:dyDescent="0.25">
      <c r="A67" s="305">
        <f t="shared" si="1"/>
        <v>57</v>
      </c>
      <c r="B67" s="361">
        <v>930.1</v>
      </c>
      <c r="C67" s="502" t="s">
        <v>430</v>
      </c>
      <c r="D67" s="502"/>
      <c r="E67" s="357">
        <v>-204.155</v>
      </c>
      <c r="O67" s="340"/>
      <c r="P67" s="305">
        <f t="shared" si="0"/>
        <v>57</v>
      </c>
    </row>
    <row r="68" spans="1:16" x14ac:dyDescent="0.25">
      <c r="A68" s="305">
        <f>A67+1</f>
        <v>58</v>
      </c>
      <c r="B68" s="361">
        <v>930.2</v>
      </c>
      <c r="C68" s="504" t="s">
        <v>451</v>
      </c>
      <c r="D68" s="307">
        <f>1342.91598+1017.80149</f>
        <v>2360.71747</v>
      </c>
      <c r="E68" s="362"/>
      <c r="O68" s="340"/>
      <c r="P68" s="305">
        <f>A68</f>
        <v>58</v>
      </c>
    </row>
    <row r="69" spans="1:16" ht="18.75" x14ac:dyDescent="0.25">
      <c r="A69" s="305">
        <f t="shared" ref="A69:A70" si="8">A68+1</f>
        <v>59</v>
      </c>
      <c r="B69" s="361"/>
      <c r="C69" s="550" t="s">
        <v>452</v>
      </c>
      <c r="E69" s="362"/>
      <c r="L69" s="316">
        <v>595.57100000000003</v>
      </c>
      <c r="M69" s="554">
        <v>7</v>
      </c>
      <c r="O69" s="340"/>
      <c r="P69" s="305">
        <f t="shared" ref="P69:P71" si="9">A69</f>
        <v>59</v>
      </c>
    </row>
    <row r="70" spans="1:16" ht="18.75" x14ac:dyDescent="0.25">
      <c r="A70" s="305">
        <f t="shared" si="8"/>
        <v>60</v>
      </c>
      <c r="B70" s="361"/>
      <c r="C70" s="550" t="s">
        <v>452</v>
      </c>
      <c r="D70" s="316">
        <v>-690.76700000000005</v>
      </c>
      <c r="E70" s="362"/>
      <c r="L70" s="316">
        <v>-690.76700000000005</v>
      </c>
      <c r="M70" s="551">
        <v>8</v>
      </c>
      <c r="O70" s="340"/>
      <c r="P70" s="305">
        <f t="shared" si="9"/>
        <v>60</v>
      </c>
    </row>
    <row r="71" spans="1:16" ht="18.75" x14ac:dyDescent="0.25">
      <c r="A71" s="305">
        <f t="shared" si="1"/>
        <v>61</v>
      </c>
      <c r="B71" s="361"/>
      <c r="C71" s="504" t="s">
        <v>453</v>
      </c>
      <c r="D71" s="363">
        <v>-1452.373</v>
      </c>
      <c r="E71" s="362">
        <f>SUM(D68:D71)</f>
        <v>217.57746999999995</v>
      </c>
      <c r="O71" s="340"/>
      <c r="P71" s="305">
        <f t="shared" si="9"/>
        <v>61</v>
      </c>
    </row>
    <row r="72" spans="1:16" x14ac:dyDescent="0.25">
      <c r="A72" s="305">
        <f t="shared" si="1"/>
        <v>62</v>
      </c>
      <c r="B72" s="364">
        <v>935</v>
      </c>
      <c r="C72" s="504" t="s">
        <v>454</v>
      </c>
      <c r="D72" s="307">
        <v>-1927.3924299999994</v>
      </c>
      <c r="E72" s="362"/>
      <c r="O72" s="340"/>
      <c r="P72" s="305">
        <f t="shared" ref="P72:P73" si="10">A72</f>
        <v>62</v>
      </c>
    </row>
    <row r="73" spans="1:16" x14ac:dyDescent="0.25">
      <c r="A73" s="305">
        <f t="shared" si="1"/>
        <v>63</v>
      </c>
      <c r="B73" s="354"/>
      <c r="C73" s="506" t="s">
        <v>455</v>
      </c>
      <c r="D73" s="365">
        <v>12.147468914000001</v>
      </c>
      <c r="E73" s="365">
        <f>SUM(D72:D73)</f>
        <v>-1915.2449610859994</v>
      </c>
      <c r="L73" s="363"/>
      <c r="O73" s="340"/>
      <c r="P73" s="305">
        <f t="shared" si="10"/>
        <v>63</v>
      </c>
    </row>
    <row r="74" spans="1:16" x14ac:dyDescent="0.25">
      <c r="A74" s="305">
        <f t="shared" si="1"/>
        <v>64</v>
      </c>
      <c r="B74" s="366"/>
      <c r="C74" s="507"/>
      <c r="D74" s="367"/>
      <c r="E74" s="368"/>
      <c r="O74" s="340"/>
      <c r="P74" s="305">
        <f>A74</f>
        <v>64</v>
      </c>
    </row>
    <row r="75" spans="1:16" ht="16.5" thickBot="1" x14ac:dyDescent="0.3">
      <c r="A75" s="305">
        <f t="shared" si="1"/>
        <v>65</v>
      </c>
      <c r="B75" s="369"/>
      <c r="C75" s="508" t="s">
        <v>456</v>
      </c>
      <c r="D75" s="509"/>
      <c r="E75" s="370">
        <f>SUM(E33:E73)</f>
        <v>171935.58007067602</v>
      </c>
      <c r="F75" s="510"/>
      <c r="G75" s="510"/>
      <c r="H75" s="510"/>
      <c r="I75" s="510"/>
      <c r="J75" s="510"/>
      <c r="K75" s="510"/>
      <c r="L75" s="557">
        <f>SUM(L36:L73)</f>
        <v>16552.13812</v>
      </c>
      <c r="M75" s="510"/>
      <c r="N75" s="559"/>
      <c r="O75" s="340"/>
      <c r="P75" s="305">
        <f>A75</f>
        <v>65</v>
      </c>
    </row>
    <row r="76" spans="1:16" ht="16.5" thickTop="1" x14ac:dyDescent="0.25">
      <c r="A76" s="305">
        <f t="shared" si="1"/>
        <v>66</v>
      </c>
      <c r="B76" s="369"/>
      <c r="C76" s="508"/>
      <c r="E76" s="173"/>
      <c r="F76" s="511"/>
      <c r="G76" s="511"/>
      <c r="H76" s="511"/>
      <c r="I76" s="511"/>
      <c r="J76" s="511"/>
      <c r="K76" s="511"/>
      <c r="L76" s="511"/>
      <c r="M76" s="511"/>
      <c r="N76" s="511"/>
      <c r="O76" s="340"/>
      <c r="P76" s="305">
        <f>A76</f>
        <v>66</v>
      </c>
    </row>
    <row r="77" spans="1:16" x14ac:dyDescent="0.25">
      <c r="A77" s="305">
        <f t="shared" si="1"/>
        <v>67</v>
      </c>
      <c r="B77" s="512" t="s">
        <v>33</v>
      </c>
      <c r="C77" s="12" t="s">
        <v>743</v>
      </c>
      <c r="E77" s="173"/>
      <c r="F77" s="511"/>
      <c r="G77" s="511"/>
      <c r="H77" s="511"/>
      <c r="I77" s="511"/>
      <c r="J77" s="511"/>
      <c r="K77" s="511"/>
      <c r="L77" s="511"/>
      <c r="M77" s="511"/>
      <c r="N77" s="511"/>
      <c r="O77" s="340"/>
      <c r="P77" s="305">
        <f t="shared" ref="P77:P79" si="11">A77</f>
        <v>67</v>
      </c>
    </row>
    <row r="78" spans="1:16" ht="16.5" x14ac:dyDescent="0.25">
      <c r="A78" s="305">
        <f>A77+1</f>
        <v>68</v>
      </c>
      <c r="B78" s="542">
        <v>1</v>
      </c>
      <c r="C78" s="304" t="s">
        <v>457</v>
      </c>
      <c r="E78" s="217"/>
      <c r="F78" s="513"/>
      <c r="G78" s="513"/>
      <c r="H78" s="513"/>
      <c r="I78" s="513"/>
      <c r="J78" s="513"/>
      <c r="K78" s="513"/>
      <c r="L78" s="513"/>
      <c r="M78" s="513"/>
      <c r="N78" s="513"/>
      <c r="O78" s="340"/>
      <c r="P78" s="305">
        <f t="shared" si="11"/>
        <v>68</v>
      </c>
    </row>
    <row r="79" spans="1:16" ht="16.5" x14ac:dyDescent="0.25">
      <c r="A79" s="305">
        <f t="shared" si="1"/>
        <v>69</v>
      </c>
      <c r="B79" s="543">
        <v>2</v>
      </c>
      <c r="C79" s="304" t="s">
        <v>458</v>
      </c>
      <c r="E79" s="217"/>
      <c r="F79" s="513"/>
      <c r="G79" s="513"/>
      <c r="H79" s="513"/>
      <c r="I79" s="513"/>
      <c r="J79" s="513"/>
      <c r="K79" s="513"/>
      <c r="L79" s="513"/>
      <c r="M79" s="513"/>
      <c r="N79" s="513"/>
      <c r="O79" s="340"/>
      <c r="P79" s="305">
        <f t="shared" si="11"/>
        <v>69</v>
      </c>
    </row>
    <row r="80" spans="1:16" x14ac:dyDescent="0.25">
      <c r="A80" s="305">
        <f t="shared" si="1"/>
        <v>70</v>
      </c>
      <c r="B80" s="544"/>
      <c r="C80" s="304" t="s">
        <v>459</v>
      </c>
      <c r="E80" s="217"/>
      <c r="F80" s="513"/>
      <c r="G80" s="513"/>
      <c r="H80" s="513"/>
      <c r="I80" s="513"/>
      <c r="J80" s="513"/>
      <c r="K80" s="513"/>
      <c r="L80" s="513"/>
      <c r="M80" s="513"/>
      <c r="N80" s="513"/>
      <c r="O80" s="340"/>
      <c r="P80" s="305">
        <f t="shared" ref="P80:P92" si="12">A80</f>
        <v>70</v>
      </c>
    </row>
    <row r="81" spans="1:16" ht="16.5" x14ac:dyDescent="0.25">
      <c r="A81" s="305">
        <f t="shared" si="1"/>
        <v>71</v>
      </c>
      <c r="B81" s="543">
        <v>3</v>
      </c>
      <c r="C81" s="304" t="s">
        <v>460</v>
      </c>
      <c r="E81" s="217"/>
      <c r="F81" s="513"/>
      <c r="G81" s="513"/>
      <c r="H81" s="513"/>
      <c r="I81" s="513"/>
      <c r="J81" s="513"/>
      <c r="K81" s="513"/>
      <c r="L81" s="513"/>
      <c r="M81" s="513"/>
      <c r="N81" s="513"/>
      <c r="O81" s="340"/>
      <c r="P81" s="305">
        <f t="shared" si="12"/>
        <v>71</v>
      </c>
    </row>
    <row r="82" spans="1:16" ht="16.5" x14ac:dyDescent="0.25">
      <c r="A82" s="305">
        <f t="shared" si="1"/>
        <v>72</v>
      </c>
      <c r="B82" s="543"/>
      <c r="C82" s="304" t="s">
        <v>461</v>
      </c>
      <c r="E82" s="217"/>
      <c r="F82" s="513"/>
      <c r="G82" s="513"/>
      <c r="H82" s="513"/>
      <c r="I82" s="513"/>
      <c r="J82" s="513"/>
      <c r="K82" s="513"/>
      <c r="L82" s="513"/>
      <c r="M82" s="513"/>
      <c r="N82" s="513"/>
      <c r="O82" s="340"/>
      <c r="P82" s="305">
        <f t="shared" si="12"/>
        <v>72</v>
      </c>
    </row>
    <row r="83" spans="1:16" ht="16.5" x14ac:dyDescent="0.25">
      <c r="A83" s="305">
        <f t="shared" si="1"/>
        <v>73</v>
      </c>
      <c r="B83" s="543"/>
      <c r="C83" s="304" t="s">
        <v>462</v>
      </c>
      <c r="E83" s="217"/>
      <c r="F83" s="513"/>
      <c r="G83" s="513"/>
      <c r="H83" s="513"/>
      <c r="I83" s="513"/>
      <c r="J83" s="513"/>
      <c r="K83" s="513"/>
      <c r="L83" s="513"/>
      <c r="M83" s="513"/>
      <c r="N83" s="513"/>
      <c r="O83" s="340"/>
      <c r="P83" s="305">
        <f t="shared" si="12"/>
        <v>73</v>
      </c>
    </row>
    <row r="84" spans="1:16" ht="16.5" x14ac:dyDescent="0.25">
      <c r="A84" s="305">
        <f t="shared" si="1"/>
        <v>74</v>
      </c>
      <c r="B84" s="543">
        <v>4</v>
      </c>
      <c r="C84" s="5" t="s">
        <v>463</v>
      </c>
      <c r="E84" s="217"/>
      <c r="F84" s="513"/>
      <c r="G84" s="513"/>
      <c r="H84" s="513"/>
      <c r="I84" s="513"/>
      <c r="J84" s="513"/>
      <c r="K84" s="513"/>
      <c r="L84" s="513"/>
      <c r="M84" s="513"/>
      <c r="N84" s="513"/>
      <c r="O84" s="340"/>
      <c r="P84" s="305">
        <f t="shared" si="12"/>
        <v>74</v>
      </c>
    </row>
    <row r="85" spans="1:16" ht="16.5" x14ac:dyDescent="0.25">
      <c r="A85" s="305">
        <f t="shared" si="1"/>
        <v>75</v>
      </c>
      <c r="B85" s="543"/>
      <c r="C85" s="304" t="s">
        <v>464</v>
      </c>
      <c r="E85" s="217"/>
      <c r="F85" s="513"/>
      <c r="G85" s="513"/>
      <c r="H85" s="513"/>
      <c r="I85" s="513"/>
      <c r="J85" s="513"/>
      <c r="K85" s="513"/>
      <c r="L85" s="513"/>
      <c r="M85" s="513"/>
      <c r="N85" s="513"/>
      <c r="O85" s="340"/>
      <c r="P85" s="305">
        <f t="shared" si="12"/>
        <v>75</v>
      </c>
    </row>
    <row r="86" spans="1:16" ht="16.5" x14ac:dyDescent="0.25">
      <c r="A86" s="305">
        <f t="shared" si="1"/>
        <v>76</v>
      </c>
      <c r="B86" s="543">
        <v>5</v>
      </c>
      <c r="C86" s="304" t="s">
        <v>465</v>
      </c>
      <c r="E86" s="217"/>
      <c r="F86" s="513"/>
      <c r="G86" s="513"/>
      <c r="H86" s="513"/>
      <c r="I86" s="513"/>
      <c r="J86" s="513"/>
      <c r="K86" s="513"/>
      <c r="L86" s="513"/>
      <c r="M86" s="513"/>
      <c r="N86" s="513"/>
      <c r="O86" s="340"/>
      <c r="P86" s="305">
        <f t="shared" si="12"/>
        <v>76</v>
      </c>
    </row>
    <row r="87" spans="1:16" ht="16.5" x14ac:dyDescent="0.25">
      <c r="A87" s="305">
        <f t="shared" si="1"/>
        <v>77</v>
      </c>
      <c r="B87" s="543">
        <v>6</v>
      </c>
      <c r="C87" s="304" t="s">
        <v>466</v>
      </c>
      <c r="E87" s="217"/>
      <c r="F87" s="513"/>
      <c r="G87" s="513"/>
      <c r="H87" s="513"/>
      <c r="I87" s="513"/>
      <c r="J87" s="513"/>
      <c r="K87" s="513"/>
      <c r="L87" s="513"/>
      <c r="M87" s="513"/>
      <c r="N87" s="513"/>
      <c r="O87" s="340"/>
      <c r="P87" s="305">
        <f t="shared" si="12"/>
        <v>77</v>
      </c>
    </row>
    <row r="88" spans="1:16" ht="16.5" x14ac:dyDescent="0.25">
      <c r="A88" s="305">
        <f t="shared" si="1"/>
        <v>78</v>
      </c>
      <c r="B88" s="543">
        <v>7</v>
      </c>
      <c r="C88" s="304" t="s">
        <v>727</v>
      </c>
      <c r="E88" s="217"/>
      <c r="F88" s="513"/>
      <c r="G88" s="513"/>
      <c r="H88" s="513"/>
      <c r="I88" s="513"/>
      <c r="J88" s="513"/>
      <c r="K88" s="513"/>
      <c r="L88" s="513"/>
      <c r="M88" s="513"/>
      <c r="N88" s="513"/>
      <c r="O88" s="340"/>
      <c r="P88" s="305">
        <f t="shared" si="12"/>
        <v>78</v>
      </c>
    </row>
    <row r="89" spans="1:16" ht="16.5" x14ac:dyDescent="0.25">
      <c r="A89" s="305">
        <f t="shared" si="1"/>
        <v>79</v>
      </c>
      <c r="B89" s="543"/>
      <c r="C89" s="304" t="s">
        <v>737</v>
      </c>
      <c r="E89" s="217"/>
      <c r="F89" s="513"/>
      <c r="G89" s="513"/>
      <c r="H89" s="513"/>
      <c r="I89" s="513"/>
      <c r="J89" s="513"/>
      <c r="K89" s="513"/>
      <c r="L89" s="513"/>
      <c r="M89" s="513"/>
      <c r="N89" s="513"/>
      <c r="O89" s="340"/>
      <c r="P89" s="305">
        <f t="shared" si="12"/>
        <v>79</v>
      </c>
    </row>
    <row r="90" spans="1:16" ht="16.5" x14ac:dyDescent="0.25">
      <c r="A90" s="305">
        <f t="shared" si="1"/>
        <v>80</v>
      </c>
      <c r="B90" s="543">
        <v>8</v>
      </c>
      <c r="C90" s="5" t="s">
        <v>726</v>
      </c>
      <c r="E90" s="217"/>
      <c r="F90" s="513"/>
      <c r="G90" s="513"/>
      <c r="H90" s="513"/>
      <c r="I90" s="513"/>
      <c r="J90" s="513"/>
      <c r="K90" s="513"/>
      <c r="L90" s="513"/>
      <c r="M90" s="513"/>
      <c r="N90" s="513"/>
      <c r="O90" s="340"/>
      <c r="P90" s="305">
        <f t="shared" si="12"/>
        <v>80</v>
      </c>
    </row>
    <row r="91" spans="1:16" ht="16.5" x14ac:dyDescent="0.25">
      <c r="A91" s="305">
        <f t="shared" si="1"/>
        <v>81</v>
      </c>
      <c r="B91" s="543">
        <v>9</v>
      </c>
      <c r="C91" s="5" t="s">
        <v>734</v>
      </c>
      <c r="E91" s="217"/>
      <c r="F91" s="513"/>
      <c r="G91" s="513"/>
      <c r="H91" s="513"/>
      <c r="I91" s="513"/>
      <c r="J91" s="513"/>
      <c r="K91" s="513"/>
      <c r="L91" s="513"/>
      <c r="M91" s="513"/>
      <c r="N91" s="513"/>
      <c r="O91" s="340"/>
      <c r="P91" s="305">
        <f t="shared" si="12"/>
        <v>81</v>
      </c>
    </row>
    <row r="92" spans="1:16" ht="16.5" thickBot="1" x14ac:dyDescent="0.3">
      <c r="A92" s="305">
        <f t="shared" ref="A92" si="13">A91+1</f>
        <v>82</v>
      </c>
      <c r="B92" s="374"/>
      <c r="C92" s="375"/>
      <c r="D92" s="308"/>
      <c r="E92" s="308"/>
      <c r="F92" s="308"/>
      <c r="G92" s="308"/>
      <c r="H92" s="308"/>
      <c r="I92" s="308"/>
      <c r="J92" s="308"/>
      <c r="K92" s="308"/>
      <c r="L92" s="308"/>
      <c r="M92" s="308"/>
      <c r="N92" s="308"/>
      <c r="O92" s="347"/>
      <c r="P92" s="305">
        <f t="shared" si="12"/>
        <v>82</v>
      </c>
    </row>
    <row r="93" spans="1:16" x14ac:dyDescent="0.25">
      <c r="A93" s="306"/>
      <c r="C93" s="329"/>
      <c r="D93" s="376"/>
      <c r="E93" s="376"/>
    </row>
    <row r="94" spans="1:16" ht="18.75" x14ac:dyDescent="0.25">
      <c r="A94" s="377"/>
      <c r="C94" s="329"/>
    </row>
    <row r="95" spans="1:16" ht="18.75" x14ac:dyDescent="0.25">
      <c r="A95" s="377"/>
      <c r="C95" s="329"/>
    </row>
    <row r="96" spans="1:16" ht="18.75" x14ac:dyDescent="0.25">
      <c r="A96" s="377"/>
      <c r="C96" s="329"/>
    </row>
    <row r="97" spans="1:3" ht="18.75" x14ac:dyDescent="0.25">
      <c r="A97" s="377"/>
      <c r="C97" s="329"/>
    </row>
    <row r="98" spans="1:3" ht="18.75" x14ac:dyDescent="0.25">
      <c r="A98" s="377"/>
      <c r="C98" s="329"/>
    </row>
    <row r="99" spans="1:3" ht="18.75" x14ac:dyDescent="0.25">
      <c r="A99" s="377"/>
      <c r="C99" s="329"/>
    </row>
    <row r="100" spans="1:3" x14ac:dyDescent="0.25">
      <c r="A100" s="306"/>
      <c r="C100" s="329"/>
    </row>
    <row r="101" spans="1:3" ht="18.75" x14ac:dyDescent="0.25">
      <c r="A101" s="377"/>
      <c r="C101" s="329"/>
    </row>
    <row r="102" spans="1:3" x14ac:dyDescent="0.25">
      <c r="A102" s="306"/>
      <c r="C102" s="329"/>
    </row>
    <row r="103" spans="1:3" ht="18.75" x14ac:dyDescent="0.25">
      <c r="A103" s="377"/>
      <c r="C103" s="329"/>
    </row>
    <row r="104" spans="1:3" x14ac:dyDescent="0.25">
      <c r="A104" s="306"/>
      <c r="C104" s="329"/>
    </row>
    <row r="105" spans="1:3" ht="18.75" x14ac:dyDescent="0.25">
      <c r="A105" s="377"/>
      <c r="C105" s="329"/>
    </row>
    <row r="106" spans="1:3" ht="18.75" x14ac:dyDescent="0.25">
      <c r="A106" s="377"/>
      <c r="B106" s="329"/>
    </row>
    <row r="107" spans="1:3" ht="18.75" x14ac:dyDescent="0.25">
      <c r="A107" s="377"/>
      <c r="B107" s="329"/>
    </row>
    <row r="108" spans="1:3" x14ac:dyDescent="0.25">
      <c r="B108" s="329"/>
    </row>
    <row r="109" spans="1:3" ht="18.75" x14ac:dyDescent="0.25">
      <c r="A109" s="377"/>
      <c r="B109" s="329"/>
    </row>
    <row r="110" spans="1:3" x14ac:dyDescent="0.25">
      <c r="A110" s="378"/>
      <c r="B110" s="379"/>
    </row>
    <row r="111" spans="1:3" x14ac:dyDescent="0.25">
      <c r="B111" s="329"/>
    </row>
  </sheetData>
  <mergeCells count="4">
    <mergeCell ref="B2:O2"/>
    <mergeCell ref="B3:O3"/>
    <mergeCell ref="B4:O4"/>
    <mergeCell ref="B5:O5"/>
  </mergeCells>
  <printOptions horizontalCentered="1"/>
  <pageMargins left="0.25" right="0.25" top="0.5" bottom="0.5" header="0.35" footer="0.25"/>
  <pageSetup scale="43" orientation="portrait" horizontalDpi="200" verticalDpi="200" r:id="rId1"/>
  <headerFooter scaleWithDoc="0" alignWithMargins="0">
    <oddHeader>&amp;C&amp;"Times New Roman,Bold"&amp;7REVISED</oddHeader>
    <oddFooter>&amp;L&amp;A&amp;CPage 6.2&amp;R&amp;F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B9F6D-43A9-4136-8DFF-1C2A79137AEF}">
  <sheetPr>
    <pageSetUpPr fitToPage="1"/>
  </sheetPr>
  <dimension ref="A1:O97"/>
  <sheetViews>
    <sheetView zoomScale="80" zoomScaleNormal="80" workbookViewId="0"/>
  </sheetViews>
  <sheetFormatPr defaultColWidth="9.28515625" defaultRowHeight="15.75" x14ac:dyDescent="0.25"/>
  <cols>
    <col min="1" max="1" width="5.28515625" style="305" customWidth="1"/>
    <col min="2" max="2" width="8.5703125" style="307" customWidth="1"/>
    <col min="3" max="3" width="61.7109375" style="307" customWidth="1"/>
    <col min="4" max="5" width="16.7109375" style="307" customWidth="1"/>
    <col min="6" max="6" width="15.28515625" style="307" customWidth="1"/>
    <col min="7" max="7" width="2.28515625" style="307" bestFit="1" customWidth="1"/>
    <col min="8" max="8" width="15.42578125" style="307" bestFit="1" customWidth="1"/>
    <col min="9" max="9" width="2.7109375" style="307" bestFit="1" customWidth="1"/>
    <col min="10" max="10" width="14.7109375" style="307" customWidth="1"/>
    <col min="11" max="11" width="30.5703125" style="307" customWidth="1"/>
    <col min="12" max="12" width="4.7109375" style="305" bestFit="1" customWidth="1"/>
    <col min="13" max="13" width="4" style="307" customWidth="1"/>
    <col min="14" max="14" width="13.28515625" style="307" bestFit="1" customWidth="1"/>
    <col min="15" max="15" width="9.28515625" style="307"/>
    <col min="16" max="16" width="9.7109375" style="307" customWidth="1"/>
    <col min="17" max="17" width="10" style="307" customWidth="1"/>
    <col min="18" max="16384" width="9.28515625" style="307"/>
  </cols>
  <sheetData>
    <row r="1" spans="1:15" x14ac:dyDescent="0.25">
      <c r="A1" s="486" t="s">
        <v>467</v>
      </c>
    </row>
    <row r="3" spans="1:15" x14ac:dyDescent="0.25">
      <c r="B3" s="579" t="s">
        <v>206</v>
      </c>
      <c r="C3" s="579"/>
      <c r="D3" s="579"/>
      <c r="E3" s="579"/>
      <c r="F3" s="579"/>
      <c r="G3" s="579"/>
      <c r="H3" s="579"/>
      <c r="I3" s="579"/>
      <c r="J3" s="579"/>
      <c r="K3" s="579"/>
      <c r="L3" s="306"/>
    </row>
    <row r="4" spans="1:15" x14ac:dyDescent="0.25">
      <c r="B4" s="579" t="s">
        <v>391</v>
      </c>
      <c r="C4" s="579"/>
      <c r="D4" s="579"/>
      <c r="E4" s="579"/>
      <c r="F4" s="579"/>
      <c r="G4" s="579"/>
      <c r="H4" s="579"/>
      <c r="I4" s="579"/>
      <c r="J4" s="579"/>
      <c r="K4" s="579"/>
      <c r="L4" s="306"/>
    </row>
    <row r="5" spans="1:15" x14ac:dyDescent="0.25">
      <c r="B5" s="579" t="s">
        <v>392</v>
      </c>
      <c r="C5" s="579"/>
      <c r="D5" s="579"/>
      <c r="E5" s="579"/>
      <c r="F5" s="579"/>
      <c r="G5" s="579"/>
      <c r="H5" s="579"/>
      <c r="I5" s="579"/>
      <c r="J5" s="579"/>
      <c r="K5" s="579"/>
      <c r="L5" s="306"/>
    </row>
    <row r="6" spans="1:15" x14ac:dyDescent="0.25">
      <c r="B6" s="580" t="s">
        <v>2</v>
      </c>
      <c r="C6" s="580"/>
      <c r="D6" s="580"/>
      <c r="E6" s="580"/>
      <c r="F6" s="580"/>
      <c r="G6" s="580"/>
      <c r="H6" s="580"/>
      <c r="I6" s="580"/>
      <c r="J6" s="580"/>
      <c r="K6" s="580"/>
      <c r="L6" s="306"/>
    </row>
    <row r="7" spans="1:15" ht="16.5" thickBot="1" x14ac:dyDescent="0.3">
      <c r="D7" s="308"/>
      <c r="E7" s="308"/>
      <c r="F7" s="308"/>
      <c r="G7" s="308"/>
      <c r="H7" s="308"/>
      <c r="I7" s="308"/>
      <c r="J7" s="308"/>
      <c r="K7" s="308"/>
      <c r="N7" s="304"/>
    </row>
    <row r="8" spans="1:15" ht="18.75" x14ac:dyDescent="0.25">
      <c r="A8" s="306"/>
      <c r="B8" s="309"/>
      <c r="C8" s="310"/>
      <c r="D8" s="311" t="s">
        <v>287</v>
      </c>
      <c r="E8" s="312" t="s">
        <v>288</v>
      </c>
      <c r="F8" s="313" t="s">
        <v>393</v>
      </c>
      <c r="G8" s="498"/>
      <c r="H8" s="8" t="s">
        <v>394</v>
      </c>
      <c r="I8" s="383"/>
      <c r="J8" s="383" t="s">
        <v>395</v>
      </c>
      <c r="K8" s="314"/>
      <c r="L8" s="306"/>
    </row>
    <row r="9" spans="1:15" x14ac:dyDescent="0.25">
      <c r="A9" s="305" t="s">
        <v>3</v>
      </c>
      <c r="B9" s="315" t="s">
        <v>398</v>
      </c>
      <c r="C9" s="316"/>
      <c r="D9" s="317" t="s">
        <v>295</v>
      </c>
      <c r="E9" s="306" t="s">
        <v>399</v>
      </c>
      <c r="F9" s="317" t="s">
        <v>295</v>
      </c>
      <c r="G9" s="499"/>
      <c r="H9" s="266" t="s">
        <v>400</v>
      </c>
      <c r="I9" s="384"/>
      <c r="J9" s="385" t="s">
        <v>401</v>
      </c>
      <c r="K9" s="318"/>
      <c r="L9" s="305" t="s">
        <v>3</v>
      </c>
    </row>
    <row r="10" spans="1:15" ht="16.5" thickBot="1" x14ac:dyDescent="0.3">
      <c r="A10" s="305" t="s">
        <v>7</v>
      </c>
      <c r="B10" s="319" t="s">
        <v>403</v>
      </c>
      <c r="C10" s="320" t="s">
        <v>4</v>
      </c>
      <c r="D10" s="321" t="s">
        <v>404</v>
      </c>
      <c r="E10" s="320" t="s">
        <v>405</v>
      </c>
      <c r="F10" s="321" t="s">
        <v>406</v>
      </c>
      <c r="G10" s="500"/>
      <c r="H10" s="382" t="s">
        <v>407</v>
      </c>
      <c r="I10" s="386"/>
      <c r="J10" s="387" t="s">
        <v>408</v>
      </c>
      <c r="K10" s="322" t="s">
        <v>6</v>
      </c>
      <c r="L10" s="305" t="s">
        <v>7</v>
      </c>
      <c r="M10" s="305"/>
    </row>
    <row r="11" spans="1:15" x14ac:dyDescent="0.25">
      <c r="B11" s="323"/>
      <c r="C11" s="324" t="s">
        <v>409</v>
      </c>
      <c r="D11" s="325"/>
      <c r="E11" s="326"/>
      <c r="F11" s="327"/>
      <c r="G11" s="380"/>
      <c r="H11" s="380"/>
      <c r="I11" s="389"/>
      <c r="J11" s="392"/>
      <c r="K11" s="328"/>
    </row>
    <row r="12" spans="1:15" ht="19.5" x14ac:dyDescent="0.25">
      <c r="A12" s="305">
        <v>1</v>
      </c>
      <c r="B12" s="323">
        <v>920</v>
      </c>
      <c r="C12" s="329" t="s">
        <v>410</v>
      </c>
      <c r="D12" s="330">
        <v>46411.108999999997</v>
      </c>
      <c r="E12" s="330">
        <f>E33</f>
        <v>968.08356942399996</v>
      </c>
      <c r="F12" s="330">
        <f>D12-E12</f>
        <v>45443.025430575995</v>
      </c>
      <c r="G12" s="381"/>
      <c r="H12" s="381"/>
      <c r="I12" s="397"/>
      <c r="J12" s="330">
        <f>F12+H12</f>
        <v>45443.025430575995</v>
      </c>
      <c r="K12" s="331" t="s">
        <v>411</v>
      </c>
      <c r="L12" s="305">
        <f t="shared" ref="L12:L57" si="0">A12</f>
        <v>1</v>
      </c>
      <c r="M12" s="307" t="s">
        <v>21</v>
      </c>
      <c r="N12" s="332"/>
    </row>
    <row r="13" spans="1:15" ht="19.5" x14ac:dyDescent="0.25">
      <c r="A13" s="305">
        <f t="shared" ref="A13:A76" si="1">A12+1</f>
        <v>2</v>
      </c>
      <c r="B13" s="323">
        <v>921</v>
      </c>
      <c r="C13" s="329" t="s">
        <v>412</v>
      </c>
      <c r="D13" s="333">
        <v>28861</v>
      </c>
      <c r="E13" s="333">
        <f>E36</f>
        <v>9375.0137418520007</v>
      </c>
      <c r="F13" s="333">
        <f>D13-E13</f>
        <v>19485.986258147997</v>
      </c>
      <c r="G13" s="368"/>
      <c r="H13" s="368"/>
      <c r="I13" s="397"/>
      <c r="J13" s="333">
        <f>F13+H13</f>
        <v>19485.986258147997</v>
      </c>
      <c r="K13" s="331" t="s">
        <v>413</v>
      </c>
      <c r="L13" s="305">
        <f t="shared" si="0"/>
        <v>2</v>
      </c>
      <c r="N13" s="332"/>
      <c r="O13" s="334"/>
    </row>
    <row r="14" spans="1:15" x14ac:dyDescent="0.25">
      <c r="A14" s="305">
        <f t="shared" si="1"/>
        <v>3</v>
      </c>
      <c r="B14" s="323">
        <v>922</v>
      </c>
      <c r="C14" s="329" t="s">
        <v>414</v>
      </c>
      <c r="D14" s="333">
        <v>-18872.382000000001</v>
      </c>
      <c r="E14" s="333">
        <f>E37</f>
        <v>-125.07091</v>
      </c>
      <c r="F14" s="333">
        <f t="shared" ref="F14:F24" si="2">D14-E14</f>
        <v>-18747.311090000003</v>
      </c>
      <c r="G14" s="368"/>
      <c r="H14" s="368"/>
      <c r="I14" s="390"/>
      <c r="J14" s="333">
        <f t="shared" ref="J14:J24" si="3">F14+H14</f>
        <v>-18747.311090000003</v>
      </c>
      <c r="K14" s="331" t="s">
        <v>415</v>
      </c>
      <c r="L14" s="305">
        <f t="shared" si="0"/>
        <v>3</v>
      </c>
      <c r="N14" s="332"/>
    </row>
    <row r="15" spans="1:15" ht="19.5" x14ac:dyDescent="0.25">
      <c r="A15" s="305">
        <f t="shared" si="1"/>
        <v>4</v>
      </c>
      <c r="B15" s="323">
        <v>923</v>
      </c>
      <c r="C15" s="329" t="s">
        <v>416</v>
      </c>
      <c r="D15" s="333">
        <v>108535.25900000001</v>
      </c>
      <c r="E15" s="333">
        <f>E43</f>
        <v>12845.547155421998</v>
      </c>
      <c r="F15" s="333">
        <f t="shared" si="2"/>
        <v>95689.711844578007</v>
      </c>
      <c r="G15" s="368"/>
      <c r="H15" s="368"/>
      <c r="I15" s="397"/>
      <c r="J15" s="333">
        <f t="shared" si="3"/>
        <v>95689.711844578007</v>
      </c>
      <c r="K15" s="331" t="s">
        <v>417</v>
      </c>
      <c r="L15" s="305">
        <f t="shared" si="0"/>
        <v>4</v>
      </c>
      <c r="N15" s="332"/>
    </row>
    <row r="16" spans="1:15" x14ac:dyDescent="0.25">
      <c r="A16" s="305">
        <f t="shared" si="1"/>
        <v>5</v>
      </c>
      <c r="B16" s="323">
        <v>924</v>
      </c>
      <c r="C16" s="329" t="s">
        <v>418</v>
      </c>
      <c r="D16" s="333">
        <v>8310.402</v>
      </c>
      <c r="E16" s="333">
        <v>0</v>
      </c>
      <c r="F16" s="333">
        <f t="shared" si="2"/>
        <v>8310.402</v>
      </c>
      <c r="G16" s="368"/>
      <c r="H16" s="368"/>
      <c r="I16" s="390"/>
      <c r="J16" s="333">
        <f t="shared" si="3"/>
        <v>8310.402</v>
      </c>
      <c r="K16" s="331" t="s">
        <v>419</v>
      </c>
      <c r="L16" s="305">
        <f t="shared" si="0"/>
        <v>5</v>
      </c>
      <c r="N16" s="332"/>
    </row>
    <row r="17" spans="1:14" ht="19.5" x14ac:dyDescent="0.25">
      <c r="A17" s="305">
        <f t="shared" si="1"/>
        <v>6</v>
      </c>
      <c r="B17" s="315">
        <v>925</v>
      </c>
      <c r="C17" s="329" t="s">
        <v>420</v>
      </c>
      <c r="D17" s="333">
        <v>181130.33900000001</v>
      </c>
      <c r="E17" s="333">
        <f>E46</f>
        <v>1105.1051231060101</v>
      </c>
      <c r="F17" s="333">
        <f t="shared" si="2"/>
        <v>180025.233876894</v>
      </c>
      <c r="G17" s="42" t="s">
        <v>33</v>
      </c>
      <c r="H17" s="497">
        <v>-130.33199999999999</v>
      </c>
      <c r="I17" s="397">
        <v>5</v>
      </c>
      <c r="J17" s="514">
        <f>F17+H17</f>
        <v>179894.901876894</v>
      </c>
      <c r="K17" s="331" t="s">
        <v>421</v>
      </c>
      <c r="L17" s="305">
        <f t="shared" si="0"/>
        <v>6</v>
      </c>
      <c r="N17" s="332"/>
    </row>
    <row r="18" spans="1:14" ht="19.5" x14ac:dyDescent="0.25">
      <c r="A18" s="305">
        <f t="shared" si="1"/>
        <v>7</v>
      </c>
      <c r="B18" s="323">
        <v>926</v>
      </c>
      <c r="C18" s="329" t="s">
        <v>422</v>
      </c>
      <c r="D18" s="333">
        <v>62304.38</v>
      </c>
      <c r="E18" s="333">
        <f>+E49</f>
        <v>2589.589301958019</v>
      </c>
      <c r="F18" s="333">
        <f t="shared" si="2"/>
        <v>59714.790698041979</v>
      </c>
      <c r="G18" s="368"/>
      <c r="H18" s="368"/>
      <c r="I18" s="397"/>
      <c r="J18" s="333">
        <f t="shared" si="3"/>
        <v>59714.790698041979</v>
      </c>
      <c r="K18" s="331" t="s">
        <v>423</v>
      </c>
      <c r="L18" s="305">
        <f t="shared" si="0"/>
        <v>7</v>
      </c>
      <c r="N18" s="335"/>
    </row>
    <row r="19" spans="1:14" x14ac:dyDescent="0.25">
      <c r="A19" s="305">
        <f t="shared" si="1"/>
        <v>8</v>
      </c>
      <c r="B19" s="323">
        <v>927</v>
      </c>
      <c r="C19" s="329" t="s">
        <v>424</v>
      </c>
      <c r="D19" s="336">
        <v>130506.765</v>
      </c>
      <c r="E19" s="333">
        <f>E50</f>
        <v>130506.76528000001</v>
      </c>
      <c r="F19" s="333">
        <f t="shared" si="2"/>
        <v>-2.8000000747852027E-4</v>
      </c>
      <c r="G19" s="368"/>
      <c r="H19" s="368"/>
      <c r="I19" s="390"/>
      <c r="J19" s="333">
        <f t="shared" si="3"/>
        <v>-2.8000000747852027E-4</v>
      </c>
      <c r="K19" s="331" t="s">
        <v>425</v>
      </c>
      <c r="L19" s="305">
        <f t="shared" si="0"/>
        <v>8</v>
      </c>
      <c r="N19" s="335"/>
    </row>
    <row r="20" spans="1:14" ht="18.75" x14ac:dyDescent="0.25">
      <c r="A20" s="305">
        <f t="shared" si="1"/>
        <v>9</v>
      </c>
      <c r="B20" s="323">
        <v>928</v>
      </c>
      <c r="C20" s="329" t="s">
        <v>426</v>
      </c>
      <c r="D20" s="333">
        <v>27995.793000000001</v>
      </c>
      <c r="E20" s="333">
        <f>E56</f>
        <v>16572.369299999998</v>
      </c>
      <c r="F20" s="333">
        <f t="shared" si="2"/>
        <v>11423.423700000003</v>
      </c>
      <c r="G20" s="368"/>
      <c r="H20" s="368"/>
      <c r="I20" s="390"/>
      <c r="J20" s="333">
        <f t="shared" si="3"/>
        <v>11423.423700000003</v>
      </c>
      <c r="K20" s="331" t="s">
        <v>427</v>
      </c>
      <c r="L20" s="305">
        <f t="shared" si="0"/>
        <v>9</v>
      </c>
      <c r="N20" s="335"/>
    </row>
    <row r="21" spans="1:14" x14ac:dyDescent="0.25">
      <c r="A21" s="305">
        <f t="shared" si="1"/>
        <v>10</v>
      </c>
      <c r="B21" s="323">
        <v>929</v>
      </c>
      <c r="C21" s="329" t="s">
        <v>428</v>
      </c>
      <c r="D21" s="333">
        <v>-2772.7849999999999</v>
      </c>
      <c r="E21" s="333">
        <v>0</v>
      </c>
      <c r="F21" s="333">
        <f t="shared" si="2"/>
        <v>-2772.7849999999999</v>
      </c>
      <c r="G21" s="368"/>
      <c r="H21" s="368"/>
      <c r="I21" s="390"/>
      <c r="J21" s="333">
        <f t="shared" si="3"/>
        <v>-2772.7849999999999</v>
      </c>
      <c r="K21" s="331" t="s">
        <v>429</v>
      </c>
      <c r="L21" s="305">
        <f t="shared" si="0"/>
        <v>10</v>
      </c>
      <c r="N21" s="332"/>
    </row>
    <row r="22" spans="1:14" ht="19.5" x14ac:dyDescent="0.25">
      <c r="A22" s="305">
        <f t="shared" si="1"/>
        <v>11</v>
      </c>
      <c r="B22" s="465">
        <v>930.1</v>
      </c>
      <c r="C22" s="329" t="s">
        <v>430</v>
      </c>
      <c r="D22" s="333">
        <v>-204.155</v>
      </c>
      <c r="E22" s="333">
        <f>E57</f>
        <v>-204.155</v>
      </c>
      <c r="F22" s="333">
        <f t="shared" si="2"/>
        <v>0</v>
      </c>
      <c r="G22" s="368"/>
      <c r="H22" s="368"/>
      <c r="I22" s="397"/>
      <c r="J22" s="333">
        <f t="shared" si="3"/>
        <v>0</v>
      </c>
      <c r="K22" s="331" t="s">
        <v>431</v>
      </c>
      <c r="L22" s="305">
        <f t="shared" si="0"/>
        <v>11</v>
      </c>
      <c r="N22" s="332"/>
    </row>
    <row r="23" spans="1:14" ht="19.5" x14ac:dyDescent="0.25">
      <c r="A23" s="305">
        <f t="shared" si="1"/>
        <v>12</v>
      </c>
      <c r="B23" s="485">
        <v>930.2</v>
      </c>
      <c r="C23" s="329" t="s">
        <v>432</v>
      </c>
      <c r="D23" s="333">
        <v>2511.0549999999998</v>
      </c>
      <c r="E23" s="333">
        <f>E60</f>
        <v>217.57746999999995</v>
      </c>
      <c r="F23" s="333">
        <f t="shared" si="2"/>
        <v>2293.4775300000001</v>
      </c>
      <c r="G23" s="42" t="s">
        <v>33</v>
      </c>
      <c r="H23" s="497">
        <v>40</v>
      </c>
      <c r="I23" s="397">
        <v>6</v>
      </c>
      <c r="J23" s="514">
        <f t="shared" si="3"/>
        <v>2333.4775300000001</v>
      </c>
      <c r="K23" s="331" t="s">
        <v>433</v>
      </c>
      <c r="L23" s="305">
        <f t="shared" si="0"/>
        <v>12</v>
      </c>
      <c r="N23" s="337"/>
    </row>
    <row r="24" spans="1:14" x14ac:dyDescent="0.25">
      <c r="A24" s="305">
        <f t="shared" si="1"/>
        <v>13</v>
      </c>
      <c r="B24" s="323">
        <v>931</v>
      </c>
      <c r="C24" s="329" t="s">
        <v>434</v>
      </c>
      <c r="D24" s="333">
        <v>10939.305</v>
      </c>
      <c r="E24" s="333">
        <v>0</v>
      </c>
      <c r="F24" s="333">
        <f t="shared" si="2"/>
        <v>10939.305</v>
      </c>
      <c r="G24" s="368"/>
      <c r="H24" s="368"/>
      <c r="I24" s="390"/>
      <c r="J24" s="333">
        <f t="shared" si="3"/>
        <v>10939.305</v>
      </c>
      <c r="K24" s="331" t="s">
        <v>435</v>
      </c>
      <c r="L24" s="305">
        <f t="shared" si="0"/>
        <v>13</v>
      </c>
      <c r="N24" s="332"/>
    </row>
    <row r="25" spans="1:14" x14ac:dyDescent="0.25">
      <c r="A25" s="305">
        <f t="shared" si="1"/>
        <v>14</v>
      </c>
      <c r="B25" s="323">
        <v>935</v>
      </c>
      <c r="C25" s="329" t="s">
        <v>436</v>
      </c>
      <c r="D25" s="338">
        <v>9293.2980000000007</v>
      </c>
      <c r="E25" s="338">
        <f>E62</f>
        <v>-1915.2449610859994</v>
      </c>
      <c r="F25" s="338">
        <f>D25-E25</f>
        <v>11208.542961086001</v>
      </c>
      <c r="G25" s="388"/>
      <c r="H25" s="501"/>
      <c r="I25" s="394"/>
      <c r="J25" s="338">
        <f>F25+H25</f>
        <v>11208.542961086001</v>
      </c>
      <c r="K25" s="331" t="s">
        <v>437</v>
      </c>
      <c r="L25" s="305">
        <f t="shared" si="0"/>
        <v>14</v>
      </c>
      <c r="M25" s="307" t="s">
        <v>21</v>
      </c>
      <c r="N25" s="332"/>
    </row>
    <row r="26" spans="1:14" x14ac:dyDescent="0.25">
      <c r="A26" s="305">
        <f t="shared" si="1"/>
        <v>15</v>
      </c>
      <c r="B26" s="323"/>
      <c r="D26" s="339"/>
      <c r="E26" s="339"/>
      <c r="F26" s="339"/>
      <c r="I26" s="391"/>
      <c r="J26" s="339"/>
      <c r="K26" s="340"/>
      <c r="L26" s="305">
        <f t="shared" si="0"/>
        <v>15</v>
      </c>
    </row>
    <row r="27" spans="1:14" ht="16.5" thickBot="1" x14ac:dyDescent="0.3">
      <c r="A27" s="305">
        <f t="shared" si="1"/>
        <v>16</v>
      </c>
      <c r="B27" s="323"/>
      <c r="C27" s="316" t="s">
        <v>438</v>
      </c>
      <c r="D27" s="341">
        <f>SUM(D12:D25)</f>
        <v>594949.38299999991</v>
      </c>
      <c r="E27" s="342">
        <f>SUM(E12:E25)</f>
        <v>171935.58007067602</v>
      </c>
      <c r="F27" s="395">
        <f>SUM(F12:F25)</f>
        <v>423013.80292932398</v>
      </c>
      <c r="G27" s="395"/>
      <c r="H27" s="370">
        <f>SUM(H12:H25)</f>
        <v>-90.331999999999994</v>
      </c>
      <c r="I27" s="396"/>
      <c r="J27" s="342">
        <f>SUM(J12:J25)</f>
        <v>422923.47092932393</v>
      </c>
      <c r="K27" s="343" t="str">
        <f>"Sum Lines "&amp;A12&amp;" thru "&amp;A25</f>
        <v>Sum Lines 1 thru 14</v>
      </c>
      <c r="L27" s="305">
        <f t="shared" si="0"/>
        <v>16</v>
      </c>
    </row>
    <row r="28" spans="1:14" ht="17.25" thickTop="1" thickBot="1" x14ac:dyDescent="0.3">
      <c r="A28" s="305">
        <f t="shared" si="1"/>
        <v>17</v>
      </c>
      <c r="B28" s="344"/>
      <c r="C28" s="308"/>
      <c r="D28" s="345"/>
      <c r="E28" s="346"/>
      <c r="F28" s="346"/>
      <c r="G28" s="382"/>
      <c r="H28" s="382"/>
      <c r="I28" s="386"/>
      <c r="J28" s="393"/>
      <c r="K28" s="347"/>
      <c r="L28" s="305">
        <f t="shared" si="0"/>
        <v>17</v>
      </c>
    </row>
    <row r="29" spans="1:14" x14ac:dyDescent="0.25">
      <c r="A29" s="305">
        <f t="shared" si="1"/>
        <v>18</v>
      </c>
      <c r="B29" s="348"/>
      <c r="C29" s="349"/>
      <c r="D29" s="350"/>
      <c r="E29" s="351"/>
      <c r="F29" s="350"/>
      <c r="G29" s="350"/>
      <c r="H29" s="350"/>
      <c r="I29" s="350"/>
      <c r="J29" s="350"/>
      <c r="K29" s="352"/>
      <c r="L29" s="305">
        <f t="shared" si="0"/>
        <v>18</v>
      </c>
    </row>
    <row r="30" spans="1:14" x14ac:dyDescent="0.25">
      <c r="A30" s="305">
        <f t="shared" si="1"/>
        <v>19</v>
      </c>
      <c r="B30" s="353" t="s">
        <v>439</v>
      </c>
      <c r="C30" s="305"/>
      <c r="D30" s="305"/>
      <c r="E30" s="305"/>
      <c r="F30" s="305"/>
      <c r="G30" s="305"/>
      <c r="H30" s="305"/>
      <c r="I30" s="305"/>
      <c r="J30" s="305"/>
      <c r="K30" s="340"/>
      <c r="L30" s="305">
        <f t="shared" si="0"/>
        <v>19</v>
      </c>
    </row>
    <row r="31" spans="1:14" x14ac:dyDescent="0.25">
      <c r="A31" s="305">
        <f t="shared" si="1"/>
        <v>20</v>
      </c>
      <c r="B31" s="354">
        <v>920</v>
      </c>
      <c r="C31" s="502" t="s">
        <v>440</v>
      </c>
      <c r="D31" s="355">
        <v>37.830849999999998</v>
      </c>
      <c r="F31" s="305"/>
      <c r="G31" s="305"/>
      <c r="H31" s="305"/>
      <c r="I31" s="305"/>
      <c r="J31" s="305"/>
      <c r="K31" s="340"/>
      <c r="L31" s="305">
        <f t="shared" si="0"/>
        <v>20</v>
      </c>
    </row>
    <row r="32" spans="1:14" x14ac:dyDescent="0.25">
      <c r="A32" s="305">
        <f t="shared" si="1"/>
        <v>21</v>
      </c>
      <c r="B32" s="354"/>
      <c r="C32" s="502" t="s">
        <v>441</v>
      </c>
      <c r="D32" s="503">
        <v>873.61009352399992</v>
      </c>
      <c r="E32" s="355"/>
      <c r="F32" s="305"/>
      <c r="G32" s="305"/>
      <c r="H32" s="305"/>
      <c r="I32" s="305"/>
      <c r="J32" s="305"/>
      <c r="K32" s="340"/>
      <c r="L32" s="305">
        <f t="shared" si="0"/>
        <v>21</v>
      </c>
    </row>
    <row r="33" spans="1:12" x14ac:dyDescent="0.25">
      <c r="A33" s="305">
        <f t="shared" si="1"/>
        <v>22</v>
      </c>
      <c r="B33" s="354"/>
      <c r="C33" s="502" t="s">
        <v>442</v>
      </c>
      <c r="D33" s="356">
        <v>56.642625899999999</v>
      </c>
      <c r="E33" s="355">
        <f>SUM(D31:D33)</f>
        <v>968.08356942399996</v>
      </c>
      <c r="F33" s="305"/>
      <c r="G33" s="305"/>
      <c r="H33" s="305"/>
      <c r="I33" s="305"/>
      <c r="J33" s="305"/>
      <c r="K33" s="340"/>
      <c r="L33" s="305">
        <f t="shared" si="0"/>
        <v>22</v>
      </c>
    </row>
    <row r="34" spans="1:12" x14ac:dyDescent="0.25">
      <c r="A34" s="305">
        <f t="shared" si="1"/>
        <v>23</v>
      </c>
      <c r="B34" s="354">
        <v>921</v>
      </c>
      <c r="C34" s="502" t="s">
        <v>440</v>
      </c>
      <c r="D34" s="307">
        <v>-9.620999999999999E-2</v>
      </c>
      <c r="K34" s="340"/>
      <c r="L34" s="305">
        <f t="shared" si="0"/>
        <v>23</v>
      </c>
    </row>
    <row r="35" spans="1:12" x14ac:dyDescent="0.25">
      <c r="A35" s="305">
        <f t="shared" si="1"/>
        <v>24</v>
      </c>
      <c r="B35" s="354"/>
      <c r="C35" s="502" t="s">
        <v>441</v>
      </c>
      <c r="D35" s="503">
        <v>8254.9592088600002</v>
      </c>
      <c r="K35" s="340"/>
      <c r="L35" s="305">
        <f t="shared" si="0"/>
        <v>24</v>
      </c>
    </row>
    <row r="36" spans="1:12" x14ac:dyDescent="0.25">
      <c r="A36" s="305">
        <f t="shared" si="1"/>
        <v>25</v>
      </c>
      <c r="B36" s="354"/>
      <c r="C36" s="502" t="s">
        <v>442</v>
      </c>
      <c r="D36" s="356">
        <v>1120.1507429919998</v>
      </c>
      <c r="E36" s="307">
        <f>SUM(D34:D36)</f>
        <v>9375.0137418520007</v>
      </c>
      <c r="K36" s="340"/>
      <c r="L36" s="305">
        <f t="shared" si="0"/>
        <v>25</v>
      </c>
    </row>
    <row r="37" spans="1:12" x14ac:dyDescent="0.25">
      <c r="A37" s="305">
        <f t="shared" si="1"/>
        <v>26</v>
      </c>
      <c r="B37" s="354">
        <v>922</v>
      </c>
      <c r="C37" s="502" t="s">
        <v>442</v>
      </c>
      <c r="D37" s="503"/>
      <c r="E37" s="307">
        <v>-125.07091</v>
      </c>
      <c r="K37" s="340"/>
      <c r="L37" s="305">
        <f t="shared" si="0"/>
        <v>26</v>
      </c>
    </row>
    <row r="38" spans="1:12" x14ac:dyDescent="0.25">
      <c r="A38" s="305">
        <f t="shared" si="1"/>
        <v>27</v>
      </c>
      <c r="B38" s="354">
        <v>923</v>
      </c>
      <c r="C38" s="502" t="s">
        <v>440</v>
      </c>
      <c r="D38" s="357">
        <v>-17.988400000000002</v>
      </c>
      <c r="E38" s="357"/>
      <c r="K38" s="340"/>
      <c r="L38" s="305">
        <f t="shared" si="0"/>
        <v>27</v>
      </c>
    </row>
    <row r="39" spans="1:12" x14ac:dyDescent="0.25">
      <c r="A39" s="305">
        <f t="shared" si="1"/>
        <v>28</v>
      </c>
      <c r="B39" s="354"/>
      <c r="C39" s="502" t="s">
        <v>441</v>
      </c>
      <c r="D39" s="357">
        <v>2086.0140693979997</v>
      </c>
      <c r="E39" s="357"/>
      <c r="K39" s="340"/>
      <c r="L39" s="305">
        <f t="shared" si="0"/>
        <v>28</v>
      </c>
    </row>
    <row r="40" spans="1:12" x14ac:dyDescent="0.25">
      <c r="A40" s="305">
        <f t="shared" si="1"/>
        <v>29</v>
      </c>
      <c r="B40" s="354"/>
      <c r="C40" s="502" t="s">
        <v>442</v>
      </c>
      <c r="D40" s="357">
        <v>80.426986024000001</v>
      </c>
      <c r="K40" s="340"/>
      <c r="L40" s="305">
        <f t="shared" si="0"/>
        <v>29</v>
      </c>
    </row>
    <row r="41" spans="1:12" ht="18.75" x14ac:dyDescent="0.25">
      <c r="A41" s="305">
        <f t="shared" si="1"/>
        <v>30</v>
      </c>
      <c r="B41" s="354"/>
      <c r="C41" s="502" t="s">
        <v>443</v>
      </c>
      <c r="D41" s="357">
        <v>3185.4904999999999</v>
      </c>
      <c r="E41" s="357"/>
      <c r="K41" s="340"/>
      <c r="L41" s="305">
        <f t="shared" si="0"/>
        <v>30</v>
      </c>
    </row>
    <row r="42" spans="1:12" ht="18.75" x14ac:dyDescent="0.25">
      <c r="A42" s="305">
        <f t="shared" si="1"/>
        <v>31</v>
      </c>
      <c r="B42" s="354"/>
      <c r="C42" s="502" t="s">
        <v>444</v>
      </c>
      <c r="D42" s="357">
        <v>6031</v>
      </c>
      <c r="E42" s="357"/>
      <c r="K42" s="340"/>
      <c r="L42" s="305">
        <f t="shared" si="0"/>
        <v>31</v>
      </c>
    </row>
    <row r="43" spans="1:12" ht="18.75" x14ac:dyDescent="0.25">
      <c r="A43" s="305">
        <f t="shared" si="1"/>
        <v>32</v>
      </c>
      <c r="B43" s="354"/>
      <c r="C43" s="502" t="s">
        <v>445</v>
      </c>
      <c r="D43" s="358">
        <v>1480.604</v>
      </c>
      <c r="E43" s="357">
        <f>SUM(D38:D43)</f>
        <v>12845.547155421998</v>
      </c>
      <c r="K43" s="340"/>
      <c r="L43" s="305">
        <f t="shared" si="0"/>
        <v>32</v>
      </c>
    </row>
    <row r="44" spans="1:12" x14ac:dyDescent="0.25">
      <c r="A44" s="305">
        <f t="shared" si="1"/>
        <v>33</v>
      </c>
      <c r="B44" s="354">
        <v>925</v>
      </c>
      <c r="C44" s="502" t="s">
        <v>440</v>
      </c>
      <c r="D44" s="357">
        <v>277.64044235400002</v>
      </c>
      <c r="K44" s="340"/>
      <c r="L44" s="305">
        <f t="shared" si="0"/>
        <v>33</v>
      </c>
    </row>
    <row r="45" spans="1:12" x14ac:dyDescent="0.25">
      <c r="A45" s="305">
        <f t="shared" si="1"/>
        <v>34</v>
      </c>
      <c r="B45" s="354"/>
      <c r="C45" s="502" t="s">
        <v>442</v>
      </c>
      <c r="D45" s="357">
        <v>746.9557907520101</v>
      </c>
      <c r="K45" s="340"/>
      <c r="L45" s="305">
        <f t="shared" si="0"/>
        <v>34</v>
      </c>
    </row>
    <row r="46" spans="1:12" x14ac:dyDescent="0.25">
      <c r="A46" s="305">
        <f t="shared" si="1"/>
        <v>35</v>
      </c>
      <c r="B46" s="354"/>
      <c r="C46" s="504" t="s">
        <v>446</v>
      </c>
      <c r="D46" s="358">
        <v>80.508890000000008</v>
      </c>
      <c r="E46" s="307">
        <f>SUM(D44:D46)</f>
        <v>1105.1051231060101</v>
      </c>
      <c r="K46" s="340"/>
      <c r="L46" s="305">
        <f t="shared" si="0"/>
        <v>35</v>
      </c>
    </row>
    <row r="47" spans="1:12" x14ac:dyDescent="0.25">
      <c r="A47" s="305">
        <f t="shared" si="1"/>
        <v>36</v>
      </c>
      <c r="B47" s="354">
        <v>926</v>
      </c>
      <c r="C47" s="504" t="s">
        <v>440</v>
      </c>
      <c r="D47" s="357">
        <v>646.29282690599985</v>
      </c>
      <c r="K47" s="340"/>
      <c r="L47" s="305">
        <f t="shared" si="0"/>
        <v>36</v>
      </c>
    </row>
    <row r="48" spans="1:12" x14ac:dyDescent="0.25">
      <c r="A48" s="305">
        <f t="shared" si="1"/>
        <v>37</v>
      </c>
      <c r="B48" s="354"/>
      <c r="C48" s="504" t="s">
        <v>446</v>
      </c>
      <c r="D48" s="357">
        <v>190.64548000000002</v>
      </c>
      <c r="E48" s="357"/>
      <c r="K48" s="340"/>
      <c r="L48" s="305">
        <f t="shared" si="0"/>
        <v>37</v>
      </c>
    </row>
    <row r="49" spans="1:12" x14ac:dyDescent="0.25">
      <c r="A49" s="305">
        <f t="shared" si="1"/>
        <v>38</v>
      </c>
      <c r="B49" s="354"/>
      <c r="C49" s="502" t="s">
        <v>442</v>
      </c>
      <c r="D49" s="358">
        <v>1752.650995052019</v>
      </c>
      <c r="E49" s="307">
        <f>SUM(D47:D49)</f>
        <v>2589.589301958019</v>
      </c>
      <c r="K49" s="340"/>
      <c r="L49" s="305">
        <f t="shared" si="0"/>
        <v>38</v>
      </c>
    </row>
    <row r="50" spans="1:12" x14ac:dyDescent="0.25">
      <c r="A50" s="305">
        <f t="shared" si="1"/>
        <v>39</v>
      </c>
      <c r="B50" s="354">
        <v>927</v>
      </c>
      <c r="C50" s="504" t="s">
        <v>424</v>
      </c>
      <c r="D50" s="502"/>
      <c r="E50" s="357">
        <v>130506.76528000001</v>
      </c>
      <c r="K50" s="340"/>
      <c r="L50" s="305">
        <f t="shared" si="0"/>
        <v>39</v>
      </c>
    </row>
    <row r="51" spans="1:12" x14ac:dyDescent="0.25">
      <c r="A51" s="305">
        <f t="shared" si="1"/>
        <v>40</v>
      </c>
      <c r="B51" s="354">
        <v>928</v>
      </c>
      <c r="C51" s="502" t="s">
        <v>447</v>
      </c>
      <c r="D51" s="357">
        <v>13015.817289999999</v>
      </c>
      <c r="E51" s="357"/>
      <c r="K51" s="340"/>
      <c r="L51" s="305">
        <f t="shared" si="0"/>
        <v>40</v>
      </c>
    </row>
    <row r="52" spans="1:12" x14ac:dyDescent="0.25">
      <c r="A52" s="305">
        <f t="shared" si="1"/>
        <v>41</v>
      </c>
      <c r="B52" s="354"/>
      <c r="C52" s="504" t="s">
        <v>440</v>
      </c>
      <c r="D52" s="357">
        <v>428.3049200000001</v>
      </c>
      <c r="E52" s="357"/>
      <c r="F52" s="505"/>
      <c r="G52" s="505"/>
      <c r="H52" s="505"/>
      <c r="I52" s="505"/>
      <c r="J52" s="505"/>
      <c r="K52" s="359"/>
      <c r="L52" s="305">
        <f t="shared" si="0"/>
        <v>41</v>
      </c>
    </row>
    <row r="53" spans="1:12" x14ac:dyDescent="0.25">
      <c r="A53" s="305">
        <f t="shared" si="1"/>
        <v>42</v>
      </c>
      <c r="B53" s="354"/>
      <c r="C53" s="504" t="s">
        <v>448</v>
      </c>
      <c r="D53" s="360">
        <v>40.544630000000005</v>
      </c>
      <c r="E53" s="357"/>
      <c r="F53" s="505"/>
      <c r="G53" s="505"/>
      <c r="H53" s="505"/>
      <c r="I53" s="505"/>
      <c r="J53" s="505"/>
      <c r="K53" s="359"/>
      <c r="L53" s="305">
        <f t="shared" si="0"/>
        <v>42</v>
      </c>
    </row>
    <row r="54" spans="1:12" x14ac:dyDescent="0.25">
      <c r="A54" s="305">
        <f t="shared" si="1"/>
        <v>43</v>
      </c>
      <c r="B54" s="354"/>
      <c r="C54" s="502" t="s">
        <v>35</v>
      </c>
      <c r="D54" s="357">
        <v>0</v>
      </c>
      <c r="E54" s="357"/>
      <c r="K54" s="340"/>
      <c r="L54" s="305">
        <f t="shared" si="0"/>
        <v>43</v>
      </c>
    </row>
    <row r="55" spans="1:12" x14ac:dyDescent="0.25">
      <c r="A55" s="305">
        <f t="shared" si="1"/>
        <v>44</v>
      </c>
      <c r="B55" s="354"/>
      <c r="C55" s="502" t="s">
        <v>449</v>
      </c>
      <c r="D55" s="357">
        <v>2085.1866</v>
      </c>
      <c r="K55" s="340"/>
      <c r="L55" s="305">
        <f t="shared" si="0"/>
        <v>44</v>
      </c>
    </row>
    <row r="56" spans="1:12" ht="18.75" x14ac:dyDescent="0.25">
      <c r="A56" s="305">
        <f t="shared" si="1"/>
        <v>45</v>
      </c>
      <c r="B56" s="354"/>
      <c r="C56" s="502" t="s">
        <v>450</v>
      </c>
      <c r="D56" s="358">
        <v>1002.51586</v>
      </c>
      <c r="E56" s="357">
        <f>SUM(D51:D56)</f>
        <v>16572.369299999998</v>
      </c>
      <c r="K56" s="340"/>
      <c r="L56" s="305">
        <f t="shared" si="0"/>
        <v>45</v>
      </c>
    </row>
    <row r="57" spans="1:12" x14ac:dyDescent="0.25">
      <c r="A57" s="305">
        <f t="shared" si="1"/>
        <v>46</v>
      </c>
      <c r="B57" s="361">
        <v>930.1</v>
      </c>
      <c r="C57" s="502" t="s">
        <v>430</v>
      </c>
      <c r="D57" s="502"/>
      <c r="E57" s="357">
        <v>-204.155</v>
      </c>
      <c r="K57" s="340"/>
      <c r="L57" s="305">
        <f t="shared" si="0"/>
        <v>46</v>
      </c>
    </row>
    <row r="58" spans="1:12" x14ac:dyDescent="0.25">
      <c r="A58" s="305">
        <f t="shared" si="1"/>
        <v>47</v>
      </c>
      <c r="B58" s="361">
        <v>930.2</v>
      </c>
      <c r="C58" s="504" t="s">
        <v>451</v>
      </c>
      <c r="D58" s="307">
        <f>1342.91598+1017.80149</f>
        <v>2360.71747</v>
      </c>
      <c r="E58" s="362"/>
      <c r="K58" s="340"/>
      <c r="L58" s="305">
        <f>A58</f>
        <v>47</v>
      </c>
    </row>
    <row r="59" spans="1:12" ht="18.75" x14ac:dyDescent="0.25">
      <c r="A59" s="305">
        <f t="shared" si="1"/>
        <v>48</v>
      </c>
      <c r="B59" s="361"/>
      <c r="C59" s="504" t="s">
        <v>452</v>
      </c>
      <c r="D59" s="307">
        <v>-690.76700000000005</v>
      </c>
      <c r="E59" s="362"/>
      <c r="K59" s="340"/>
      <c r="L59" s="305">
        <f>A59</f>
        <v>48</v>
      </c>
    </row>
    <row r="60" spans="1:12" ht="18.75" x14ac:dyDescent="0.25">
      <c r="A60" s="305">
        <f t="shared" si="1"/>
        <v>49</v>
      </c>
      <c r="B60" s="361"/>
      <c r="C60" s="504" t="s">
        <v>453</v>
      </c>
      <c r="D60" s="363">
        <v>-1452.373</v>
      </c>
      <c r="E60" s="362">
        <f>SUM(D58:D60)</f>
        <v>217.57746999999995</v>
      </c>
      <c r="K60" s="340"/>
      <c r="L60" s="305">
        <f t="shared" ref="L60:L62" si="4">A60</f>
        <v>49</v>
      </c>
    </row>
    <row r="61" spans="1:12" x14ac:dyDescent="0.25">
      <c r="A61" s="305">
        <f t="shared" si="1"/>
        <v>50</v>
      </c>
      <c r="B61" s="364">
        <v>935</v>
      </c>
      <c r="C61" s="504" t="s">
        <v>454</v>
      </c>
      <c r="D61" s="307">
        <v>-1927.3924299999994</v>
      </c>
      <c r="E61" s="362"/>
      <c r="K61" s="340"/>
      <c r="L61" s="305">
        <f t="shared" si="4"/>
        <v>50</v>
      </c>
    </row>
    <row r="62" spans="1:12" ht="31.5" x14ac:dyDescent="0.25">
      <c r="A62" s="305">
        <f t="shared" si="1"/>
        <v>51</v>
      </c>
      <c r="B62" s="354"/>
      <c r="C62" s="506" t="s">
        <v>455</v>
      </c>
      <c r="D62" s="365">
        <v>12.147468914000001</v>
      </c>
      <c r="E62" s="365">
        <f>SUM(D61:D62)</f>
        <v>-1915.2449610859994</v>
      </c>
      <c r="K62" s="340"/>
      <c r="L62" s="305">
        <f t="shared" si="4"/>
        <v>51</v>
      </c>
    </row>
    <row r="63" spans="1:12" x14ac:dyDescent="0.25">
      <c r="A63" s="305">
        <f t="shared" si="1"/>
        <v>52</v>
      </c>
      <c r="B63" s="366"/>
      <c r="C63" s="507"/>
      <c r="D63" s="367"/>
      <c r="E63" s="368"/>
      <c r="K63" s="340"/>
      <c r="L63" s="305">
        <f>A63</f>
        <v>52</v>
      </c>
    </row>
    <row r="64" spans="1:12" ht="16.5" thickBot="1" x14ac:dyDescent="0.3">
      <c r="A64" s="305">
        <f t="shared" si="1"/>
        <v>53</v>
      </c>
      <c r="B64" s="369"/>
      <c r="C64" s="508" t="s">
        <v>456</v>
      </c>
      <c r="D64" s="509"/>
      <c r="E64" s="370">
        <f>SUM(E31:E62)</f>
        <v>171935.58007067602</v>
      </c>
      <c r="F64" s="510"/>
      <c r="G64" s="510"/>
      <c r="H64" s="510"/>
      <c r="I64" s="510"/>
      <c r="J64" s="510"/>
      <c r="K64" s="340"/>
      <c r="L64" s="305">
        <f>A64</f>
        <v>53</v>
      </c>
    </row>
    <row r="65" spans="1:12" ht="16.5" thickTop="1" x14ac:dyDescent="0.25">
      <c r="A65" s="305">
        <f t="shared" si="1"/>
        <v>54</v>
      </c>
      <c r="B65" s="369"/>
      <c r="C65" s="508"/>
      <c r="E65" s="173"/>
      <c r="F65" s="511"/>
      <c r="G65" s="511"/>
      <c r="H65" s="511"/>
      <c r="I65" s="511"/>
      <c r="J65" s="511"/>
      <c r="K65" s="340"/>
      <c r="L65" s="305">
        <f>A65</f>
        <v>54</v>
      </c>
    </row>
    <row r="66" spans="1:12" x14ac:dyDescent="0.25">
      <c r="A66" s="305">
        <f t="shared" si="1"/>
        <v>55</v>
      </c>
      <c r="B66" s="512" t="s">
        <v>33</v>
      </c>
      <c r="C66" s="12" t="s">
        <v>390</v>
      </c>
      <c r="E66" s="173"/>
      <c r="F66" s="511"/>
      <c r="G66" s="511"/>
      <c r="H66" s="511"/>
      <c r="I66" s="511"/>
      <c r="J66" s="511"/>
      <c r="K66" s="340"/>
      <c r="L66" s="305">
        <f t="shared" ref="L66:L78" si="5">A66</f>
        <v>55</v>
      </c>
    </row>
    <row r="67" spans="1:12" ht="18.75" x14ac:dyDescent="0.25">
      <c r="A67" s="305">
        <f t="shared" si="1"/>
        <v>56</v>
      </c>
      <c r="B67" s="371">
        <v>1</v>
      </c>
      <c r="C67" s="304" t="s">
        <v>457</v>
      </c>
      <c r="E67" s="217"/>
      <c r="F67" s="513"/>
      <c r="G67" s="513"/>
      <c r="H67" s="513"/>
      <c r="I67" s="513"/>
      <c r="J67" s="513"/>
      <c r="K67" s="340"/>
      <c r="L67" s="305">
        <f t="shared" si="5"/>
        <v>56</v>
      </c>
    </row>
    <row r="68" spans="1:12" ht="18.75" x14ac:dyDescent="0.25">
      <c r="A68" s="305">
        <f t="shared" si="1"/>
        <v>57</v>
      </c>
      <c r="B68" s="372">
        <v>2</v>
      </c>
      <c r="C68" s="304" t="s">
        <v>458</v>
      </c>
      <c r="E68" s="217"/>
      <c r="F68" s="513"/>
      <c r="G68" s="513"/>
      <c r="H68" s="513"/>
      <c r="I68" s="513"/>
      <c r="J68" s="513"/>
      <c r="K68" s="340"/>
      <c r="L68" s="305">
        <f t="shared" si="5"/>
        <v>57</v>
      </c>
    </row>
    <row r="69" spans="1:12" x14ac:dyDescent="0.25">
      <c r="A69" s="305">
        <f t="shared" si="1"/>
        <v>58</v>
      </c>
      <c r="B69" s="373"/>
      <c r="C69" s="304" t="s">
        <v>459</v>
      </c>
      <c r="E69" s="217"/>
      <c r="F69" s="513"/>
      <c r="G69" s="513"/>
      <c r="H69" s="513"/>
      <c r="I69" s="513"/>
      <c r="J69" s="513"/>
      <c r="K69" s="340"/>
      <c r="L69" s="305">
        <f t="shared" si="5"/>
        <v>58</v>
      </c>
    </row>
    <row r="70" spans="1:12" ht="18.75" x14ac:dyDescent="0.25">
      <c r="A70" s="305">
        <f t="shared" si="1"/>
        <v>59</v>
      </c>
      <c r="B70" s="372">
        <v>3</v>
      </c>
      <c r="C70" s="304" t="s">
        <v>460</v>
      </c>
      <c r="E70" s="217"/>
      <c r="F70" s="513"/>
      <c r="G70" s="513"/>
      <c r="H70" s="513"/>
      <c r="I70" s="513"/>
      <c r="J70" s="513"/>
      <c r="K70" s="340"/>
      <c r="L70" s="305">
        <f t="shared" si="5"/>
        <v>59</v>
      </c>
    </row>
    <row r="71" spans="1:12" ht="18.75" x14ac:dyDescent="0.25">
      <c r="A71" s="305">
        <f t="shared" si="1"/>
        <v>60</v>
      </c>
      <c r="B71" s="372"/>
      <c r="C71" s="304" t="s">
        <v>461</v>
      </c>
      <c r="E71" s="217"/>
      <c r="F71" s="513"/>
      <c r="G71" s="513"/>
      <c r="H71" s="513"/>
      <c r="I71" s="513"/>
      <c r="J71" s="513"/>
      <c r="K71" s="340"/>
      <c r="L71" s="305">
        <f t="shared" si="5"/>
        <v>60</v>
      </c>
    </row>
    <row r="72" spans="1:12" ht="18.75" x14ac:dyDescent="0.25">
      <c r="A72" s="305">
        <f t="shared" si="1"/>
        <v>61</v>
      </c>
      <c r="B72" s="372"/>
      <c r="C72" s="304" t="s">
        <v>462</v>
      </c>
      <c r="E72" s="217"/>
      <c r="F72" s="513"/>
      <c r="G72" s="513"/>
      <c r="H72" s="513"/>
      <c r="I72" s="513"/>
      <c r="J72" s="513"/>
      <c r="K72" s="340"/>
      <c r="L72" s="305">
        <f t="shared" si="5"/>
        <v>61</v>
      </c>
    </row>
    <row r="73" spans="1:12" ht="18.75" x14ac:dyDescent="0.25">
      <c r="A73" s="305">
        <f t="shared" si="1"/>
        <v>62</v>
      </c>
      <c r="B73" s="372">
        <v>4</v>
      </c>
      <c r="C73" s="5" t="s">
        <v>463</v>
      </c>
      <c r="E73" s="217"/>
      <c r="F73" s="513"/>
      <c r="G73" s="513"/>
      <c r="H73" s="513"/>
      <c r="I73" s="513"/>
      <c r="J73" s="513"/>
      <c r="K73" s="340"/>
      <c r="L73" s="305">
        <f t="shared" si="5"/>
        <v>62</v>
      </c>
    </row>
    <row r="74" spans="1:12" ht="18.75" x14ac:dyDescent="0.25">
      <c r="A74" s="305">
        <f t="shared" si="1"/>
        <v>63</v>
      </c>
      <c r="B74" s="372"/>
      <c r="C74" s="304" t="s">
        <v>464</v>
      </c>
      <c r="E74" s="217"/>
      <c r="F74" s="513"/>
      <c r="G74" s="513"/>
      <c r="H74" s="513"/>
      <c r="I74" s="513"/>
      <c r="J74" s="513"/>
      <c r="K74" s="340"/>
      <c r="L74" s="305">
        <f t="shared" si="5"/>
        <v>63</v>
      </c>
    </row>
    <row r="75" spans="1:12" ht="18.75" x14ac:dyDescent="0.25">
      <c r="A75" s="305">
        <f t="shared" si="1"/>
        <v>64</v>
      </c>
      <c r="B75" s="372">
        <v>5</v>
      </c>
      <c r="C75" s="304" t="s">
        <v>465</v>
      </c>
      <c r="E75" s="217"/>
      <c r="F75" s="513"/>
      <c r="G75" s="513"/>
      <c r="H75" s="513"/>
      <c r="I75" s="513"/>
      <c r="J75" s="513"/>
      <c r="K75" s="340"/>
      <c r="L75" s="305">
        <f t="shared" si="5"/>
        <v>64</v>
      </c>
    </row>
    <row r="76" spans="1:12" ht="18.75" x14ac:dyDescent="0.25">
      <c r="A76" s="305">
        <f t="shared" si="1"/>
        <v>65</v>
      </c>
      <c r="B76" s="372">
        <v>6</v>
      </c>
      <c r="C76" s="304" t="s">
        <v>466</v>
      </c>
      <c r="E76" s="217"/>
      <c r="F76" s="513"/>
      <c r="G76" s="513"/>
      <c r="H76" s="513"/>
      <c r="I76" s="513"/>
      <c r="J76" s="513"/>
      <c r="K76" s="340"/>
      <c r="L76" s="305">
        <f t="shared" si="5"/>
        <v>65</v>
      </c>
    </row>
    <row r="77" spans="1:12" ht="18.75" x14ac:dyDescent="0.25">
      <c r="A77" s="305">
        <f t="shared" ref="A77:A78" si="6">A76+1</f>
        <v>66</v>
      </c>
      <c r="B77" s="372"/>
      <c r="E77" s="217"/>
      <c r="F77" s="513"/>
      <c r="G77" s="513"/>
      <c r="H77" s="513"/>
      <c r="I77" s="513"/>
      <c r="J77" s="513"/>
      <c r="K77" s="340"/>
      <c r="L77" s="305">
        <f t="shared" si="5"/>
        <v>66</v>
      </c>
    </row>
    <row r="78" spans="1:12" ht="16.5" thickBot="1" x14ac:dyDescent="0.3">
      <c r="A78" s="305">
        <f t="shared" si="6"/>
        <v>67</v>
      </c>
      <c r="B78" s="374"/>
      <c r="C78" s="375"/>
      <c r="D78" s="308"/>
      <c r="E78" s="308"/>
      <c r="F78" s="308"/>
      <c r="G78" s="308"/>
      <c r="H78" s="308"/>
      <c r="I78" s="308"/>
      <c r="J78" s="308"/>
      <c r="K78" s="347"/>
      <c r="L78" s="305">
        <f t="shared" si="5"/>
        <v>67</v>
      </c>
    </row>
    <row r="79" spans="1:12" x14ac:dyDescent="0.25">
      <c r="A79" s="306"/>
      <c r="C79" s="329"/>
      <c r="D79" s="376"/>
      <c r="E79" s="376"/>
    </row>
    <row r="80" spans="1:12" ht="18.75" x14ac:dyDescent="0.25">
      <c r="A80" s="377"/>
      <c r="C80" s="329"/>
    </row>
    <row r="81" spans="1:3" ht="18.75" x14ac:dyDescent="0.25">
      <c r="A81" s="377"/>
      <c r="C81" s="329"/>
    </row>
    <row r="82" spans="1:3" ht="18.75" x14ac:dyDescent="0.25">
      <c r="A82" s="377"/>
      <c r="C82" s="329"/>
    </row>
    <row r="83" spans="1:3" ht="18.75" x14ac:dyDescent="0.25">
      <c r="A83" s="377"/>
      <c r="C83" s="329"/>
    </row>
    <row r="84" spans="1:3" ht="18.75" x14ac:dyDescent="0.25">
      <c r="A84" s="377"/>
      <c r="C84" s="329"/>
    </row>
    <row r="85" spans="1:3" ht="18.75" x14ac:dyDescent="0.25">
      <c r="A85" s="377"/>
      <c r="C85" s="329"/>
    </row>
    <row r="86" spans="1:3" x14ac:dyDescent="0.25">
      <c r="A86" s="306"/>
      <c r="C86" s="329"/>
    </row>
    <row r="87" spans="1:3" ht="18.75" x14ac:dyDescent="0.25">
      <c r="A87" s="377"/>
      <c r="C87" s="329"/>
    </row>
    <row r="88" spans="1:3" x14ac:dyDescent="0.25">
      <c r="A88" s="306"/>
      <c r="C88" s="329"/>
    </row>
    <row r="89" spans="1:3" ht="18.75" x14ac:dyDescent="0.25">
      <c r="A89" s="377"/>
      <c r="C89" s="329"/>
    </row>
    <row r="90" spans="1:3" x14ac:dyDescent="0.25">
      <c r="A90" s="306"/>
      <c r="C90" s="329"/>
    </row>
    <row r="91" spans="1:3" ht="18.75" x14ac:dyDescent="0.25">
      <c r="A91" s="377"/>
      <c r="C91" s="329"/>
    </row>
    <row r="92" spans="1:3" ht="18.75" x14ac:dyDescent="0.25">
      <c r="A92" s="377"/>
      <c r="B92" s="329"/>
    </row>
    <row r="93" spans="1:3" ht="18.75" x14ac:dyDescent="0.25">
      <c r="A93" s="377"/>
      <c r="B93" s="329"/>
    </row>
    <row r="94" spans="1:3" x14ac:dyDescent="0.25">
      <c r="B94" s="329"/>
    </row>
    <row r="95" spans="1:3" ht="18.75" x14ac:dyDescent="0.25">
      <c r="A95" s="377"/>
      <c r="B95" s="329"/>
    </row>
    <row r="96" spans="1:3" x14ac:dyDescent="0.25">
      <c r="A96" s="378"/>
      <c r="B96" s="379"/>
    </row>
    <row r="97" spans="2:2" x14ac:dyDescent="0.25">
      <c r="B97" s="329"/>
    </row>
  </sheetData>
  <mergeCells count="4">
    <mergeCell ref="B3:K3"/>
    <mergeCell ref="B4:K4"/>
    <mergeCell ref="B5:K5"/>
    <mergeCell ref="B6:K6"/>
  </mergeCells>
  <printOptions horizontalCentered="1"/>
  <pageMargins left="0.25" right="0.25" top="0.5" bottom="0.5" header="0.35" footer="0.25"/>
  <pageSetup scale="52" orientation="portrait" r:id="rId1"/>
  <headerFooter scaleWithDoc="0" alignWithMargins="0">
    <oddHeader>&amp;C&amp;"Times New Roman,Bold"&amp;7AS FILED AH-2 WITH COST ADJ. INCL. IN TO5 C5 (ER23-542)</oddHeader>
    <oddFooter>&amp;L&amp;A&amp;CPage 6.3&amp;R&amp;F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C0C4427B38DE4E8452B3A89053EC88" ma:contentTypeVersion="3" ma:contentTypeDescription="Create a new document." ma:contentTypeScope="" ma:versionID="86e604c333d1e82adf9a8cac158f27f9">
  <xsd:schema xmlns:xsd="http://www.w3.org/2001/XMLSchema" xmlns:xs="http://www.w3.org/2001/XMLSchema" xmlns:p="http://schemas.microsoft.com/office/2006/metadata/properties" xmlns:ns2="2e183c04-4e8d-4715-bce7-54b439dc82e0" targetNamespace="http://schemas.microsoft.com/office/2006/metadata/properties" ma:root="true" ma:fieldsID="f60c0adbf44dadf1983ea72cf2a1c870" ns2:_="">
    <xsd:import namespace="2e183c04-4e8d-4715-bce7-54b439dc82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83c04-4e8d-4715-bce7-54b439dc82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3D6342-E549-431A-831F-EEE9CF50A8B8}">
  <ds:schemaRefs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2e183c04-4e8d-4715-bce7-54b439dc82e0"/>
    <ds:schemaRef ds:uri="http://purl.org/dc/terms/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B3A133F-88DA-417B-9833-0C62570BFE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183c04-4e8d-4715-bce7-54b439dc82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2FD785-CC8F-46E3-95D7-21A8BE5BB2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8</vt:i4>
      </vt:variant>
    </vt:vector>
  </HeadingPairs>
  <TitlesOfParts>
    <vt:vector size="22" baseType="lpstr">
      <vt:lpstr>Pg1 TO5 C4 BTRR Adj</vt:lpstr>
      <vt:lpstr>Pg2 BK-1 Comparison</vt:lpstr>
      <vt:lpstr>Pg3 BK-1 Rev TO5 C4</vt:lpstr>
      <vt:lpstr>Pg4 BK-1 Rev TO5 C4-Cost Adj </vt:lpstr>
      <vt:lpstr>Pg5 BK-1 Orig As Filed</vt:lpstr>
      <vt:lpstr>Pg6 Rev Stmt AH</vt:lpstr>
      <vt:lpstr>Pg6.1 As Filed Stmt AH-Cost Adj</vt:lpstr>
      <vt:lpstr>Pg6.2 Rev AH-2</vt:lpstr>
      <vt:lpstr>Pg6.3 As Filed AH-2-Cost Adj</vt:lpstr>
      <vt:lpstr>Pg7 Rev Stmt AL</vt:lpstr>
      <vt:lpstr>Pg7.1 As Filed Stmt AL-Cost Adj</vt:lpstr>
      <vt:lpstr>Pg8 Rev Stmt AV</vt:lpstr>
      <vt:lpstr>Pg9 As Filed Stmt AV-Cost Adj</vt:lpstr>
      <vt:lpstr>Pg10 TO5 C4 Int Calc</vt:lpstr>
      <vt:lpstr>'Pg2 BK-1 Comparison'!Print_Area</vt:lpstr>
      <vt:lpstr>'Pg4 BK-1 Rev TO5 C4-Cost Adj '!Print_Area</vt:lpstr>
      <vt:lpstr>'Pg5 BK-1 Orig As Filed'!Print_Area</vt:lpstr>
      <vt:lpstr>'Pg6.1 As Filed Stmt AH-Cost Adj'!Print_Area</vt:lpstr>
      <vt:lpstr>'Pg6.2 Rev AH-2'!Print_Area</vt:lpstr>
      <vt:lpstr>'Pg6.3 As Filed AH-2-Cost Adj'!Print_Area</vt:lpstr>
      <vt:lpstr>'Pg7.1 As Filed Stmt AL-Cost Adj'!Print_Area</vt:lpstr>
      <vt:lpstr>'Pg9 As Filed Stmt AV-Cost Adj'!Print_Area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Tanedo, Lolit</dc:creator>
  <cp:keywords/>
  <dc:description/>
  <cp:lastModifiedBy>Pham, Jenny L.</cp:lastModifiedBy>
  <cp:revision/>
  <cp:lastPrinted>2023-11-07T20:33:55Z</cp:lastPrinted>
  <dcterms:created xsi:type="dcterms:W3CDTF">2021-03-15T20:20:03Z</dcterms:created>
  <dcterms:modified xsi:type="dcterms:W3CDTF">2023-11-07T21:24:15Z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0x01010051C0C4427B38DE4E8452B3A89053EC88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